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ny\Desktop\Andah games\andah_games\.xlsx files\"/>
    </mc:Choice>
  </mc:AlternateContent>
  <xr:revisionPtr revIDLastSave="0" documentId="13_ncr:1_{B08D673D-8E61-411D-B366-3A3A9AEC10D3}" xr6:coauthVersionLast="47" xr6:coauthVersionMax="47" xr10:uidLastSave="{00000000-0000-0000-0000-000000000000}"/>
  <bookViews>
    <workbookView xWindow="-110" yWindow="-110" windowWidth="38620" windowHeight="21820" tabRatio="740" firstSheet="90" activeTab="100" xr2:uid="{00000000-000D-0000-FFFF-FFFF00000000}"/>
  </bookViews>
  <sheets>
    <sheet name="GlobalContinent Population" sheetId="1" r:id="rId1"/>
    <sheet name="Geoscheme Population" sheetId="2" r:id="rId2"/>
    <sheet name="Acetoa" sheetId="3" r:id="rId3"/>
    <sheet name="Acrana" sheetId="4" r:id="rId4"/>
    <sheet name="Aetintio" sheetId="5" r:id="rId5"/>
    <sheet name="Ahokini" sheetId="6" r:id="rId6"/>
    <sheet name="Amcha" sheetId="7" r:id="rId7"/>
    <sheet name="Andsaudare" sheetId="8" r:id="rId8"/>
    <sheet name="Anymna" sheetId="9" r:id="rId9"/>
    <sheet name="Aplasia" sheetId="10" r:id="rId10"/>
    <sheet name="Arbiya" sheetId="11" r:id="rId11"/>
    <sheet name="Areoix Lie" sheetId="12" r:id="rId12"/>
    <sheet name="Ashain" sheetId="13" r:id="rId13"/>
    <sheet name="Astye" sheetId="14" r:id="rId14"/>
    <sheet name="Baluyde" sheetId="15" r:id="rId15"/>
    <sheet name="Byllu" sheetId="16" r:id="rId16"/>
    <sheet name="Candenat" sheetId="17" r:id="rId17"/>
    <sheet name="Canldives" sheetId="18" r:id="rId18"/>
    <sheet name="Chaenia" sheetId="19" r:id="rId19"/>
    <sheet name="Cloja" sheetId="20" r:id="rId20"/>
    <sheet name="Crila Republic" sheetId="21" r:id="rId21"/>
    <sheet name="Cruthi Anoso" sheetId="22" r:id="rId22"/>
    <sheet name="Curata" sheetId="23" r:id="rId23"/>
    <sheet name="Dahe" sheetId="24" r:id="rId24"/>
    <sheet name="Danocia" sheetId="25" r:id="rId25"/>
    <sheet name="Darewa" sheetId="26" r:id="rId26"/>
    <sheet name="Desaki" sheetId="27" r:id="rId27"/>
    <sheet name="Deschon" sheetId="28" r:id="rId28"/>
    <sheet name="Disal Nila" sheetId="29" r:id="rId29"/>
    <sheet name="Dual Cenryia" sheetId="30" r:id="rId30"/>
    <sheet name="Ealdorii" sheetId="31" r:id="rId31"/>
    <sheet name="Easuhura" sheetId="32" r:id="rId32"/>
    <sheet name="Eldavpir" sheetId="33" r:id="rId33"/>
    <sheet name="Eldjo" sheetId="34" r:id="rId34"/>
    <sheet name="Elja and Munusia" sheetId="35" r:id="rId35"/>
    <sheet name="Emara" sheetId="36" r:id="rId36"/>
    <sheet name="Enina" sheetId="37" r:id="rId37"/>
    <sheet name="Eparia" sheetId="38" r:id="rId38"/>
    <sheet name="Erkizil" sheetId="39" r:id="rId39"/>
    <sheet name="Estijan" sheetId="40" r:id="rId40"/>
    <sheet name="Etirha" sheetId="41" r:id="rId41"/>
    <sheet name="Etretes" sheetId="42" r:id="rId42"/>
    <sheet name="Exilium" sheetId="43" r:id="rId43"/>
    <sheet name="Far Lands" sheetId="44" r:id="rId44"/>
    <sheet name="Feio Lie" sheetId="45" r:id="rId45"/>
    <sheet name="Fermori" sheetId="46" r:id="rId46"/>
    <sheet name="Finae" sheetId="47" r:id="rId47"/>
    <sheet name="Fincen" sheetId="48" r:id="rId48"/>
    <sheet name="Fire Coast" sheetId="49" r:id="rId49"/>
    <sheet name="Gaeiya" sheetId="50" r:id="rId50"/>
    <sheet name="Galca" sheetId="51" r:id="rId51"/>
    <sheet name="Genaire" sheetId="52" r:id="rId52"/>
    <sheet name="Grazail" sheetId="53" r:id="rId53"/>
    <sheet name="Guise" sheetId="54" r:id="rId54"/>
    <sheet name="Haiza" sheetId="55" r:id="rId55"/>
    <sheet name="Heiso" sheetId="56" r:id="rId56"/>
    <sheet name="Hiwush" sheetId="57" r:id="rId57"/>
    <sheet name="Hkuqo" sheetId="58" r:id="rId58"/>
    <sheet name="Hyelen" sheetId="59" r:id="rId59"/>
    <sheet name="Iainoa" sheetId="60" r:id="rId60"/>
    <sheet name="Iareva" sheetId="61" r:id="rId61"/>
    <sheet name="Ihner" sheetId="62" r:id="rId62"/>
    <sheet name="Ikzen" sheetId="63" r:id="rId63"/>
    <sheet name="Ilicuhe" sheetId="64" r:id="rId64"/>
    <sheet name="Inania" sheetId="65" r:id="rId65"/>
    <sheet name="Inrea" sheetId="66" r:id="rId66"/>
    <sheet name="Iquir" sheetId="67" r:id="rId67"/>
    <sheet name="Isari" sheetId="68" r:id="rId68"/>
    <sheet name="Isnti" sheetId="69" r:id="rId69"/>
    <sheet name="Isuibul" sheetId="70" r:id="rId70"/>
    <sheet name="Jathua" sheetId="71" r:id="rId71"/>
    <sheet name="Jau" sheetId="72" r:id="rId72"/>
    <sheet name="Jshain" sheetId="73" r:id="rId73"/>
    <sheet name="Kaastini" sheetId="74" r:id="rId74"/>
    <sheet name="Koruch" sheetId="75" r:id="rId75"/>
    <sheet name="Kusierna" sheetId="76" r:id="rId76"/>
    <sheet name="Laselteh" sheetId="77" r:id="rId77"/>
    <sheet name="Lasri" sheetId="78" r:id="rId78"/>
    <sheet name="Letan" sheetId="79" r:id="rId79"/>
    <sheet name="Lieri" sheetId="80" r:id="rId80"/>
    <sheet name="Lycroa" sheetId="81" r:id="rId81"/>
    <sheet name="Lydroa" sheetId="82" r:id="rId82"/>
    <sheet name="Maalle" sheetId="83" r:id="rId83"/>
    <sheet name="Mendereide" sheetId="84" r:id="rId84"/>
    <sheet name="Merela Sta" sheetId="85" r:id="rId85"/>
    <sheet name="Mesjan Hyaa" sheetId="86" r:id="rId86"/>
    <sheet name="Metndria" sheetId="87" r:id="rId87"/>
    <sheet name="Migoku" sheetId="88" r:id="rId88"/>
    <sheet name="Myla" sheetId="89" r:id="rId89"/>
    <sheet name="New Kizura" sheetId="90" r:id="rId90"/>
    <sheet name="New Misos" sheetId="91" r:id="rId91"/>
    <sheet name="Nheyes Si" sheetId="92" r:id="rId92"/>
    <sheet name="Nia" sheetId="93" r:id="rId93"/>
    <sheet name="Niretui and Anulan" sheetId="94" r:id="rId94"/>
    <sheet name="Niul Spijan" sheetId="95" r:id="rId95"/>
    <sheet name="North Ayre" sheetId="96" r:id="rId96"/>
    <sheet name="Ocaun" sheetId="97" r:id="rId97"/>
    <sheet name="Ohtina" sheetId="98" r:id="rId98"/>
    <sheet name="Onphello" sheetId="99" r:id="rId99"/>
    <sheet name="Oscairia" sheetId="100" r:id="rId100"/>
    <sheet name="Othya" sheetId="101" r:id="rId101"/>
    <sheet name="Otiiric" sheetId="102" r:id="rId102"/>
    <sheet name="Oyreain" sheetId="103" r:id="rId103"/>
    <sheet name="Ozinia" sheetId="104" r:id="rId104"/>
    <sheet name="Palina" sheetId="105" r:id="rId105"/>
    <sheet name="Peka" sheetId="106" r:id="rId106"/>
    <sheet name="Pelan" sheetId="107" r:id="rId107"/>
    <sheet name="Pelines" sheetId="108" r:id="rId108"/>
    <sheet name="Pelugrotoa" sheetId="109" r:id="rId109"/>
    <sheet name="Pha Hii" sheetId="110" r:id="rId110"/>
    <sheet name="Phuris" sheetId="111" r:id="rId111"/>
    <sheet name="Praesyu" sheetId="112" r:id="rId112"/>
    <sheet name="Prstreula" sheetId="113" r:id="rId113"/>
    <sheet name="Pruim Fijan" sheetId="114" r:id="rId114"/>
    <sheet name="Prystr Hii" sheetId="115" r:id="rId115"/>
    <sheet name="Quidic" sheetId="116" r:id="rId116"/>
    <sheet name="Raledria" sheetId="117" r:id="rId117"/>
    <sheet name="Reerica" sheetId="118" r:id="rId118"/>
    <sheet name="Rethern" sheetId="119" r:id="rId119"/>
    <sheet name="Rijan bu" sheetId="120" r:id="rId120"/>
    <sheet name="Rinew" sheetId="121" r:id="rId121"/>
    <sheet name="Rkmepuia" sheetId="122" r:id="rId122"/>
    <sheet name="Rtesania" sheetId="123" r:id="rId123"/>
    <sheet name="Ruylku" sheetId="124" r:id="rId124"/>
    <sheet name="Saa" sheetId="125" r:id="rId125"/>
    <sheet name="Sadain" sheetId="126" r:id="rId126"/>
    <sheet name="Sanagara" sheetId="127" r:id="rId127"/>
    <sheet name="Sattle" sheetId="128" r:id="rId128"/>
    <sheet name="Selaja" sheetId="129" r:id="rId129"/>
    <sheet name="Seytinemas" sheetId="130" r:id="rId130"/>
    <sheet name="Shinam" sheetId="131" r:id="rId131"/>
    <sheet name="Shomjind" sheetId="132" r:id="rId132"/>
    <sheet name="Siana" sheetId="133" r:id="rId133"/>
    <sheet name="Sivoso" sheetId="134" r:id="rId134"/>
    <sheet name="Slyiaduun" sheetId="135" r:id="rId135"/>
    <sheet name="Stinebar" sheetId="136" r:id="rId136"/>
    <sheet name="Suenan" sheetId="137" r:id="rId137"/>
    <sheet name="Sunsokua" sheetId="138" r:id="rId138"/>
    <sheet name="Taing" sheetId="139" r:id="rId139"/>
    <sheet name="Taniduna" sheetId="140" r:id="rId140"/>
    <sheet name="Taoisia" sheetId="141" r:id="rId141"/>
    <sheet name="Taval" sheetId="142" r:id="rId142"/>
    <sheet name="Terressin" sheetId="143" r:id="rId143"/>
    <sheet name="Tomscilus" sheetId="144" r:id="rId144"/>
    <sheet name="Tonder" sheetId="145" r:id="rId145"/>
    <sheet name="Trevilla" sheetId="146" r:id="rId146"/>
    <sheet name="Trian" sheetId="147" r:id="rId147"/>
    <sheet name="Tvecoca" sheetId="148" r:id="rId148"/>
    <sheet name="Ucrua" sheetId="149" r:id="rId149"/>
    <sheet name="Ukhdari" sheetId="150" r:id="rId150"/>
    <sheet name="Umarcia" sheetId="151" r:id="rId151"/>
    <sheet name="Umendel" sheetId="152" r:id="rId152"/>
    <sheet name="United Delet" sheetId="153" r:id="rId153"/>
    <sheet name="United Mihili" sheetId="154" r:id="rId154"/>
    <sheet name="Urbiqu" sheetId="155" r:id="rId155"/>
    <sheet name="Uularin" sheetId="156" r:id="rId156"/>
    <sheet name="Vayvele" sheetId="157" r:id="rId157"/>
    <sheet name="Veelmit" sheetId="158" r:id="rId158"/>
    <sheet name="Verste" sheetId="159" r:id="rId159"/>
    <sheet name="Verusa" sheetId="160" r:id="rId160"/>
    <sheet name="Vesozata" sheetId="161" r:id="rId161"/>
    <sheet name="Viussi" sheetId="162" r:id="rId162"/>
    <sheet name="Volver" sheetId="163" r:id="rId163"/>
    <sheet name="Walporein" sheetId="164" r:id="rId164"/>
    <sheet name="Welenu Fana" sheetId="165" r:id="rId165"/>
    <sheet name="Western Migoku" sheetId="166" r:id="rId166"/>
    <sheet name="Wundry" sheetId="167" r:id="rId167"/>
    <sheet name="Yaxuto" sheetId="168" r:id="rId168"/>
    <sheet name="Yihnurda" sheetId="169" r:id="rId169"/>
    <sheet name="Yoprioq" sheetId="170" r:id="rId170"/>
    <sheet name="Yutnitu" sheetId="171" r:id="rId171"/>
    <sheet name="Zenashan" sheetId="172" r:id="rId172"/>
    <sheet name="Zhanshe" sheetId="173" r:id="rId173"/>
    <sheet name="Ztesh" sheetId="174" r:id="rId17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" i="101" l="1"/>
  <c r="A66" i="155"/>
  <c r="A65" i="155"/>
  <c r="A64" i="155"/>
  <c r="A63" i="155"/>
  <c r="A62" i="155"/>
  <c r="A61" i="155"/>
  <c r="A60" i="155"/>
  <c r="A59" i="155"/>
  <c r="A58" i="155"/>
  <c r="A57" i="155"/>
  <c r="A56" i="155"/>
  <c r="A55" i="155"/>
  <c r="A54" i="155"/>
  <c r="A53" i="155"/>
  <c r="A52" i="155"/>
  <c r="A51" i="155"/>
  <c r="A50" i="155"/>
  <c r="A49" i="155"/>
  <c r="A48" i="155"/>
  <c r="A47" i="155"/>
  <c r="A46" i="155"/>
  <c r="A45" i="155"/>
  <c r="A44" i="155"/>
  <c r="A43" i="155"/>
  <c r="A42" i="155"/>
  <c r="A41" i="155"/>
  <c r="A40" i="155"/>
  <c r="A39" i="155"/>
  <c r="A38" i="155"/>
  <c r="A37" i="155"/>
  <c r="A36" i="155"/>
  <c r="A35" i="155"/>
  <c r="A34" i="155"/>
  <c r="A33" i="155"/>
  <c r="A32" i="155"/>
  <c r="A31" i="155"/>
  <c r="A30" i="155"/>
  <c r="A29" i="155"/>
  <c r="A28" i="155"/>
  <c r="A27" i="155"/>
  <c r="A26" i="155"/>
  <c r="A25" i="155"/>
  <c r="A24" i="155"/>
  <c r="A23" i="155"/>
  <c r="A22" i="155"/>
  <c r="A21" i="155"/>
  <c r="A20" i="155"/>
  <c r="A19" i="155"/>
  <c r="A18" i="155"/>
  <c r="A17" i="155"/>
  <c r="A16" i="155"/>
  <c r="A15" i="155"/>
  <c r="A14" i="155"/>
  <c r="A13" i="155"/>
  <c r="A12" i="155"/>
  <c r="A11" i="155"/>
  <c r="A10" i="155"/>
  <c r="A9" i="155"/>
  <c r="A8" i="155"/>
  <c r="A7" i="155"/>
  <c r="A6" i="155"/>
  <c r="A5" i="155"/>
  <c r="A4" i="155"/>
  <c r="A3" i="155"/>
  <c r="A2" i="155"/>
  <c r="I2" i="69"/>
  <c r="A2" i="40"/>
  <c r="A3" i="40"/>
  <c r="A4" i="40"/>
  <c r="A5" i="40"/>
  <c r="A6" i="40"/>
  <c r="A7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6" i="40"/>
  <c r="A37" i="40"/>
  <c r="A38" i="40"/>
  <c r="A39" i="40"/>
  <c r="A40" i="40"/>
  <c r="A41" i="40"/>
  <c r="A42" i="40"/>
  <c r="A43" i="40"/>
  <c r="A44" i="40"/>
  <c r="A45" i="40"/>
  <c r="A46" i="40"/>
  <c r="A47" i="40"/>
  <c r="A48" i="40"/>
  <c r="A49" i="40"/>
  <c r="A50" i="40"/>
  <c r="A67" i="174"/>
  <c r="C66" i="174"/>
  <c r="E66" i="174" s="1"/>
  <c r="A66" i="174"/>
  <c r="A65" i="174"/>
  <c r="A64" i="174"/>
  <c r="A63" i="174"/>
  <c r="A62" i="174"/>
  <c r="A61" i="174"/>
  <c r="A60" i="174"/>
  <c r="A59" i="174"/>
  <c r="A58" i="174"/>
  <c r="A57" i="174"/>
  <c r="A56" i="174"/>
  <c r="A55" i="174"/>
  <c r="A54" i="174"/>
  <c r="A53" i="174"/>
  <c r="A52" i="174"/>
  <c r="A51" i="174"/>
  <c r="A50" i="174"/>
  <c r="A49" i="174"/>
  <c r="A48" i="174"/>
  <c r="A47" i="174"/>
  <c r="A46" i="174"/>
  <c r="A45" i="174"/>
  <c r="A44" i="174"/>
  <c r="A43" i="174"/>
  <c r="A42" i="174"/>
  <c r="A41" i="174"/>
  <c r="A40" i="174"/>
  <c r="A39" i="174"/>
  <c r="A38" i="174"/>
  <c r="A37" i="174"/>
  <c r="A36" i="174"/>
  <c r="A35" i="174"/>
  <c r="A34" i="174"/>
  <c r="A33" i="174"/>
  <c r="A32" i="174"/>
  <c r="A31" i="174"/>
  <c r="A30" i="174"/>
  <c r="A29" i="174"/>
  <c r="A28" i="174"/>
  <c r="A27" i="174"/>
  <c r="A26" i="174"/>
  <c r="A25" i="174"/>
  <c r="A24" i="174"/>
  <c r="A23" i="174"/>
  <c r="A22" i="174"/>
  <c r="A21" i="174"/>
  <c r="A20" i="174"/>
  <c r="A19" i="174"/>
  <c r="A18" i="174"/>
  <c r="A17" i="174"/>
  <c r="A16" i="174"/>
  <c r="A15" i="174"/>
  <c r="A14" i="174"/>
  <c r="A13" i="174"/>
  <c r="A12" i="174"/>
  <c r="A11" i="174"/>
  <c r="A10" i="174"/>
  <c r="A9" i="174"/>
  <c r="A8" i="174"/>
  <c r="A7" i="174"/>
  <c r="A6" i="174"/>
  <c r="A5" i="174"/>
  <c r="A4" i="174"/>
  <c r="A3" i="174"/>
  <c r="I2" i="174"/>
  <c r="A2" i="174"/>
  <c r="A67" i="173"/>
  <c r="F66" i="173"/>
  <c r="E66" i="173"/>
  <c r="C66" i="173"/>
  <c r="A66" i="173"/>
  <c r="E65" i="173"/>
  <c r="C65" i="173"/>
  <c r="A65" i="173"/>
  <c r="E64" i="173"/>
  <c r="C64" i="173"/>
  <c r="A64" i="173"/>
  <c r="C63" i="173"/>
  <c r="A63" i="173"/>
  <c r="A62" i="173"/>
  <c r="A61" i="173"/>
  <c r="A60" i="173"/>
  <c r="A59" i="173"/>
  <c r="A58" i="173"/>
  <c r="A57" i="173"/>
  <c r="A56" i="173"/>
  <c r="A55" i="173"/>
  <c r="A54" i="173"/>
  <c r="A53" i="173"/>
  <c r="A52" i="173"/>
  <c r="A51" i="173"/>
  <c r="A50" i="173"/>
  <c r="A49" i="173"/>
  <c r="A48" i="173"/>
  <c r="A47" i="173"/>
  <c r="A46" i="173"/>
  <c r="A45" i="173"/>
  <c r="A44" i="173"/>
  <c r="A43" i="173"/>
  <c r="A42" i="173"/>
  <c r="A41" i="173"/>
  <c r="A40" i="173"/>
  <c r="A39" i="173"/>
  <c r="A38" i="173"/>
  <c r="A37" i="173"/>
  <c r="A36" i="173"/>
  <c r="A35" i="173"/>
  <c r="A34" i="173"/>
  <c r="A33" i="173"/>
  <c r="A32" i="173"/>
  <c r="A31" i="173"/>
  <c r="A30" i="173"/>
  <c r="A29" i="173"/>
  <c r="A28" i="173"/>
  <c r="A27" i="173"/>
  <c r="A26" i="173"/>
  <c r="A25" i="173"/>
  <c r="A24" i="173"/>
  <c r="A23" i="173"/>
  <c r="A22" i="173"/>
  <c r="A21" i="173"/>
  <c r="A20" i="173"/>
  <c r="A19" i="173"/>
  <c r="A18" i="173"/>
  <c r="A17" i="173"/>
  <c r="A16" i="173"/>
  <c r="A15" i="173"/>
  <c r="A14" i="173"/>
  <c r="A13" i="173"/>
  <c r="A12" i="173"/>
  <c r="A11" i="173"/>
  <c r="A10" i="173"/>
  <c r="A9" i="173"/>
  <c r="A8" i="173"/>
  <c r="A7" i="173"/>
  <c r="A6" i="173"/>
  <c r="A5" i="173"/>
  <c r="I4" i="173"/>
  <c r="A4" i="173"/>
  <c r="A3" i="173"/>
  <c r="I2" i="173"/>
  <c r="I3" i="173" s="1"/>
  <c r="A2" i="173"/>
  <c r="A67" i="172"/>
  <c r="F66" i="172"/>
  <c r="C66" i="172"/>
  <c r="A66" i="172"/>
  <c r="A65" i="172"/>
  <c r="A64" i="172"/>
  <c r="A63" i="172"/>
  <c r="A62" i="172"/>
  <c r="A61" i="172"/>
  <c r="A60" i="172"/>
  <c r="A59" i="172"/>
  <c r="A58" i="172"/>
  <c r="A57" i="172"/>
  <c r="A56" i="172"/>
  <c r="A55" i="172"/>
  <c r="A54" i="172"/>
  <c r="A53" i="172"/>
  <c r="A52" i="172"/>
  <c r="A51" i="172"/>
  <c r="A50" i="172"/>
  <c r="A49" i="172"/>
  <c r="A48" i="172"/>
  <c r="A47" i="172"/>
  <c r="A46" i="172"/>
  <c r="A45" i="172"/>
  <c r="A44" i="172"/>
  <c r="A43" i="172"/>
  <c r="A42" i="172"/>
  <c r="A41" i="172"/>
  <c r="A40" i="172"/>
  <c r="A39" i="172"/>
  <c r="A38" i="172"/>
  <c r="A37" i="172"/>
  <c r="A36" i="172"/>
  <c r="A35" i="172"/>
  <c r="A34" i="172"/>
  <c r="A33" i="172"/>
  <c r="A32" i="172"/>
  <c r="A31" i="172"/>
  <c r="A30" i="172"/>
  <c r="A29" i="172"/>
  <c r="A28" i="172"/>
  <c r="A27" i="172"/>
  <c r="A26" i="172"/>
  <c r="A25" i="172"/>
  <c r="A24" i="172"/>
  <c r="A23" i="172"/>
  <c r="A22" i="172"/>
  <c r="A21" i="172"/>
  <c r="A20" i="172"/>
  <c r="A19" i="172"/>
  <c r="A18" i="172"/>
  <c r="A17" i="172"/>
  <c r="A16" i="172"/>
  <c r="A15" i="172"/>
  <c r="A14" i="172"/>
  <c r="A13" i="172"/>
  <c r="A12" i="172"/>
  <c r="A11" i="172"/>
  <c r="A10" i="172"/>
  <c r="A9" i="172"/>
  <c r="A8" i="172"/>
  <c r="A7" i="172"/>
  <c r="A6" i="172"/>
  <c r="A5" i="172"/>
  <c r="A4" i="172"/>
  <c r="I3" i="172"/>
  <c r="I4" i="172" s="1"/>
  <c r="I5" i="172" s="1"/>
  <c r="A3" i="172"/>
  <c r="I2" i="172"/>
  <c r="A2" i="172"/>
  <c r="A67" i="171"/>
  <c r="F66" i="171"/>
  <c r="C66" i="171"/>
  <c r="E66" i="171" s="1"/>
  <c r="A66" i="171"/>
  <c r="C65" i="171"/>
  <c r="E65" i="171" s="1"/>
  <c r="A65" i="171"/>
  <c r="C64" i="171"/>
  <c r="C63" i="171" s="1"/>
  <c r="A64" i="171"/>
  <c r="A63" i="171"/>
  <c r="A62" i="171"/>
  <c r="A61" i="171"/>
  <c r="A60" i="171"/>
  <c r="A59" i="171"/>
  <c r="A58" i="171"/>
  <c r="A57" i="171"/>
  <c r="A56" i="171"/>
  <c r="A55" i="171"/>
  <c r="A54" i="171"/>
  <c r="A53" i="171"/>
  <c r="A52" i="171"/>
  <c r="A51" i="171"/>
  <c r="A50" i="171"/>
  <c r="A49" i="171"/>
  <c r="A48" i="171"/>
  <c r="A47" i="171"/>
  <c r="A46" i="171"/>
  <c r="A45" i="171"/>
  <c r="A44" i="171"/>
  <c r="A43" i="171"/>
  <c r="A42" i="171"/>
  <c r="A41" i="171"/>
  <c r="A40" i="171"/>
  <c r="A39" i="171"/>
  <c r="A38" i="171"/>
  <c r="A37" i="171"/>
  <c r="A36" i="171"/>
  <c r="A35" i="171"/>
  <c r="A34" i="171"/>
  <c r="A33" i="171"/>
  <c r="A32" i="171"/>
  <c r="A31" i="171"/>
  <c r="A30" i="171"/>
  <c r="A29" i="171"/>
  <c r="A28" i="171"/>
  <c r="A27" i="171"/>
  <c r="A26" i="171"/>
  <c r="A25" i="171"/>
  <c r="A24" i="171"/>
  <c r="A23" i="171"/>
  <c r="A22" i="171"/>
  <c r="A21" i="171"/>
  <c r="A20" i="171"/>
  <c r="A19" i="171"/>
  <c r="A18" i="171"/>
  <c r="A17" i="171"/>
  <c r="A16" i="171"/>
  <c r="A15" i="171"/>
  <c r="A14" i="171"/>
  <c r="A13" i="171"/>
  <c r="A12" i="171"/>
  <c r="A11" i="171"/>
  <c r="A10" i="171"/>
  <c r="A9" i="171"/>
  <c r="A8" i="171"/>
  <c r="A7" i="171"/>
  <c r="A6" i="171"/>
  <c r="A5" i="171"/>
  <c r="A4" i="171"/>
  <c r="A3" i="171"/>
  <c r="I2" i="171"/>
  <c r="A2" i="171"/>
  <c r="A67" i="170"/>
  <c r="F66" i="170"/>
  <c r="C66" i="170"/>
  <c r="A66" i="170"/>
  <c r="A65" i="170"/>
  <c r="A64" i="170"/>
  <c r="A63" i="170"/>
  <c r="A62" i="170"/>
  <c r="A61" i="170"/>
  <c r="A60" i="170"/>
  <c r="A59" i="170"/>
  <c r="A58" i="170"/>
  <c r="A57" i="170"/>
  <c r="A56" i="170"/>
  <c r="A55" i="170"/>
  <c r="A54" i="170"/>
  <c r="A53" i="170"/>
  <c r="A52" i="170"/>
  <c r="A51" i="170"/>
  <c r="A50" i="170"/>
  <c r="A49" i="170"/>
  <c r="A48" i="170"/>
  <c r="A47" i="170"/>
  <c r="A46" i="170"/>
  <c r="A45" i="170"/>
  <c r="A44" i="170"/>
  <c r="A43" i="170"/>
  <c r="A42" i="170"/>
  <c r="A41" i="170"/>
  <c r="A40" i="170"/>
  <c r="A39" i="170"/>
  <c r="A38" i="170"/>
  <c r="A37" i="170"/>
  <c r="A36" i="170"/>
  <c r="A35" i="170"/>
  <c r="A34" i="170"/>
  <c r="A33" i="170"/>
  <c r="A32" i="170"/>
  <c r="A31" i="170"/>
  <c r="A30" i="170"/>
  <c r="A29" i="170"/>
  <c r="A28" i="170"/>
  <c r="A27" i="170"/>
  <c r="A26" i="170"/>
  <c r="A25" i="170"/>
  <c r="A24" i="170"/>
  <c r="A23" i="170"/>
  <c r="A22" i="170"/>
  <c r="A21" i="170"/>
  <c r="A20" i="170"/>
  <c r="A19" i="170"/>
  <c r="A18" i="170"/>
  <c r="A17" i="170"/>
  <c r="A16" i="170"/>
  <c r="A15" i="170"/>
  <c r="A14" i="170"/>
  <c r="A13" i="170"/>
  <c r="A12" i="170"/>
  <c r="A11" i="170"/>
  <c r="A10" i="170"/>
  <c r="A9" i="170"/>
  <c r="A8" i="170"/>
  <c r="A7" i="170"/>
  <c r="A6" i="170"/>
  <c r="A5" i="170"/>
  <c r="A4" i="170"/>
  <c r="A3" i="170"/>
  <c r="I2" i="170"/>
  <c r="I3" i="170" s="1"/>
  <c r="A2" i="170"/>
  <c r="A67" i="169"/>
  <c r="F66" i="169"/>
  <c r="C66" i="169"/>
  <c r="E66" i="169" s="1"/>
  <c r="A66" i="169"/>
  <c r="C65" i="169"/>
  <c r="A65" i="169"/>
  <c r="A64" i="169"/>
  <c r="A63" i="169"/>
  <c r="A62" i="169"/>
  <c r="A61" i="169"/>
  <c r="A60" i="169"/>
  <c r="A59" i="169"/>
  <c r="A58" i="169"/>
  <c r="A57" i="169"/>
  <c r="A56" i="169"/>
  <c r="A55" i="169"/>
  <c r="A54" i="169"/>
  <c r="A53" i="169"/>
  <c r="A52" i="169"/>
  <c r="A51" i="169"/>
  <c r="A50" i="169"/>
  <c r="A49" i="169"/>
  <c r="A48" i="169"/>
  <c r="A47" i="169"/>
  <c r="A46" i="169"/>
  <c r="A45" i="169"/>
  <c r="A44" i="169"/>
  <c r="A43" i="169"/>
  <c r="A42" i="169"/>
  <c r="A41" i="169"/>
  <c r="A40" i="169"/>
  <c r="A39" i="169"/>
  <c r="A38" i="169"/>
  <c r="A37" i="169"/>
  <c r="A36" i="169"/>
  <c r="A35" i="169"/>
  <c r="A34" i="169"/>
  <c r="A33" i="169"/>
  <c r="A32" i="169"/>
  <c r="A31" i="169"/>
  <c r="A30" i="169"/>
  <c r="A29" i="169"/>
  <c r="A28" i="169"/>
  <c r="A27" i="169"/>
  <c r="A26" i="169"/>
  <c r="A25" i="169"/>
  <c r="A24" i="169"/>
  <c r="A23" i="169"/>
  <c r="A22" i="169"/>
  <c r="A21" i="169"/>
  <c r="A20" i="169"/>
  <c r="A19" i="169"/>
  <c r="A18" i="169"/>
  <c r="A17" i="169"/>
  <c r="A16" i="169"/>
  <c r="A15" i="169"/>
  <c r="A14" i="169"/>
  <c r="A13" i="169"/>
  <c r="A12" i="169"/>
  <c r="A11" i="169"/>
  <c r="A10" i="169"/>
  <c r="A9" i="169"/>
  <c r="A8" i="169"/>
  <c r="A7" i="169"/>
  <c r="A6" i="169"/>
  <c r="A5" i="169"/>
  <c r="A4" i="169"/>
  <c r="A3" i="169"/>
  <c r="I2" i="169"/>
  <c r="I3" i="169" s="1"/>
  <c r="A2" i="169"/>
  <c r="A67" i="168"/>
  <c r="F66" i="168"/>
  <c r="C66" i="168"/>
  <c r="E66" i="168" s="1"/>
  <c r="A66" i="168"/>
  <c r="C65" i="168"/>
  <c r="E65" i="168" s="1"/>
  <c r="A65" i="168"/>
  <c r="E64" i="168"/>
  <c r="C64" i="168"/>
  <c r="A64" i="168"/>
  <c r="C63" i="168"/>
  <c r="A63" i="168"/>
  <c r="A62" i="168"/>
  <c r="A61" i="168"/>
  <c r="A60" i="168"/>
  <c r="A59" i="168"/>
  <c r="A58" i="168"/>
  <c r="A57" i="168"/>
  <c r="A56" i="168"/>
  <c r="A55" i="168"/>
  <c r="A54" i="168"/>
  <c r="A53" i="168"/>
  <c r="A52" i="168"/>
  <c r="A51" i="168"/>
  <c r="A50" i="168"/>
  <c r="A49" i="168"/>
  <c r="A48" i="168"/>
  <c r="A47" i="168"/>
  <c r="A46" i="168"/>
  <c r="A45" i="168"/>
  <c r="A44" i="168"/>
  <c r="A43" i="168"/>
  <c r="A42" i="168"/>
  <c r="A41" i="168"/>
  <c r="A40" i="168"/>
  <c r="A39" i="168"/>
  <c r="A38" i="168"/>
  <c r="A37" i="168"/>
  <c r="A36" i="168"/>
  <c r="A35" i="168"/>
  <c r="A34" i="168"/>
  <c r="A33" i="168"/>
  <c r="A32" i="168"/>
  <c r="A31" i="168"/>
  <c r="A30" i="168"/>
  <c r="A29" i="168"/>
  <c r="A28" i="168"/>
  <c r="A27" i="168"/>
  <c r="A26" i="168"/>
  <c r="A25" i="168"/>
  <c r="A24" i="168"/>
  <c r="A23" i="168"/>
  <c r="A22" i="168"/>
  <c r="A21" i="168"/>
  <c r="A20" i="168"/>
  <c r="A19" i="168"/>
  <c r="A18" i="168"/>
  <c r="A17" i="168"/>
  <c r="A16" i="168"/>
  <c r="A15" i="168"/>
  <c r="A14" i="168"/>
  <c r="A13" i="168"/>
  <c r="A12" i="168"/>
  <c r="A11" i="168"/>
  <c r="A10" i="168"/>
  <c r="A9" i="168"/>
  <c r="A8" i="168"/>
  <c r="A7" i="168"/>
  <c r="A6" i="168"/>
  <c r="A5" i="168"/>
  <c r="A4" i="168"/>
  <c r="A3" i="168"/>
  <c r="I2" i="168"/>
  <c r="I3" i="168" s="1"/>
  <c r="A2" i="168"/>
  <c r="A67" i="167"/>
  <c r="F66" i="167"/>
  <c r="E66" i="167"/>
  <c r="C66" i="167"/>
  <c r="A66" i="167"/>
  <c r="C65" i="167"/>
  <c r="E65" i="167" s="1"/>
  <c r="A65" i="167"/>
  <c r="C64" i="167"/>
  <c r="A64" i="167"/>
  <c r="A63" i="167"/>
  <c r="A62" i="167"/>
  <c r="A61" i="167"/>
  <c r="A60" i="167"/>
  <c r="A59" i="167"/>
  <c r="A58" i="167"/>
  <c r="A57" i="167"/>
  <c r="A56" i="167"/>
  <c r="A55" i="167"/>
  <c r="A54" i="167"/>
  <c r="A53" i="167"/>
  <c r="A52" i="167"/>
  <c r="A51" i="167"/>
  <c r="A50" i="167"/>
  <c r="A49" i="167"/>
  <c r="A48" i="167"/>
  <c r="A47" i="167"/>
  <c r="A46" i="167"/>
  <c r="A45" i="167"/>
  <c r="A44" i="167"/>
  <c r="A43" i="167"/>
  <c r="A42" i="167"/>
  <c r="A41" i="167"/>
  <c r="A40" i="167"/>
  <c r="A39" i="167"/>
  <c r="A38" i="167"/>
  <c r="A37" i="167"/>
  <c r="A36" i="167"/>
  <c r="A35" i="167"/>
  <c r="A34" i="167"/>
  <c r="A33" i="167"/>
  <c r="A32" i="167"/>
  <c r="A31" i="167"/>
  <c r="A30" i="167"/>
  <c r="A29" i="167"/>
  <c r="A28" i="167"/>
  <c r="A27" i="167"/>
  <c r="A26" i="167"/>
  <c r="A25" i="167"/>
  <c r="A24" i="167"/>
  <c r="A23" i="167"/>
  <c r="A22" i="167"/>
  <c r="A21" i="167"/>
  <c r="A20" i="167"/>
  <c r="A19" i="167"/>
  <c r="A18" i="167"/>
  <c r="A17" i="167"/>
  <c r="A16" i="167"/>
  <c r="A15" i="167"/>
  <c r="A14" i="167"/>
  <c r="A13" i="167"/>
  <c r="A12" i="167"/>
  <c r="A11" i="167"/>
  <c r="A10" i="167"/>
  <c r="A9" i="167"/>
  <c r="A8" i="167"/>
  <c r="A7" i="167"/>
  <c r="A6" i="167"/>
  <c r="A5" i="167"/>
  <c r="A4" i="167"/>
  <c r="I3" i="167"/>
  <c r="I4" i="167" s="1"/>
  <c r="A3" i="167"/>
  <c r="I2" i="167"/>
  <c r="A2" i="167"/>
  <c r="A67" i="166"/>
  <c r="F66" i="166"/>
  <c r="C66" i="166"/>
  <c r="C65" i="166" s="1"/>
  <c r="E65" i="166" s="1"/>
  <c r="A66" i="166"/>
  <c r="A65" i="166"/>
  <c r="C64" i="166"/>
  <c r="E64" i="166" s="1"/>
  <c r="A64" i="166"/>
  <c r="C63" i="166"/>
  <c r="C62" i="166" s="1"/>
  <c r="C61" i="166" s="1"/>
  <c r="A63" i="166"/>
  <c r="A62" i="166"/>
  <c r="A61" i="166"/>
  <c r="A60" i="166"/>
  <c r="A59" i="166"/>
  <c r="A58" i="166"/>
  <c r="A57" i="166"/>
  <c r="A56" i="166"/>
  <c r="A55" i="166"/>
  <c r="A54" i="166"/>
  <c r="A53" i="166"/>
  <c r="A52" i="166"/>
  <c r="A51" i="166"/>
  <c r="A50" i="166"/>
  <c r="A49" i="166"/>
  <c r="A48" i="166"/>
  <c r="A47" i="166"/>
  <c r="A46" i="166"/>
  <c r="A45" i="166"/>
  <c r="A44" i="166"/>
  <c r="A43" i="166"/>
  <c r="A42" i="166"/>
  <c r="A41" i="166"/>
  <c r="A40" i="166"/>
  <c r="A39" i="166"/>
  <c r="A38" i="166"/>
  <c r="A37" i="166"/>
  <c r="A36" i="166"/>
  <c r="A35" i="166"/>
  <c r="A34" i="166"/>
  <c r="A33" i="166"/>
  <c r="A32" i="166"/>
  <c r="A31" i="166"/>
  <c r="A30" i="166"/>
  <c r="A29" i="166"/>
  <c r="A28" i="166"/>
  <c r="A27" i="166"/>
  <c r="A26" i="166"/>
  <c r="A25" i="166"/>
  <c r="A24" i="166"/>
  <c r="A23" i="166"/>
  <c r="A22" i="166"/>
  <c r="A21" i="166"/>
  <c r="A20" i="166"/>
  <c r="A19" i="166"/>
  <c r="A18" i="166"/>
  <c r="A17" i="166"/>
  <c r="A16" i="166"/>
  <c r="A15" i="166"/>
  <c r="A14" i="166"/>
  <c r="A13" i="166"/>
  <c r="A12" i="166"/>
  <c r="A11" i="166"/>
  <c r="A10" i="166"/>
  <c r="A9" i="166"/>
  <c r="A8" i="166"/>
  <c r="A7" i="166"/>
  <c r="A6" i="166"/>
  <c r="A5" i="166"/>
  <c r="A4" i="166"/>
  <c r="A3" i="166"/>
  <c r="I2" i="166"/>
  <c r="A2" i="166"/>
  <c r="A67" i="165"/>
  <c r="F66" i="165"/>
  <c r="E66" i="165"/>
  <c r="C66" i="165"/>
  <c r="A66" i="165"/>
  <c r="C65" i="165"/>
  <c r="C64" i="165" s="1"/>
  <c r="E64" i="165" s="1"/>
  <c r="A65" i="165"/>
  <c r="A64" i="165"/>
  <c r="E63" i="165"/>
  <c r="C63" i="165"/>
  <c r="A63" i="165"/>
  <c r="C62" i="165"/>
  <c r="A62" i="165"/>
  <c r="A61" i="165"/>
  <c r="A60" i="165"/>
  <c r="A59" i="165"/>
  <c r="A58" i="165"/>
  <c r="A57" i="165"/>
  <c r="A56" i="165"/>
  <c r="A55" i="165"/>
  <c r="A54" i="165"/>
  <c r="A53" i="165"/>
  <c r="A52" i="165"/>
  <c r="A51" i="165"/>
  <c r="A50" i="165"/>
  <c r="A49" i="165"/>
  <c r="A48" i="165"/>
  <c r="A47" i="165"/>
  <c r="A46" i="165"/>
  <c r="A45" i="165"/>
  <c r="A44" i="165"/>
  <c r="A43" i="165"/>
  <c r="A42" i="165"/>
  <c r="A41" i="165"/>
  <c r="A40" i="165"/>
  <c r="A39" i="165"/>
  <c r="A38" i="165"/>
  <c r="A37" i="165"/>
  <c r="A36" i="165"/>
  <c r="A35" i="165"/>
  <c r="A34" i="165"/>
  <c r="A33" i="165"/>
  <c r="A32" i="165"/>
  <c r="A31" i="165"/>
  <c r="A30" i="165"/>
  <c r="A29" i="165"/>
  <c r="A28" i="165"/>
  <c r="A27" i="165"/>
  <c r="A26" i="165"/>
  <c r="A25" i="165"/>
  <c r="A24" i="165"/>
  <c r="A23" i="165"/>
  <c r="A22" i="165"/>
  <c r="A21" i="165"/>
  <c r="A20" i="165"/>
  <c r="A19" i="165"/>
  <c r="A18" i="165"/>
  <c r="A17" i="165"/>
  <c r="A16" i="165"/>
  <c r="A15" i="165"/>
  <c r="A14" i="165"/>
  <c r="A13" i="165"/>
  <c r="A12" i="165"/>
  <c r="A11" i="165"/>
  <c r="A10" i="165"/>
  <c r="A9" i="165"/>
  <c r="A8" i="165"/>
  <c r="A7" i="165"/>
  <c r="A6" i="165"/>
  <c r="A5" i="165"/>
  <c r="I4" i="165"/>
  <c r="A4" i="165"/>
  <c r="A3" i="165"/>
  <c r="I2" i="165"/>
  <c r="I3" i="165" s="1"/>
  <c r="A2" i="165"/>
  <c r="A67" i="164"/>
  <c r="F66" i="164"/>
  <c r="E66" i="164"/>
  <c r="C66" i="164"/>
  <c r="A66" i="164"/>
  <c r="C65" i="164"/>
  <c r="A65" i="164"/>
  <c r="A64" i="164"/>
  <c r="A63" i="164"/>
  <c r="A62" i="164"/>
  <c r="A61" i="164"/>
  <c r="A60" i="164"/>
  <c r="A59" i="164"/>
  <c r="A58" i="164"/>
  <c r="A57" i="164"/>
  <c r="A56" i="164"/>
  <c r="A55" i="164"/>
  <c r="A54" i="164"/>
  <c r="A53" i="164"/>
  <c r="A52" i="164"/>
  <c r="A51" i="164"/>
  <c r="A50" i="164"/>
  <c r="A49" i="164"/>
  <c r="A48" i="164"/>
  <c r="A47" i="164"/>
  <c r="A46" i="164"/>
  <c r="A45" i="164"/>
  <c r="A44" i="164"/>
  <c r="A43" i="164"/>
  <c r="A42" i="164"/>
  <c r="A41" i="164"/>
  <c r="A40" i="164"/>
  <c r="A39" i="164"/>
  <c r="A38" i="164"/>
  <c r="A37" i="164"/>
  <c r="A36" i="164"/>
  <c r="A35" i="164"/>
  <c r="A34" i="164"/>
  <c r="A33" i="164"/>
  <c r="A32" i="164"/>
  <c r="A31" i="164"/>
  <c r="A30" i="164"/>
  <c r="A29" i="164"/>
  <c r="A28" i="164"/>
  <c r="A27" i="164"/>
  <c r="A26" i="164"/>
  <c r="A25" i="164"/>
  <c r="A24" i="164"/>
  <c r="A23" i="164"/>
  <c r="A22" i="164"/>
  <c r="A21" i="164"/>
  <c r="A20" i="164"/>
  <c r="A19" i="164"/>
  <c r="A18" i="164"/>
  <c r="A17" i="164"/>
  <c r="A16" i="164"/>
  <c r="A15" i="164"/>
  <c r="A14" i="164"/>
  <c r="A13" i="164"/>
  <c r="A12" i="164"/>
  <c r="A11" i="164"/>
  <c r="A10" i="164"/>
  <c r="A9" i="164"/>
  <c r="A8" i="164"/>
  <c r="A7" i="164"/>
  <c r="A6" i="164"/>
  <c r="A5" i="164"/>
  <c r="A4" i="164"/>
  <c r="I3" i="164"/>
  <c r="I4" i="164" s="1"/>
  <c r="I5" i="164" s="1"/>
  <c r="A3" i="164"/>
  <c r="I2" i="164"/>
  <c r="A2" i="164"/>
  <c r="A67" i="163"/>
  <c r="F66" i="163"/>
  <c r="E66" i="163"/>
  <c r="C66" i="163"/>
  <c r="A66" i="163"/>
  <c r="E65" i="163"/>
  <c r="C65" i="163"/>
  <c r="A65" i="163"/>
  <c r="E64" i="163"/>
  <c r="C64" i="163"/>
  <c r="A64" i="163"/>
  <c r="C63" i="163"/>
  <c r="A63" i="163"/>
  <c r="A62" i="163"/>
  <c r="A61" i="163"/>
  <c r="A60" i="163"/>
  <c r="A59" i="163"/>
  <c r="A58" i="163"/>
  <c r="A57" i="163"/>
  <c r="A56" i="163"/>
  <c r="A55" i="163"/>
  <c r="A54" i="163"/>
  <c r="A53" i="163"/>
  <c r="A52" i="163"/>
  <c r="A51" i="163"/>
  <c r="A50" i="163"/>
  <c r="A49" i="163"/>
  <c r="A48" i="163"/>
  <c r="A47" i="163"/>
  <c r="A46" i="163"/>
  <c r="A45" i="163"/>
  <c r="A44" i="163"/>
  <c r="A43" i="163"/>
  <c r="A42" i="163"/>
  <c r="A41" i="163"/>
  <c r="A40" i="163"/>
  <c r="A39" i="163"/>
  <c r="A38" i="163"/>
  <c r="A37" i="163"/>
  <c r="A36" i="163"/>
  <c r="A35" i="163"/>
  <c r="A34" i="163"/>
  <c r="A33" i="163"/>
  <c r="A32" i="163"/>
  <c r="A31" i="163"/>
  <c r="A30" i="163"/>
  <c r="A29" i="163"/>
  <c r="A28" i="163"/>
  <c r="A27" i="163"/>
  <c r="A26" i="163"/>
  <c r="A25" i="163"/>
  <c r="A24" i="163"/>
  <c r="A23" i="163"/>
  <c r="A22" i="163"/>
  <c r="A21" i="163"/>
  <c r="A20" i="163"/>
  <c r="A19" i="163"/>
  <c r="A18" i="163"/>
  <c r="A17" i="163"/>
  <c r="A16" i="163"/>
  <c r="A15" i="163"/>
  <c r="A14" i="163"/>
  <c r="A13" i="163"/>
  <c r="A12" i="163"/>
  <c r="A11" i="163"/>
  <c r="A10" i="163"/>
  <c r="A9" i="163"/>
  <c r="A8" i="163"/>
  <c r="A7" i="163"/>
  <c r="A6" i="163"/>
  <c r="A5" i="163"/>
  <c r="A4" i="163"/>
  <c r="A3" i="163"/>
  <c r="I2" i="163"/>
  <c r="A2" i="163"/>
  <c r="A67" i="162"/>
  <c r="F66" i="162"/>
  <c r="C66" i="162"/>
  <c r="E66" i="162" s="1"/>
  <c r="A66" i="162"/>
  <c r="C65" i="162"/>
  <c r="E65" i="162" s="1"/>
  <c r="A65" i="162"/>
  <c r="A64" i="162"/>
  <c r="A63" i="162"/>
  <c r="A62" i="162"/>
  <c r="A61" i="162"/>
  <c r="A60" i="162"/>
  <c r="A59" i="162"/>
  <c r="A58" i="162"/>
  <c r="A57" i="162"/>
  <c r="A56" i="162"/>
  <c r="A55" i="162"/>
  <c r="A54" i="162"/>
  <c r="A53" i="162"/>
  <c r="A52" i="162"/>
  <c r="A51" i="162"/>
  <c r="A50" i="162"/>
  <c r="A49" i="162"/>
  <c r="A48" i="162"/>
  <c r="A47" i="162"/>
  <c r="A46" i="162"/>
  <c r="A45" i="162"/>
  <c r="A44" i="162"/>
  <c r="A43" i="162"/>
  <c r="A42" i="162"/>
  <c r="A41" i="162"/>
  <c r="A40" i="162"/>
  <c r="A39" i="162"/>
  <c r="A38" i="162"/>
  <c r="A37" i="162"/>
  <c r="A36" i="162"/>
  <c r="A35" i="162"/>
  <c r="A34" i="162"/>
  <c r="A33" i="162"/>
  <c r="A32" i="162"/>
  <c r="A31" i="162"/>
  <c r="A30" i="162"/>
  <c r="A29" i="162"/>
  <c r="A28" i="162"/>
  <c r="A27" i="162"/>
  <c r="A26" i="162"/>
  <c r="A25" i="162"/>
  <c r="A24" i="162"/>
  <c r="A23" i="162"/>
  <c r="A22" i="162"/>
  <c r="A21" i="162"/>
  <c r="A20" i="162"/>
  <c r="A19" i="162"/>
  <c r="A18" i="162"/>
  <c r="A17" i="162"/>
  <c r="A16" i="162"/>
  <c r="A15" i="162"/>
  <c r="A14" i="162"/>
  <c r="A13" i="162"/>
  <c r="A12" i="162"/>
  <c r="A11" i="162"/>
  <c r="A10" i="162"/>
  <c r="A9" i="162"/>
  <c r="A8" i="162"/>
  <c r="A7" i="162"/>
  <c r="A6" i="162"/>
  <c r="A5" i="162"/>
  <c r="A4" i="162"/>
  <c r="I3" i="162"/>
  <c r="A3" i="162"/>
  <c r="I2" i="162"/>
  <c r="A2" i="162"/>
  <c r="A67" i="161"/>
  <c r="F66" i="161"/>
  <c r="E66" i="161"/>
  <c r="C66" i="161"/>
  <c r="A66" i="161"/>
  <c r="C65" i="161"/>
  <c r="E65" i="161" s="1"/>
  <c r="A65" i="161"/>
  <c r="C64" i="161"/>
  <c r="A64" i="161"/>
  <c r="A63" i="161"/>
  <c r="A62" i="161"/>
  <c r="A61" i="161"/>
  <c r="A60" i="161"/>
  <c r="A59" i="161"/>
  <c r="A58" i="161"/>
  <c r="A57" i="161"/>
  <c r="A56" i="161"/>
  <c r="A55" i="161"/>
  <c r="A54" i="161"/>
  <c r="A53" i="161"/>
  <c r="A52" i="161"/>
  <c r="A51" i="161"/>
  <c r="A50" i="161"/>
  <c r="A49" i="161"/>
  <c r="A48" i="161"/>
  <c r="A47" i="161"/>
  <c r="A46" i="161"/>
  <c r="A45" i="161"/>
  <c r="A44" i="161"/>
  <c r="A43" i="161"/>
  <c r="A42" i="161"/>
  <c r="A41" i="161"/>
  <c r="A40" i="161"/>
  <c r="A39" i="161"/>
  <c r="A38" i="161"/>
  <c r="A37" i="161"/>
  <c r="A36" i="161"/>
  <c r="A35" i="161"/>
  <c r="A34" i="161"/>
  <c r="A33" i="161"/>
  <c r="A32" i="161"/>
  <c r="A31" i="161"/>
  <c r="A30" i="161"/>
  <c r="A29" i="161"/>
  <c r="A28" i="161"/>
  <c r="A27" i="161"/>
  <c r="A26" i="161"/>
  <c r="A25" i="161"/>
  <c r="A24" i="161"/>
  <c r="A23" i="161"/>
  <c r="A22" i="161"/>
  <c r="A21" i="161"/>
  <c r="A20" i="161"/>
  <c r="A19" i="161"/>
  <c r="A18" i="161"/>
  <c r="A17" i="161"/>
  <c r="A16" i="161"/>
  <c r="A15" i="161"/>
  <c r="A14" i="161"/>
  <c r="A13" i="161"/>
  <c r="A12" i="161"/>
  <c r="A11" i="161"/>
  <c r="A10" i="161"/>
  <c r="A9" i="161"/>
  <c r="A8" i="161"/>
  <c r="A7" i="161"/>
  <c r="A6" i="161"/>
  <c r="A5" i="161"/>
  <c r="A4" i="161"/>
  <c r="I3" i="161"/>
  <c r="A3" i="161"/>
  <c r="I2" i="161"/>
  <c r="A2" i="161"/>
  <c r="A67" i="160"/>
  <c r="F66" i="160"/>
  <c r="E66" i="160"/>
  <c r="C66" i="160"/>
  <c r="A66" i="160"/>
  <c r="C65" i="160"/>
  <c r="C64" i="160" s="1"/>
  <c r="A65" i="160"/>
  <c r="E64" i="160"/>
  <c r="A64" i="160"/>
  <c r="E63" i="160"/>
  <c r="C63" i="160"/>
  <c r="C62" i="160" s="1"/>
  <c r="A63" i="160"/>
  <c r="A62" i="160"/>
  <c r="A61" i="160"/>
  <c r="A60" i="160"/>
  <c r="A59" i="160"/>
  <c r="A58" i="160"/>
  <c r="A57" i="160"/>
  <c r="A56" i="160"/>
  <c r="A55" i="160"/>
  <c r="A54" i="160"/>
  <c r="A53" i="160"/>
  <c r="A52" i="160"/>
  <c r="A51" i="160"/>
  <c r="A50" i="160"/>
  <c r="A49" i="160"/>
  <c r="A48" i="160"/>
  <c r="A47" i="160"/>
  <c r="A46" i="160"/>
  <c r="A45" i="160"/>
  <c r="A44" i="160"/>
  <c r="A43" i="160"/>
  <c r="A42" i="160"/>
  <c r="A41" i="160"/>
  <c r="A40" i="160"/>
  <c r="A39" i="160"/>
  <c r="A38" i="160"/>
  <c r="A37" i="160"/>
  <c r="A36" i="160"/>
  <c r="A35" i="160"/>
  <c r="A34" i="160"/>
  <c r="A33" i="160"/>
  <c r="A32" i="160"/>
  <c r="A31" i="160"/>
  <c r="A30" i="160"/>
  <c r="A29" i="160"/>
  <c r="A28" i="160"/>
  <c r="A27" i="160"/>
  <c r="A26" i="160"/>
  <c r="A25" i="160"/>
  <c r="A24" i="160"/>
  <c r="A23" i="160"/>
  <c r="A22" i="160"/>
  <c r="A21" i="160"/>
  <c r="A20" i="160"/>
  <c r="A19" i="160"/>
  <c r="A18" i="160"/>
  <c r="A17" i="160"/>
  <c r="A16" i="160"/>
  <c r="A15" i="160"/>
  <c r="A14" i="160"/>
  <c r="A13" i="160"/>
  <c r="A12" i="160"/>
  <c r="A11" i="160"/>
  <c r="A10" i="160"/>
  <c r="A9" i="160"/>
  <c r="A8" i="160"/>
  <c r="A7" i="160"/>
  <c r="A6" i="160"/>
  <c r="A5" i="160"/>
  <c r="A4" i="160"/>
  <c r="A3" i="160"/>
  <c r="I2" i="160"/>
  <c r="A2" i="160"/>
  <c r="A67" i="159"/>
  <c r="F66" i="159"/>
  <c r="C66" i="159"/>
  <c r="E66" i="159" s="1"/>
  <c r="A66" i="159"/>
  <c r="C65" i="159"/>
  <c r="E65" i="159" s="1"/>
  <c r="A65" i="159"/>
  <c r="E64" i="159"/>
  <c r="C64" i="159"/>
  <c r="A64" i="159"/>
  <c r="C63" i="159"/>
  <c r="A63" i="159"/>
  <c r="A62" i="159"/>
  <c r="A61" i="159"/>
  <c r="A60" i="159"/>
  <c r="A59" i="159"/>
  <c r="A58" i="159"/>
  <c r="A57" i="159"/>
  <c r="A56" i="159"/>
  <c r="A55" i="159"/>
  <c r="A54" i="159"/>
  <c r="A53" i="159"/>
  <c r="A52" i="159"/>
  <c r="A51" i="159"/>
  <c r="A50" i="159"/>
  <c r="A49" i="159"/>
  <c r="A48" i="159"/>
  <c r="A47" i="159"/>
  <c r="A46" i="159"/>
  <c r="A45" i="159"/>
  <c r="A44" i="159"/>
  <c r="A43" i="159"/>
  <c r="A42" i="159"/>
  <c r="A41" i="159"/>
  <c r="A40" i="159"/>
  <c r="A39" i="159"/>
  <c r="A38" i="159"/>
  <c r="A37" i="159"/>
  <c r="A36" i="159"/>
  <c r="A35" i="159"/>
  <c r="A34" i="159"/>
  <c r="A33" i="159"/>
  <c r="A32" i="159"/>
  <c r="A31" i="159"/>
  <c r="A30" i="159"/>
  <c r="A29" i="159"/>
  <c r="A28" i="159"/>
  <c r="A27" i="159"/>
  <c r="A26" i="159"/>
  <c r="A25" i="159"/>
  <c r="A24" i="159"/>
  <c r="A23" i="159"/>
  <c r="A22" i="159"/>
  <c r="A21" i="159"/>
  <c r="A20" i="159"/>
  <c r="A19" i="159"/>
  <c r="A18" i="159"/>
  <c r="A17" i="159"/>
  <c r="A16" i="159"/>
  <c r="A15" i="159"/>
  <c r="A14" i="159"/>
  <c r="A13" i="159"/>
  <c r="A12" i="159"/>
  <c r="A11" i="159"/>
  <c r="A10" i="159"/>
  <c r="A9" i="159"/>
  <c r="A8" i="159"/>
  <c r="A7" i="159"/>
  <c r="A6" i="159"/>
  <c r="A5" i="159"/>
  <c r="A4" i="159"/>
  <c r="A3" i="159"/>
  <c r="I2" i="159"/>
  <c r="I3" i="159" s="1"/>
  <c r="I4" i="159" s="1"/>
  <c r="A2" i="159"/>
  <c r="A67" i="158"/>
  <c r="F66" i="158"/>
  <c r="C66" i="158"/>
  <c r="E66" i="158" s="1"/>
  <c r="A66" i="158"/>
  <c r="A65" i="158"/>
  <c r="A64" i="158"/>
  <c r="A63" i="158"/>
  <c r="A62" i="158"/>
  <c r="A61" i="158"/>
  <c r="A60" i="158"/>
  <c r="A59" i="158"/>
  <c r="A58" i="158"/>
  <c r="A57" i="158"/>
  <c r="A56" i="158"/>
  <c r="A55" i="158"/>
  <c r="A54" i="158"/>
  <c r="A53" i="158"/>
  <c r="A52" i="158"/>
  <c r="A51" i="158"/>
  <c r="A50" i="158"/>
  <c r="A49" i="158"/>
  <c r="A48" i="158"/>
  <c r="A47" i="158"/>
  <c r="A46" i="158"/>
  <c r="A45" i="158"/>
  <c r="A44" i="158"/>
  <c r="A43" i="158"/>
  <c r="A42" i="158"/>
  <c r="A41" i="158"/>
  <c r="A40" i="158"/>
  <c r="A39" i="158"/>
  <c r="A38" i="158"/>
  <c r="A37" i="158"/>
  <c r="A36" i="158"/>
  <c r="A35" i="158"/>
  <c r="A34" i="158"/>
  <c r="A33" i="158"/>
  <c r="A32" i="158"/>
  <c r="A31" i="158"/>
  <c r="A30" i="158"/>
  <c r="A29" i="158"/>
  <c r="A28" i="158"/>
  <c r="A27" i="158"/>
  <c r="A26" i="158"/>
  <c r="A25" i="158"/>
  <c r="A24" i="158"/>
  <c r="A23" i="158"/>
  <c r="A22" i="158"/>
  <c r="A21" i="158"/>
  <c r="A20" i="158"/>
  <c r="A19" i="158"/>
  <c r="A18" i="158"/>
  <c r="A17" i="158"/>
  <c r="A16" i="158"/>
  <c r="A15" i="158"/>
  <c r="A14" i="158"/>
  <c r="A13" i="158"/>
  <c r="A12" i="158"/>
  <c r="A11" i="158"/>
  <c r="A10" i="158"/>
  <c r="A9" i="158"/>
  <c r="A8" i="158"/>
  <c r="A7" i="158"/>
  <c r="A6" i="158"/>
  <c r="A5" i="158"/>
  <c r="I4" i="158"/>
  <c r="A4" i="158"/>
  <c r="I3" i="158"/>
  <c r="A3" i="158"/>
  <c r="I2" i="158"/>
  <c r="A2" i="158"/>
  <c r="A67" i="157"/>
  <c r="F66" i="157"/>
  <c r="C66" i="157"/>
  <c r="E66" i="157" s="1"/>
  <c r="A66" i="157"/>
  <c r="E65" i="157"/>
  <c r="C65" i="157"/>
  <c r="A65" i="157"/>
  <c r="C64" i="157"/>
  <c r="E64" i="157" s="1"/>
  <c r="A64" i="157"/>
  <c r="C63" i="157"/>
  <c r="E63" i="157" s="1"/>
  <c r="A63" i="157"/>
  <c r="E62" i="157"/>
  <c r="C62" i="157"/>
  <c r="C61" i="157" s="1"/>
  <c r="A62" i="157"/>
  <c r="A61" i="157"/>
  <c r="A60" i="157"/>
  <c r="A59" i="157"/>
  <c r="A58" i="157"/>
  <c r="A57" i="157"/>
  <c r="A56" i="157"/>
  <c r="A55" i="157"/>
  <c r="A54" i="157"/>
  <c r="A53" i="157"/>
  <c r="A52" i="157"/>
  <c r="A51" i="157"/>
  <c r="A50" i="157"/>
  <c r="A49" i="157"/>
  <c r="A48" i="157"/>
  <c r="A47" i="157"/>
  <c r="A46" i="157"/>
  <c r="A45" i="157"/>
  <c r="A44" i="157"/>
  <c r="A43" i="157"/>
  <c r="A42" i="157"/>
  <c r="A41" i="157"/>
  <c r="A40" i="157"/>
  <c r="A39" i="157"/>
  <c r="A38" i="157"/>
  <c r="A37" i="157"/>
  <c r="A36" i="157"/>
  <c r="A35" i="157"/>
  <c r="A34" i="157"/>
  <c r="A33" i="157"/>
  <c r="A32" i="157"/>
  <c r="A31" i="157"/>
  <c r="A30" i="157"/>
  <c r="A29" i="157"/>
  <c r="A28" i="157"/>
  <c r="A27" i="157"/>
  <c r="A26" i="157"/>
  <c r="A25" i="157"/>
  <c r="A24" i="157"/>
  <c r="A23" i="157"/>
  <c r="A22" i="157"/>
  <c r="A21" i="157"/>
  <c r="A20" i="157"/>
  <c r="A19" i="157"/>
  <c r="A18" i="157"/>
  <c r="A17" i="157"/>
  <c r="A16" i="157"/>
  <c r="A15" i="157"/>
  <c r="A14" i="157"/>
  <c r="A13" i="157"/>
  <c r="A12" i="157"/>
  <c r="A11" i="157"/>
  <c r="A10" i="157"/>
  <c r="A9" i="157"/>
  <c r="A8" i="157"/>
  <c r="A7" i="157"/>
  <c r="A6" i="157"/>
  <c r="A5" i="157"/>
  <c r="A4" i="157"/>
  <c r="I3" i="157"/>
  <c r="I4" i="157" s="1"/>
  <c r="A3" i="157"/>
  <c r="I2" i="157"/>
  <c r="A2" i="157"/>
  <c r="A67" i="156"/>
  <c r="F66" i="156"/>
  <c r="C66" i="156"/>
  <c r="E66" i="156" s="1"/>
  <c r="A66" i="156"/>
  <c r="A65" i="156"/>
  <c r="A64" i="156"/>
  <c r="A63" i="156"/>
  <c r="A62" i="156"/>
  <c r="A61" i="156"/>
  <c r="A60" i="156"/>
  <c r="A59" i="156"/>
  <c r="A58" i="156"/>
  <c r="A57" i="156"/>
  <c r="A56" i="156"/>
  <c r="A55" i="156"/>
  <c r="A54" i="156"/>
  <c r="A53" i="156"/>
  <c r="A52" i="156"/>
  <c r="A51" i="156"/>
  <c r="A50" i="156"/>
  <c r="A49" i="156"/>
  <c r="A48" i="156"/>
  <c r="A47" i="156"/>
  <c r="A46" i="156"/>
  <c r="A45" i="156"/>
  <c r="A44" i="156"/>
  <c r="A43" i="156"/>
  <c r="A42" i="156"/>
  <c r="A41" i="156"/>
  <c r="A40" i="156"/>
  <c r="A39" i="156"/>
  <c r="A38" i="156"/>
  <c r="A37" i="156"/>
  <c r="A36" i="156"/>
  <c r="A35" i="156"/>
  <c r="A34" i="156"/>
  <c r="A33" i="156"/>
  <c r="A32" i="156"/>
  <c r="A31" i="156"/>
  <c r="A30" i="156"/>
  <c r="A29" i="156"/>
  <c r="A28" i="156"/>
  <c r="A27" i="156"/>
  <c r="A26" i="156"/>
  <c r="A25" i="156"/>
  <c r="A24" i="156"/>
  <c r="A23" i="156"/>
  <c r="A22" i="156"/>
  <c r="A21" i="156"/>
  <c r="A20" i="156"/>
  <c r="A19" i="156"/>
  <c r="A18" i="156"/>
  <c r="A17" i="156"/>
  <c r="A16" i="156"/>
  <c r="A15" i="156"/>
  <c r="A14" i="156"/>
  <c r="A13" i="156"/>
  <c r="A12" i="156"/>
  <c r="A11" i="156"/>
  <c r="A10" i="156"/>
  <c r="A9" i="156"/>
  <c r="A8" i="156"/>
  <c r="A7" i="156"/>
  <c r="A6" i="156"/>
  <c r="A5" i="156"/>
  <c r="A4" i="156"/>
  <c r="A3" i="156"/>
  <c r="I2" i="156"/>
  <c r="I3" i="156" s="1"/>
  <c r="I4" i="156" s="1"/>
  <c r="I5" i="156" s="1"/>
  <c r="A2" i="156"/>
  <c r="A67" i="155"/>
  <c r="F66" i="155"/>
  <c r="C66" i="155"/>
  <c r="E66" i="155" s="1"/>
  <c r="I2" i="155"/>
  <c r="I3" i="155" s="1"/>
  <c r="A67" i="154"/>
  <c r="F66" i="154"/>
  <c r="E66" i="154"/>
  <c r="C66" i="154"/>
  <c r="C65" i="154" s="1"/>
  <c r="A66" i="154"/>
  <c r="A65" i="154"/>
  <c r="A64" i="154"/>
  <c r="A63" i="154"/>
  <c r="A62" i="154"/>
  <c r="A61" i="154"/>
  <c r="A60" i="154"/>
  <c r="A59" i="154"/>
  <c r="A58" i="154"/>
  <c r="A57" i="154"/>
  <c r="A56" i="154"/>
  <c r="A55" i="154"/>
  <c r="A54" i="154"/>
  <c r="A53" i="154"/>
  <c r="A52" i="154"/>
  <c r="A51" i="154"/>
  <c r="A50" i="154"/>
  <c r="A49" i="154"/>
  <c r="A48" i="154"/>
  <c r="A47" i="154"/>
  <c r="A46" i="154"/>
  <c r="A45" i="154"/>
  <c r="A44" i="154"/>
  <c r="A43" i="154"/>
  <c r="A42" i="154"/>
  <c r="A41" i="154"/>
  <c r="A40" i="154"/>
  <c r="A39" i="154"/>
  <c r="A38" i="154"/>
  <c r="A37" i="154"/>
  <c r="A36" i="154"/>
  <c r="A35" i="154"/>
  <c r="A34" i="154"/>
  <c r="A33" i="154"/>
  <c r="A32" i="154"/>
  <c r="A31" i="154"/>
  <c r="A30" i="154"/>
  <c r="A29" i="154"/>
  <c r="A28" i="154"/>
  <c r="A27" i="154"/>
  <c r="A26" i="154"/>
  <c r="A25" i="154"/>
  <c r="A24" i="154"/>
  <c r="A23" i="154"/>
  <c r="A22" i="154"/>
  <c r="A21" i="154"/>
  <c r="A20" i="154"/>
  <c r="A19" i="154"/>
  <c r="A18" i="154"/>
  <c r="A17" i="154"/>
  <c r="A16" i="154"/>
  <c r="A15" i="154"/>
  <c r="A14" i="154"/>
  <c r="A13" i="154"/>
  <c r="A12" i="154"/>
  <c r="A11" i="154"/>
  <c r="A10" i="154"/>
  <c r="A9" i="154"/>
  <c r="A8" i="154"/>
  <c r="A7" i="154"/>
  <c r="A6" i="154"/>
  <c r="A5" i="154"/>
  <c r="A4" i="154"/>
  <c r="A3" i="154"/>
  <c r="I2" i="154"/>
  <c r="I3" i="154" s="1"/>
  <c r="A2" i="154"/>
  <c r="A67" i="153"/>
  <c r="F66" i="153"/>
  <c r="C66" i="153"/>
  <c r="E66" i="153" s="1"/>
  <c r="A66" i="153"/>
  <c r="C65" i="153"/>
  <c r="E65" i="153" s="1"/>
  <c r="A65" i="153"/>
  <c r="A64" i="153"/>
  <c r="A63" i="153"/>
  <c r="A62" i="153"/>
  <c r="A61" i="153"/>
  <c r="A60" i="153"/>
  <c r="A59" i="153"/>
  <c r="A58" i="153"/>
  <c r="A57" i="153"/>
  <c r="A56" i="153"/>
  <c r="A55" i="153"/>
  <c r="A54" i="153"/>
  <c r="A53" i="153"/>
  <c r="A52" i="153"/>
  <c r="A51" i="153"/>
  <c r="A50" i="153"/>
  <c r="A49" i="153"/>
  <c r="A48" i="153"/>
  <c r="A47" i="153"/>
  <c r="A46" i="153"/>
  <c r="A45" i="153"/>
  <c r="A44" i="153"/>
  <c r="A43" i="153"/>
  <c r="A42" i="153"/>
  <c r="A41" i="153"/>
  <c r="A40" i="153"/>
  <c r="A39" i="153"/>
  <c r="A38" i="153"/>
  <c r="A37" i="153"/>
  <c r="A36" i="153"/>
  <c r="A35" i="153"/>
  <c r="A34" i="153"/>
  <c r="A33" i="153"/>
  <c r="A32" i="153"/>
  <c r="A31" i="153"/>
  <c r="A30" i="153"/>
  <c r="A29" i="153"/>
  <c r="A28" i="153"/>
  <c r="A27" i="153"/>
  <c r="A26" i="153"/>
  <c r="A25" i="153"/>
  <c r="A24" i="153"/>
  <c r="A23" i="153"/>
  <c r="A22" i="153"/>
  <c r="A21" i="153"/>
  <c r="A20" i="153"/>
  <c r="A19" i="153"/>
  <c r="A18" i="153"/>
  <c r="A17" i="153"/>
  <c r="A16" i="153"/>
  <c r="A15" i="153"/>
  <c r="A14" i="153"/>
  <c r="A13" i="153"/>
  <c r="A12" i="153"/>
  <c r="A11" i="153"/>
  <c r="A10" i="153"/>
  <c r="A9" i="153"/>
  <c r="A8" i="153"/>
  <c r="A7" i="153"/>
  <c r="A6" i="153"/>
  <c r="A5" i="153"/>
  <c r="A4" i="153"/>
  <c r="I3" i="153"/>
  <c r="A3" i="153"/>
  <c r="I2" i="153"/>
  <c r="A2" i="153"/>
  <c r="A67" i="152"/>
  <c r="F66" i="152"/>
  <c r="C66" i="152"/>
  <c r="A66" i="152"/>
  <c r="A65" i="152"/>
  <c r="A64" i="152"/>
  <c r="A63" i="152"/>
  <c r="A62" i="152"/>
  <c r="A61" i="152"/>
  <c r="A60" i="152"/>
  <c r="A59" i="152"/>
  <c r="A58" i="152"/>
  <c r="A57" i="152"/>
  <c r="A56" i="152"/>
  <c r="A55" i="152"/>
  <c r="A54" i="152"/>
  <c r="A53" i="152"/>
  <c r="A52" i="152"/>
  <c r="A51" i="152"/>
  <c r="A50" i="152"/>
  <c r="A49" i="152"/>
  <c r="A48" i="152"/>
  <c r="A47" i="152"/>
  <c r="A46" i="152"/>
  <c r="A45" i="152"/>
  <c r="A44" i="152"/>
  <c r="A43" i="152"/>
  <c r="A42" i="152"/>
  <c r="A41" i="152"/>
  <c r="A40" i="152"/>
  <c r="A39" i="152"/>
  <c r="A38" i="152"/>
  <c r="A37" i="152"/>
  <c r="A36" i="152"/>
  <c r="A35" i="152"/>
  <c r="A34" i="152"/>
  <c r="A33" i="152"/>
  <c r="A32" i="152"/>
  <c r="A31" i="152"/>
  <c r="A30" i="152"/>
  <c r="A29" i="152"/>
  <c r="A28" i="152"/>
  <c r="A27" i="152"/>
  <c r="A26" i="152"/>
  <c r="A25" i="152"/>
  <c r="A24" i="152"/>
  <c r="A23" i="152"/>
  <c r="A22" i="152"/>
  <c r="A21" i="152"/>
  <c r="A20" i="152"/>
  <c r="A19" i="152"/>
  <c r="A18" i="152"/>
  <c r="A17" i="152"/>
  <c r="A16" i="152"/>
  <c r="A15" i="152"/>
  <c r="A14" i="152"/>
  <c r="A13" i="152"/>
  <c r="A12" i="152"/>
  <c r="A11" i="152"/>
  <c r="A10" i="152"/>
  <c r="A9" i="152"/>
  <c r="A8" i="152"/>
  <c r="A7" i="152"/>
  <c r="A6" i="152"/>
  <c r="A5" i="152"/>
  <c r="A4" i="152"/>
  <c r="A3" i="152"/>
  <c r="I2" i="152"/>
  <c r="I3" i="152" s="1"/>
  <c r="I4" i="152" s="1"/>
  <c r="I5" i="152" s="1"/>
  <c r="A2" i="152"/>
  <c r="A67" i="151"/>
  <c r="F66" i="151"/>
  <c r="C66" i="151"/>
  <c r="E66" i="151" s="1"/>
  <c r="A66" i="151"/>
  <c r="C65" i="151"/>
  <c r="A65" i="151"/>
  <c r="A64" i="151"/>
  <c r="A63" i="151"/>
  <c r="A62" i="151"/>
  <c r="A61" i="151"/>
  <c r="A60" i="151"/>
  <c r="A59" i="151"/>
  <c r="A58" i="151"/>
  <c r="A57" i="151"/>
  <c r="A56" i="151"/>
  <c r="A55" i="151"/>
  <c r="A54" i="151"/>
  <c r="A53" i="151"/>
  <c r="A52" i="151"/>
  <c r="A51" i="151"/>
  <c r="A50" i="151"/>
  <c r="A49" i="151"/>
  <c r="A48" i="151"/>
  <c r="A47" i="151"/>
  <c r="A46" i="151"/>
  <c r="A45" i="151"/>
  <c r="A44" i="151"/>
  <c r="A43" i="151"/>
  <c r="A42" i="151"/>
  <c r="A41" i="151"/>
  <c r="A40" i="151"/>
  <c r="A39" i="151"/>
  <c r="A38" i="151"/>
  <c r="A37" i="151"/>
  <c r="A36" i="151"/>
  <c r="A35" i="151"/>
  <c r="A34" i="151"/>
  <c r="A33" i="151"/>
  <c r="A32" i="151"/>
  <c r="A31" i="151"/>
  <c r="A30" i="151"/>
  <c r="A29" i="151"/>
  <c r="A28" i="151"/>
  <c r="A27" i="151"/>
  <c r="A26" i="151"/>
  <c r="A25" i="151"/>
  <c r="A24" i="151"/>
  <c r="A23" i="151"/>
  <c r="A22" i="151"/>
  <c r="A21" i="151"/>
  <c r="A20" i="151"/>
  <c r="A19" i="151"/>
  <c r="A18" i="151"/>
  <c r="A17" i="151"/>
  <c r="A16" i="151"/>
  <c r="A15" i="151"/>
  <c r="A14" i="151"/>
  <c r="A13" i="151"/>
  <c r="A12" i="151"/>
  <c r="A11" i="151"/>
  <c r="A10" i="151"/>
  <c r="A9" i="151"/>
  <c r="A8" i="151"/>
  <c r="A7" i="151"/>
  <c r="A6" i="151"/>
  <c r="A5" i="151"/>
  <c r="A4" i="151"/>
  <c r="I3" i="151"/>
  <c r="A3" i="151"/>
  <c r="I2" i="151"/>
  <c r="A2" i="151"/>
  <c r="A67" i="150"/>
  <c r="F66" i="150"/>
  <c r="C66" i="150"/>
  <c r="E66" i="150" s="1"/>
  <c r="A66" i="150"/>
  <c r="A65" i="150"/>
  <c r="A64" i="150"/>
  <c r="A63" i="150"/>
  <c r="A62" i="150"/>
  <c r="A61" i="150"/>
  <c r="A60" i="150"/>
  <c r="A59" i="150"/>
  <c r="A58" i="150"/>
  <c r="A57" i="150"/>
  <c r="A56" i="150"/>
  <c r="A55" i="150"/>
  <c r="A54" i="150"/>
  <c r="A53" i="150"/>
  <c r="A52" i="150"/>
  <c r="A51" i="150"/>
  <c r="A50" i="150"/>
  <c r="A49" i="150"/>
  <c r="A48" i="150"/>
  <c r="A47" i="150"/>
  <c r="A46" i="150"/>
  <c r="A45" i="150"/>
  <c r="A44" i="150"/>
  <c r="A43" i="150"/>
  <c r="A42" i="150"/>
  <c r="A41" i="150"/>
  <c r="A40" i="150"/>
  <c r="A39" i="150"/>
  <c r="A38" i="150"/>
  <c r="A37" i="150"/>
  <c r="A36" i="150"/>
  <c r="A35" i="150"/>
  <c r="A34" i="150"/>
  <c r="A33" i="150"/>
  <c r="A32" i="150"/>
  <c r="A31" i="150"/>
  <c r="A30" i="150"/>
  <c r="A29" i="150"/>
  <c r="A28" i="150"/>
  <c r="A27" i="150"/>
  <c r="A26" i="150"/>
  <c r="A25" i="150"/>
  <c r="A24" i="150"/>
  <c r="A23" i="150"/>
  <c r="A22" i="150"/>
  <c r="A21" i="150"/>
  <c r="A20" i="150"/>
  <c r="A19" i="150"/>
  <c r="A18" i="150"/>
  <c r="A17" i="150"/>
  <c r="A16" i="150"/>
  <c r="A15" i="150"/>
  <c r="A14" i="150"/>
  <c r="A13" i="150"/>
  <c r="A12" i="150"/>
  <c r="A11" i="150"/>
  <c r="A10" i="150"/>
  <c r="A9" i="150"/>
  <c r="A8" i="150"/>
  <c r="A7" i="150"/>
  <c r="A6" i="150"/>
  <c r="A5" i="150"/>
  <c r="A4" i="150"/>
  <c r="I3" i="150"/>
  <c r="I4" i="150" s="1"/>
  <c r="I5" i="150" s="1"/>
  <c r="A3" i="150"/>
  <c r="I2" i="150"/>
  <c r="A2" i="150"/>
  <c r="A67" i="149"/>
  <c r="F66" i="149"/>
  <c r="E66" i="149"/>
  <c r="C66" i="149"/>
  <c r="C65" i="149" s="1"/>
  <c r="A66" i="149"/>
  <c r="A65" i="149"/>
  <c r="A64" i="149"/>
  <c r="A63" i="149"/>
  <c r="A62" i="149"/>
  <c r="A61" i="149"/>
  <c r="A60" i="149"/>
  <c r="A59" i="149"/>
  <c r="A58" i="149"/>
  <c r="A57" i="149"/>
  <c r="A56" i="149"/>
  <c r="A55" i="149"/>
  <c r="A54" i="149"/>
  <c r="A53" i="149"/>
  <c r="A52" i="149"/>
  <c r="A51" i="149"/>
  <c r="A50" i="149"/>
  <c r="A49" i="149"/>
  <c r="A48" i="149"/>
  <c r="A47" i="149"/>
  <c r="A46" i="149"/>
  <c r="A45" i="149"/>
  <c r="A44" i="149"/>
  <c r="A43" i="149"/>
  <c r="A42" i="149"/>
  <c r="A41" i="149"/>
  <c r="A40" i="149"/>
  <c r="A39" i="149"/>
  <c r="A38" i="149"/>
  <c r="A37" i="149"/>
  <c r="A36" i="149"/>
  <c r="A35" i="149"/>
  <c r="A34" i="149"/>
  <c r="A33" i="149"/>
  <c r="A32" i="149"/>
  <c r="A31" i="149"/>
  <c r="A30" i="149"/>
  <c r="A29" i="149"/>
  <c r="A28" i="149"/>
  <c r="A27" i="149"/>
  <c r="A26" i="149"/>
  <c r="A25" i="149"/>
  <c r="A24" i="149"/>
  <c r="A23" i="149"/>
  <c r="A22" i="149"/>
  <c r="A21" i="149"/>
  <c r="A20" i="149"/>
  <c r="A19" i="149"/>
  <c r="A18" i="149"/>
  <c r="A17" i="149"/>
  <c r="A16" i="149"/>
  <c r="A15" i="149"/>
  <c r="A14" i="149"/>
  <c r="A13" i="149"/>
  <c r="A12" i="149"/>
  <c r="A11" i="149"/>
  <c r="A10" i="149"/>
  <c r="A9" i="149"/>
  <c r="A8" i="149"/>
  <c r="A7" i="149"/>
  <c r="A6" i="149"/>
  <c r="A5" i="149"/>
  <c r="A4" i="149"/>
  <c r="A3" i="149"/>
  <c r="I2" i="149"/>
  <c r="I3" i="149" s="1"/>
  <c r="I4" i="149" s="1"/>
  <c r="A2" i="149"/>
  <c r="A67" i="148"/>
  <c r="F66" i="148"/>
  <c r="E66" i="148"/>
  <c r="C66" i="148"/>
  <c r="A66" i="148"/>
  <c r="C65" i="148"/>
  <c r="E65" i="148" s="1"/>
  <c r="A65" i="148"/>
  <c r="C64" i="148"/>
  <c r="A64" i="148"/>
  <c r="A63" i="148"/>
  <c r="A62" i="148"/>
  <c r="A61" i="148"/>
  <c r="A60" i="148"/>
  <c r="A59" i="148"/>
  <c r="A58" i="148"/>
  <c r="A57" i="148"/>
  <c r="A56" i="148"/>
  <c r="A55" i="148"/>
  <c r="A54" i="148"/>
  <c r="A53" i="148"/>
  <c r="A52" i="148"/>
  <c r="A51" i="148"/>
  <c r="A50" i="148"/>
  <c r="A49" i="148"/>
  <c r="A48" i="148"/>
  <c r="A47" i="148"/>
  <c r="A46" i="148"/>
  <c r="A45" i="148"/>
  <c r="A44" i="148"/>
  <c r="A43" i="148"/>
  <c r="A42" i="148"/>
  <c r="A41" i="148"/>
  <c r="A40" i="148"/>
  <c r="A39" i="148"/>
  <c r="A38" i="148"/>
  <c r="A37" i="148"/>
  <c r="A36" i="148"/>
  <c r="A35" i="148"/>
  <c r="A34" i="148"/>
  <c r="A33" i="148"/>
  <c r="A32" i="148"/>
  <c r="A31" i="148"/>
  <c r="A30" i="148"/>
  <c r="A29" i="148"/>
  <c r="A28" i="148"/>
  <c r="A27" i="148"/>
  <c r="A26" i="148"/>
  <c r="A25" i="148"/>
  <c r="A24" i="148"/>
  <c r="A23" i="148"/>
  <c r="A22" i="148"/>
  <c r="A21" i="148"/>
  <c r="A20" i="148"/>
  <c r="A19" i="148"/>
  <c r="A18" i="148"/>
  <c r="A17" i="148"/>
  <c r="A16" i="148"/>
  <c r="A15" i="148"/>
  <c r="A14" i="148"/>
  <c r="A13" i="148"/>
  <c r="A12" i="148"/>
  <c r="A11" i="148"/>
  <c r="A10" i="148"/>
  <c r="A9" i="148"/>
  <c r="A8" i="148"/>
  <c r="A7" i="148"/>
  <c r="A6" i="148"/>
  <c r="A5" i="148"/>
  <c r="A4" i="148"/>
  <c r="A3" i="148"/>
  <c r="I2" i="148"/>
  <c r="A2" i="148"/>
  <c r="A67" i="147"/>
  <c r="F66" i="147"/>
  <c r="C66" i="147"/>
  <c r="C65" i="147" s="1"/>
  <c r="A66" i="147"/>
  <c r="A65" i="147"/>
  <c r="A64" i="147"/>
  <c r="A63" i="147"/>
  <c r="A62" i="147"/>
  <c r="A61" i="147"/>
  <c r="A60" i="147"/>
  <c r="A59" i="147"/>
  <c r="A58" i="147"/>
  <c r="A57" i="147"/>
  <c r="A56" i="147"/>
  <c r="A55" i="147"/>
  <c r="A54" i="147"/>
  <c r="A53" i="147"/>
  <c r="A52" i="147"/>
  <c r="A51" i="147"/>
  <c r="A50" i="147"/>
  <c r="A49" i="147"/>
  <c r="A48" i="147"/>
  <c r="A47" i="147"/>
  <c r="A46" i="147"/>
  <c r="A45" i="147"/>
  <c r="A44" i="147"/>
  <c r="A43" i="147"/>
  <c r="A42" i="147"/>
  <c r="A41" i="147"/>
  <c r="A40" i="147"/>
  <c r="A39" i="147"/>
  <c r="A38" i="147"/>
  <c r="A37" i="147"/>
  <c r="A36" i="147"/>
  <c r="A35" i="147"/>
  <c r="A34" i="147"/>
  <c r="A33" i="147"/>
  <c r="A32" i="147"/>
  <c r="A31" i="147"/>
  <c r="A30" i="147"/>
  <c r="A29" i="147"/>
  <c r="A28" i="147"/>
  <c r="A27" i="147"/>
  <c r="A26" i="147"/>
  <c r="A25" i="147"/>
  <c r="A24" i="147"/>
  <c r="A23" i="147"/>
  <c r="A22" i="147"/>
  <c r="A21" i="147"/>
  <c r="A20" i="147"/>
  <c r="A19" i="147"/>
  <c r="A18" i="147"/>
  <c r="A17" i="147"/>
  <c r="A16" i="147"/>
  <c r="A15" i="147"/>
  <c r="A14" i="147"/>
  <c r="A13" i="147"/>
  <c r="A12" i="147"/>
  <c r="A11" i="147"/>
  <c r="A10" i="147"/>
  <c r="A9" i="147"/>
  <c r="A8" i="147"/>
  <c r="A7" i="147"/>
  <c r="A6" i="147"/>
  <c r="A5" i="147"/>
  <c r="A4" i="147"/>
  <c r="A3" i="147"/>
  <c r="I2" i="147"/>
  <c r="A2" i="147"/>
  <c r="A67" i="146"/>
  <c r="F66" i="146"/>
  <c r="E66" i="146"/>
  <c r="C66" i="146"/>
  <c r="A66" i="146"/>
  <c r="C65" i="146"/>
  <c r="E65" i="146" s="1"/>
  <c r="A65" i="146"/>
  <c r="C64" i="146"/>
  <c r="E64" i="146" s="1"/>
  <c r="A64" i="146"/>
  <c r="E63" i="146"/>
  <c r="C63" i="146"/>
  <c r="A63" i="146"/>
  <c r="C62" i="146"/>
  <c r="C61" i="146" s="1"/>
  <c r="A62" i="146"/>
  <c r="A61" i="146"/>
  <c r="A60" i="146"/>
  <c r="A59" i="146"/>
  <c r="A58" i="146"/>
  <c r="A57" i="146"/>
  <c r="A56" i="146"/>
  <c r="A55" i="146"/>
  <c r="A54" i="146"/>
  <c r="A53" i="146"/>
  <c r="A52" i="146"/>
  <c r="A51" i="146"/>
  <c r="A50" i="146"/>
  <c r="A49" i="146"/>
  <c r="A48" i="146"/>
  <c r="A47" i="146"/>
  <c r="A46" i="146"/>
  <c r="A45" i="146"/>
  <c r="A44" i="146"/>
  <c r="A43" i="146"/>
  <c r="A42" i="146"/>
  <c r="A41" i="146"/>
  <c r="A40" i="146"/>
  <c r="A39" i="146"/>
  <c r="A38" i="146"/>
  <c r="A37" i="146"/>
  <c r="A36" i="146"/>
  <c r="A35" i="146"/>
  <c r="A34" i="146"/>
  <c r="A33" i="146"/>
  <c r="A32" i="146"/>
  <c r="A31" i="146"/>
  <c r="A30" i="146"/>
  <c r="A29" i="146"/>
  <c r="A28" i="146"/>
  <c r="A27" i="146"/>
  <c r="A26" i="146"/>
  <c r="A25" i="146"/>
  <c r="A24" i="146"/>
  <c r="A23" i="146"/>
  <c r="A22" i="146"/>
  <c r="A21" i="146"/>
  <c r="A20" i="146"/>
  <c r="A19" i="146"/>
  <c r="A18" i="146"/>
  <c r="A17" i="146"/>
  <c r="A16" i="146"/>
  <c r="A15" i="146"/>
  <c r="A14" i="146"/>
  <c r="A13" i="146"/>
  <c r="A12" i="146"/>
  <c r="A11" i="146"/>
  <c r="A10" i="146"/>
  <c r="A9" i="146"/>
  <c r="A8" i="146"/>
  <c r="A7" i="146"/>
  <c r="A6" i="146"/>
  <c r="A5" i="146"/>
  <c r="A4" i="146"/>
  <c r="A3" i="146"/>
  <c r="I2" i="146"/>
  <c r="A2" i="146"/>
  <c r="A67" i="145"/>
  <c r="F66" i="145"/>
  <c r="C66" i="145"/>
  <c r="E66" i="145" s="1"/>
  <c r="A66" i="145"/>
  <c r="C65" i="145"/>
  <c r="E65" i="145" s="1"/>
  <c r="A65" i="145"/>
  <c r="A64" i="145"/>
  <c r="A63" i="145"/>
  <c r="A62" i="145"/>
  <c r="A61" i="145"/>
  <c r="A60" i="145"/>
  <c r="A59" i="145"/>
  <c r="A58" i="145"/>
  <c r="A57" i="145"/>
  <c r="A56" i="145"/>
  <c r="A55" i="145"/>
  <c r="A54" i="145"/>
  <c r="A53" i="145"/>
  <c r="A52" i="145"/>
  <c r="A51" i="145"/>
  <c r="A50" i="145"/>
  <c r="A49" i="145"/>
  <c r="A48" i="145"/>
  <c r="A47" i="145"/>
  <c r="A46" i="145"/>
  <c r="A45" i="145"/>
  <c r="A44" i="145"/>
  <c r="A43" i="145"/>
  <c r="A42" i="145"/>
  <c r="A41" i="145"/>
  <c r="A40" i="145"/>
  <c r="A39" i="145"/>
  <c r="A38" i="145"/>
  <c r="A37" i="145"/>
  <c r="A36" i="145"/>
  <c r="A35" i="145"/>
  <c r="A34" i="145"/>
  <c r="A33" i="145"/>
  <c r="A32" i="145"/>
  <c r="A31" i="145"/>
  <c r="A30" i="145"/>
  <c r="A29" i="145"/>
  <c r="A28" i="145"/>
  <c r="A27" i="145"/>
  <c r="A26" i="145"/>
  <c r="A25" i="145"/>
  <c r="A24" i="145"/>
  <c r="A23" i="145"/>
  <c r="A22" i="145"/>
  <c r="A21" i="145"/>
  <c r="A20" i="145"/>
  <c r="A19" i="145"/>
  <c r="A18" i="145"/>
  <c r="A17" i="145"/>
  <c r="A16" i="145"/>
  <c r="A15" i="145"/>
  <c r="A14" i="145"/>
  <c r="A13" i="145"/>
  <c r="A12" i="145"/>
  <c r="A11" i="145"/>
  <c r="A10" i="145"/>
  <c r="A9" i="145"/>
  <c r="A8" i="145"/>
  <c r="A7" i="145"/>
  <c r="A6" i="145"/>
  <c r="A5" i="145"/>
  <c r="A4" i="145"/>
  <c r="I3" i="145"/>
  <c r="I4" i="145" s="1"/>
  <c r="I5" i="145" s="1"/>
  <c r="I6" i="145" s="1"/>
  <c r="I7" i="145" s="1"/>
  <c r="A3" i="145"/>
  <c r="I2" i="145"/>
  <c r="A2" i="145"/>
  <c r="A67" i="144"/>
  <c r="F66" i="144"/>
  <c r="C66" i="144"/>
  <c r="E66" i="144" s="1"/>
  <c r="A66" i="144"/>
  <c r="C65" i="144"/>
  <c r="C64" i="144" s="1"/>
  <c r="A65" i="144"/>
  <c r="A64" i="144"/>
  <c r="A63" i="144"/>
  <c r="A62" i="144"/>
  <c r="A61" i="144"/>
  <c r="A60" i="144"/>
  <c r="A59" i="144"/>
  <c r="A58" i="144"/>
  <c r="A57" i="144"/>
  <c r="A56" i="144"/>
  <c r="A55" i="144"/>
  <c r="A54" i="144"/>
  <c r="A53" i="144"/>
  <c r="A52" i="144"/>
  <c r="A51" i="144"/>
  <c r="A50" i="144"/>
  <c r="A49" i="144"/>
  <c r="A48" i="144"/>
  <c r="A47" i="144"/>
  <c r="A46" i="144"/>
  <c r="A45" i="144"/>
  <c r="A44" i="144"/>
  <c r="A43" i="144"/>
  <c r="A42" i="144"/>
  <c r="A41" i="144"/>
  <c r="A40" i="144"/>
  <c r="A39" i="144"/>
  <c r="A38" i="144"/>
  <c r="A37" i="144"/>
  <c r="A36" i="144"/>
  <c r="A35" i="144"/>
  <c r="A34" i="144"/>
  <c r="A33" i="144"/>
  <c r="A32" i="144"/>
  <c r="A31" i="144"/>
  <c r="A30" i="144"/>
  <c r="A29" i="144"/>
  <c r="A28" i="144"/>
  <c r="A27" i="144"/>
  <c r="A26" i="144"/>
  <c r="A25" i="144"/>
  <c r="A24" i="144"/>
  <c r="A23" i="144"/>
  <c r="A22" i="144"/>
  <c r="A21" i="144"/>
  <c r="A20" i="144"/>
  <c r="A19" i="144"/>
  <c r="A18" i="144"/>
  <c r="A17" i="144"/>
  <c r="A16" i="144"/>
  <c r="A15" i="144"/>
  <c r="A14" i="144"/>
  <c r="A13" i="144"/>
  <c r="A12" i="144"/>
  <c r="A11" i="144"/>
  <c r="A10" i="144"/>
  <c r="A9" i="144"/>
  <c r="A8" i="144"/>
  <c r="A7" i="144"/>
  <c r="A6" i="144"/>
  <c r="A5" i="144"/>
  <c r="A4" i="144"/>
  <c r="I3" i="144"/>
  <c r="A3" i="144"/>
  <c r="I2" i="144"/>
  <c r="A2" i="144"/>
  <c r="A67" i="143"/>
  <c r="F66" i="143"/>
  <c r="C66" i="143"/>
  <c r="A66" i="143"/>
  <c r="A65" i="143"/>
  <c r="A64" i="143"/>
  <c r="A63" i="143"/>
  <c r="A62" i="143"/>
  <c r="A61" i="143"/>
  <c r="A60" i="143"/>
  <c r="A59" i="143"/>
  <c r="A58" i="143"/>
  <c r="A57" i="143"/>
  <c r="A56" i="143"/>
  <c r="A55" i="143"/>
  <c r="A54" i="143"/>
  <c r="A53" i="143"/>
  <c r="A52" i="143"/>
  <c r="A51" i="143"/>
  <c r="A50" i="143"/>
  <c r="A49" i="143"/>
  <c r="A48" i="143"/>
  <c r="A47" i="143"/>
  <c r="A46" i="143"/>
  <c r="A45" i="143"/>
  <c r="A44" i="143"/>
  <c r="A43" i="143"/>
  <c r="A42" i="143"/>
  <c r="A41" i="143"/>
  <c r="A40" i="143"/>
  <c r="A39" i="143"/>
  <c r="A38" i="143"/>
  <c r="A37" i="143"/>
  <c r="A36" i="143"/>
  <c r="A35" i="143"/>
  <c r="A34" i="143"/>
  <c r="A33" i="143"/>
  <c r="A32" i="143"/>
  <c r="A31" i="143"/>
  <c r="A30" i="143"/>
  <c r="A29" i="143"/>
  <c r="A28" i="143"/>
  <c r="A27" i="143"/>
  <c r="A26" i="143"/>
  <c r="A25" i="143"/>
  <c r="A24" i="143"/>
  <c r="A23" i="143"/>
  <c r="A22" i="143"/>
  <c r="A21" i="143"/>
  <c r="A20" i="143"/>
  <c r="A19" i="143"/>
  <c r="A18" i="143"/>
  <c r="A17" i="143"/>
  <c r="A16" i="143"/>
  <c r="A15" i="143"/>
  <c r="A14" i="143"/>
  <c r="A13" i="143"/>
  <c r="A12" i="143"/>
  <c r="A11" i="143"/>
  <c r="A10" i="143"/>
  <c r="A9" i="143"/>
  <c r="A8" i="143"/>
  <c r="A7" i="143"/>
  <c r="A6" i="143"/>
  <c r="A5" i="143"/>
  <c r="A4" i="143"/>
  <c r="A3" i="143"/>
  <c r="I2" i="143"/>
  <c r="A2" i="143"/>
  <c r="A67" i="142"/>
  <c r="F66" i="142"/>
  <c r="E66" i="142"/>
  <c r="C66" i="142"/>
  <c r="A66" i="142"/>
  <c r="C65" i="142"/>
  <c r="E65" i="142" s="1"/>
  <c r="A65" i="142"/>
  <c r="A64" i="142"/>
  <c r="A63" i="142"/>
  <c r="A62" i="142"/>
  <c r="A61" i="142"/>
  <c r="A60" i="142"/>
  <c r="A59" i="142"/>
  <c r="A58" i="142"/>
  <c r="A57" i="142"/>
  <c r="A56" i="142"/>
  <c r="A55" i="142"/>
  <c r="A54" i="142"/>
  <c r="A53" i="142"/>
  <c r="A52" i="142"/>
  <c r="A51" i="142"/>
  <c r="A50" i="142"/>
  <c r="A49" i="142"/>
  <c r="A48" i="142"/>
  <c r="A47" i="142"/>
  <c r="A46" i="142"/>
  <c r="A45" i="142"/>
  <c r="A44" i="142"/>
  <c r="A43" i="142"/>
  <c r="A42" i="142"/>
  <c r="A41" i="142"/>
  <c r="A40" i="142"/>
  <c r="A39" i="142"/>
  <c r="A38" i="142"/>
  <c r="A37" i="142"/>
  <c r="A36" i="142"/>
  <c r="A35" i="142"/>
  <c r="A34" i="142"/>
  <c r="A33" i="142"/>
  <c r="A32" i="142"/>
  <c r="A31" i="142"/>
  <c r="A30" i="142"/>
  <c r="A29" i="142"/>
  <c r="A28" i="142"/>
  <c r="A27" i="142"/>
  <c r="A26" i="142"/>
  <c r="A25" i="142"/>
  <c r="A24" i="142"/>
  <c r="A23" i="142"/>
  <c r="A22" i="142"/>
  <c r="A21" i="142"/>
  <c r="A20" i="142"/>
  <c r="A19" i="142"/>
  <c r="A18" i="142"/>
  <c r="A17" i="142"/>
  <c r="A16" i="142"/>
  <c r="A15" i="142"/>
  <c r="A14" i="142"/>
  <c r="A13" i="142"/>
  <c r="A12" i="142"/>
  <c r="A11" i="142"/>
  <c r="A10" i="142"/>
  <c r="A9" i="142"/>
  <c r="A8" i="142"/>
  <c r="A7" i="142"/>
  <c r="A6" i="142"/>
  <c r="A5" i="142"/>
  <c r="A4" i="142"/>
  <c r="A3" i="142"/>
  <c r="I2" i="142"/>
  <c r="I3" i="142" s="1"/>
  <c r="I4" i="142" s="1"/>
  <c r="I5" i="142" s="1"/>
  <c r="A2" i="142"/>
  <c r="A67" i="141"/>
  <c r="F66" i="141"/>
  <c r="E66" i="141"/>
  <c r="C66" i="141"/>
  <c r="C65" i="141" s="1"/>
  <c r="A66" i="141"/>
  <c r="E65" i="141"/>
  <c r="A65" i="141"/>
  <c r="E64" i="141"/>
  <c r="C64" i="141"/>
  <c r="C63" i="141" s="1"/>
  <c r="A64" i="141"/>
  <c r="A63" i="141"/>
  <c r="A62" i="141"/>
  <c r="A61" i="141"/>
  <c r="A60" i="141"/>
  <c r="A59" i="141"/>
  <c r="A58" i="141"/>
  <c r="A57" i="141"/>
  <c r="A56" i="141"/>
  <c r="A55" i="141"/>
  <c r="A54" i="141"/>
  <c r="A53" i="141"/>
  <c r="A52" i="141"/>
  <c r="A51" i="141"/>
  <c r="A50" i="141"/>
  <c r="A49" i="141"/>
  <c r="A48" i="141"/>
  <c r="A47" i="141"/>
  <c r="A46" i="141"/>
  <c r="A45" i="141"/>
  <c r="A44" i="141"/>
  <c r="A43" i="141"/>
  <c r="A42" i="141"/>
  <c r="A41" i="141"/>
  <c r="A40" i="141"/>
  <c r="A39" i="141"/>
  <c r="A38" i="141"/>
  <c r="A37" i="141"/>
  <c r="A36" i="141"/>
  <c r="A35" i="141"/>
  <c r="A34" i="141"/>
  <c r="A33" i="141"/>
  <c r="A32" i="141"/>
  <c r="A31" i="141"/>
  <c r="A30" i="141"/>
  <c r="A29" i="141"/>
  <c r="A28" i="141"/>
  <c r="A27" i="141"/>
  <c r="A26" i="141"/>
  <c r="A25" i="141"/>
  <c r="A24" i="141"/>
  <c r="A23" i="141"/>
  <c r="A22" i="141"/>
  <c r="A21" i="141"/>
  <c r="A20" i="141"/>
  <c r="A19" i="141"/>
  <c r="A18" i="141"/>
  <c r="A17" i="141"/>
  <c r="A16" i="141"/>
  <c r="A15" i="141"/>
  <c r="A14" i="141"/>
  <c r="A13" i="141"/>
  <c r="A12" i="141"/>
  <c r="A11" i="141"/>
  <c r="A10" i="141"/>
  <c r="A9" i="141"/>
  <c r="A8" i="141"/>
  <c r="A7" i="141"/>
  <c r="A6" i="141"/>
  <c r="A5" i="141"/>
  <c r="A4" i="141"/>
  <c r="A3" i="141"/>
  <c r="I2" i="141"/>
  <c r="A2" i="141"/>
  <c r="A67" i="140"/>
  <c r="F66" i="140"/>
  <c r="E66" i="140"/>
  <c r="C66" i="140"/>
  <c r="A66" i="140"/>
  <c r="C65" i="140"/>
  <c r="A65" i="140"/>
  <c r="A64" i="140"/>
  <c r="A63" i="140"/>
  <c r="A62" i="140"/>
  <c r="A61" i="140"/>
  <c r="A60" i="140"/>
  <c r="A59" i="140"/>
  <c r="A58" i="140"/>
  <c r="A57" i="140"/>
  <c r="A56" i="140"/>
  <c r="A55" i="140"/>
  <c r="A54" i="140"/>
  <c r="A53" i="140"/>
  <c r="A52" i="140"/>
  <c r="A51" i="140"/>
  <c r="A50" i="140"/>
  <c r="A49" i="140"/>
  <c r="A48" i="140"/>
  <c r="A47" i="140"/>
  <c r="A46" i="140"/>
  <c r="A45" i="140"/>
  <c r="A44" i="140"/>
  <c r="A43" i="140"/>
  <c r="A42" i="140"/>
  <c r="A41" i="140"/>
  <c r="A40" i="140"/>
  <c r="A39" i="140"/>
  <c r="A38" i="140"/>
  <c r="A37" i="140"/>
  <c r="A36" i="140"/>
  <c r="A35" i="140"/>
  <c r="A34" i="140"/>
  <c r="A33" i="140"/>
  <c r="A32" i="140"/>
  <c r="A31" i="140"/>
  <c r="A30" i="140"/>
  <c r="A29" i="140"/>
  <c r="A28" i="140"/>
  <c r="A27" i="140"/>
  <c r="A26" i="140"/>
  <c r="A25" i="140"/>
  <c r="A24" i="140"/>
  <c r="A23" i="140"/>
  <c r="A22" i="140"/>
  <c r="A21" i="140"/>
  <c r="A20" i="140"/>
  <c r="A19" i="140"/>
  <c r="A18" i="140"/>
  <c r="A17" i="140"/>
  <c r="A16" i="140"/>
  <c r="A15" i="140"/>
  <c r="A14" i="140"/>
  <c r="A13" i="140"/>
  <c r="A12" i="140"/>
  <c r="A11" i="140"/>
  <c r="A10" i="140"/>
  <c r="A9" i="140"/>
  <c r="A8" i="140"/>
  <c r="A7" i="140"/>
  <c r="A6" i="140"/>
  <c r="A5" i="140"/>
  <c r="A4" i="140"/>
  <c r="A3" i="140"/>
  <c r="I2" i="140"/>
  <c r="A2" i="140"/>
  <c r="A67" i="139"/>
  <c r="F66" i="139"/>
  <c r="C66" i="139"/>
  <c r="E66" i="139" s="1"/>
  <c r="A66" i="139"/>
  <c r="E65" i="139"/>
  <c r="C65" i="139"/>
  <c r="C64" i="139" s="1"/>
  <c r="E64" i="139" s="1"/>
  <c r="A65" i="139"/>
  <c r="A64" i="139"/>
  <c r="A63" i="139"/>
  <c r="A62" i="139"/>
  <c r="A61" i="139"/>
  <c r="A60" i="139"/>
  <c r="A59" i="139"/>
  <c r="A58" i="139"/>
  <c r="A57" i="139"/>
  <c r="A56" i="139"/>
  <c r="A55" i="139"/>
  <c r="A54" i="139"/>
  <c r="A53" i="139"/>
  <c r="A52" i="139"/>
  <c r="A51" i="139"/>
  <c r="A50" i="139"/>
  <c r="A49" i="139"/>
  <c r="A48" i="139"/>
  <c r="A47" i="139"/>
  <c r="A46" i="139"/>
  <c r="A45" i="139"/>
  <c r="A44" i="139"/>
  <c r="A43" i="139"/>
  <c r="A42" i="139"/>
  <c r="A41" i="139"/>
  <c r="A40" i="139"/>
  <c r="A39" i="139"/>
  <c r="A38" i="139"/>
  <c r="A37" i="139"/>
  <c r="A36" i="139"/>
  <c r="A35" i="139"/>
  <c r="A34" i="139"/>
  <c r="A33" i="139"/>
  <c r="A32" i="139"/>
  <c r="A31" i="139"/>
  <c r="A30" i="139"/>
  <c r="A29" i="139"/>
  <c r="A28" i="139"/>
  <c r="A27" i="139"/>
  <c r="A26" i="139"/>
  <c r="A25" i="139"/>
  <c r="A24" i="139"/>
  <c r="A23" i="139"/>
  <c r="A22" i="139"/>
  <c r="A21" i="139"/>
  <c r="A20" i="139"/>
  <c r="A19" i="139"/>
  <c r="A18" i="139"/>
  <c r="A17" i="139"/>
  <c r="A16" i="139"/>
  <c r="A15" i="139"/>
  <c r="A14" i="139"/>
  <c r="A13" i="139"/>
  <c r="A12" i="139"/>
  <c r="A11" i="139"/>
  <c r="A10" i="139"/>
  <c r="A9" i="139"/>
  <c r="A8" i="139"/>
  <c r="A7" i="139"/>
  <c r="A6" i="139"/>
  <c r="A5" i="139"/>
  <c r="A4" i="139"/>
  <c r="I3" i="139"/>
  <c r="I4" i="139" s="1"/>
  <c r="A3" i="139"/>
  <c r="I2" i="139"/>
  <c r="A2" i="139"/>
  <c r="A67" i="138"/>
  <c r="F66" i="138"/>
  <c r="E66" i="138"/>
  <c r="C66" i="138"/>
  <c r="A66" i="138"/>
  <c r="C65" i="138"/>
  <c r="E65" i="138" s="1"/>
  <c r="A65" i="138"/>
  <c r="C64" i="138"/>
  <c r="E64" i="138" s="1"/>
  <c r="A64" i="138"/>
  <c r="C63" i="138"/>
  <c r="C62" i="138" s="1"/>
  <c r="E62" i="138" s="1"/>
  <c r="A63" i="138"/>
  <c r="A62" i="138"/>
  <c r="C61" i="138"/>
  <c r="A61" i="138"/>
  <c r="A60" i="138"/>
  <c r="A59" i="138"/>
  <c r="A58" i="138"/>
  <c r="A57" i="138"/>
  <c r="A56" i="138"/>
  <c r="A55" i="138"/>
  <c r="A54" i="138"/>
  <c r="A53" i="138"/>
  <c r="A52" i="138"/>
  <c r="A51" i="138"/>
  <c r="A50" i="138"/>
  <c r="A49" i="138"/>
  <c r="A48" i="138"/>
  <c r="A47" i="138"/>
  <c r="A46" i="138"/>
  <c r="A45" i="138"/>
  <c r="A44" i="138"/>
  <c r="A43" i="138"/>
  <c r="A42" i="138"/>
  <c r="A41" i="138"/>
  <c r="A40" i="138"/>
  <c r="A39" i="138"/>
  <c r="A38" i="138"/>
  <c r="A37" i="138"/>
  <c r="A36" i="138"/>
  <c r="A35" i="138"/>
  <c r="A34" i="138"/>
  <c r="A33" i="138"/>
  <c r="A32" i="138"/>
  <c r="A31" i="138"/>
  <c r="A30" i="138"/>
  <c r="A29" i="138"/>
  <c r="A28" i="138"/>
  <c r="A27" i="138"/>
  <c r="A26" i="138"/>
  <c r="A25" i="138"/>
  <c r="A24" i="138"/>
  <c r="A23" i="138"/>
  <c r="A22" i="138"/>
  <c r="A21" i="138"/>
  <c r="A20" i="138"/>
  <c r="A19" i="138"/>
  <c r="A18" i="138"/>
  <c r="A17" i="138"/>
  <c r="A16" i="138"/>
  <c r="A15" i="138"/>
  <c r="A14" i="138"/>
  <c r="A13" i="138"/>
  <c r="A12" i="138"/>
  <c r="A11" i="138"/>
  <c r="A10" i="138"/>
  <c r="A9" i="138"/>
  <c r="A8" i="138"/>
  <c r="A7" i="138"/>
  <c r="A6" i="138"/>
  <c r="A5" i="138"/>
  <c r="A4" i="138"/>
  <c r="I3" i="138"/>
  <c r="A3" i="138"/>
  <c r="I2" i="138"/>
  <c r="A2" i="138"/>
  <c r="A67" i="137"/>
  <c r="F66" i="137"/>
  <c r="E66" i="137"/>
  <c r="C66" i="137"/>
  <c r="C65" i="137" s="1"/>
  <c r="A66" i="137"/>
  <c r="A65" i="137"/>
  <c r="A64" i="137"/>
  <c r="A63" i="137"/>
  <c r="A62" i="137"/>
  <c r="A61" i="137"/>
  <c r="A60" i="137"/>
  <c r="A59" i="137"/>
  <c r="A58" i="137"/>
  <c r="A57" i="137"/>
  <c r="A56" i="137"/>
  <c r="A55" i="137"/>
  <c r="A54" i="137"/>
  <c r="A53" i="137"/>
  <c r="A52" i="137"/>
  <c r="A51" i="137"/>
  <c r="A50" i="137"/>
  <c r="A49" i="137"/>
  <c r="A48" i="137"/>
  <c r="A47" i="137"/>
  <c r="A46" i="137"/>
  <c r="A45" i="137"/>
  <c r="A44" i="137"/>
  <c r="A43" i="137"/>
  <c r="A42" i="137"/>
  <c r="A41" i="137"/>
  <c r="A40" i="137"/>
  <c r="A39" i="137"/>
  <c r="A38" i="137"/>
  <c r="A37" i="137"/>
  <c r="A36" i="137"/>
  <c r="A35" i="137"/>
  <c r="A34" i="137"/>
  <c r="A33" i="137"/>
  <c r="A32" i="137"/>
  <c r="A31" i="137"/>
  <c r="A30" i="137"/>
  <c r="A29" i="137"/>
  <c r="A28" i="137"/>
  <c r="A27" i="137"/>
  <c r="A26" i="137"/>
  <c r="A25" i="137"/>
  <c r="A24" i="137"/>
  <c r="A23" i="137"/>
  <c r="A22" i="137"/>
  <c r="A21" i="137"/>
  <c r="A20" i="137"/>
  <c r="A19" i="137"/>
  <c r="A18" i="137"/>
  <c r="A17" i="137"/>
  <c r="A16" i="137"/>
  <c r="A15" i="137"/>
  <c r="A14" i="137"/>
  <c r="A13" i="137"/>
  <c r="A12" i="137"/>
  <c r="A11" i="137"/>
  <c r="A10" i="137"/>
  <c r="A9" i="137"/>
  <c r="A8" i="137"/>
  <c r="A7" i="137"/>
  <c r="A6" i="137"/>
  <c r="A5" i="137"/>
  <c r="A4" i="137"/>
  <c r="A3" i="137"/>
  <c r="I2" i="137"/>
  <c r="I3" i="137" s="1"/>
  <c r="A2" i="137"/>
  <c r="A67" i="136"/>
  <c r="F66" i="136"/>
  <c r="C66" i="136"/>
  <c r="A66" i="136"/>
  <c r="A65" i="136"/>
  <c r="A64" i="136"/>
  <c r="A63" i="136"/>
  <c r="A62" i="136"/>
  <c r="A61" i="136"/>
  <c r="A60" i="136"/>
  <c r="A59" i="136"/>
  <c r="A58" i="136"/>
  <c r="A57" i="136"/>
  <c r="A56" i="136"/>
  <c r="A55" i="136"/>
  <c r="A54" i="136"/>
  <c r="A53" i="136"/>
  <c r="A52" i="136"/>
  <c r="A51" i="136"/>
  <c r="A50" i="136"/>
  <c r="A49" i="136"/>
  <c r="A48" i="136"/>
  <c r="A47" i="136"/>
  <c r="A46" i="136"/>
  <c r="A45" i="136"/>
  <c r="A44" i="136"/>
  <c r="A43" i="136"/>
  <c r="A42" i="136"/>
  <c r="A41" i="136"/>
  <c r="A40" i="136"/>
  <c r="A39" i="136"/>
  <c r="A38" i="136"/>
  <c r="A37" i="136"/>
  <c r="A36" i="136"/>
  <c r="A35" i="136"/>
  <c r="A34" i="136"/>
  <c r="A33" i="136"/>
  <c r="A32" i="136"/>
  <c r="A31" i="136"/>
  <c r="A30" i="136"/>
  <c r="A29" i="136"/>
  <c r="A28" i="136"/>
  <c r="A27" i="136"/>
  <c r="A26" i="136"/>
  <c r="A25" i="136"/>
  <c r="A24" i="136"/>
  <c r="A23" i="136"/>
  <c r="A22" i="136"/>
  <c r="A21" i="136"/>
  <c r="A20" i="136"/>
  <c r="A19" i="136"/>
  <c r="A18" i="136"/>
  <c r="A17" i="136"/>
  <c r="A16" i="136"/>
  <c r="A15" i="136"/>
  <c r="A14" i="136"/>
  <c r="A13" i="136"/>
  <c r="A12" i="136"/>
  <c r="A11" i="136"/>
  <c r="A10" i="136"/>
  <c r="A9" i="136"/>
  <c r="A8" i="136"/>
  <c r="A7" i="136"/>
  <c r="A6" i="136"/>
  <c r="A5" i="136"/>
  <c r="A4" i="136"/>
  <c r="I3" i="136"/>
  <c r="I4" i="136" s="1"/>
  <c r="I5" i="136" s="1"/>
  <c r="A3" i="136"/>
  <c r="I2" i="136"/>
  <c r="A2" i="136"/>
  <c r="A67" i="135"/>
  <c r="F66" i="135"/>
  <c r="C66" i="135"/>
  <c r="E66" i="135" s="1"/>
  <c r="A66" i="135"/>
  <c r="C65" i="135"/>
  <c r="E65" i="135" s="1"/>
  <c r="A65" i="135"/>
  <c r="C64" i="135"/>
  <c r="A64" i="135"/>
  <c r="A63" i="135"/>
  <c r="A62" i="135"/>
  <c r="A61" i="135"/>
  <c r="A60" i="135"/>
  <c r="A59" i="135"/>
  <c r="A58" i="135"/>
  <c r="A57" i="135"/>
  <c r="A56" i="135"/>
  <c r="A55" i="135"/>
  <c r="A54" i="135"/>
  <c r="A53" i="135"/>
  <c r="A52" i="135"/>
  <c r="A51" i="135"/>
  <c r="A50" i="135"/>
  <c r="A49" i="135"/>
  <c r="A48" i="135"/>
  <c r="A47" i="135"/>
  <c r="A46" i="135"/>
  <c r="A45" i="135"/>
  <c r="A44" i="135"/>
  <c r="A43" i="135"/>
  <c r="A42" i="135"/>
  <c r="A41" i="135"/>
  <c r="A40" i="135"/>
  <c r="A39" i="135"/>
  <c r="A38" i="135"/>
  <c r="A37" i="135"/>
  <c r="A36" i="135"/>
  <c r="A35" i="135"/>
  <c r="A34" i="135"/>
  <c r="A33" i="135"/>
  <c r="A32" i="135"/>
  <c r="A31" i="135"/>
  <c r="A30" i="135"/>
  <c r="A29" i="135"/>
  <c r="A28" i="135"/>
  <c r="A27" i="135"/>
  <c r="A26" i="135"/>
  <c r="A25" i="135"/>
  <c r="A24" i="135"/>
  <c r="A23" i="135"/>
  <c r="A22" i="135"/>
  <c r="A21" i="135"/>
  <c r="A20" i="135"/>
  <c r="A19" i="135"/>
  <c r="A18" i="135"/>
  <c r="A17" i="135"/>
  <c r="A16" i="135"/>
  <c r="A15" i="135"/>
  <c r="A14" i="135"/>
  <c r="A13" i="135"/>
  <c r="A12" i="135"/>
  <c r="A11" i="135"/>
  <c r="A10" i="135"/>
  <c r="A9" i="135"/>
  <c r="A8" i="135"/>
  <c r="A7" i="135"/>
  <c r="A6" i="135"/>
  <c r="A5" i="135"/>
  <c r="A4" i="135"/>
  <c r="I3" i="135"/>
  <c r="I4" i="135" s="1"/>
  <c r="I5" i="135" s="1"/>
  <c r="A3" i="135"/>
  <c r="I2" i="135"/>
  <c r="A2" i="135"/>
  <c r="A67" i="134"/>
  <c r="F66" i="134"/>
  <c r="C66" i="134"/>
  <c r="E66" i="134" s="1"/>
  <c r="A66" i="134"/>
  <c r="C65" i="134"/>
  <c r="E65" i="134" s="1"/>
  <c r="A65" i="134"/>
  <c r="A64" i="134"/>
  <c r="A63" i="134"/>
  <c r="A62" i="134"/>
  <c r="A61" i="134"/>
  <c r="A60" i="134"/>
  <c r="A59" i="134"/>
  <c r="A58" i="134"/>
  <c r="A57" i="134"/>
  <c r="A56" i="134"/>
  <c r="A55" i="134"/>
  <c r="A54" i="134"/>
  <c r="A53" i="134"/>
  <c r="A52" i="134"/>
  <c r="A51" i="134"/>
  <c r="A50" i="134"/>
  <c r="A49" i="134"/>
  <c r="A48" i="134"/>
  <c r="A47" i="134"/>
  <c r="A46" i="134"/>
  <c r="A45" i="134"/>
  <c r="A44" i="134"/>
  <c r="A43" i="134"/>
  <c r="A42" i="134"/>
  <c r="A41" i="134"/>
  <c r="A40" i="134"/>
  <c r="A39" i="134"/>
  <c r="A38" i="134"/>
  <c r="A37" i="134"/>
  <c r="A36" i="134"/>
  <c r="A35" i="134"/>
  <c r="A34" i="134"/>
  <c r="A33" i="134"/>
  <c r="A32" i="134"/>
  <c r="A31" i="134"/>
  <c r="A30" i="134"/>
  <c r="A29" i="134"/>
  <c r="A28" i="134"/>
  <c r="A27" i="134"/>
  <c r="A26" i="134"/>
  <c r="A25" i="134"/>
  <c r="A24" i="134"/>
  <c r="A23" i="134"/>
  <c r="A22" i="134"/>
  <c r="A21" i="134"/>
  <c r="A20" i="134"/>
  <c r="A19" i="134"/>
  <c r="A18" i="134"/>
  <c r="A17" i="134"/>
  <c r="A16" i="134"/>
  <c r="A15" i="134"/>
  <c r="A14" i="134"/>
  <c r="A13" i="134"/>
  <c r="A12" i="134"/>
  <c r="A11" i="134"/>
  <c r="A10" i="134"/>
  <c r="A9" i="134"/>
  <c r="A8" i="134"/>
  <c r="A7" i="134"/>
  <c r="A6" i="134"/>
  <c r="A5" i="134"/>
  <c r="A4" i="134"/>
  <c r="A3" i="134"/>
  <c r="I2" i="134"/>
  <c r="I3" i="134" s="1"/>
  <c r="I4" i="134" s="1"/>
  <c r="I5" i="134" s="1"/>
  <c r="I6" i="134" s="1"/>
  <c r="I7" i="134" s="1"/>
  <c r="A2" i="134"/>
  <c r="A67" i="133"/>
  <c r="F66" i="133"/>
  <c r="C66" i="133"/>
  <c r="C65" i="133" s="1"/>
  <c r="A66" i="133"/>
  <c r="A65" i="133"/>
  <c r="A64" i="133"/>
  <c r="A63" i="133"/>
  <c r="A62" i="133"/>
  <c r="A61" i="133"/>
  <c r="A60" i="133"/>
  <c r="A59" i="133"/>
  <c r="A58" i="133"/>
  <c r="A57" i="133"/>
  <c r="A56" i="133"/>
  <c r="A55" i="133"/>
  <c r="A54" i="133"/>
  <c r="A53" i="133"/>
  <c r="A52" i="133"/>
  <c r="A51" i="133"/>
  <c r="A50" i="133"/>
  <c r="A49" i="133"/>
  <c r="A48" i="133"/>
  <c r="A47" i="133"/>
  <c r="A46" i="133"/>
  <c r="A45" i="133"/>
  <c r="A44" i="133"/>
  <c r="A43" i="133"/>
  <c r="A42" i="133"/>
  <c r="A41" i="133"/>
  <c r="A40" i="133"/>
  <c r="A39" i="133"/>
  <c r="A38" i="133"/>
  <c r="A37" i="133"/>
  <c r="A36" i="133"/>
  <c r="A35" i="133"/>
  <c r="A34" i="133"/>
  <c r="A33" i="133"/>
  <c r="A32" i="133"/>
  <c r="A31" i="133"/>
  <c r="A30" i="133"/>
  <c r="A29" i="133"/>
  <c r="A28" i="133"/>
  <c r="A27" i="133"/>
  <c r="A26" i="133"/>
  <c r="A25" i="133"/>
  <c r="A24" i="133"/>
  <c r="A23" i="133"/>
  <c r="A22" i="133"/>
  <c r="A21" i="133"/>
  <c r="A20" i="133"/>
  <c r="A19" i="133"/>
  <c r="A18" i="133"/>
  <c r="A17" i="133"/>
  <c r="A16" i="133"/>
  <c r="A15" i="133"/>
  <c r="A14" i="133"/>
  <c r="A13" i="133"/>
  <c r="A12" i="133"/>
  <c r="A11" i="133"/>
  <c r="A10" i="133"/>
  <c r="A9" i="133"/>
  <c r="A8" i="133"/>
  <c r="A7" i="133"/>
  <c r="A6" i="133"/>
  <c r="A5" i="133"/>
  <c r="A4" i="133"/>
  <c r="I3" i="133"/>
  <c r="I4" i="133" s="1"/>
  <c r="I5" i="133" s="1"/>
  <c r="I6" i="133" s="1"/>
  <c r="I7" i="133" s="1"/>
  <c r="A3" i="133"/>
  <c r="I2" i="133"/>
  <c r="A2" i="133"/>
  <c r="A67" i="132"/>
  <c r="F66" i="132"/>
  <c r="E66" i="132"/>
  <c r="C66" i="132"/>
  <c r="A66" i="132"/>
  <c r="C65" i="132"/>
  <c r="A65" i="132"/>
  <c r="A64" i="132"/>
  <c r="A63" i="132"/>
  <c r="A62" i="132"/>
  <c r="A61" i="132"/>
  <c r="A60" i="132"/>
  <c r="A59" i="132"/>
  <c r="A58" i="132"/>
  <c r="A57" i="132"/>
  <c r="A56" i="132"/>
  <c r="A55" i="132"/>
  <c r="A54" i="132"/>
  <c r="A53" i="132"/>
  <c r="A52" i="132"/>
  <c r="A51" i="132"/>
  <c r="A50" i="132"/>
  <c r="A49" i="132"/>
  <c r="A48" i="132"/>
  <c r="A47" i="132"/>
  <c r="A46" i="132"/>
  <c r="A45" i="132"/>
  <c r="A44" i="132"/>
  <c r="A43" i="132"/>
  <c r="A42" i="132"/>
  <c r="A41" i="132"/>
  <c r="A40" i="132"/>
  <c r="A39" i="132"/>
  <c r="A38" i="132"/>
  <c r="A37" i="132"/>
  <c r="A36" i="132"/>
  <c r="A35" i="132"/>
  <c r="A34" i="132"/>
  <c r="A33" i="132"/>
  <c r="A32" i="132"/>
  <c r="A31" i="132"/>
  <c r="A30" i="132"/>
  <c r="A29" i="132"/>
  <c r="A28" i="132"/>
  <c r="A27" i="132"/>
  <c r="A26" i="132"/>
  <c r="A25" i="132"/>
  <c r="A24" i="132"/>
  <c r="A23" i="132"/>
  <c r="A22" i="132"/>
  <c r="A21" i="132"/>
  <c r="A20" i="132"/>
  <c r="A19" i="132"/>
  <c r="A18" i="132"/>
  <c r="A17" i="132"/>
  <c r="A16" i="132"/>
  <c r="A15" i="132"/>
  <c r="A14" i="132"/>
  <c r="A13" i="132"/>
  <c r="A12" i="132"/>
  <c r="A11" i="132"/>
  <c r="A10" i="132"/>
  <c r="A9" i="132"/>
  <c r="A8" i="132"/>
  <c r="A7" i="132"/>
  <c r="A6" i="132"/>
  <c r="A5" i="132"/>
  <c r="A4" i="132"/>
  <c r="I3" i="132"/>
  <c r="I4" i="132" s="1"/>
  <c r="I5" i="132" s="1"/>
  <c r="A3" i="132"/>
  <c r="I2" i="132"/>
  <c r="A2" i="132"/>
  <c r="A67" i="131"/>
  <c r="F66" i="131"/>
  <c r="C66" i="131"/>
  <c r="C65" i="131" s="1"/>
  <c r="E65" i="131" s="1"/>
  <c r="A66" i="131"/>
  <c r="A65" i="131"/>
  <c r="C64" i="131"/>
  <c r="C63" i="131" s="1"/>
  <c r="C62" i="131" s="1"/>
  <c r="A64" i="131"/>
  <c r="E63" i="131"/>
  <c r="A63" i="131"/>
  <c r="A62" i="131"/>
  <c r="A61" i="131"/>
  <c r="A60" i="131"/>
  <c r="A59" i="131"/>
  <c r="A58" i="131"/>
  <c r="A57" i="131"/>
  <c r="A56" i="131"/>
  <c r="A55" i="131"/>
  <c r="A54" i="131"/>
  <c r="A53" i="131"/>
  <c r="A52" i="131"/>
  <c r="A51" i="131"/>
  <c r="A50" i="131"/>
  <c r="A49" i="131"/>
  <c r="A48" i="131"/>
  <c r="A47" i="131"/>
  <c r="A46" i="131"/>
  <c r="A45" i="131"/>
  <c r="A44" i="131"/>
  <c r="A43" i="131"/>
  <c r="A42" i="131"/>
  <c r="A41" i="131"/>
  <c r="A40" i="131"/>
  <c r="A39" i="131"/>
  <c r="A38" i="131"/>
  <c r="A37" i="131"/>
  <c r="A36" i="131"/>
  <c r="A35" i="131"/>
  <c r="A34" i="131"/>
  <c r="A33" i="131"/>
  <c r="A32" i="131"/>
  <c r="A31" i="131"/>
  <c r="A30" i="131"/>
  <c r="A29" i="131"/>
  <c r="A28" i="131"/>
  <c r="A27" i="131"/>
  <c r="A26" i="131"/>
  <c r="A25" i="131"/>
  <c r="A24" i="131"/>
  <c r="A23" i="131"/>
  <c r="A22" i="131"/>
  <c r="A21" i="131"/>
  <c r="A20" i="131"/>
  <c r="A19" i="131"/>
  <c r="A18" i="131"/>
  <c r="A17" i="131"/>
  <c r="A16" i="131"/>
  <c r="A15" i="131"/>
  <c r="A14" i="131"/>
  <c r="A13" i="131"/>
  <c r="A12" i="131"/>
  <c r="A11" i="131"/>
  <c r="A10" i="131"/>
  <c r="A9" i="131"/>
  <c r="A8" i="131"/>
  <c r="A7" i="131"/>
  <c r="A6" i="131"/>
  <c r="A5" i="131"/>
  <c r="A4" i="131"/>
  <c r="A3" i="131"/>
  <c r="I2" i="131"/>
  <c r="I3" i="131" s="1"/>
  <c r="A2" i="131"/>
  <c r="A67" i="130"/>
  <c r="F66" i="130"/>
  <c r="C66" i="130"/>
  <c r="E66" i="130" s="1"/>
  <c r="A66" i="130"/>
  <c r="A65" i="130"/>
  <c r="A64" i="130"/>
  <c r="A63" i="130"/>
  <c r="A62" i="130"/>
  <c r="A61" i="130"/>
  <c r="A60" i="130"/>
  <c r="A59" i="130"/>
  <c r="A58" i="130"/>
  <c r="A57" i="130"/>
  <c r="A56" i="130"/>
  <c r="A55" i="130"/>
  <c r="A54" i="130"/>
  <c r="A53" i="130"/>
  <c r="A52" i="130"/>
  <c r="A51" i="130"/>
  <c r="A50" i="130"/>
  <c r="A49" i="130"/>
  <c r="A48" i="130"/>
  <c r="A47" i="130"/>
  <c r="A46" i="130"/>
  <c r="A45" i="130"/>
  <c r="A44" i="130"/>
  <c r="A43" i="130"/>
  <c r="A42" i="130"/>
  <c r="A41" i="130"/>
  <c r="A40" i="130"/>
  <c r="A39" i="130"/>
  <c r="A38" i="130"/>
  <c r="A37" i="130"/>
  <c r="A36" i="130"/>
  <c r="A35" i="130"/>
  <c r="A34" i="130"/>
  <c r="A33" i="130"/>
  <c r="A32" i="130"/>
  <c r="A31" i="130"/>
  <c r="A30" i="130"/>
  <c r="A29" i="130"/>
  <c r="A28" i="130"/>
  <c r="A27" i="130"/>
  <c r="A26" i="130"/>
  <c r="A25" i="130"/>
  <c r="A24" i="130"/>
  <c r="A23" i="130"/>
  <c r="A22" i="130"/>
  <c r="A21" i="130"/>
  <c r="A20" i="130"/>
  <c r="A19" i="130"/>
  <c r="A18" i="130"/>
  <c r="A17" i="130"/>
  <c r="A16" i="130"/>
  <c r="A15" i="130"/>
  <c r="A14" i="130"/>
  <c r="A13" i="130"/>
  <c r="A12" i="130"/>
  <c r="A11" i="130"/>
  <c r="A10" i="130"/>
  <c r="A9" i="130"/>
  <c r="A8" i="130"/>
  <c r="A7" i="130"/>
  <c r="A6" i="130"/>
  <c r="A5" i="130"/>
  <c r="A4" i="130"/>
  <c r="A3" i="130"/>
  <c r="I2" i="130"/>
  <c r="A2" i="130"/>
  <c r="A67" i="129"/>
  <c r="F66" i="129"/>
  <c r="E66" i="129"/>
  <c r="C66" i="129"/>
  <c r="A66" i="129"/>
  <c r="C65" i="129"/>
  <c r="E65" i="129" s="1"/>
  <c r="A65" i="129"/>
  <c r="C64" i="129"/>
  <c r="A64" i="129"/>
  <c r="A63" i="129"/>
  <c r="A62" i="129"/>
  <c r="A61" i="129"/>
  <c r="A60" i="129"/>
  <c r="A59" i="129"/>
  <c r="A58" i="129"/>
  <c r="A57" i="129"/>
  <c r="A56" i="129"/>
  <c r="A55" i="129"/>
  <c r="A54" i="129"/>
  <c r="A53" i="129"/>
  <c r="A52" i="129"/>
  <c r="A51" i="129"/>
  <c r="A50" i="129"/>
  <c r="A49" i="129"/>
  <c r="A48" i="129"/>
  <c r="A47" i="129"/>
  <c r="A46" i="129"/>
  <c r="A45" i="129"/>
  <c r="A44" i="129"/>
  <c r="A43" i="129"/>
  <c r="A42" i="129"/>
  <c r="A41" i="129"/>
  <c r="A40" i="129"/>
  <c r="A39" i="129"/>
  <c r="A38" i="129"/>
  <c r="A37" i="129"/>
  <c r="A36" i="129"/>
  <c r="A35" i="129"/>
  <c r="A34" i="129"/>
  <c r="A33" i="129"/>
  <c r="A32" i="129"/>
  <c r="A31" i="129"/>
  <c r="A30" i="129"/>
  <c r="A29" i="129"/>
  <c r="A28" i="129"/>
  <c r="A27" i="129"/>
  <c r="A26" i="129"/>
  <c r="A25" i="129"/>
  <c r="A24" i="129"/>
  <c r="A23" i="129"/>
  <c r="A22" i="129"/>
  <c r="A21" i="129"/>
  <c r="A20" i="129"/>
  <c r="A19" i="129"/>
  <c r="A18" i="129"/>
  <c r="A17" i="129"/>
  <c r="A16" i="129"/>
  <c r="A15" i="129"/>
  <c r="A14" i="129"/>
  <c r="A13" i="129"/>
  <c r="A12" i="129"/>
  <c r="A11" i="129"/>
  <c r="A10" i="129"/>
  <c r="A9" i="129"/>
  <c r="A8" i="129"/>
  <c r="A7" i="129"/>
  <c r="A6" i="129"/>
  <c r="A5" i="129"/>
  <c r="A4" i="129"/>
  <c r="I3" i="129"/>
  <c r="I4" i="129" s="1"/>
  <c r="A3" i="129"/>
  <c r="I2" i="129"/>
  <c r="A2" i="129"/>
  <c r="A67" i="128"/>
  <c r="F66" i="128"/>
  <c r="E66" i="128"/>
  <c r="C66" i="128"/>
  <c r="A66" i="128"/>
  <c r="C65" i="128"/>
  <c r="C64" i="128" s="1"/>
  <c r="A65" i="128"/>
  <c r="A64" i="128"/>
  <c r="A63" i="128"/>
  <c r="A62" i="128"/>
  <c r="A61" i="128"/>
  <c r="A60" i="128"/>
  <c r="A59" i="128"/>
  <c r="A58" i="128"/>
  <c r="A57" i="128"/>
  <c r="A56" i="128"/>
  <c r="A55" i="128"/>
  <c r="A54" i="128"/>
  <c r="A53" i="128"/>
  <c r="A52" i="128"/>
  <c r="A51" i="128"/>
  <c r="A50" i="128"/>
  <c r="A49" i="128"/>
  <c r="A48" i="128"/>
  <c r="A47" i="128"/>
  <c r="A46" i="128"/>
  <c r="A45" i="128"/>
  <c r="A44" i="128"/>
  <c r="A43" i="128"/>
  <c r="A42" i="128"/>
  <c r="A41" i="128"/>
  <c r="A40" i="128"/>
  <c r="A39" i="128"/>
  <c r="A38" i="128"/>
  <c r="A37" i="128"/>
  <c r="A36" i="128"/>
  <c r="A35" i="128"/>
  <c r="A34" i="128"/>
  <c r="A33" i="128"/>
  <c r="A32" i="128"/>
  <c r="A31" i="128"/>
  <c r="A30" i="128"/>
  <c r="A29" i="128"/>
  <c r="A28" i="128"/>
  <c r="A27" i="128"/>
  <c r="A26" i="128"/>
  <c r="A25" i="128"/>
  <c r="A24" i="128"/>
  <c r="A23" i="128"/>
  <c r="A22" i="128"/>
  <c r="A21" i="128"/>
  <c r="A20" i="128"/>
  <c r="A19" i="128"/>
  <c r="A18" i="128"/>
  <c r="A17" i="128"/>
  <c r="A16" i="128"/>
  <c r="A15" i="128"/>
  <c r="A14" i="128"/>
  <c r="A13" i="128"/>
  <c r="A12" i="128"/>
  <c r="A11" i="128"/>
  <c r="A10" i="128"/>
  <c r="A9" i="128"/>
  <c r="A8" i="128"/>
  <c r="A7" i="128"/>
  <c r="A6" i="128"/>
  <c r="A5" i="128"/>
  <c r="I4" i="128"/>
  <c r="I5" i="128" s="1"/>
  <c r="A4" i="128"/>
  <c r="I3" i="128"/>
  <c r="A3" i="128"/>
  <c r="I2" i="128"/>
  <c r="A2" i="128"/>
  <c r="A67" i="127"/>
  <c r="F66" i="127"/>
  <c r="E66" i="127"/>
  <c r="C66" i="127"/>
  <c r="A66" i="127"/>
  <c r="E65" i="127"/>
  <c r="C65" i="127"/>
  <c r="C64" i="127" s="1"/>
  <c r="E64" i="127" s="1"/>
  <c r="A65" i="127"/>
  <c r="A64" i="127"/>
  <c r="C63" i="127"/>
  <c r="A63" i="127"/>
  <c r="A62" i="127"/>
  <c r="A61" i="127"/>
  <c r="A60" i="127"/>
  <c r="A59" i="127"/>
  <c r="A58" i="127"/>
  <c r="A57" i="127"/>
  <c r="A56" i="127"/>
  <c r="A55" i="127"/>
  <c r="A54" i="127"/>
  <c r="A53" i="127"/>
  <c r="A52" i="127"/>
  <c r="A51" i="127"/>
  <c r="A50" i="127"/>
  <c r="A49" i="127"/>
  <c r="A48" i="127"/>
  <c r="A47" i="127"/>
  <c r="A46" i="127"/>
  <c r="A45" i="127"/>
  <c r="A44" i="127"/>
  <c r="A43" i="127"/>
  <c r="A42" i="127"/>
  <c r="A41" i="127"/>
  <c r="A40" i="127"/>
  <c r="A39" i="127"/>
  <c r="A38" i="127"/>
  <c r="A37" i="127"/>
  <c r="A36" i="127"/>
  <c r="A35" i="127"/>
  <c r="A34" i="127"/>
  <c r="A33" i="127"/>
  <c r="A32" i="127"/>
  <c r="A31" i="127"/>
  <c r="A30" i="127"/>
  <c r="A29" i="127"/>
  <c r="A28" i="127"/>
  <c r="A27" i="127"/>
  <c r="A26" i="127"/>
  <c r="A25" i="127"/>
  <c r="A24" i="127"/>
  <c r="A23" i="127"/>
  <c r="A22" i="127"/>
  <c r="A21" i="127"/>
  <c r="A20" i="127"/>
  <c r="A19" i="127"/>
  <c r="A18" i="127"/>
  <c r="A17" i="127"/>
  <c r="A16" i="127"/>
  <c r="A15" i="127"/>
  <c r="A14" i="127"/>
  <c r="A13" i="127"/>
  <c r="A12" i="127"/>
  <c r="A11" i="127"/>
  <c r="A10" i="127"/>
  <c r="A9" i="127"/>
  <c r="A8" i="127"/>
  <c r="A7" i="127"/>
  <c r="A6" i="127"/>
  <c r="A5" i="127"/>
  <c r="A4" i="127"/>
  <c r="I3" i="127"/>
  <c r="I4" i="127" s="1"/>
  <c r="I5" i="127" s="1"/>
  <c r="A3" i="127"/>
  <c r="I2" i="127"/>
  <c r="A2" i="127"/>
  <c r="A67" i="126"/>
  <c r="F66" i="126"/>
  <c r="E66" i="126"/>
  <c r="C66" i="126"/>
  <c r="A66" i="126"/>
  <c r="C65" i="126"/>
  <c r="E65" i="126" s="1"/>
  <c r="A65" i="126"/>
  <c r="C64" i="126"/>
  <c r="A64" i="126"/>
  <c r="A63" i="126"/>
  <c r="A62" i="126"/>
  <c r="A61" i="126"/>
  <c r="A60" i="126"/>
  <c r="A59" i="126"/>
  <c r="A58" i="126"/>
  <c r="A57" i="126"/>
  <c r="A56" i="126"/>
  <c r="A55" i="126"/>
  <c r="A54" i="126"/>
  <c r="A53" i="126"/>
  <c r="A52" i="126"/>
  <c r="A51" i="126"/>
  <c r="A50" i="126"/>
  <c r="A49" i="126"/>
  <c r="A48" i="126"/>
  <c r="A47" i="126"/>
  <c r="A46" i="126"/>
  <c r="A45" i="126"/>
  <c r="A44" i="126"/>
  <c r="A43" i="126"/>
  <c r="A42" i="126"/>
  <c r="A41" i="126"/>
  <c r="A40" i="126"/>
  <c r="A39" i="126"/>
  <c r="A38" i="126"/>
  <c r="A37" i="126"/>
  <c r="A36" i="126"/>
  <c r="A35" i="126"/>
  <c r="A34" i="126"/>
  <c r="A33" i="126"/>
  <c r="A32" i="126"/>
  <c r="A31" i="126"/>
  <c r="A30" i="126"/>
  <c r="A29" i="126"/>
  <c r="A28" i="126"/>
  <c r="A27" i="126"/>
  <c r="A26" i="126"/>
  <c r="A25" i="126"/>
  <c r="A24" i="126"/>
  <c r="A23" i="126"/>
  <c r="A22" i="126"/>
  <c r="A21" i="126"/>
  <c r="A20" i="126"/>
  <c r="A19" i="126"/>
  <c r="A18" i="126"/>
  <c r="A17" i="126"/>
  <c r="A16" i="126"/>
  <c r="A15" i="126"/>
  <c r="A14" i="126"/>
  <c r="A13" i="126"/>
  <c r="A12" i="126"/>
  <c r="A11" i="126"/>
  <c r="A10" i="126"/>
  <c r="A9" i="126"/>
  <c r="A8" i="126"/>
  <c r="A7" i="126"/>
  <c r="A6" i="126"/>
  <c r="A5" i="126"/>
  <c r="A4" i="126"/>
  <c r="I3" i="126"/>
  <c r="A3" i="126"/>
  <c r="I2" i="126"/>
  <c r="A2" i="126"/>
  <c r="A67" i="125"/>
  <c r="F66" i="125"/>
  <c r="E66" i="125"/>
  <c r="C66" i="125"/>
  <c r="C65" i="125" s="1"/>
  <c r="A66" i="125"/>
  <c r="A65" i="125"/>
  <c r="A64" i="125"/>
  <c r="A63" i="125"/>
  <c r="A62" i="125"/>
  <c r="A61" i="125"/>
  <c r="A60" i="125"/>
  <c r="A59" i="125"/>
  <c r="A58" i="125"/>
  <c r="A57" i="125"/>
  <c r="A56" i="125"/>
  <c r="A55" i="125"/>
  <c r="A54" i="125"/>
  <c r="A53" i="125"/>
  <c r="A52" i="125"/>
  <c r="A51" i="125"/>
  <c r="A50" i="125"/>
  <c r="A49" i="125"/>
  <c r="A48" i="125"/>
  <c r="A47" i="125"/>
  <c r="A46" i="125"/>
  <c r="A45" i="125"/>
  <c r="A44" i="125"/>
  <c r="A43" i="125"/>
  <c r="A42" i="125"/>
  <c r="A41" i="125"/>
  <c r="A40" i="125"/>
  <c r="A39" i="125"/>
  <c r="A38" i="125"/>
  <c r="A37" i="125"/>
  <c r="A36" i="125"/>
  <c r="A35" i="125"/>
  <c r="A34" i="125"/>
  <c r="A33" i="125"/>
  <c r="A32" i="125"/>
  <c r="A31" i="125"/>
  <c r="A30" i="125"/>
  <c r="A29" i="125"/>
  <c r="A28" i="125"/>
  <c r="A27" i="125"/>
  <c r="A26" i="125"/>
  <c r="A25" i="125"/>
  <c r="A24" i="125"/>
  <c r="A23" i="125"/>
  <c r="A22" i="125"/>
  <c r="A21" i="125"/>
  <c r="A20" i="125"/>
  <c r="A19" i="125"/>
  <c r="A18" i="125"/>
  <c r="A17" i="125"/>
  <c r="A16" i="125"/>
  <c r="A15" i="125"/>
  <c r="A14" i="125"/>
  <c r="A13" i="125"/>
  <c r="A12" i="125"/>
  <c r="A11" i="125"/>
  <c r="A10" i="125"/>
  <c r="A9" i="125"/>
  <c r="A8" i="125"/>
  <c r="A7" i="125"/>
  <c r="A6" i="125"/>
  <c r="A5" i="125"/>
  <c r="A4" i="125"/>
  <c r="A3" i="125"/>
  <c r="I2" i="125"/>
  <c r="A2" i="125"/>
  <c r="A67" i="124"/>
  <c r="F66" i="124"/>
  <c r="E66" i="124"/>
  <c r="C66" i="124"/>
  <c r="A66" i="124"/>
  <c r="E65" i="124"/>
  <c r="C65" i="124"/>
  <c r="C64" i="124" s="1"/>
  <c r="E64" i="124" s="1"/>
  <c r="A65" i="124"/>
  <c r="A64" i="124"/>
  <c r="C63" i="124"/>
  <c r="A63" i="124"/>
  <c r="A62" i="124"/>
  <c r="A61" i="124"/>
  <c r="A60" i="124"/>
  <c r="A59" i="124"/>
  <c r="A58" i="124"/>
  <c r="A57" i="124"/>
  <c r="A56" i="124"/>
  <c r="A55" i="124"/>
  <c r="A54" i="124"/>
  <c r="A53" i="124"/>
  <c r="A52" i="124"/>
  <c r="A51" i="124"/>
  <c r="A50" i="124"/>
  <c r="A49" i="124"/>
  <c r="A48" i="124"/>
  <c r="A47" i="124"/>
  <c r="A46" i="124"/>
  <c r="A45" i="124"/>
  <c r="A44" i="124"/>
  <c r="A43" i="124"/>
  <c r="A42" i="124"/>
  <c r="A41" i="124"/>
  <c r="A40" i="124"/>
  <c r="A39" i="124"/>
  <c r="A38" i="124"/>
  <c r="A37" i="124"/>
  <c r="A36" i="124"/>
  <c r="A35" i="124"/>
  <c r="A34" i="124"/>
  <c r="A33" i="124"/>
  <c r="A32" i="124"/>
  <c r="A31" i="124"/>
  <c r="A30" i="124"/>
  <c r="A29" i="124"/>
  <c r="A28" i="124"/>
  <c r="A27" i="124"/>
  <c r="A26" i="124"/>
  <c r="A25" i="124"/>
  <c r="A24" i="124"/>
  <c r="A23" i="124"/>
  <c r="A22" i="124"/>
  <c r="A21" i="124"/>
  <c r="A20" i="124"/>
  <c r="A19" i="124"/>
  <c r="A18" i="124"/>
  <c r="A17" i="124"/>
  <c r="A16" i="124"/>
  <c r="A15" i="124"/>
  <c r="A14" i="124"/>
  <c r="A13" i="124"/>
  <c r="A12" i="124"/>
  <c r="A11" i="124"/>
  <c r="A10" i="124"/>
  <c r="A9" i="124"/>
  <c r="A8" i="124"/>
  <c r="A7" i="124"/>
  <c r="A6" i="124"/>
  <c r="A5" i="124"/>
  <c r="A4" i="124"/>
  <c r="A3" i="124"/>
  <c r="I2" i="124"/>
  <c r="I3" i="124" s="1"/>
  <c r="I4" i="124" s="1"/>
  <c r="A2" i="124"/>
  <c r="A67" i="123"/>
  <c r="F66" i="123"/>
  <c r="E66" i="123"/>
  <c r="C66" i="123"/>
  <c r="C65" i="123" s="1"/>
  <c r="C64" i="123" s="1"/>
  <c r="E64" i="123" s="1"/>
  <c r="A66" i="123"/>
  <c r="E65" i="123"/>
  <c r="A65" i="123"/>
  <c r="A64" i="123"/>
  <c r="C63" i="123"/>
  <c r="A63" i="123"/>
  <c r="A62" i="123"/>
  <c r="A61" i="123"/>
  <c r="A60" i="123"/>
  <c r="A59" i="123"/>
  <c r="A58" i="123"/>
  <c r="A57" i="123"/>
  <c r="A56" i="123"/>
  <c r="A55" i="123"/>
  <c r="A54" i="123"/>
  <c r="A53" i="123"/>
  <c r="A52" i="123"/>
  <c r="A51" i="123"/>
  <c r="A50" i="123"/>
  <c r="A49" i="123"/>
  <c r="A48" i="123"/>
  <c r="A47" i="123"/>
  <c r="A46" i="123"/>
  <c r="A45" i="123"/>
  <c r="A44" i="123"/>
  <c r="A43" i="123"/>
  <c r="A42" i="123"/>
  <c r="A41" i="123"/>
  <c r="A40" i="123"/>
  <c r="A39" i="123"/>
  <c r="A38" i="123"/>
  <c r="A37" i="123"/>
  <c r="A36" i="123"/>
  <c r="A35" i="123"/>
  <c r="A34" i="123"/>
  <c r="A33" i="123"/>
  <c r="A32" i="123"/>
  <c r="A31" i="123"/>
  <c r="A30" i="123"/>
  <c r="A29" i="123"/>
  <c r="A28" i="123"/>
  <c r="A27" i="123"/>
  <c r="A26" i="123"/>
  <c r="A25" i="123"/>
  <c r="A24" i="123"/>
  <c r="A23" i="123"/>
  <c r="A22" i="123"/>
  <c r="A21" i="123"/>
  <c r="A20" i="123"/>
  <c r="A19" i="123"/>
  <c r="A18" i="123"/>
  <c r="A17" i="123"/>
  <c r="A16" i="123"/>
  <c r="A15" i="123"/>
  <c r="A14" i="123"/>
  <c r="A13" i="123"/>
  <c r="A12" i="123"/>
  <c r="A11" i="123"/>
  <c r="A10" i="123"/>
  <c r="A9" i="123"/>
  <c r="A8" i="123"/>
  <c r="A7" i="123"/>
  <c r="A6" i="123"/>
  <c r="A5" i="123"/>
  <c r="A4" i="123"/>
  <c r="I3" i="123"/>
  <c r="A3" i="123"/>
  <c r="I2" i="123"/>
  <c r="A2" i="123"/>
  <c r="A67" i="122"/>
  <c r="F66" i="122"/>
  <c r="C66" i="122"/>
  <c r="E66" i="122" s="1"/>
  <c r="A66" i="122"/>
  <c r="C65" i="122"/>
  <c r="E65" i="122" s="1"/>
  <c r="A65" i="122"/>
  <c r="A64" i="122"/>
  <c r="A63" i="122"/>
  <c r="A62" i="122"/>
  <c r="A61" i="122"/>
  <c r="A60" i="122"/>
  <c r="A59" i="122"/>
  <c r="A58" i="122"/>
  <c r="A57" i="122"/>
  <c r="A56" i="122"/>
  <c r="A55" i="122"/>
  <c r="A54" i="122"/>
  <c r="A53" i="122"/>
  <c r="A52" i="122"/>
  <c r="A51" i="122"/>
  <c r="A50" i="122"/>
  <c r="A49" i="122"/>
  <c r="A48" i="122"/>
  <c r="A47" i="122"/>
  <c r="A46" i="122"/>
  <c r="A45" i="122"/>
  <c r="A44" i="122"/>
  <c r="A43" i="122"/>
  <c r="A42" i="122"/>
  <c r="A41" i="122"/>
  <c r="A40" i="122"/>
  <c r="A39" i="122"/>
  <c r="A38" i="122"/>
  <c r="A37" i="122"/>
  <c r="A36" i="122"/>
  <c r="A35" i="122"/>
  <c r="A34" i="122"/>
  <c r="A33" i="122"/>
  <c r="A32" i="122"/>
  <c r="A31" i="122"/>
  <c r="A30" i="122"/>
  <c r="A29" i="122"/>
  <c r="A28" i="122"/>
  <c r="A27" i="122"/>
  <c r="A26" i="122"/>
  <c r="A25" i="122"/>
  <c r="A24" i="122"/>
  <c r="A23" i="122"/>
  <c r="A22" i="122"/>
  <c r="A21" i="122"/>
  <c r="A20" i="122"/>
  <c r="A19" i="122"/>
  <c r="A18" i="122"/>
  <c r="A17" i="122"/>
  <c r="A16" i="122"/>
  <c r="A15" i="122"/>
  <c r="A14" i="122"/>
  <c r="A13" i="122"/>
  <c r="A12" i="122"/>
  <c r="A11" i="122"/>
  <c r="A10" i="122"/>
  <c r="A9" i="122"/>
  <c r="A8" i="122"/>
  <c r="A7" i="122"/>
  <c r="A6" i="122"/>
  <c r="A5" i="122"/>
  <c r="I4" i="122"/>
  <c r="I5" i="122" s="1"/>
  <c r="A4" i="122"/>
  <c r="I3" i="122"/>
  <c r="A3" i="122"/>
  <c r="I2" i="122"/>
  <c r="A2" i="122"/>
  <c r="A67" i="121"/>
  <c r="F66" i="121"/>
  <c r="C66" i="121"/>
  <c r="E66" i="121" s="1"/>
  <c r="A66" i="121"/>
  <c r="A65" i="121"/>
  <c r="A64" i="121"/>
  <c r="A63" i="121"/>
  <c r="A62" i="121"/>
  <c r="A61" i="121"/>
  <c r="A60" i="121"/>
  <c r="A59" i="121"/>
  <c r="A58" i="121"/>
  <c r="A57" i="121"/>
  <c r="A56" i="121"/>
  <c r="A55" i="121"/>
  <c r="A54" i="121"/>
  <c r="A53" i="121"/>
  <c r="A52" i="121"/>
  <c r="A51" i="121"/>
  <c r="A50" i="121"/>
  <c r="A49" i="121"/>
  <c r="A48" i="121"/>
  <c r="A47" i="121"/>
  <c r="A46" i="121"/>
  <c r="A45" i="121"/>
  <c r="A44" i="121"/>
  <c r="A43" i="121"/>
  <c r="A42" i="121"/>
  <c r="A41" i="121"/>
  <c r="A40" i="121"/>
  <c r="A39" i="121"/>
  <c r="A38" i="121"/>
  <c r="A37" i="121"/>
  <c r="A36" i="121"/>
  <c r="A35" i="121"/>
  <c r="A34" i="121"/>
  <c r="A33" i="121"/>
  <c r="A32" i="121"/>
  <c r="A31" i="121"/>
  <c r="A30" i="121"/>
  <c r="A29" i="121"/>
  <c r="A28" i="121"/>
  <c r="A27" i="121"/>
  <c r="A26" i="121"/>
  <c r="A25" i="121"/>
  <c r="A24" i="121"/>
  <c r="A23" i="121"/>
  <c r="A22" i="121"/>
  <c r="A21" i="121"/>
  <c r="A20" i="121"/>
  <c r="A19" i="121"/>
  <c r="A18" i="121"/>
  <c r="A17" i="121"/>
  <c r="A16" i="121"/>
  <c r="A15" i="121"/>
  <c r="A14" i="121"/>
  <c r="A13" i="121"/>
  <c r="A12" i="121"/>
  <c r="A11" i="121"/>
  <c r="A10" i="121"/>
  <c r="A9" i="121"/>
  <c r="A8" i="121"/>
  <c r="A7" i="121"/>
  <c r="A6" i="121"/>
  <c r="A5" i="121"/>
  <c r="A4" i="121"/>
  <c r="I3" i="121"/>
  <c r="A3" i="121"/>
  <c r="I2" i="121"/>
  <c r="A2" i="121"/>
  <c r="A67" i="120"/>
  <c r="F66" i="120"/>
  <c r="E66" i="120"/>
  <c r="C66" i="120"/>
  <c r="C65" i="120" s="1"/>
  <c r="A66" i="120"/>
  <c r="E65" i="120"/>
  <c r="A65" i="120"/>
  <c r="C64" i="120"/>
  <c r="E64" i="120" s="1"/>
  <c r="A64" i="120"/>
  <c r="C63" i="120"/>
  <c r="A63" i="120"/>
  <c r="A62" i="120"/>
  <c r="A61" i="120"/>
  <c r="A60" i="120"/>
  <c r="A59" i="120"/>
  <c r="A58" i="120"/>
  <c r="A57" i="120"/>
  <c r="A56" i="120"/>
  <c r="A55" i="120"/>
  <c r="A54" i="120"/>
  <c r="A53" i="120"/>
  <c r="A52" i="120"/>
  <c r="A51" i="120"/>
  <c r="A50" i="120"/>
  <c r="A49" i="120"/>
  <c r="A48" i="120"/>
  <c r="A47" i="120"/>
  <c r="A46" i="120"/>
  <c r="A45" i="120"/>
  <c r="A44" i="120"/>
  <c r="A43" i="120"/>
  <c r="A42" i="120"/>
  <c r="A41" i="120"/>
  <c r="A40" i="120"/>
  <c r="A39" i="120"/>
  <c r="A38" i="120"/>
  <c r="A37" i="120"/>
  <c r="A36" i="120"/>
  <c r="A35" i="120"/>
  <c r="A34" i="120"/>
  <c r="A33" i="120"/>
  <c r="A32" i="120"/>
  <c r="A31" i="120"/>
  <c r="A30" i="120"/>
  <c r="A29" i="120"/>
  <c r="A28" i="120"/>
  <c r="A27" i="120"/>
  <c r="A26" i="120"/>
  <c r="A25" i="120"/>
  <c r="A24" i="120"/>
  <c r="A23" i="120"/>
  <c r="A22" i="120"/>
  <c r="A21" i="120"/>
  <c r="A20" i="120"/>
  <c r="A19" i="120"/>
  <c r="A18" i="120"/>
  <c r="A17" i="120"/>
  <c r="A16" i="120"/>
  <c r="A15" i="120"/>
  <c r="A14" i="120"/>
  <c r="A13" i="120"/>
  <c r="A12" i="120"/>
  <c r="A11" i="120"/>
  <c r="A10" i="120"/>
  <c r="A9" i="120"/>
  <c r="A8" i="120"/>
  <c r="A7" i="120"/>
  <c r="A6" i="120"/>
  <c r="A5" i="120"/>
  <c r="A4" i="120"/>
  <c r="A3" i="120"/>
  <c r="I2" i="120"/>
  <c r="A2" i="120"/>
  <c r="A67" i="119"/>
  <c r="F66" i="119"/>
  <c r="C66" i="119"/>
  <c r="C65" i="119" s="1"/>
  <c r="A66" i="119"/>
  <c r="A65" i="119"/>
  <c r="A64" i="119"/>
  <c r="A63" i="119"/>
  <c r="A62" i="119"/>
  <c r="A61" i="119"/>
  <c r="A60" i="119"/>
  <c r="A59" i="119"/>
  <c r="A58" i="119"/>
  <c r="A57" i="119"/>
  <c r="A56" i="119"/>
  <c r="A55" i="119"/>
  <c r="A54" i="119"/>
  <c r="A53" i="119"/>
  <c r="A52" i="119"/>
  <c r="A51" i="119"/>
  <c r="A50" i="119"/>
  <c r="A49" i="119"/>
  <c r="A48" i="119"/>
  <c r="A47" i="119"/>
  <c r="A46" i="119"/>
  <c r="A45" i="119"/>
  <c r="A44" i="119"/>
  <c r="A43" i="119"/>
  <c r="A42" i="119"/>
  <c r="A41" i="119"/>
  <c r="A40" i="119"/>
  <c r="A39" i="119"/>
  <c r="A38" i="119"/>
  <c r="A37" i="119"/>
  <c r="A36" i="119"/>
  <c r="A35" i="119"/>
  <c r="A34" i="119"/>
  <c r="A33" i="119"/>
  <c r="A32" i="119"/>
  <c r="A31" i="119"/>
  <c r="A30" i="119"/>
  <c r="A29" i="119"/>
  <c r="A28" i="119"/>
  <c r="A27" i="119"/>
  <c r="A26" i="119"/>
  <c r="A25" i="119"/>
  <c r="A24" i="119"/>
  <c r="A23" i="119"/>
  <c r="A22" i="119"/>
  <c r="A21" i="119"/>
  <c r="A20" i="119"/>
  <c r="A19" i="119"/>
  <c r="A18" i="119"/>
  <c r="A17" i="119"/>
  <c r="A16" i="119"/>
  <c r="A15" i="119"/>
  <c r="A14" i="119"/>
  <c r="A13" i="119"/>
  <c r="A12" i="119"/>
  <c r="A11" i="119"/>
  <c r="A10" i="119"/>
  <c r="A9" i="119"/>
  <c r="A8" i="119"/>
  <c r="A7" i="119"/>
  <c r="A6" i="119"/>
  <c r="A5" i="119"/>
  <c r="A4" i="119"/>
  <c r="I3" i="119"/>
  <c r="A3" i="119"/>
  <c r="I2" i="119"/>
  <c r="A2" i="119"/>
  <c r="A67" i="118"/>
  <c r="F66" i="118"/>
  <c r="E66" i="118"/>
  <c r="C66" i="118"/>
  <c r="A66" i="118"/>
  <c r="C65" i="118"/>
  <c r="E65" i="118" s="1"/>
  <c r="A65" i="118"/>
  <c r="C64" i="118"/>
  <c r="A64" i="118"/>
  <c r="A63" i="118"/>
  <c r="A62" i="118"/>
  <c r="A61" i="118"/>
  <c r="A60" i="118"/>
  <c r="A59" i="118"/>
  <c r="A58" i="118"/>
  <c r="A57" i="118"/>
  <c r="A56" i="118"/>
  <c r="A55" i="118"/>
  <c r="A54" i="118"/>
  <c r="A53" i="118"/>
  <c r="A52" i="118"/>
  <c r="A51" i="118"/>
  <c r="A50" i="118"/>
  <c r="A49" i="118"/>
  <c r="A48" i="118"/>
  <c r="A47" i="118"/>
  <c r="A46" i="118"/>
  <c r="A45" i="118"/>
  <c r="A44" i="118"/>
  <c r="A43" i="118"/>
  <c r="A42" i="118"/>
  <c r="A41" i="118"/>
  <c r="A40" i="118"/>
  <c r="A39" i="118"/>
  <c r="A38" i="118"/>
  <c r="A37" i="118"/>
  <c r="A36" i="118"/>
  <c r="A35" i="118"/>
  <c r="A34" i="118"/>
  <c r="A33" i="118"/>
  <c r="A32" i="118"/>
  <c r="A31" i="118"/>
  <c r="A30" i="118"/>
  <c r="A29" i="118"/>
  <c r="A28" i="118"/>
  <c r="A27" i="118"/>
  <c r="A26" i="118"/>
  <c r="A25" i="118"/>
  <c r="A24" i="118"/>
  <c r="A23" i="118"/>
  <c r="A22" i="118"/>
  <c r="A21" i="118"/>
  <c r="A20" i="118"/>
  <c r="A19" i="118"/>
  <c r="A18" i="118"/>
  <c r="A17" i="118"/>
  <c r="A16" i="118"/>
  <c r="A15" i="118"/>
  <c r="A14" i="118"/>
  <c r="A13" i="118"/>
  <c r="A12" i="118"/>
  <c r="A11" i="118"/>
  <c r="A10" i="118"/>
  <c r="A9" i="118"/>
  <c r="A8" i="118"/>
  <c r="A7" i="118"/>
  <c r="A6" i="118"/>
  <c r="A5" i="118"/>
  <c r="A4" i="118"/>
  <c r="I3" i="118"/>
  <c r="I4" i="118" s="1"/>
  <c r="A3" i="118"/>
  <c r="I2" i="118"/>
  <c r="A2" i="118"/>
  <c r="A67" i="117"/>
  <c r="F66" i="117"/>
  <c r="C66" i="117"/>
  <c r="E66" i="117" s="1"/>
  <c r="A66" i="117"/>
  <c r="C65" i="117"/>
  <c r="A65" i="117"/>
  <c r="A64" i="117"/>
  <c r="A63" i="117"/>
  <c r="A62" i="117"/>
  <c r="A61" i="117"/>
  <c r="A60" i="117"/>
  <c r="A59" i="117"/>
  <c r="A58" i="117"/>
  <c r="A57" i="117"/>
  <c r="A56" i="117"/>
  <c r="A55" i="117"/>
  <c r="A54" i="117"/>
  <c r="A53" i="117"/>
  <c r="A52" i="117"/>
  <c r="A51" i="117"/>
  <c r="A50" i="117"/>
  <c r="A49" i="117"/>
  <c r="A48" i="117"/>
  <c r="A47" i="117"/>
  <c r="A46" i="117"/>
  <c r="A45" i="117"/>
  <c r="A44" i="117"/>
  <c r="A43" i="117"/>
  <c r="A42" i="117"/>
  <c r="A41" i="117"/>
  <c r="A40" i="117"/>
  <c r="A39" i="117"/>
  <c r="A38" i="117"/>
  <c r="A37" i="117"/>
  <c r="A36" i="117"/>
  <c r="A35" i="117"/>
  <c r="A34" i="117"/>
  <c r="A33" i="117"/>
  <c r="A32" i="117"/>
  <c r="A31" i="117"/>
  <c r="A30" i="117"/>
  <c r="A29" i="117"/>
  <c r="A28" i="117"/>
  <c r="A27" i="117"/>
  <c r="A26" i="117"/>
  <c r="A25" i="117"/>
  <c r="A24" i="117"/>
  <c r="A23" i="117"/>
  <c r="A22" i="117"/>
  <c r="A21" i="117"/>
  <c r="A20" i="117"/>
  <c r="A19" i="117"/>
  <c r="A18" i="117"/>
  <c r="A17" i="117"/>
  <c r="A16" i="117"/>
  <c r="A15" i="117"/>
  <c r="A14" i="117"/>
  <c r="A13" i="117"/>
  <c r="A12" i="117"/>
  <c r="A11" i="117"/>
  <c r="A10" i="117"/>
  <c r="A9" i="117"/>
  <c r="A8" i="117"/>
  <c r="A7" i="117"/>
  <c r="A6" i="117"/>
  <c r="A5" i="117"/>
  <c r="A4" i="117"/>
  <c r="I3" i="117"/>
  <c r="I4" i="117" s="1"/>
  <c r="I5" i="117" s="1"/>
  <c r="A3" i="117"/>
  <c r="I2" i="117"/>
  <c r="A2" i="117"/>
  <c r="A67" i="116"/>
  <c r="F66" i="116"/>
  <c r="E66" i="116"/>
  <c r="C66" i="116"/>
  <c r="A66" i="116"/>
  <c r="E65" i="116"/>
  <c r="C65" i="116"/>
  <c r="A65" i="116"/>
  <c r="C64" i="116"/>
  <c r="E64" i="116" s="1"/>
  <c r="A64" i="116"/>
  <c r="A63" i="116"/>
  <c r="A62" i="116"/>
  <c r="A61" i="116"/>
  <c r="A60" i="116"/>
  <c r="A59" i="116"/>
  <c r="A58" i="116"/>
  <c r="A57" i="116"/>
  <c r="A56" i="116"/>
  <c r="A55" i="116"/>
  <c r="A54" i="116"/>
  <c r="A53" i="116"/>
  <c r="A52" i="116"/>
  <c r="A51" i="116"/>
  <c r="A50" i="116"/>
  <c r="A49" i="116"/>
  <c r="A48" i="116"/>
  <c r="A47" i="116"/>
  <c r="A46" i="116"/>
  <c r="A45" i="116"/>
  <c r="A44" i="116"/>
  <c r="A43" i="116"/>
  <c r="A42" i="116"/>
  <c r="A41" i="116"/>
  <c r="A40" i="116"/>
  <c r="A39" i="116"/>
  <c r="A38" i="116"/>
  <c r="A37" i="116"/>
  <c r="A36" i="116"/>
  <c r="A35" i="116"/>
  <c r="A34" i="116"/>
  <c r="A33" i="116"/>
  <c r="A32" i="116"/>
  <c r="A31" i="116"/>
  <c r="A30" i="116"/>
  <c r="A29" i="116"/>
  <c r="A28" i="116"/>
  <c r="A27" i="116"/>
  <c r="A26" i="116"/>
  <c r="A25" i="116"/>
  <c r="A24" i="116"/>
  <c r="A23" i="116"/>
  <c r="A22" i="116"/>
  <c r="A21" i="116"/>
  <c r="A20" i="116"/>
  <c r="A19" i="116"/>
  <c r="A18" i="116"/>
  <c r="A17" i="116"/>
  <c r="A16" i="116"/>
  <c r="A15" i="116"/>
  <c r="A14" i="116"/>
  <c r="A13" i="116"/>
  <c r="A12" i="116"/>
  <c r="A11" i="116"/>
  <c r="A10" i="116"/>
  <c r="A9" i="116"/>
  <c r="A8" i="116"/>
  <c r="A7" i="116"/>
  <c r="A6" i="116"/>
  <c r="A5" i="116"/>
  <c r="A4" i="116"/>
  <c r="I3" i="116"/>
  <c r="A3" i="116"/>
  <c r="I2" i="116"/>
  <c r="A2" i="116"/>
  <c r="A67" i="115"/>
  <c r="F66" i="115"/>
  <c r="E66" i="115"/>
  <c r="C66" i="115"/>
  <c r="A66" i="115"/>
  <c r="E65" i="115"/>
  <c r="C65" i="115"/>
  <c r="A65" i="115"/>
  <c r="C64" i="115"/>
  <c r="E64" i="115" s="1"/>
  <c r="A64" i="115"/>
  <c r="C63" i="115"/>
  <c r="A63" i="115"/>
  <c r="A62" i="115"/>
  <c r="A61" i="115"/>
  <c r="A60" i="115"/>
  <c r="A59" i="115"/>
  <c r="A58" i="115"/>
  <c r="A57" i="115"/>
  <c r="A56" i="115"/>
  <c r="A55" i="115"/>
  <c r="A54" i="115"/>
  <c r="A53" i="115"/>
  <c r="A52" i="115"/>
  <c r="A51" i="115"/>
  <c r="A50" i="115"/>
  <c r="A49" i="115"/>
  <c r="A48" i="115"/>
  <c r="A47" i="115"/>
  <c r="A46" i="115"/>
  <c r="A45" i="115"/>
  <c r="A44" i="115"/>
  <c r="A43" i="115"/>
  <c r="A42" i="115"/>
  <c r="A41" i="115"/>
  <c r="A40" i="115"/>
  <c r="A39" i="115"/>
  <c r="A38" i="115"/>
  <c r="A37" i="115"/>
  <c r="A36" i="115"/>
  <c r="A35" i="115"/>
  <c r="A34" i="115"/>
  <c r="A33" i="115"/>
  <c r="A32" i="115"/>
  <c r="A31" i="115"/>
  <c r="A30" i="115"/>
  <c r="A29" i="115"/>
  <c r="A28" i="115"/>
  <c r="A27" i="115"/>
  <c r="A26" i="115"/>
  <c r="A25" i="115"/>
  <c r="A24" i="115"/>
  <c r="A23" i="115"/>
  <c r="A22" i="115"/>
  <c r="A21" i="115"/>
  <c r="A20" i="115"/>
  <c r="A19" i="115"/>
  <c r="A18" i="115"/>
  <c r="A17" i="115"/>
  <c r="A16" i="115"/>
  <c r="A15" i="115"/>
  <c r="A14" i="115"/>
  <c r="A13" i="115"/>
  <c r="A12" i="115"/>
  <c r="A11" i="115"/>
  <c r="A10" i="115"/>
  <c r="A9" i="115"/>
  <c r="A8" i="115"/>
  <c r="A7" i="115"/>
  <c r="A6" i="115"/>
  <c r="A5" i="115"/>
  <c r="A4" i="115"/>
  <c r="I3" i="115"/>
  <c r="I4" i="115" s="1"/>
  <c r="A3" i="115"/>
  <c r="I2" i="115"/>
  <c r="A2" i="115"/>
  <c r="A67" i="114"/>
  <c r="F66" i="114"/>
  <c r="C66" i="114"/>
  <c r="E66" i="114" s="1"/>
  <c r="A66" i="114"/>
  <c r="C65" i="114"/>
  <c r="A65" i="114"/>
  <c r="A64" i="114"/>
  <c r="A63" i="114"/>
  <c r="A62" i="114"/>
  <c r="A61" i="114"/>
  <c r="A60" i="114"/>
  <c r="A59" i="114"/>
  <c r="A58" i="114"/>
  <c r="A57" i="114"/>
  <c r="A56" i="114"/>
  <c r="A55" i="114"/>
  <c r="A54" i="114"/>
  <c r="A53" i="114"/>
  <c r="A52" i="114"/>
  <c r="A51" i="114"/>
  <c r="A50" i="114"/>
  <c r="A49" i="114"/>
  <c r="A48" i="114"/>
  <c r="A47" i="114"/>
  <c r="A46" i="114"/>
  <c r="A45" i="114"/>
  <c r="A44" i="114"/>
  <c r="A43" i="114"/>
  <c r="A42" i="114"/>
  <c r="A41" i="114"/>
  <c r="A40" i="114"/>
  <c r="A39" i="114"/>
  <c r="A38" i="114"/>
  <c r="A37" i="114"/>
  <c r="A36" i="114"/>
  <c r="A35" i="114"/>
  <c r="A34" i="114"/>
  <c r="A33" i="114"/>
  <c r="A32" i="114"/>
  <c r="A31" i="114"/>
  <c r="A30" i="114"/>
  <c r="A29" i="114"/>
  <c r="A28" i="114"/>
  <c r="A27" i="114"/>
  <c r="A26" i="114"/>
  <c r="A25" i="114"/>
  <c r="A24" i="114"/>
  <c r="A23" i="114"/>
  <c r="A22" i="114"/>
  <c r="A21" i="114"/>
  <c r="A20" i="114"/>
  <c r="A19" i="114"/>
  <c r="A18" i="114"/>
  <c r="A17" i="114"/>
  <c r="A16" i="114"/>
  <c r="A15" i="114"/>
  <c r="A14" i="114"/>
  <c r="A13" i="114"/>
  <c r="A12" i="114"/>
  <c r="A11" i="114"/>
  <c r="A10" i="114"/>
  <c r="A9" i="114"/>
  <c r="A8" i="114"/>
  <c r="A7" i="114"/>
  <c r="A6" i="114"/>
  <c r="A5" i="114"/>
  <c r="A4" i="114"/>
  <c r="A3" i="114"/>
  <c r="I2" i="114"/>
  <c r="I3" i="114" s="1"/>
  <c r="A2" i="114"/>
  <c r="A67" i="113"/>
  <c r="F66" i="113"/>
  <c r="C66" i="113"/>
  <c r="E66" i="113" s="1"/>
  <c r="A66" i="113"/>
  <c r="E65" i="113"/>
  <c r="C65" i="113"/>
  <c r="C64" i="113" s="1"/>
  <c r="A65" i="113"/>
  <c r="A64" i="113"/>
  <c r="A63" i="113"/>
  <c r="A62" i="113"/>
  <c r="A61" i="113"/>
  <c r="A60" i="113"/>
  <c r="A59" i="113"/>
  <c r="A58" i="113"/>
  <c r="A57" i="113"/>
  <c r="A56" i="113"/>
  <c r="A55" i="113"/>
  <c r="A54" i="113"/>
  <c r="A53" i="113"/>
  <c r="A52" i="113"/>
  <c r="A51" i="113"/>
  <c r="A50" i="113"/>
  <c r="A49" i="113"/>
  <c r="A48" i="113"/>
  <c r="A47" i="113"/>
  <c r="A46" i="113"/>
  <c r="A45" i="113"/>
  <c r="A44" i="113"/>
  <c r="A43" i="113"/>
  <c r="A42" i="113"/>
  <c r="A41" i="113"/>
  <c r="A40" i="113"/>
  <c r="A39" i="113"/>
  <c r="A38" i="113"/>
  <c r="A37" i="113"/>
  <c r="A36" i="113"/>
  <c r="A35" i="113"/>
  <c r="A34" i="113"/>
  <c r="A33" i="113"/>
  <c r="A32" i="113"/>
  <c r="A31" i="113"/>
  <c r="A30" i="113"/>
  <c r="A29" i="113"/>
  <c r="A28" i="113"/>
  <c r="A27" i="113"/>
  <c r="A26" i="113"/>
  <c r="A25" i="113"/>
  <c r="A24" i="113"/>
  <c r="A23" i="113"/>
  <c r="A22" i="113"/>
  <c r="A21" i="113"/>
  <c r="A20" i="113"/>
  <c r="A19" i="113"/>
  <c r="A18" i="113"/>
  <c r="A17" i="113"/>
  <c r="A16" i="113"/>
  <c r="A15" i="113"/>
  <c r="A14" i="113"/>
  <c r="A13" i="113"/>
  <c r="A12" i="113"/>
  <c r="A11" i="113"/>
  <c r="A10" i="113"/>
  <c r="A9" i="113"/>
  <c r="A8" i="113"/>
  <c r="A7" i="113"/>
  <c r="A6" i="113"/>
  <c r="A5" i="113"/>
  <c r="A4" i="113"/>
  <c r="A3" i="113"/>
  <c r="I2" i="113"/>
  <c r="I3" i="113" s="1"/>
  <c r="I4" i="113" s="1"/>
  <c r="A2" i="113"/>
  <c r="A67" i="112"/>
  <c r="F66" i="112"/>
  <c r="E66" i="112"/>
  <c r="C66" i="112"/>
  <c r="A66" i="112"/>
  <c r="E65" i="112"/>
  <c r="C65" i="112"/>
  <c r="A65" i="112"/>
  <c r="C64" i="112"/>
  <c r="E64" i="112" s="1"/>
  <c r="A64" i="112"/>
  <c r="A63" i="112"/>
  <c r="A62" i="112"/>
  <c r="A61" i="112"/>
  <c r="A60" i="112"/>
  <c r="A59" i="112"/>
  <c r="A58" i="112"/>
  <c r="A57" i="112"/>
  <c r="A56" i="112"/>
  <c r="A55" i="112"/>
  <c r="A54" i="112"/>
  <c r="A53" i="112"/>
  <c r="A52" i="112"/>
  <c r="A51" i="112"/>
  <c r="A50" i="112"/>
  <c r="A49" i="112"/>
  <c r="A48" i="112"/>
  <c r="A47" i="112"/>
  <c r="A46" i="112"/>
  <c r="A45" i="112"/>
  <c r="A44" i="112"/>
  <c r="A43" i="112"/>
  <c r="A42" i="112"/>
  <c r="A41" i="112"/>
  <c r="A40" i="112"/>
  <c r="A39" i="112"/>
  <c r="A38" i="112"/>
  <c r="A37" i="112"/>
  <c r="A36" i="112"/>
  <c r="A35" i="112"/>
  <c r="A34" i="112"/>
  <c r="A33" i="112"/>
  <c r="A32" i="112"/>
  <c r="A31" i="112"/>
  <c r="A30" i="112"/>
  <c r="A29" i="112"/>
  <c r="A28" i="112"/>
  <c r="A27" i="112"/>
  <c r="A26" i="112"/>
  <c r="A25" i="112"/>
  <c r="A24" i="112"/>
  <c r="A23" i="112"/>
  <c r="A22" i="112"/>
  <c r="A21" i="112"/>
  <c r="A20" i="112"/>
  <c r="A19" i="112"/>
  <c r="A18" i="112"/>
  <c r="A17" i="112"/>
  <c r="A16" i="112"/>
  <c r="A15" i="112"/>
  <c r="A14" i="112"/>
  <c r="A13" i="112"/>
  <c r="A12" i="112"/>
  <c r="A11" i="112"/>
  <c r="A10" i="112"/>
  <c r="A9" i="112"/>
  <c r="A8" i="112"/>
  <c r="A7" i="112"/>
  <c r="A6" i="112"/>
  <c r="A5" i="112"/>
  <c r="A4" i="112"/>
  <c r="A3" i="112"/>
  <c r="I2" i="112"/>
  <c r="A2" i="112"/>
  <c r="A67" i="111"/>
  <c r="F66" i="111"/>
  <c r="C66" i="111"/>
  <c r="E66" i="111" s="1"/>
  <c r="A66" i="111"/>
  <c r="E65" i="111"/>
  <c r="C65" i="111"/>
  <c r="C64" i="111" s="1"/>
  <c r="A65" i="111"/>
  <c r="E64" i="111"/>
  <c r="A64" i="111"/>
  <c r="C63" i="111"/>
  <c r="E63" i="111" s="1"/>
  <c r="A63" i="111"/>
  <c r="C62" i="111"/>
  <c r="A62" i="111"/>
  <c r="A61" i="111"/>
  <c r="A60" i="111"/>
  <c r="A59" i="111"/>
  <c r="A58" i="111"/>
  <c r="A57" i="111"/>
  <c r="A56" i="111"/>
  <c r="A55" i="111"/>
  <c r="A54" i="111"/>
  <c r="A53" i="111"/>
  <c r="A52" i="111"/>
  <c r="A51" i="111"/>
  <c r="A50" i="111"/>
  <c r="A49" i="111"/>
  <c r="A48" i="111"/>
  <c r="A47" i="111"/>
  <c r="A46" i="111"/>
  <c r="A45" i="111"/>
  <c r="A44" i="111"/>
  <c r="A43" i="111"/>
  <c r="A42" i="111"/>
  <c r="A41" i="111"/>
  <c r="A40" i="111"/>
  <c r="A39" i="111"/>
  <c r="A38" i="111"/>
  <c r="A37" i="111"/>
  <c r="A36" i="111"/>
  <c r="A35" i="111"/>
  <c r="A34" i="111"/>
  <c r="A33" i="111"/>
  <c r="A32" i="111"/>
  <c r="A31" i="111"/>
  <c r="A30" i="111"/>
  <c r="A29" i="111"/>
  <c r="A28" i="111"/>
  <c r="A27" i="111"/>
  <c r="A26" i="111"/>
  <c r="A25" i="111"/>
  <c r="A24" i="111"/>
  <c r="A23" i="111"/>
  <c r="A22" i="111"/>
  <c r="A21" i="111"/>
  <c r="A20" i="111"/>
  <c r="A19" i="111"/>
  <c r="A18" i="111"/>
  <c r="A17" i="111"/>
  <c r="A16" i="111"/>
  <c r="A15" i="111"/>
  <c r="A14" i="111"/>
  <c r="A13" i="111"/>
  <c r="A12" i="111"/>
  <c r="A11" i="111"/>
  <c r="A10" i="111"/>
  <c r="A9" i="111"/>
  <c r="A8" i="111"/>
  <c r="A7" i="111"/>
  <c r="A6" i="111"/>
  <c r="A5" i="111"/>
  <c r="A4" i="111"/>
  <c r="A3" i="111"/>
  <c r="I2" i="111"/>
  <c r="I3" i="111" s="1"/>
  <c r="A2" i="111"/>
  <c r="A67" i="110"/>
  <c r="F66" i="110"/>
  <c r="E66" i="110"/>
  <c r="C66" i="110"/>
  <c r="C65" i="110" s="1"/>
  <c r="A66" i="110"/>
  <c r="E65" i="110"/>
  <c r="A65" i="110"/>
  <c r="C64" i="110"/>
  <c r="A64" i="110"/>
  <c r="A63" i="110"/>
  <c r="A62" i="110"/>
  <c r="A61" i="110"/>
  <c r="A60" i="110"/>
  <c r="A59" i="110"/>
  <c r="A58" i="110"/>
  <c r="A57" i="110"/>
  <c r="A56" i="110"/>
  <c r="A55" i="110"/>
  <c r="A54" i="110"/>
  <c r="A53" i="110"/>
  <c r="A52" i="110"/>
  <c r="A51" i="110"/>
  <c r="A50" i="110"/>
  <c r="A49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I2" i="110"/>
  <c r="A2" i="110"/>
  <c r="A67" i="109"/>
  <c r="F66" i="109"/>
  <c r="C66" i="109"/>
  <c r="A66" i="109"/>
  <c r="A65" i="109"/>
  <c r="A64" i="109"/>
  <c r="A63" i="109"/>
  <c r="A62" i="109"/>
  <c r="A61" i="109"/>
  <c r="A60" i="109"/>
  <c r="A59" i="109"/>
  <c r="A58" i="109"/>
  <c r="A57" i="109"/>
  <c r="A56" i="109"/>
  <c r="A55" i="109"/>
  <c r="A54" i="109"/>
  <c r="A53" i="109"/>
  <c r="A52" i="109"/>
  <c r="A51" i="109"/>
  <c r="A50" i="109"/>
  <c r="A49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I2" i="109"/>
  <c r="A2" i="109"/>
  <c r="A67" i="108"/>
  <c r="F66" i="108"/>
  <c r="C66" i="108"/>
  <c r="C65" i="108" s="1"/>
  <c r="A66" i="108"/>
  <c r="A65" i="108"/>
  <c r="A64" i="108"/>
  <c r="A63" i="108"/>
  <c r="A62" i="108"/>
  <c r="A61" i="108"/>
  <c r="A60" i="108"/>
  <c r="A59" i="108"/>
  <c r="A58" i="108"/>
  <c r="A57" i="108"/>
  <c r="A56" i="108"/>
  <c r="A55" i="108"/>
  <c r="A54" i="108"/>
  <c r="A53" i="108"/>
  <c r="A52" i="108"/>
  <c r="A51" i="108"/>
  <c r="A50" i="108"/>
  <c r="A49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I2" i="108"/>
  <c r="I3" i="108" s="1"/>
  <c r="A2" i="108"/>
  <c r="A67" i="107"/>
  <c r="F66" i="107"/>
  <c r="C66" i="107"/>
  <c r="A66" i="107"/>
  <c r="A65" i="107"/>
  <c r="A64" i="107"/>
  <c r="A63" i="107"/>
  <c r="A62" i="107"/>
  <c r="A61" i="107"/>
  <c r="A60" i="107"/>
  <c r="A59" i="107"/>
  <c r="A58" i="107"/>
  <c r="A57" i="107"/>
  <c r="A56" i="107"/>
  <c r="A55" i="107"/>
  <c r="A54" i="107"/>
  <c r="A53" i="107"/>
  <c r="A52" i="107"/>
  <c r="A51" i="107"/>
  <c r="A50" i="107"/>
  <c r="A49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I2" i="107"/>
  <c r="I3" i="107" s="1"/>
  <c r="I4" i="107" s="1"/>
  <c r="I5" i="107" s="1"/>
  <c r="A2" i="107"/>
  <c r="A67" i="106"/>
  <c r="F66" i="106"/>
  <c r="E66" i="106"/>
  <c r="C66" i="106"/>
  <c r="A66" i="106"/>
  <c r="C65" i="106"/>
  <c r="C64" i="106" s="1"/>
  <c r="E64" i="106" s="1"/>
  <c r="A65" i="106"/>
  <c r="A64" i="106"/>
  <c r="C63" i="106"/>
  <c r="E63" i="106" s="1"/>
  <c r="A63" i="106"/>
  <c r="A62" i="106"/>
  <c r="A61" i="106"/>
  <c r="A60" i="106"/>
  <c r="A59" i="106"/>
  <c r="A58" i="106"/>
  <c r="A57" i="106"/>
  <c r="A56" i="106"/>
  <c r="A55" i="106"/>
  <c r="A54" i="106"/>
  <c r="A53" i="106"/>
  <c r="A52" i="106"/>
  <c r="A51" i="106"/>
  <c r="A50" i="106"/>
  <c r="A49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I3" i="106"/>
  <c r="A3" i="106"/>
  <c r="I2" i="106"/>
  <c r="A2" i="106"/>
  <c r="A67" i="105"/>
  <c r="F66" i="105"/>
  <c r="E66" i="105"/>
  <c r="C66" i="105"/>
  <c r="A66" i="105"/>
  <c r="C65" i="105"/>
  <c r="E65" i="105" s="1"/>
  <c r="A65" i="105"/>
  <c r="E64" i="105"/>
  <c r="C64" i="105"/>
  <c r="C63" i="105" s="1"/>
  <c r="A64" i="105"/>
  <c r="E63" i="105"/>
  <c r="A63" i="105"/>
  <c r="C62" i="105"/>
  <c r="A62" i="105"/>
  <c r="A61" i="105"/>
  <c r="A60" i="105"/>
  <c r="A59" i="105"/>
  <c r="A58" i="105"/>
  <c r="A57" i="105"/>
  <c r="A56" i="105"/>
  <c r="A55" i="105"/>
  <c r="A54" i="105"/>
  <c r="A53" i="105"/>
  <c r="A52" i="105"/>
  <c r="A51" i="105"/>
  <c r="A50" i="105"/>
  <c r="A49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I2" i="105"/>
  <c r="A2" i="105"/>
  <c r="A67" i="104"/>
  <c r="F66" i="104"/>
  <c r="E66" i="104"/>
  <c r="C66" i="104"/>
  <c r="C65" i="104" s="1"/>
  <c r="C64" i="104" s="1"/>
  <c r="A66" i="104"/>
  <c r="E65" i="104"/>
  <c r="A65" i="104"/>
  <c r="A64" i="104"/>
  <c r="A63" i="104"/>
  <c r="A62" i="104"/>
  <c r="A61" i="104"/>
  <c r="A60" i="104"/>
  <c r="A59" i="104"/>
  <c r="A58" i="104"/>
  <c r="A57" i="104"/>
  <c r="A56" i="104"/>
  <c r="A55" i="104"/>
  <c r="A54" i="104"/>
  <c r="A53" i="104"/>
  <c r="A52" i="104"/>
  <c r="A51" i="104"/>
  <c r="A50" i="104"/>
  <c r="A49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I2" i="104"/>
  <c r="I3" i="104" s="1"/>
  <c r="A2" i="104"/>
  <c r="A67" i="103"/>
  <c r="F66" i="103"/>
  <c r="C66" i="103"/>
  <c r="E66" i="103" s="1"/>
  <c r="A66" i="103"/>
  <c r="C65" i="103"/>
  <c r="E65" i="103" s="1"/>
  <c r="A65" i="103"/>
  <c r="C64" i="103"/>
  <c r="A64" i="103"/>
  <c r="A63" i="103"/>
  <c r="A62" i="103"/>
  <c r="A61" i="103"/>
  <c r="A60" i="103"/>
  <c r="A59" i="103"/>
  <c r="A58" i="103"/>
  <c r="A57" i="103"/>
  <c r="A56" i="103"/>
  <c r="A55" i="103"/>
  <c r="A54" i="103"/>
  <c r="A53" i="103"/>
  <c r="A52" i="103"/>
  <c r="A51" i="103"/>
  <c r="A50" i="103"/>
  <c r="A49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I3" i="103"/>
  <c r="A3" i="103"/>
  <c r="I2" i="103"/>
  <c r="A2" i="103"/>
  <c r="A67" i="102"/>
  <c r="F66" i="102"/>
  <c r="E66" i="102"/>
  <c r="C66" i="102"/>
  <c r="C65" i="102" s="1"/>
  <c r="E65" i="102" s="1"/>
  <c r="A66" i="102"/>
  <c r="A65" i="102"/>
  <c r="C64" i="102"/>
  <c r="E64" i="102" s="1"/>
  <c r="A64" i="102"/>
  <c r="E63" i="102"/>
  <c r="C63" i="102"/>
  <c r="A63" i="102"/>
  <c r="C62" i="102"/>
  <c r="A62" i="102"/>
  <c r="A61" i="102"/>
  <c r="A60" i="102"/>
  <c r="A59" i="102"/>
  <c r="A58" i="102"/>
  <c r="A57" i="102"/>
  <c r="A56" i="102"/>
  <c r="A55" i="102"/>
  <c r="A54" i="102"/>
  <c r="A53" i="102"/>
  <c r="A52" i="102"/>
  <c r="A51" i="102"/>
  <c r="A50" i="102"/>
  <c r="A49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I2" i="102"/>
  <c r="A2" i="102"/>
  <c r="A67" i="101"/>
  <c r="F66" i="101"/>
  <c r="E66" i="101"/>
  <c r="A66" i="101"/>
  <c r="A65" i="101"/>
  <c r="A64" i="101"/>
  <c r="A63" i="101"/>
  <c r="A62" i="101"/>
  <c r="A61" i="101"/>
  <c r="A60" i="101"/>
  <c r="A59" i="101"/>
  <c r="A58" i="101"/>
  <c r="A57" i="101"/>
  <c r="A56" i="101"/>
  <c r="A55" i="101"/>
  <c r="A54" i="101"/>
  <c r="A53" i="101"/>
  <c r="A52" i="101"/>
  <c r="A51" i="101"/>
  <c r="A50" i="101"/>
  <c r="A49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I2" i="101"/>
  <c r="I3" i="101" s="1"/>
  <c r="I4" i="101" s="1"/>
  <c r="I5" i="101" s="1"/>
  <c r="A2" i="101"/>
  <c r="A67" i="100"/>
  <c r="F66" i="100"/>
  <c r="C66" i="100"/>
  <c r="E66" i="100" s="1"/>
  <c r="A66" i="100"/>
  <c r="A65" i="100"/>
  <c r="A64" i="100"/>
  <c r="A63" i="100"/>
  <c r="A62" i="100"/>
  <c r="A61" i="100"/>
  <c r="A60" i="100"/>
  <c r="A59" i="100"/>
  <c r="A58" i="100"/>
  <c r="A57" i="100"/>
  <c r="A56" i="100"/>
  <c r="A55" i="100"/>
  <c r="A54" i="100"/>
  <c r="A53" i="100"/>
  <c r="A52" i="100"/>
  <c r="A51" i="100"/>
  <c r="A50" i="100"/>
  <c r="A49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I2" i="100"/>
  <c r="A2" i="100"/>
  <c r="A67" i="99"/>
  <c r="F66" i="99"/>
  <c r="C66" i="99"/>
  <c r="C65" i="99" s="1"/>
  <c r="C64" i="99" s="1"/>
  <c r="E64" i="99" s="1"/>
  <c r="A66" i="99"/>
  <c r="A65" i="99"/>
  <c r="A64" i="99"/>
  <c r="A63" i="99"/>
  <c r="A62" i="99"/>
  <c r="A61" i="99"/>
  <c r="A60" i="99"/>
  <c r="A59" i="99"/>
  <c r="A58" i="99"/>
  <c r="A57" i="99"/>
  <c r="A56" i="99"/>
  <c r="A55" i="99"/>
  <c r="A54" i="99"/>
  <c r="A53" i="99"/>
  <c r="A52" i="99"/>
  <c r="A51" i="99"/>
  <c r="A50" i="99"/>
  <c r="A49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I3" i="99"/>
  <c r="I4" i="99" s="1"/>
  <c r="A3" i="99"/>
  <c r="I2" i="99"/>
  <c r="A2" i="99"/>
  <c r="A67" i="98"/>
  <c r="F66" i="98"/>
  <c r="E66" i="98"/>
  <c r="C66" i="98"/>
  <c r="A66" i="98"/>
  <c r="C65" i="98"/>
  <c r="C64" i="98" s="1"/>
  <c r="C63" i="98" s="1"/>
  <c r="C62" i="98" s="1"/>
  <c r="C61" i="98" s="1"/>
  <c r="E61" i="98" s="1"/>
  <c r="A65" i="98"/>
  <c r="A64" i="98"/>
  <c r="A63" i="98"/>
  <c r="A62" i="98"/>
  <c r="A61" i="98"/>
  <c r="A60" i="98"/>
  <c r="A59" i="98"/>
  <c r="A58" i="98"/>
  <c r="A57" i="98"/>
  <c r="A56" i="98"/>
  <c r="A55" i="98"/>
  <c r="A54" i="98"/>
  <c r="A53" i="98"/>
  <c r="A52" i="98"/>
  <c r="A51" i="98"/>
  <c r="A50" i="98"/>
  <c r="A49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I2" i="98"/>
  <c r="I3" i="98" s="1"/>
  <c r="I4" i="98" s="1"/>
  <c r="I5" i="98" s="1"/>
  <c r="A2" i="98"/>
  <c r="A67" i="97"/>
  <c r="F66" i="97"/>
  <c r="C66" i="97"/>
  <c r="E66" i="97" s="1"/>
  <c r="A66" i="97"/>
  <c r="C65" i="97"/>
  <c r="E65" i="97" s="1"/>
  <c r="A65" i="97"/>
  <c r="A64" i="97"/>
  <c r="A63" i="97"/>
  <c r="A62" i="97"/>
  <c r="A61" i="97"/>
  <c r="A60" i="97"/>
  <c r="A59" i="97"/>
  <c r="A58" i="97"/>
  <c r="A57" i="97"/>
  <c r="A56" i="97"/>
  <c r="A55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I3" i="97"/>
  <c r="A3" i="97"/>
  <c r="I2" i="97"/>
  <c r="A2" i="97"/>
  <c r="A67" i="96"/>
  <c r="F66" i="96"/>
  <c r="C66" i="96"/>
  <c r="E66" i="96" s="1"/>
  <c r="A66" i="96"/>
  <c r="C65" i="96"/>
  <c r="E65" i="96" s="1"/>
  <c r="A65" i="96"/>
  <c r="A64" i="96"/>
  <c r="A63" i="96"/>
  <c r="A62" i="96"/>
  <c r="A61" i="96"/>
  <c r="A60" i="96"/>
  <c r="A59" i="96"/>
  <c r="A58" i="96"/>
  <c r="A57" i="96"/>
  <c r="A56" i="96"/>
  <c r="A55" i="96"/>
  <c r="A54" i="96"/>
  <c r="A53" i="96"/>
  <c r="A52" i="96"/>
  <c r="A51" i="96"/>
  <c r="A50" i="96"/>
  <c r="A49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I2" i="96"/>
  <c r="A2" i="96"/>
  <c r="A67" i="95"/>
  <c r="F66" i="95"/>
  <c r="C66" i="95"/>
  <c r="E66" i="95" s="1"/>
  <c r="A66" i="95"/>
  <c r="C65" i="95"/>
  <c r="E65" i="95" s="1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I2" i="95"/>
  <c r="A2" i="95"/>
  <c r="A67" i="94"/>
  <c r="F66" i="94"/>
  <c r="E66" i="94"/>
  <c r="C66" i="94"/>
  <c r="A66" i="94"/>
  <c r="E65" i="94"/>
  <c r="C65" i="94"/>
  <c r="C64" i="94" s="1"/>
  <c r="E64" i="94" s="1"/>
  <c r="A65" i="94"/>
  <c r="A64" i="94"/>
  <c r="A63" i="94"/>
  <c r="A62" i="94"/>
  <c r="A61" i="94"/>
  <c r="A60" i="94"/>
  <c r="A59" i="94"/>
  <c r="A58" i="94"/>
  <c r="A57" i="94"/>
  <c r="A56" i="94"/>
  <c r="A55" i="94"/>
  <c r="A54" i="94"/>
  <c r="A53" i="94"/>
  <c r="A52" i="94"/>
  <c r="A51" i="94"/>
  <c r="A50" i="94"/>
  <c r="A49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I6" i="94"/>
  <c r="A6" i="94"/>
  <c r="A5" i="94"/>
  <c r="A4" i="94"/>
  <c r="A3" i="94"/>
  <c r="I2" i="94"/>
  <c r="I3" i="94" s="1"/>
  <c r="I4" i="94" s="1"/>
  <c r="I5" i="94" s="1"/>
  <c r="A2" i="94"/>
  <c r="A67" i="93"/>
  <c r="F66" i="93"/>
  <c r="C66" i="93"/>
  <c r="E66" i="93" s="1"/>
  <c r="A66" i="93"/>
  <c r="A65" i="93"/>
  <c r="A64" i="93"/>
  <c r="A63" i="93"/>
  <c r="A62" i="93"/>
  <c r="A61" i="93"/>
  <c r="A60" i="93"/>
  <c r="A59" i="93"/>
  <c r="A58" i="93"/>
  <c r="A57" i="93"/>
  <c r="A56" i="93"/>
  <c r="A55" i="93"/>
  <c r="A54" i="93"/>
  <c r="A53" i="93"/>
  <c r="A52" i="93"/>
  <c r="A51" i="93"/>
  <c r="A50" i="93"/>
  <c r="A49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I2" i="93"/>
  <c r="I3" i="93" s="1"/>
  <c r="I4" i="93" s="1"/>
  <c r="A2" i="93"/>
  <c r="A67" i="92"/>
  <c r="F66" i="92"/>
  <c r="C66" i="92"/>
  <c r="A66" i="92"/>
  <c r="A65" i="92"/>
  <c r="A64" i="92"/>
  <c r="A63" i="92"/>
  <c r="A62" i="92"/>
  <c r="A61" i="92"/>
  <c r="A60" i="92"/>
  <c r="A59" i="92"/>
  <c r="A58" i="92"/>
  <c r="A57" i="92"/>
  <c r="A56" i="92"/>
  <c r="A55" i="92"/>
  <c r="A54" i="92"/>
  <c r="A53" i="92"/>
  <c r="A52" i="92"/>
  <c r="A51" i="92"/>
  <c r="A50" i="92"/>
  <c r="A49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I4" i="92"/>
  <c r="A4" i="92"/>
  <c r="A3" i="92"/>
  <c r="I2" i="92"/>
  <c r="I3" i="92" s="1"/>
  <c r="A2" i="92"/>
  <c r="A67" i="91"/>
  <c r="F66" i="91"/>
  <c r="C66" i="91"/>
  <c r="E66" i="91" s="1"/>
  <c r="A66" i="91"/>
  <c r="A65" i="91"/>
  <c r="A64" i="91"/>
  <c r="A63" i="91"/>
  <c r="A62" i="91"/>
  <c r="A61" i="91"/>
  <c r="A60" i="91"/>
  <c r="A59" i="91"/>
  <c r="A58" i="91"/>
  <c r="A57" i="91"/>
  <c r="A56" i="91"/>
  <c r="A55" i="91"/>
  <c r="A54" i="91"/>
  <c r="A53" i="91"/>
  <c r="A52" i="91"/>
  <c r="A51" i="91"/>
  <c r="A50" i="91"/>
  <c r="A49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I2" i="91"/>
  <c r="A2" i="91"/>
  <c r="A67" i="90"/>
  <c r="F66" i="90"/>
  <c r="C66" i="90"/>
  <c r="A66" i="90"/>
  <c r="A65" i="90"/>
  <c r="A64" i="90"/>
  <c r="A63" i="90"/>
  <c r="A62" i="90"/>
  <c r="A61" i="90"/>
  <c r="A60" i="90"/>
  <c r="A59" i="90"/>
  <c r="A58" i="90"/>
  <c r="A57" i="90"/>
  <c r="A56" i="90"/>
  <c r="A55" i="90"/>
  <c r="A54" i="90"/>
  <c r="A53" i="90"/>
  <c r="A52" i="90"/>
  <c r="A51" i="90"/>
  <c r="A50" i="90"/>
  <c r="A49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I2" i="90"/>
  <c r="A2" i="90"/>
  <c r="A67" i="89"/>
  <c r="F66" i="89"/>
  <c r="E66" i="89"/>
  <c r="C66" i="89"/>
  <c r="A66" i="89"/>
  <c r="C65" i="89"/>
  <c r="E65" i="89" s="1"/>
  <c r="A65" i="89"/>
  <c r="A64" i="89"/>
  <c r="A63" i="89"/>
  <c r="A62" i="89"/>
  <c r="A61" i="89"/>
  <c r="A60" i="89"/>
  <c r="A59" i="89"/>
  <c r="A58" i="89"/>
  <c r="A57" i="89"/>
  <c r="A56" i="89"/>
  <c r="A55" i="89"/>
  <c r="A54" i="89"/>
  <c r="A53" i="89"/>
  <c r="A52" i="89"/>
  <c r="A51" i="89"/>
  <c r="A50" i="89"/>
  <c r="A49" i="89"/>
  <c r="A48" i="89"/>
  <c r="A47" i="89"/>
  <c r="A46" i="89"/>
  <c r="A45" i="89"/>
  <c r="A44" i="89"/>
  <c r="A43" i="89"/>
  <c r="A42" i="89"/>
  <c r="A41" i="89"/>
  <c r="A40" i="89"/>
  <c r="A39" i="89"/>
  <c r="A38" i="89"/>
  <c r="A37" i="89"/>
  <c r="A36" i="89"/>
  <c r="A35" i="89"/>
  <c r="A34" i="89"/>
  <c r="A33" i="89"/>
  <c r="A32" i="89"/>
  <c r="A31" i="89"/>
  <c r="A30" i="89"/>
  <c r="A29" i="89"/>
  <c r="A28" i="89"/>
  <c r="A27" i="89"/>
  <c r="A26" i="89"/>
  <c r="A25" i="89"/>
  <c r="A24" i="89"/>
  <c r="A23" i="89"/>
  <c r="A22" i="89"/>
  <c r="A21" i="89"/>
  <c r="A20" i="89"/>
  <c r="A19" i="89"/>
  <c r="A18" i="89"/>
  <c r="A17" i="89"/>
  <c r="A16" i="89"/>
  <c r="A15" i="89"/>
  <c r="A14" i="89"/>
  <c r="A13" i="89"/>
  <c r="A12" i="89"/>
  <c r="A11" i="89"/>
  <c r="A10" i="89"/>
  <c r="A9" i="89"/>
  <c r="A8" i="89"/>
  <c r="A7" i="89"/>
  <c r="A6" i="89"/>
  <c r="A5" i="89"/>
  <c r="A4" i="89"/>
  <c r="I3" i="89"/>
  <c r="I4" i="89" s="1"/>
  <c r="I5" i="89" s="1"/>
  <c r="A3" i="89"/>
  <c r="I2" i="89"/>
  <c r="A2" i="89"/>
  <c r="A67" i="88"/>
  <c r="F66" i="88"/>
  <c r="C66" i="88"/>
  <c r="C65" i="88" s="1"/>
  <c r="A66" i="88"/>
  <c r="A65" i="88"/>
  <c r="A64" i="88"/>
  <c r="A63" i="88"/>
  <c r="A62" i="88"/>
  <c r="A61" i="88"/>
  <c r="A60" i="88"/>
  <c r="A59" i="88"/>
  <c r="A58" i="88"/>
  <c r="A57" i="88"/>
  <c r="A56" i="88"/>
  <c r="A55" i="88"/>
  <c r="A54" i="88"/>
  <c r="A53" i="88"/>
  <c r="A52" i="88"/>
  <c r="A51" i="88"/>
  <c r="A50" i="88"/>
  <c r="A49" i="88"/>
  <c r="A48" i="88"/>
  <c r="A47" i="88"/>
  <c r="A46" i="88"/>
  <c r="A45" i="88"/>
  <c r="A44" i="88"/>
  <c r="A43" i="88"/>
  <c r="A42" i="88"/>
  <c r="A41" i="88"/>
  <c r="A40" i="88"/>
  <c r="A39" i="88"/>
  <c r="A38" i="88"/>
  <c r="A37" i="88"/>
  <c r="A36" i="88"/>
  <c r="A35" i="88"/>
  <c r="A34" i="88"/>
  <c r="A33" i="88"/>
  <c r="A32" i="88"/>
  <c r="A31" i="88"/>
  <c r="A30" i="88"/>
  <c r="A29" i="88"/>
  <c r="A28" i="88"/>
  <c r="A27" i="88"/>
  <c r="A26" i="88"/>
  <c r="A25" i="88"/>
  <c r="A24" i="88"/>
  <c r="A23" i="88"/>
  <c r="A22" i="88"/>
  <c r="A21" i="88"/>
  <c r="A20" i="88"/>
  <c r="A19" i="88"/>
  <c r="A18" i="88"/>
  <c r="A17" i="88"/>
  <c r="A16" i="88"/>
  <c r="A15" i="88"/>
  <c r="A14" i="88"/>
  <c r="A13" i="88"/>
  <c r="A12" i="88"/>
  <c r="A11" i="88"/>
  <c r="A10" i="88"/>
  <c r="A9" i="88"/>
  <c r="A8" i="88"/>
  <c r="A7" i="88"/>
  <c r="A6" i="88"/>
  <c r="A5" i="88"/>
  <c r="A4" i="88"/>
  <c r="A3" i="88"/>
  <c r="I2" i="88"/>
  <c r="I3" i="88" s="1"/>
  <c r="A2" i="88"/>
  <c r="A67" i="87"/>
  <c r="F66" i="87"/>
  <c r="E66" i="87"/>
  <c r="C66" i="87"/>
  <c r="A66" i="87"/>
  <c r="C65" i="87"/>
  <c r="E65" i="87" s="1"/>
  <c r="A65" i="87"/>
  <c r="C64" i="87"/>
  <c r="E64" i="87" s="1"/>
  <c r="A64" i="87"/>
  <c r="E63" i="87"/>
  <c r="C63" i="87"/>
  <c r="A63" i="87"/>
  <c r="C62" i="87"/>
  <c r="E62" i="87" s="1"/>
  <c r="A62" i="87"/>
  <c r="C61" i="87"/>
  <c r="E61" i="87" s="1"/>
  <c r="A61" i="87"/>
  <c r="A60" i="87"/>
  <c r="A59" i="87"/>
  <c r="A58" i="87"/>
  <c r="A57" i="87"/>
  <c r="A56" i="87"/>
  <c r="A55" i="87"/>
  <c r="A54" i="87"/>
  <c r="A53" i="87"/>
  <c r="A52" i="87"/>
  <c r="A51" i="87"/>
  <c r="A50" i="87"/>
  <c r="A49" i="87"/>
  <c r="A48" i="87"/>
  <c r="A47" i="87"/>
  <c r="A46" i="87"/>
  <c r="A45" i="87"/>
  <c r="A44" i="87"/>
  <c r="A43" i="87"/>
  <c r="A42" i="87"/>
  <c r="A41" i="87"/>
  <c r="A40" i="87"/>
  <c r="A39" i="87"/>
  <c r="A38" i="87"/>
  <c r="A37" i="87"/>
  <c r="A36" i="87"/>
  <c r="A35" i="87"/>
  <c r="A34" i="87"/>
  <c r="A33" i="87"/>
  <c r="A32" i="87"/>
  <c r="A31" i="87"/>
  <c r="A30" i="87"/>
  <c r="A29" i="87"/>
  <c r="A28" i="87"/>
  <c r="A27" i="87"/>
  <c r="A26" i="87"/>
  <c r="A25" i="87"/>
  <c r="A24" i="87"/>
  <c r="A23" i="87"/>
  <c r="A22" i="87"/>
  <c r="A21" i="87"/>
  <c r="A20" i="87"/>
  <c r="A19" i="87"/>
  <c r="A18" i="87"/>
  <c r="A17" i="87"/>
  <c r="A16" i="87"/>
  <c r="A15" i="87"/>
  <c r="A14" i="87"/>
  <c r="A13" i="87"/>
  <c r="A12" i="87"/>
  <c r="A11" i="87"/>
  <c r="A10" i="87"/>
  <c r="A9" i="87"/>
  <c r="A8" i="87"/>
  <c r="A7" i="87"/>
  <c r="A6" i="87"/>
  <c r="A5" i="87"/>
  <c r="A4" i="87"/>
  <c r="A3" i="87"/>
  <c r="I2" i="87"/>
  <c r="I3" i="87" s="1"/>
  <c r="A2" i="87"/>
  <c r="A67" i="86"/>
  <c r="F66" i="86"/>
  <c r="E66" i="86"/>
  <c r="C66" i="86"/>
  <c r="A66" i="86"/>
  <c r="E65" i="86"/>
  <c r="C65" i="86"/>
  <c r="C64" i="86" s="1"/>
  <c r="C63" i="86" s="1"/>
  <c r="A65" i="86"/>
  <c r="A64" i="86"/>
  <c r="A63" i="86"/>
  <c r="A62" i="86"/>
  <c r="A61" i="86"/>
  <c r="A60" i="86"/>
  <c r="A59" i="86"/>
  <c r="A58" i="86"/>
  <c r="A57" i="86"/>
  <c r="A56" i="86"/>
  <c r="A55" i="86"/>
  <c r="A54" i="86"/>
  <c r="A53" i="86"/>
  <c r="A52" i="86"/>
  <c r="A51" i="86"/>
  <c r="A50" i="86"/>
  <c r="A49" i="86"/>
  <c r="A48" i="86"/>
  <c r="A47" i="86"/>
  <c r="A46" i="86"/>
  <c r="A45" i="86"/>
  <c r="A44" i="86"/>
  <c r="A43" i="86"/>
  <c r="A42" i="86"/>
  <c r="A41" i="86"/>
  <c r="A40" i="86"/>
  <c r="A39" i="86"/>
  <c r="A38" i="86"/>
  <c r="A37" i="86"/>
  <c r="A36" i="86"/>
  <c r="A35" i="86"/>
  <c r="A34" i="86"/>
  <c r="A33" i="86"/>
  <c r="A32" i="86"/>
  <c r="A31" i="86"/>
  <c r="A30" i="86"/>
  <c r="A29" i="86"/>
  <c r="A28" i="86"/>
  <c r="A27" i="86"/>
  <c r="A26" i="86"/>
  <c r="A25" i="86"/>
  <c r="A24" i="86"/>
  <c r="A23" i="86"/>
  <c r="A22" i="86"/>
  <c r="A21" i="86"/>
  <c r="A20" i="86"/>
  <c r="A19" i="86"/>
  <c r="A18" i="86"/>
  <c r="A17" i="86"/>
  <c r="A16" i="86"/>
  <c r="A15" i="86"/>
  <c r="A14" i="86"/>
  <c r="A13" i="86"/>
  <c r="A12" i="86"/>
  <c r="A11" i="86"/>
  <c r="A10" i="86"/>
  <c r="A9" i="86"/>
  <c r="A8" i="86"/>
  <c r="A7" i="86"/>
  <c r="A6" i="86"/>
  <c r="A5" i="86"/>
  <c r="A4" i="86"/>
  <c r="A3" i="86"/>
  <c r="I2" i="86"/>
  <c r="I3" i="86" s="1"/>
  <c r="A2" i="86"/>
  <c r="A67" i="85"/>
  <c r="F66" i="85"/>
  <c r="C66" i="85"/>
  <c r="E66" i="85" s="1"/>
  <c r="A66" i="85"/>
  <c r="C65" i="85"/>
  <c r="C64" i="85" s="1"/>
  <c r="E64" i="85" s="1"/>
  <c r="A65" i="85"/>
  <c r="A64" i="85"/>
  <c r="C63" i="85"/>
  <c r="E63" i="85" s="1"/>
  <c r="A63" i="85"/>
  <c r="A62" i="85"/>
  <c r="A61" i="85"/>
  <c r="A60" i="85"/>
  <c r="A59" i="85"/>
  <c r="A58" i="85"/>
  <c r="A57" i="85"/>
  <c r="A56" i="85"/>
  <c r="A55" i="85"/>
  <c r="A54" i="85"/>
  <c r="A53" i="85"/>
  <c r="A52" i="85"/>
  <c r="A51" i="85"/>
  <c r="A50" i="85"/>
  <c r="A49" i="85"/>
  <c r="A48" i="85"/>
  <c r="A47" i="85"/>
  <c r="A46" i="85"/>
  <c r="A45" i="85"/>
  <c r="A44" i="85"/>
  <c r="A43" i="85"/>
  <c r="A42" i="85"/>
  <c r="A41" i="85"/>
  <c r="A40" i="85"/>
  <c r="A39" i="85"/>
  <c r="A38" i="85"/>
  <c r="A37" i="85"/>
  <c r="A36" i="85"/>
  <c r="A35" i="85"/>
  <c r="A34" i="85"/>
  <c r="A33" i="85"/>
  <c r="A32" i="85"/>
  <c r="A31" i="85"/>
  <c r="A30" i="85"/>
  <c r="A29" i="85"/>
  <c r="A28" i="85"/>
  <c r="A27" i="85"/>
  <c r="A26" i="85"/>
  <c r="A25" i="85"/>
  <c r="A24" i="85"/>
  <c r="A23" i="85"/>
  <c r="A22" i="85"/>
  <c r="A21" i="85"/>
  <c r="A20" i="85"/>
  <c r="A19" i="85"/>
  <c r="A18" i="85"/>
  <c r="A17" i="85"/>
  <c r="A16" i="85"/>
  <c r="A15" i="85"/>
  <c r="A14" i="85"/>
  <c r="A13" i="85"/>
  <c r="A12" i="85"/>
  <c r="A11" i="85"/>
  <c r="A10" i="85"/>
  <c r="A9" i="85"/>
  <c r="A8" i="85"/>
  <c r="A7" i="85"/>
  <c r="A6" i="85"/>
  <c r="A5" i="85"/>
  <c r="A4" i="85"/>
  <c r="A3" i="85"/>
  <c r="I2" i="85"/>
  <c r="I3" i="85" s="1"/>
  <c r="A2" i="85"/>
  <c r="A67" i="84"/>
  <c r="F66" i="84"/>
  <c r="C66" i="84"/>
  <c r="E66" i="84" s="1"/>
  <c r="A66" i="84"/>
  <c r="C65" i="84"/>
  <c r="E65" i="84" s="1"/>
  <c r="A65" i="84"/>
  <c r="C64" i="84"/>
  <c r="E64" i="84" s="1"/>
  <c r="A64" i="84"/>
  <c r="C63" i="84"/>
  <c r="E63" i="84" s="1"/>
  <c r="A63" i="84"/>
  <c r="A62" i="84"/>
  <c r="A61" i="84"/>
  <c r="A60" i="84"/>
  <c r="A59" i="84"/>
  <c r="A58" i="84"/>
  <c r="A57" i="84"/>
  <c r="A56" i="84"/>
  <c r="A55" i="84"/>
  <c r="A54" i="84"/>
  <c r="A53" i="84"/>
  <c r="A52" i="84"/>
  <c r="A51" i="84"/>
  <c r="A50" i="84"/>
  <c r="A49" i="84"/>
  <c r="A48" i="84"/>
  <c r="A47" i="84"/>
  <c r="A46" i="84"/>
  <c r="A45" i="84"/>
  <c r="A44" i="84"/>
  <c r="A43" i="84"/>
  <c r="A42" i="84"/>
  <c r="A41" i="84"/>
  <c r="A40" i="84"/>
  <c r="A39" i="84"/>
  <c r="A38" i="84"/>
  <c r="A37" i="84"/>
  <c r="A36" i="84"/>
  <c r="A35" i="84"/>
  <c r="A34" i="84"/>
  <c r="A33" i="84"/>
  <c r="A32" i="84"/>
  <c r="A31" i="84"/>
  <c r="A30" i="84"/>
  <c r="A29" i="84"/>
  <c r="A28" i="84"/>
  <c r="A27" i="84"/>
  <c r="A26" i="84"/>
  <c r="A25" i="84"/>
  <c r="A24" i="84"/>
  <c r="A23" i="84"/>
  <c r="A22" i="84"/>
  <c r="A21" i="84"/>
  <c r="A20" i="84"/>
  <c r="A19" i="84"/>
  <c r="A18" i="84"/>
  <c r="A17" i="84"/>
  <c r="A16" i="84"/>
  <c r="A15" i="84"/>
  <c r="A14" i="84"/>
  <c r="A13" i="84"/>
  <c r="A12" i="84"/>
  <c r="A11" i="84"/>
  <c r="A10" i="84"/>
  <c r="A9" i="84"/>
  <c r="A8" i="84"/>
  <c r="A7" i="84"/>
  <c r="A6" i="84"/>
  <c r="A5" i="84"/>
  <c r="A4" i="84"/>
  <c r="A3" i="84"/>
  <c r="I2" i="84"/>
  <c r="I3" i="84" s="1"/>
  <c r="A2" i="84"/>
  <c r="A67" i="83"/>
  <c r="F66" i="83"/>
  <c r="E66" i="83"/>
  <c r="C66" i="83"/>
  <c r="C65" i="83" s="1"/>
  <c r="C64" i="83" s="1"/>
  <c r="A66" i="83"/>
  <c r="E65" i="83"/>
  <c r="A65" i="83"/>
  <c r="A64" i="83"/>
  <c r="A63" i="83"/>
  <c r="A62" i="83"/>
  <c r="A61" i="83"/>
  <c r="A60" i="83"/>
  <c r="A59" i="83"/>
  <c r="A58" i="83"/>
  <c r="A57" i="83"/>
  <c r="A56" i="83"/>
  <c r="A55" i="83"/>
  <c r="A54" i="83"/>
  <c r="A53" i="83"/>
  <c r="A52" i="83"/>
  <c r="A51" i="83"/>
  <c r="A50" i="83"/>
  <c r="A49" i="83"/>
  <c r="A48" i="83"/>
  <c r="A47" i="83"/>
  <c r="A46" i="83"/>
  <c r="A45" i="83"/>
  <c r="A44" i="83"/>
  <c r="A43" i="83"/>
  <c r="A42" i="83"/>
  <c r="A41" i="83"/>
  <c r="A40" i="83"/>
  <c r="A39" i="83"/>
  <c r="A38" i="83"/>
  <c r="A37" i="83"/>
  <c r="A36" i="83"/>
  <c r="A35" i="83"/>
  <c r="A34" i="83"/>
  <c r="A33" i="83"/>
  <c r="A32" i="83"/>
  <c r="A31" i="83"/>
  <c r="A30" i="83"/>
  <c r="A29" i="83"/>
  <c r="A28" i="83"/>
  <c r="A27" i="83"/>
  <c r="A26" i="83"/>
  <c r="A25" i="83"/>
  <c r="A24" i="83"/>
  <c r="A23" i="83"/>
  <c r="A22" i="83"/>
  <c r="A21" i="83"/>
  <c r="A20" i="83"/>
  <c r="A19" i="83"/>
  <c r="A18" i="83"/>
  <c r="A17" i="83"/>
  <c r="A16" i="83"/>
  <c r="A15" i="83"/>
  <c r="A14" i="83"/>
  <c r="A13" i="83"/>
  <c r="A12" i="83"/>
  <c r="A11" i="83"/>
  <c r="A10" i="83"/>
  <c r="A9" i="83"/>
  <c r="A8" i="83"/>
  <c r="A7" i="83"/>
  <c r="A6" i="83"/>
  <c r="A5" i="83"/>
  <c r="A4" i="83"/>
  <c r="A3" i="83"/>
  <c r="I2" i="83"/>
  <c r="I3" i="83" s="1"/>
  <c r="I4" i="83" s="1"/>
  <c r="A2" i="83"/>
  <c r="A67" i="82"/>
  <c r="F66" i="82"/>
  <c r="C66" i="82"/>
  <c r="E66" i="82" s="1"/>
  <c r="A66" i="82"/>
  <c r="E65" i="82"/>
  <c r="C65" i="82"/>
  <c r="A65" i="82"/>
  <c r="C64" i="82"/>
  <c r="E64" i="82" s="1"/>
  <c r="A64" i="82"/>
  <c r="C63" i="82"/>
  <c r="C62" i="82" s="1"/>
  <c r="C61" i="82" s="1"/>
  <c r="C60" i="82" s="1"/>
  <c r="E60" i="82" s="1"/>
  <c r="A63" i="82"/>
  <c r="A62" i="82"/>
  <c r="A61" i="82"/>
  <c r="A60" i="82"/>
  <c r="C59" i="82"/>
  <c r="E59" i="82" s="1"/>
  <c r="A59" i="82"/>
  <c r="A58" i="82"/>
  <c r="A57" i="82"/>
  <c r="A56" i="82"/>
  <c r="A55" i="82"/>
  <c r="A54" i="82"/>
  <c r="A53" i="82"/>
  <c r="A52" i="82"/>
  <c r="A51" i="82"/>
  <c r="A50" i="82"/>
  <c r="A49" i="82"/>
  <c r="A48" i="82"/>
  <c r="A47" i="82"/>
  <c r="A46" i="82"/>
  <c r="A45" i="82"/>
  <c r="A44" i="82"/>
  <c r="A43" i="82"/>
  <c r="A42" i="82"/>
  <c r="A41" i="82"/>
  <c r="A40" i="82"/>
  <c r="A39" i="82"/>
  <c r="A38" i="82"/>
  <c r="A37" i="82"/>
  <c r="A36" i="82"/>
  <c r="A35" i="82"/>
  <c r="A34" i="82"/>
  <c r="A33" i="82"/>
  <c r="A32" i="82"/>
  <c r="A31" i="82"/>
  <c r="A30" i="82"/>
  <c r="A29" i="82"/>
  <c r="A28" i="82"/>
  <c r="A27" i="82"/>
  <c r="A26" i="82"/>
  <c r="A25" i="82"/>
  <c r="A24" i="82"/>
  <c r="A23" i="82"/>
  <c r="A22" i="82"/>
  <c r="A21" i="82"/>
  <c r="A20" i="82"/>
  <c r="A19" i="82"/>
  <c r="A18" i="82"/>
  <c r="A17" i="82"/>
  <c r="A16" i="82"/>
  <c r="A15" i="82"/>
  <c r="A14" i="82"/>
  <c r="A13" i="82"/>
  <c r="A12" i="82"/>
  <c r="A11" i="82"/>
  <c r="A10" i="82"/>
  <c r="A9" i="82"/>
  <c r="A8" i="82"/>
  <c r="A7" i="82"/>
  <c r="A6" i="82"/>
  <c r="A5" i="82"/>
  <c r="A4" i="82"/>
  <c r="I3" i="82"/>
  <c r="I4" i="82" s="1"/>
  <c r="I5" i="82" s="1"/>
  <c r="I6" i="82" s="1"/>
  <c r="A3" i="82"/>
  <c r="I2" i="82"/>
  <c r="A2" i="82"/>
  <c r="A67" i="81"/>
  <c r="F66" i="81"/>
  <c r="E66" i="81"/>
  <c r="C66" i="81"/>
  <c r="A66" i="81"/>
  <c r="C65" i="81"/>
  <c r="C64" i="81" s="1"/>
  <c r="A65" i="81"/>
  <c r="A64" i="81"/>
  <c r="A63" i="81"/>
  <c r="A62" i="81"/>
  <c r="A61" i="81"/>
  <c r="A60" i="81"/>
  <c r="A59" i="81"/>
  <c r="A58" i="81"/>
  <c r="A57" i="81"/>
  <c r="A56" i="81"/>
  <c r="A55" i="81"/>
  <c r="A54" i="81"/>
  <c r="A53" i="81"/>
  <c r="A52" i="81"/>
  <c r="A51" i="81"/>
  <c r="A50" i="81"/>
  <c r="A49" i="81"/>
  <c r="A48" i="81"/>
  <c r="A47" i="81"/>
  <c r="A46" i="81"/>
  <c r="A45" i="81"/>
  <c r="A44" i="81"/>
  <c r="A43" i="81"/>
  <c r="A42" i="81"/>
  <c r="A41" i="81"/>
  <c r="A40" i="81"/>
  <c r="A39" i="81"/>
  <c r="A38" i="81"/>
  <c r="A37" i="81"/>
  <c r="A36" i="81"/>
  <c r="A35" i="81"/>
  <c r="A34" i="81"/>
  <c r="A33" i="81"/>
  <c r="A32" i="81"/>
  <c r="A31" i="81"/>
  <c r="A30" i="81"/>
  <c r="A29" i="81"/>
  <c r="A28" i="81"/>
  <c r="A27" i="81"/>
  <c r="A26" i="81"/>
  <c r="A25" i="81"/>
  <c r="A24" i="81"/>
  <c r="A23" i="81"/>
  <c r="A22" i="81"/>
  <c r="A21" i="81"/>
  <c r="A20" i="81"/>
  <c r="A19" i="81"/>
  <c r="A18" i="81"/>
  <c r="A17" i="81"/>
  <c r="A16" i="81"/>
  <c r="A15" i="81"/>
  <c r="A14" i="81"/>
  <c r="A13" i="81"/>
  <c r="A12" i="81"/>
  <c r="A11" i="81"/>
  <c r="A10" i="81"/>
  <c r="A9" i="81"/>
  <c r="A8" i="81"/>
  <c r="A7" i="81"/>
  <c r="A6" i="81"/>
  <c r="A5" i="81"/>
  <c r="A4" i="81"/>
  <c r="A3" i="81"/>
  <c r="I2" i="81"/>
  <c r="A2" i="81"/>
  <c r="A67" i="80"/>
  <c r="F66" i="80"/>
  <c r="C66" i="80"/>
  <c r="C65" i="80" s="1"/>
  <c r="A66" i="80"/>
  <c r="A65" i="80"/>
  <c r="A64" i="80"/>
  <c r="A63" i="80"/>
  <c r="A62" i="80"/>
  <c r="A61" i="80"/>
  <c r="A60" i="80"/>
  <c r="A59" i="80"/>
  <c r="A58" i="80"/>
  <c r="A57" i="80"/>
  <c r="A56" i="80"/>
  <c r="A55" i="80"/>
  <c r="A54" i="80"/>
  <c r="A53" i="80"/>
  <c r="A52" i="80"/>
  <c r="A51" i="80"/>
  <c r="A50" i="80"/>
  <c r="A49" i="80"/>
  <c r="A48" i="80"/>
  <c r="A47" i="80"/>
  <c r="A46" i="80"/>
  <c r="A45" i="80"/>
  <c r="A44" i="80"/>
  <c r="A43" i="80"/>
  <c r="A42" i="80"/>
  <c r="A41" i="80"/>
  <c r="A40" i="80"/>
  <c r="A39" i="80"/>
  <c r="A38" i="80"/>
  <c r="A37" i="80"/>
  <c r="A36" i="80"/>
  <c r="A35" i="80"/>
  <c r="A34" i="80"/>
  <c r="A33" i="80"/>
  <c r="A32" i="80"/>
  <c r="A31" i="80"/>
  <c r="A30" i="80"/>
  <c r="A29" i="80"/>
  <c r="A28" i="80"/>
  <c r="A27" i="80"/>
  <c r="A26" i="80"/>
  <c r="A25" i="80"/>
  <c r="A24" i="80"/>
  <c r="A23" i="80"/>
  <c r="A22" i="80"/>
  <c r="A21" i="80"/>
  <c r="A20" i="80"/>
  <c r="A19" i="80"/>
  <c r="A18" i="80"/>
  <c r="A17" i="80"/>
  <c r="A16" i="80"/>
  <c r="A15" i="80"/>
  <c r="A14" i="80"/>
  <c r="A13" i="80"/>
  <c r="A12" i="80"/>
  <c r="A11" i="80"/>
  <c r="A10" i="80"/>
  <c r="A9" i="80"/>
  <c r="A8" i="80"/>
  <c r="A7" i="80"/>
  <c r="A6" i="80"/>
  <c r="A5" i="80"/>
  <c r="A4" i="80"/>
  <c r="A3" i="80"/>
  <c r="I2" i="80"/>
  <c r="I3" i="80" s="1"/>
  <c r="A2" i="80"/>
  <c r="A67" i="79"/>
  <c r="F66" i="79"/>
  <c r="E66" i="79"/>
  <c r="C66" i="79"/>
  <c r="A66" i="79"/>
  <c r="C65" i="79"/>
  <c r="E65" i="79" s="1"/>
  <c r="A65" i="79"/>
  <c r="A64" i="79"/>
  <c r="A63" i="79"/>
  <c r="A62" i="79"/>
  <c r="A61" i="79"/>
  <c r="A60" i="79"/>
  <c r="A59" i="79"/>
  <c r="A58" i="79"/>
  <c r="A57" i="79"/>
  <c r="A56" i="79"/>
  <c r="A55" i="79"/>
  <c r="A54" i="79"/>
  <c r="A53" i="79"/>
  <c r="A52" i="79"/>
  <c r="A51" i="79"/>
  <c r="A50" i="79"/>
  <c r="A49" i="79"/>
  <c r="A48" i="79"/>
  <c r="A47" i="79"/>
  <c r="A46" i="79"/>
  <c r="A45" i="79"/>
  <c r="A44" i="79"/>
  <c r="A43" i="79"/>
  <c r="A42" i="79"/>
  <c r="A41" i="79"/>
  <c r="A40" i="79"/>
  <c r="A39" i="79"/>
  <c r="A38" i="79"/>
  <c r="A37" i="79"/>
  <c r="A36" i="79"/>
  <c r="A35" i="79"/>
  <c r="A34" i="79"/>
  <c r="A33" i="79"/>
  <c r="A32" i="79"/>
  <c r="A31" i="79"/>
  <c r="A30" i="79"/>
  <c r="A29" i="79"/>
  <c r="A28" i="79"/>
  <c r="A27" i="79"/>
  <c r="A26" i="79"/>
  <c r="A25" i="79"/>
  <c r="A24" i="79"/>
  <c r="A23" i="79"/>
  <c r="A22" i="79"/>
  <c r="A21" i="79"/>
  <c r="A20" i="79"/>
  <c r="A19" i="79"/>
  <c r="A18" i="79"/>
  <c r="A17" i="79"/>
  <c r="A16" i="79"/>
  <c r="A15" i="79"/>
  <c r="A14" i="79"/>
  <c r="A13" i="79"/>
  <c r="A12" i="79"/>
  <c r="A11" i="79"/>
  <c r="A10" i="79"/>
  <c r="A9" i="79"/>
  <c r="A8" i="79"/>
  <c r="A7" i="79"/>
  <c r="A6" i="79"/>
  <c r="A5" i="79"/>
  <c r="A4" i="79"/>
  <c r="I3" i="79"/>
  <c r="I4" i="79" s="1"/>
  <c r="I5" i="79" s="1"/>
  <c r="I6" i="79" s="1"/>
  <c r="A3" i="79"/>
  <c r="I2" i="79"/>
  <c r="A2" i="79"/>
  <c r="A67" i="78"/>
  <c r="F66" i="78"/>
  <c r="C66" i="78"/>
  <c r="E66" i="78" s="1"/>
  <c r="A66" i="78"/>
  <c r="C65" i="78"/>
  <c r="A65" i="78"/>
  <c r="A64" i="78"/>
  <c r="A63" i="78"/>
  <c r="A62" i="78"/>
  <c r="A61" i="78"/>
  <c r="A60" i="78"/>
  <c r="A59" i="78"/>
  <c r="A58" i="78"/>
  <c r="A57" i="78"/>
  <c r="A56" i="78"/>
  <c r="A55" i="78"/>
  <c r="A54" i="78"/>
  <c r="A53" i="78"/>
  <c r="A52" i="78"/>
  <c r="A51" i="78"/>
  <c r="A50" i="78"/>
  <c r="A49" i="78"/>
  <c r="A48" i="78"/>
  <c r="A47" i="78"/>
  <c r="A46" i="78"/>
  <c r="A45" i="78"/>
  <c r="A44" i="78"/>
  <c r="A43" i="78"/>
  <c r="A42" i="78"/>
  <c r="A41" i="78"/>
  <c r="A40" i="78"/>
  <c r="A39" i="78"/>
  <c r="A38" i="78"/>
  <c r="A37" i="78"/>
  <c r="A36" i="78"/>
  <c r="A35" i="78"/>
  <c r="A34" i="78"/>
  <c r="A33" i="78"/>
  <c r="A32" i="78"/>
  <c r="A31" i="78"/>
  <c r="A30" i="78"/>
  <c r="A29" i="78"/>
  <c r="A28" i="78"/>
  <c r="A27" i="78"/>
  <c r="A26" i="78"/>
  <c r="A25" i="78"/>
  <c r="A24" i="78"/>
  <c r="A23" i="78"/>
  <c r="A22" i="78"/>
  <c r="A21" i="78"/>
  <c r="A20" i="78"/>
  <c r="A19" i="78"/>
  <c r="A18" i="78"/>
  <c r="A17" i="78"/>
  <c r="A16" i="78"/>
  <c r="A15" i="78"/>
  <c r="A14" i="78"/>
  <c r="A13" i="78"/>
  <c r="A12" i="78"/>
  <c r="A11" i="78"/>
  <c r="A10" i="78"/>
  <c r="A9" i="78"/>
  <c r="A8" i="78"/>
  <c r="A7" i="78"/>
  <c r="A6" i="78"/>
  <c r="A5" i="78"/>
  <c r="A4" i="78"/>
  <c r="I3" i="78"/>
  <c r="I4" i="78" s="1"/>
  <c r="I5" i="78" s="1"/>
  <c r="A3" i="78"/>
  <c r="I2" i="78"/>
  <c r="A2" i="78"/>
  <c r="A67" i="77"/>
  <c r="F66" i="77"/>
  <c r="E66" i="77"/>
  <c r="C66" i="77"/>
  <c r="A66" i="77"/>
  <c r="C65" i="77"/>
  <c r="E65" i="77" s="1"/>
  <c r="A65" i="77"/>
  <c r="A64" i="77"/>
  <c r="A63" i="77"/>
  <c r="A62" i="77"/>
  <c r="A61" i="77"/>
  <c r="A60" i="77"/>
  <c r="A59" i="77"/>
  <c r="A58" i="77"/>
  <c r="A57" i="77"/>
  <c r="A56" i="77"/>
  <c r="A55" i="77"/>
  <c r="A54" i="77"/>
  <c r="A53" i="77"/>
  <c r="A52" i="77"/>
  <c r="A51" i="77"/>
  <c r="A50" i="77"/>
  <c r="A49" i="77"/>
  <c r="A48" i="77"/>
  <c r="A47" i="77"/>
  <c r="A46" i="77"/>
  <c r="A45" i="77"/>
  <c r="A44" i="77"/>
  <c r="A43" i="77"/>
  <c r="A42" i="77"/>
  <c r="A41" i="77"/>
  <c r="A40" i="77"/>
  <c r="A39" i="77"/>
  <c r="A38" i="77"/>
  <c r="A37" i="77"/>
  <c r="A36" i="77"/>
  <c r="A35" i="77"/>
  <c r="A34" i="77"/>
  <c r="A33" i="77"/>
  <c r="A32" i="77"/>
  <c r="A31" i="77"/>
  <c r="A30" i="77"/>
  <c r="A29" i="77"/>
  <c r="A28" i="77"/>
  <c r="A27" i="77"/>
  <c r="A26" i="77"/>
  <c r="A25" i="77"/>
  <c r="A24" i="77"/>
  <c r="A23" i="77"/>
  <c r="A22" i="77"/>
  <c r="A21" i="77"/>
  <c r="A20" i="77"/>
  <c r="A19" i="77"/>
  <c r="A18" i="77"/>
  <c r="A17" i="77"/>
  <c r="A16" i="77"/>
  <c r="A15" i="77"/>
  <c r="A14" i="77"/>
  <c r="A13" i="77"/>
  <c r="A12" i="77"/>
  <c r="A11" i="77"/>
  <c r="A10" i="77"/>
  <c r="A9" i="77"/>
  <c r="A8" i="77"/>
  <c r="A7" i="77"/>
  <c r="A6" i="77"/>
  <c r="A5" i="77"/>
  <c r="I4" i="77"/>
  <c r="I5" i="77" s="1"/>
  <c r="A4" i="77"/>
  <c r="A3" i="77"/>
  <c r="I2" i="77"/>
  <c r="I3" i="77" s="1"/>
  <c r="A2" i="77"/>
  <c r="A67" i="76"/>
  <c r="F66" i="76"/>
  <c r="C66" i="76"/>
  <c r="E66" i="76" s="1"/>
  <c r="A66" i="76"/>
  <c r="C65" i="76"/>
  <c r="E65" i="76" s="1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A4" i="76"/>
  <c r="I3" i="76"/>
  <c r="A3" i="76"/>
  <c r="I2" i="76"/>
  <c r="A2" i="76"/>
  <c r="A67" i="75"/>
  <c r="F66" i="75"/>
  <c r="C66" i="75"/>
  <c r="E66" i="75" s="1"/>
  <c r="A66" i="75"/>
  <c r="C65" i="75"/>
  <c r="E65" i="75" s="1"/>
  <c r="A65" i="75"/>
  <c r="C64" i="75"/>
  <c r="A64" i="75"/>
  <c r="A63" i="75"/>
  <c r="A62" i="75"/>
  <c r="A61" i="75"/>
  <c r="A60" i="75"/>
  <c r="A59" i="75"/>
  <c r="A58" i="75"/>
  <c r="A57" i="75"/>
  <c r="A56" i="75"/>
  <c r="A55" i="75"/>
  <c r="A54" i="75"/>
  <c r="A53" i="75"/>
  <c r="A52" i="75"/>
  <c r="A51" i="75"/>
  <c r="A50" i="75"/>
  <c r="A49" i="75"/>
  <c r="A48" i="75"/>
  <c r="A47" i="75"/>
  <c r="A46" i="75"/>
  <c r="A45" i="75"/>
  <c r="A44" i="75"/>
  <c r="A43" i="75"/>
  <c r="A42" i="75"/>
  <c r="A41" i="75"/>
  <c r="A40" i="75"/>
  <c r="A39" i="75"/>
  <c r="A38" i="75"/>
  <c r="A37" i="75"/>
  <c r="A36" i="75"/>
  <c r="A35" i="75"/>
  <c r="A34" i="75"/>
  <c r="A33" i="75"/>
  <c r="A32" i="75"/>
  <c r="A31" i="75"/>
  <c r="A30" i="75"/>
  <c r="A29" i="75"/>
  <c r="A28" i="75"/>
  <c r="A27" i="75"/>
  <c r="A26" i="75"/>
  <c r="A25" i="75"/>
  <c r="A24" i="75"/>
  <c r="A23" i="75"/>
  <c r="A22" i="75"/>
  <c r="A21" i="75"/>
  <c r="A20" i="75"/>
  <c r="A19" i="75"/>
  <c r="A18" i="75"/>
  <c r="A17" i="75"/>
  <c r="A16" i="75"/>
  <c r="A15" i="75"/>
  <c r="A14" i="75"/>
  <c r="A13" i="75"/>
  <c r="A12" i="75"/>
  <c r="A11" i="75"/>
  <c r="A10" i="75"/>
  <c r="A9" i="75"/>
  <c r="A8" i="75"/>
  <c r="A7" i="75"/>
  <c r="A6" i="75"/>
  <c r="A5" i="75"/>
  <c r="A4" i="75"/>
  <c r="I3" i="75"/>
  <c r="I4" i="75" s="1"/>
  <c r="I5" i="75" s="1"/>
  <c r="I6" i="75" s="1"/>
  <c r="I7" i="75" s="1"/>
  <c r="A3" i="75"/>
  <c r="I2" i="75"/>
  <c r="A2" i="75"/>
  <c r="A67" i="74"/>
  <c r="F66" i="74"/>
  <c r="C66" i="74"/>
  <c r="E66" i="74" s="1"/>
  <c r="A66" i="74"/>
  <c r="A65" i="74"/>
  <c r="A64" i="74"/>
  <c r="A63" i="74"/>
  <c r="A62" i="74"/>
  <c r="A61" i="74"/>
  <c r="A60" i="74"/>
  <c r="A59" i="74"/>
  <c r="A58" i="74"/>
  <c r="A57" i="74"/>
  <c r="A56" i="74"/>
  <c r="A55" i="74"/>
  <c r="A54" i="74"/>
  <c r="A53" i="74"/>
  <c r="A52" i="74"/>
  <c r="A51" i="74"/>
  <c r="A50" i="74"/>
  <c r="A49" i="74"/>
  <c r="A48" i="74"/>
  <c r="A47" i="74"/>
  <c r="A46" i="74"/>
  <c r="A45" i="74"/>
  <c r="A44" i="74"/>
  <c r="A43" i="74"/>
  <c r="A42" i="74"/>
  <c r="A41" i="74"/>
  <c r="A40" i="74"/>
  <c r="A39" i="74"/>
  <c r="A38" i="74"/>
  <c r="A37" i="74"/>
  <c r="A36" i="74"/>
  <c r="A35" i="74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4" i="74"/>
  <c r="A3" i="74"/>
  <c r="I2" i="74"/>
  <c r="I3" i="74" s="1"/>
  <c r="I4" i="74" s="1"/>
  <c r="I5" i="74" s="1"/>
  <c r="I6" i="74" s="1"/>
  <c r="I7" i="74" s="1"/>
  <c r="A2" i="74"/>
  <c r="A67" i="73"/>
  <c r="F66" i="73"/>
  <c r="C66" i="73"/>
  <c r="C65" i="73" s="1"/>
  <c r="E65" i="73" s="1"/>
  <c r="A66" i="73"/>
  <c r="A65" i="73"/>
  <c r="E64" i="73"/>
  <c r="C64" i="73"/>
  <c r="C63" i="73" s="1"/>
  <c r="E63" i="73" s="1"/>
  <c r="A64" i="73"/>
  <c r="A63" i="73"/>
  <c r="A62" i="73"/>
  <c r="A61" i="73"/>
  <c r="A60" i="73"/>
  <c r="A59" i="73"/>
  <c r="A58" i="73"/>
  <c r="A57" i="73"/>
  <c r="A56" i="73"/>
  <c r="A55" i="73"/>
  <c r="A54" i="73"/>
  <c r="A53" i="73"/>
  <c r="A52" i="73"/>
  <c r="A51" i="73"/>
  <c r="A50" i="73"/>
  <c r="A49" i="73"/>
  <c r="A48" i="73"/>
  <c r="A47" i="73"/>
  <c r="A46" i="73"/>
  <c r="A45" i="73"/>
  <c r="A44" i="73"/>
  <c r="A43" i="73"/>
  <c r="A42" i="73"/>
  <c r="A41" i="73"/>
  <c r="A40" i="73"/>
  <c r="A39" i="73"/>
  <c r="A38" i="73"/>
  <c r="A37" i="73"/>
  <c r="A36" i="73"/>
  <c r="A35" i="73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4" i="73"/>
  <c r="A3" i="73"/>
  <c r="I2" i="73"/>
  <c r="I3" i="73" s="1"/>
  <c r="A2" i="73"/>
  <c r="A67" i="72"/>
  <c r="F66" i="72"/>
  <c r="C66" i="72"/>
  <c r="E66" i="72" s="1"/>
  <c r="A66" i="72"/>
  <c r="E65" i="72"/>
  <c r="C65" i="72"/>
  <c r="C64" i="72" s="1"/>
  <c r="E64" i="72" s="1"/>
  <c r="A65" i="72"/>
  <c r="A64" i="72"/>
  <c r="C63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A5" i="72"/>
  <c r="A4" i="72"/>
  <c r="I3" i="72"/>
  <c r="I4" i="72" s="1"/>
  <c r="A3" i="72"/>
  <c r="I2" i="72"/>
  <c r="A2" i="72"/>
  <c r="A67" i="71"/>
  <c r="F66" i="71"/>
  <c r="C66" i="71"/>
  <c r="E66" i="71" s="1"/>
  <c r="A66" i="71"/>
  <c r="C65" i="71"/>
  <c r="E65" i="71" s="1"/>
  <c r="A65" i="71"/>
  <c r="A64" i="71"/>
  <c r="A63" i="71"/>
  <c r="A62" i="71"/>
  <c r="A61" i="71"/>
  <c r="A60" i="71"/>
  <c r="A59" i="71"/>
  <c r="A58" i="71"/>
  <c r="A57" i="71"/>
  <c r="A56" i="71"/>
  <c r="A55" i="71"/>
  <c r="A54" i="71"/>
  <c r="A53" i="71"/>
  <c r="A52" i="71"/>
  <c r="A51" i="71"/>
  <c r="A50" i="71"/>
  <c r="A49" i="71"/>
  <c r="A48" i="71"/>
  <c r="A47" i="71"/>
  <c r="A46" i="71"/>
  <c r="A45" i="71"/>
  <c r="A44" i="71"/>
  <c r="A43" i="71"/>
  <c r="A42" i="71"/>
  <c r="A41" i="71"/>
  <c r="A40" i="71"/>
  <c r="A39" i="71"/>
  <c r="A38" i="71"/>
  <c r="A37" i="71"/>
  <c r="A36" i="71"/>
  <c r="A35" i="71"/>
  <c r="A34" i="71"/>
  <c r="A33" i="71"/>
  <c r="A32" i="71"/>
  <c r="A31" i="71"/>
  <c r="A30" i="71"/>
  <c r="A29" i="71"/>
  <c r="A28" i="71"/>
  <c r="A27" i="71"/>
  <c r="A26" i="71"/>
  <c r="A25" i="71"/>
  <c r="A24" i="71"/>
  <c r="A23" i="71"/>
  <c r="A22" i="71"/>
  <c r="A21" i="71"/>
  <c r="A20" i="71"/>
  <c r="A19" i="71"/>
  <c r="A18" i="71"/>
  <c r="A17" i="71"/>
  <c r="A16" i="71"/>
  <c r="A15" i="71"/>
  <c r="A14" i="71"/>
  <c r="A13" i="71"/>
  <c r="A12" i="71"/>
  <c r="A11" i="71"/>
  <c r="A10" i="71"/>
  <c r="A9" i="71"/>
  <c r="A8" i="71"/>
  <c r="A7" i="71"/>
  <c r="A6" i="71"/>
  <c r="A5" i="71"/>
  <c r="A4" i="71"/>
  <c r="I3" i="71"/>
  <c r="I4" i="71" s="1"/>
  <c r="I5" i="71" s="1"/>
  <c r="I6" i="71" s="1"/>
  <c r="A3" i="71"/>
  <c r="I2" i="71"/>
  <c r="A2" i="71"/>
  <c r="A67" i="70"/>
  <c r="F66" i="70"/>
  <c r="E66" i="70"/>
  <c r="C66" i="70"/>
  <c r="C65" i="70" s="1"/>
  <c r="A66" i="70"/>
  <c r="A65" i="70"/>
  <c r="A64" i="70"/>
  <c r="A63" i="70"/>
  <c r="A62" i="70"/>
  <c r="A61" i="70"/>
  <c r="A60" i="70"/>
  <c r="A59" i="70"/>
  <c r="A58" i="70"/>
  <c r="A57" i="70"/>
  <c r="A56" i="70"/>
  <c r="A55" i="70"/>
  <c r="A54" i="70"/>
  <c r="A53" i="70"/>
  <c r="A52" i="70"/>
  <c r="A51" i="70"/>
  <c r="A50" i="70"/>
  <c r="A49" i="70"/>
  <c r="A48" i="70"/>
  <c r="A47" i="70"/>
  <c r="A46" i="70"/>
  <c r="A45" i="70"/>
  <c r="A44" i="70"/>
  <c r="A43" i="70"/>
  <c r="A42" i="70"/>
  <c r="A41" i="70"/>
  <c r="A40" i="70"/>
  <c r="A39" i="70"/>
  <c r="A38" i="70"/>
  <c r="A37" i="70"/>
  <c r="A36" i="70"/>
  <c r="A35" i="70"/>
  <c r="A34" i="70"/>
  <c r="A33" i="70"/>
  <c r="A32" i="70"/>
  <c r="A31" i="70"/>
  <c r="A30" i="70"/>
  <c r="A29" i="70"/>
  <c r="A28" i="70"/>
  <c r="A27" i="70"/>
  <c r="A26" i="70"/>
  <c r="A25" i="70"/>
  <c r="A24" i="70"/>
  <c r="A23" i="70"/>
  <c r="A22" i="70"/>
  <c r="A21" i="70"/>
  <c r="A20" i="70"/>
  <c r="A19" i="70"/>
  <c r="A18" i="70"/>
  <c r="A17" i="70"/>
  <c r="A16" i="70"/>
  <c r="A15" i="70"/>
  <c r="A14" i="70"/>
  <c r="A13" i="70"/>
  <c r="A12" i="70"/>
  <c r="A11" i="70"/>
  <c r="A10" i="70"/>
  <c r="A9" i="70"/>
  <c r="A8" i="70"/>
  <c r="A7" i="70"/>
  <c r="A6" i="70"/>
  <c r="A5" i="70"/>
  <c r="A4" i="70"/>
  <c r="A3" i="70"/>
  <c r="I2" i="70"/>
  <c r="I3" i="70" s="1"/>
  <c r="A2" i="70"/>
  <c r="A67" i="69"/>
  <c r="F66" i="69"/>
  <c r="E66" i="69"/>
  <c r="C66" i="69"/>
  <c r="A66" i="69"/>
  <c r="C65" i="69"/>
  <c r="C64" i="69" s="1"/>
  <c r="E64" i="69" s="1"/>
  <c r="A65" i="69"/>
  <c r="A64" i="69"/>
  <c r="C63" i="69"/>
  <c r="E63" i="69" s="1"/>
  <c r="A63" i="69"/>
  <c r="A62" i="69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33" i="69"/>
  <c r="A32" i="69"/>
  <c r="A31" i="69"/>
  <c r="A30" i="69"/>
  <c r="A29" i="69"/>
  <c r="A28" i="69"/>
  <c r="A27" i="69"/>
  <c r="A26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A7" i="69"/>
  <c r="A6" i="69"/>
  <c r="A5" i="69"/>
  <c r="A4" i="69"/>
  <c r="A3" i="69"/>
  <c r="A2" i="69"/>
  <c r="A67" i="68"/>
  <c r="F66" i="68"/>
  <c r="E66" i="68"/>
  <c r="C66" i="68"/>
  <c r="A66" i="68"/>
  <c r="C65" i="68"/>
  <c r="E65" i="68" s="1"/>
  <c r="A65" i="68"/>
  <c r="C64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42" i="68"/>
  <c r="A41" i="68"/>
  <c r="A40" i="68"/>
  <c r="A39" i="68"/>
  <c r="A38" i="68"/>
  <c r="A37" i="68"/>
  <c r="A36" i="68"/>
  <c r="A35" i="68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4" i="68"/>
  <c r="I3" i="68"/>
  <c r="I4" i="68" s="1"/>
  <c r="A3" i="68"/>
  <c r="I2" i="68"/>
  <c r="A2" i="68"/>
  <c r="A67" i="67"/>
  <c r="F66" i="67"/>
  <c r="E66" i="67"/>
  <c r="C66" i="67"/>
  <c r="C65" i="67" s="1"/>
  <c r="C64" i="67" s="1"/>
  <c r="A66" i="67"/>
  <c r="A65" i="67"/>
  <c r="A64" i="67"/>
  <c r="A63" i="67"/>
  <c r="A62" i="67"/>
  <c r="A61" i="67"/>
  <c r="A60" i="67"/>
  <c r="A59" i="67"/>
  <c r="A58" i="67"/>
  <c r="A57" i="67"/>
  <c r="A56" i="67"/>
  <c r="A55" i="67"/>
  <c r="A54" i="67"/>
  <c r="A53" i="67"/>
  <c r="A52" i="67"/>
  <c r="A51" i="67"/>
  <c r="A50" i="67"/>
  <c r="A49" i="67"/>
  <c r="A48" i="67"/>
  <c r="A47" i="67"/>
  <c r="A46" i="67"/>
  <c r="A45" i="67"/>
  <c r="A44" i="67"/>
  <c r="A43" i="67"/>
  <c r="A42" i="67"/>
  <c r="A41" i="67"/>
  <c r="A40" i="67"/>
  <c r="A39" i="67"/>
  <c r="A38" i="67"/>
  <c r="A37" i="67"/>
  <c r="A36" i="67"/>
  <c r="A35" i="67"/>
  <c r="A34" i="67"/>
  <c r="A33" i="67"/>
  <c r="A32" i="67"/>
  <c r="A31" i="67"/>
  <c r="A30" i="67"/>
  <c r="A29" i="67"/>
  <c r="A28" i="67"/>
  <c r="A27" i="67"/>
  <c r="A26" i="67"/>
  <c r="A25" i="67"/>
  <c r="A24" i="67"/>
  <c r="A23" i="67"/>
  <c r="A22" i="67"/>
  <c r="A21" i="67"/>
  <c r="A20" i="67"/>
  <c r="A19" i="67"/>
  <c r="A18" i="67"/>
  <c r="A17" i="67"/>
  <c r="A16" i="67"/>
  <c r="A15" i="67"/>
  <c r="A14" i="67"/>
  <c r="A13" i="67"/>
  <c r="A12" i="67"/>
  <c r="A11" i="67"/>
  <c r="A10" i="67"/>
  <c r="A9" i="67"/>
  <c r="A8" i="67"/>
  <c r="A7" i="67"/>
  <c r="A6" i="67"/>
  <c r="A5" i="67"/>
  <c r="A4" i="67"/>
  <c r="A3" i="67"/>
  <c r="I2" i="67"/>
  <c r="I3" i="67" s="1"/>
  <c r="A2" i="67"/>
  <c r="A67" i="66"/>
  <c r="F66" i="66"/>
  <c r="E66" i="66"/>
  <c r="C66" i="66"/>
  <c r="A66" i="66"/>
  <c r="C65" i="66"/>
  <c r="E65" i="66" s="1"/>
  <c r="A65" i="66"/>
  <c r="C64" i="66"/>
  <c r="A64" i="66"/>
  <c r="A63" i="66"/>
  <c r="A62" i="66"/>
  <c r="A61" i="66"/>
  <c r="A60" i="66"/>
  <c r="A59" i="66"/>
  <c r="A58" i="66"/>
  <c r="A57" i="66"/>
  <c r="A56" i="66"/>
  <c r="A55" i="66"/>
  <c r="A54" i="66"/>
  <c r="A53" i="66"/>
  <c r="A52" i="66"/>
  <c r="A51" i="66"/>
  <c r="A50" i="66"/>
  <c r="A49" i="66"/>
  <c r="A48" i="66"/>
  <c r="A47" i="66"/>
  <c r="A46" i="66"/>
  <c r="A45" i="66"/>
  <c r="A44" i="66"/>
  <c r="A43" i="66"/>
  <c r="A42" i="66"/>
  <c r="A41" i="66"/>
  <c r="A40" i="66"/>
  <c r="A39" i="66"/>
  <c r="A38" i="66"/>
  <c r="A37" i="66"/>
  <c r="A36" i="66"/>
  <c r="A35" i="66"/>
  <c r="A34" i="66"/>
  <c r="A33" i="66"/>
  <c r="A32" i="66"/>
  <c r="A31" i="66"/>
  <c r="A30" i="66"/>
  <c r="A29" i="66"/>
  <c r="A28" i="66"/>
  <c r="A27" i="66"/>
  <c r="A26" i="66"/>
  <c r="A25" i="66"/>
  <c r="A24" i="66"/>
  <c r="A23" i="66"/>
  <c r="A22" i="66"/>
  <c r="A21" i="66"/>
  <c r="A20" i="66"/>
  <c r="A19" i="66"/>
  <c r="A18" i="66"/>
  <c r="A17" i="66"/>
  <c r="A16" i="66"/>
  <c r="A15" i="66"/>
  <c r="A14" i="66"/>
  <c r="A13" i="66"/>
  <c r="A12" i="66"/>
  <c r="A11" i="66"/>
  <c r="A10" i="66"/>
  <c r="A9" i="66"/>
  <c r="A8" i="66"/>
  <c r="A7" i="66"/>
  <c r="A6" i="66"/>
  <c r="A5" i="66"/>
  <c r="A4" i="66"/>
  <c r="A3" i="66"/>
  <c r="I2" i="66"/>
  <c r="I3" i="66" s="1"/>
  <c r="I4" i="66" s="1"/>
  <c r="A2" i="66"/>
  <c r="A67" i="65"/>
  <c r="F66" i="65"/>
  <c r="C66" i="65"/>
  <c r="E66" i="65" s="1"/>
  <c r="A66" i="65"/>
  <c r="C65" i="65"/>
  <c r="E65" i="65" s="1"/>
  <c r="A65" i="65"/>
  <c r="C64" i="65"/>
  <c r="A64" i="65"/>
  <c r="A63" i="65"/>
  <c r="A62" i="65"/>
  <c r="A61" i="65"/>
  <c r="A60" i="65"/>
  <c r="A59" i="65"/>
  <c r="A58" i="65"/>
  <c r="A57" i="65"/>
  <c r="A56" i="65"/>
  <c r="A55" i="65"/>
  <c r="A54" i="65"/>
  <c r="A53" i="65"/>
  <c r="A52" i="65"/>
  <c r="A51" i="65"/>
  <c r="A50" i="65"/>
  <c r="A49" i="65"/>
  <c r="A48" i="65"/>
  <c r="A47" i="65"/>
  <c r="A46" i="65"/>
  <c r="A45" i="65"/>
  <c r="A44" i="65"/>
  <c r="A43" i="65"/>
  <c r="A42" i="65"/>
  <c r="A41" i="65"/>
  <c r="A40" i="65"/>
  <c r="A39" i="65"/>
  <c r="A38" i="65"/>
  <c r="A37" i="65"/>
  <c r="A36" i="65"/>
  <c r="A35" i="65"/>
  <c r="A34" i="65"/>
  <c r="A33" i="65"/>
  <c r="A32" i="65"/>
  <c r="A31" i="65"/>
  <c r="A30" i="65"/>
  <c r="A29" i="65"/>
  <c r="A28" i="65"/>
  <c r="A27" i="65"/>
  <c r="A26" i="65"/>
  <c r="A25" i="65"/>
  <c r="A24" i="65"/>
  <c r="A23" i="65"/>
  <c r="A22" i="65"/>
  <c r="A21" i="65"/>
  <c r="A20" i="65"/>
  <c r="A19" i="65"/>
  <c r="A18" i="65"/>
  <c r="A17" i="65"/>
  <c r="A16" i="65"/>
  <c r="A15" i="65"/>
  <c r="A14" i="65"/>
  <c r="A13" i="65"/>
  <c r="A12" i="65"/>
  <c r="A11" i="65"/>
  <c r="A10" i="65"/>
  <c r="A9" i="65"/>
  <c r="A8" i="65"/>
  <c r="A7" i="65"/>
  <c r="A6" i="65"/>
  <c r="A5" i="65"/>
  <c r="A4" i="65"/>
  <c r="A3" i="65"/>
  <c r="I2" i="65"/>
  <c r="A2" i="65"/>
  <c r="A67" i="64"/>
  <c r="F66" i="64"/>
  <c r="E66" i="64"/>
  <c r="C66" i="64"/>
  <c r="A66" i="64"/>
  <c r="C65" i="64"/>
  <c r="E65" i="64" s="1"/>
  <c r="A65" i="64"/>
  <c r="C64" i="64"/>
  <c r="A64" i="64"/>
  <c r="A63" i="64"/>
  <c r="A62" i="64"/>
  <c r="A61" i="64"/>
  <c r="A60" i="64"/>
  <c r="A59" i="64"/>
  <c r="A58" i="64"/>
  <c r="A57" i="64"/>
  <c r="A56" i="64"/>
  <c r="A55" i="64"/>
  <c r="A54" i="64"/>
  <c r="A53" i="64"/>
  <c r="A52" i="64"/>
  <c r="A51" i="64"/>
  <c r="A50" i="64"/>
  <c r="A49" i="64"/>
  <c r="A48" i="64"/>
  <c r="A47" i="64"/>
  <c r="A46" i="64"/>
  <c r="A45" i="64"/>
  <c r="A44" i="64"/>
  <c r="A43" i="64"/>
  <c r="A42" i="64"/>
  <c r="A41" i="64"/>
  <c r="A40" i="64"/>
  <c r="A39" i="64"/>
  <c r="A38" i="64"/>
  <c r="A37" i="64"/>
  <c r="A36" i="64"/>
  <c r="A35" i="64"/>
  <c r="A34" i="64"/>
  <c r="A33" i="64"/>
  <c r="A32" i="64"/>
  <c r="A31" i="64"/>
  <c r="A30" i="64"/>
  <c r="A29" i="64"/>
  <c r="A28" i="64"/>
  <c r="A27" i="64"/>
  <c r="A26" i="64"/>
  <c r="A25" i="64"/>
  <c r="A24" i="64"/>
  <c r="A23" i="64"/>
  <c r="A22" i="64"/>
  <c r="A21" i="64"/>
  <c r="A20" i="64"/>
  <c r="A19" i="64"/>
  <c r="A18" i="64"/>
  <c r="A17" i="64"/>
  <c r="A16" i="64"/>
  <c r="A15" i="64"/>
  <c r="A14" i="64"/>
  <c r="A13" i="64"/>
  <c r="A12" i="64"/>
  <c r="A11" i="64"/>
  <c r="A10" i="64"/>
  <c r="A9" i="64"/>
  <c r="A8" i="64"/>
  <c r="A7" i="64"/>
  <c r="A6" i="64"/>
  <c r="A5" i="64"/>
  <c r="A4" i="64"/>
  <c r="A3" i="64"/>
  <c r="I2" i="64"/>
  <c r="A2" i="64"/>
  <c r="A67" i="63"/>
  <c r="F66" i="63"/>
  <c r="E66" i="63"/>
  <c r="C66" i="63"/>
  <c r="A66" i="63"/>
  <c r="C65" i="63"/>
  <c r="A65" i="63"/>
  <c r="A64" i="63"/>
  <c r="A63" i="63"/>
  <c r="A62" i="63"/>
  <c r="A61" i="63"/>
  <c r="A60" i="63"/>
  <c r="A59" i="63"/>
  <c r="A58" i="63"/>
  <c r="A57" i="63"/>
  <c r="A56" i="63"/>
  <c r="A55" i="63"/>
  <c r="A54" i="63"/>
  <c r="A53" i="63"/>
  <c r="A52" i="63"/>
  <c r="A51" i="63"/>
  <c r="A50" i="63"/>
  <c r="A49" i="63"/>
  <c r="A48" i="63"/>
  <c r="A47" i="63"/>
  <c r="A46" i="63"/>
  <c r="A45" i="63"/>
  <c r="A44" i="63"/>
  <c r="A43" i="63"/>
  <c r="A42" i="63"/>
  <c r="A41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A24" i="63"/>
  <c r="A23" i="63"/>
  <c r="A22" i="63"/>
  <c r="A21" i="63"/>
  <c r="A20" i="63"/>
  <c r="A19" i="63"/>
  <c r="A18" i="63"/>
  <c r="A17" i="63"/>
  <c r="A16" i="63"/>
  <c r="A15" i="63"/>
  <c r="A14" i="63"/>
  <c r="A13" i="63"/>
  <c r="A12" i="63"/>
  <c r="A11" i="63"/>
  <c r="A10" i="63"/>
  <c r="A9" i="63"/>
  <c r="A8" i="63"/>
  <c r="A7" i="63"/>
  <c r="A6" i="63"/>
  <c r="A5" i="63"/>
  <c r="A4" i="63"/>
  <c r="I3" i="63"/>
  <c r="I4" i="63" s="1"/>
  <c r="A3" i="63"/>
  <c r="I2" i="63"/>
  <c r="A2" i="63"/>
  <c r="A67" i="62"/>
  <c r="F66" i="62"/>
  <c r="E66" i="62"/>
  <c r="C66" i="62"/>
  <c r="C65" i="62" s="1"/>
  <c r="A66" i="62"/>
  <c r="E65" i="62"/>
  <c r="A65" i="62"/>
  <c r="C64" i="62"/>
  <c r="E64" i="62" s="1"/>
  <c r="A64" i="62"/>
  <c r="C63" i="62"/>
  <c r="A63" i="62"/>
  <c r="A62" i="62"/>
  <c r="A61" i="62"/>
  <c r="A60" i="62"/>
  <c r="A59" i="62"/>
  <c r="A58" i="62"/>
  <c r="A57" i="62"/>
  <c r="A56" i="62"/>
  <c r="A55" i="62"/>
  <c r="A54" i="62"/>
  <c r="A53" i="62"/>
  <c r="A52" i="62"/>
  <c r="A51" i="62"/>
  <c r="A50" i="62"/>
  <c r="A49" i="62"/>
  <c r="A48" i="62"/>
  <c r="A47" i="62"/>
  <c r="A46" i="62"/>
  <c r="A45" i="62"/>
  <c r="A44" i="62"/>
  <c r="A43" i="62"/>
  <c r="A42" i="62"/>
  <c r="A41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A24" i="62"/>
  <c r="A23" i="62"/>
  <c r="A22" i="62"/>
  <c r="A21" i="62"/>
  <c r="A20" i="62"/>
  <c r="A19" i="62"/>
  <c r="A18" i="62"/>
  <c r="A17" i="62"/>
  <c r="A16" i="62"/>
  <c r="A15" i="62"/>
  <c r="A14" i="62"/>
  <c r="A13" i="62"/>
  <c r="A12" i="62"/>
  <c r="A11" i="62"/>
  <c r="A10" i="62"/>
  <c r="A9" i="62"/>
  <c r="A8" i="62"/>
  <c r="A7" i="62"/>
  <c r="A6" i="62"/>
  <c r="A5" i="62"/>
  <c r="A4" i="62"/>
  <c r="I3" i="62"/>
  <c r="I4" i="62" s="1"/>
  <c r="I5" i="62" s="1"/>
  <c r="A3" i="62"/>
  <c r="I2" i="62"/>
  <c r="A2" i="62"/>
  <c r="A67" i="61"/>
  <c r="F66" i="61"/>
  <c r="E66" i="61"/>
  <c r="C66" i="61"/>
  <c r="C65" i="61" s="1"/>
  <c r="A66" i="61"/>
  <c r="A65" i="61"/>
  <c r="A64" i="61"/>
  <c r="A63" i="61"/>
  <c r="A62" i="61"/>
  <c r="A61" i="61"/>
  <c r="A60" i="61"/>
  <c r="A59" i="61"/>
  <c r="A58" i="61"/>
  <c r="A57" i="61"/>
  <c r="A56" i="61"/>
  <c r="A55" i="61"/>
  <c r="A54" i="61"/>
  <c r="A53" i="61"/>
  <c r="A52" i="61"/>
  <c r="A51" i="61"/>
  <c r="A50" i="61"/>
  <c r="A49" i="61"/>
  <c r="A48" i="61"/>
  <c r="A47" i="61"/>
  <c r="A46" i="61"/>
  <c r="A45" i="61"/>
  <c r="A44" i="61"/>
  <c r="A43" i="61"/>
  <c r="A42" i="61"/>
  <c r="A41" i="61"/>
  <c r="A40" i="61"/>
  <c r="A39" i="61"/>
  <c r="A38" i="61"/>
  <c r="A37" i="61"/>
  <c r="A36" i="61"/>
  <c r="A35" i="61"/>
  <c r="A34" i="61"/>
  <c r="A33" i="61"/>
  <c r="A32" i="61"/>
  <c r="A31" i="61"/>
  <c r="A30" i="61"/>
  <c r="A29" i="61"/>
  <c r="A28" i="61"/>
  <c r="A27" i="61"/>
  <c r="A26" i="61"/>
  <c r="A25" i="6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9" i="61"/>
  <c r="A8" i="61"/>
  <c r="A7" i="61"/>
  <c r="A6" i="61"/>
  <c r="A5" i="61"/>
  <c r="A4" i="61"/>
  <c r="A3" i="61"/>
  <c r="I2" i="61"/>
  <c r="I3" i="61" s="1"/>
  <c r="I4" i="61" s="1"/>
  <c r="I5" i="61" s="1"/>
  <c r="I6" i="61" s="1"/>
  <c r="I7" i="61" s="1"/>
  <c r="A2" i="61"/>
  <c r="A67" i="60"/>
  <c r="F66" i="60"/>
  <c r="E66" i="60"/>
  <c r="C66" i="60"/>
  <c r="A66" i="60"/>
  <c r="E65" i="60"/>
  <c r="C65" i="60"/>
  <c r="A65" i="60"/>
  <c r="C64" i="60"/>
  <c r="A64" i="60"/>
  <c r="A63" i="60"/>
  <c r="A62" i="60"/>
  <c r="A61" i="60"/>
  <c r="A60" i="60"/>
  <c r="A59" i="60"/>
  <c r="A58" i="60"/>
  <c r="A57" i="60"/>
  <c r="A56" i="60"/>
  <c r="A55" i="60"/>
  <c r="A54" i="60"/>
  <c r="A53" i="60"/>
  <c r="A52" i="60"/>
  <c r="A51" i="60"/>
  <c r="A50" i="60"/>
  <c r="A49" i="60"/>
  <c r="A48" i="60"/>
  <c r="A47" i="60"/>
  <c r="A46" i="60"/>
  <c r="A45" i="60"/>
  <c r="A44" i="60"/>
  <c r="A43" i="60"/>
  <c r="A42" i="60"/>
  <c r="A41" i="60"/>
  <c r="A40" i="60"/>
  <c r="A39" i="60"/>
  <c r="A38" i="60"/>
  <c r="A37" i="60"/>
  <c r="A36" i="60"/>
  <c r="A35" i="60"/>
  <c r="A34" i="60"/>
  <c r="A33" i="60"/>
  <c r="A32" i="6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I2" i="60"/>
  <c r="I3" i="60" s="1"/>
  <c r="I4" i="60" s="1"/>
  <c r="A2" i="60"/>
  <c r="A67" i="59"/>
  <c r="F66" i="59"/>
  <c r="C66" i="59"/>
  <c r="E66" i="59" s="1"/>
  <c r="A66" i="59"/>
  <c r="A65" i="59"/>
  <c r="A64" i="59"/>
  <c r="A63" i="59"/>
  <c r="A62" i="59"/>
  <c r="A61" i="59"/>
  <c r="A60" i="59"/>
  <c r="A59" i="59"/>
  <c r="A58" i="59"/>
  <c r="A57" i="59"/>
  <c r="A56" i="59"/>
  <c r="A55" i="59"/>
  <c r="A54" i="59"/>
  <c r="A53" i="59"/>
  <c r="A52" i="59"/>
  <c r="A51" i="59"/>
  <c r="A50" i="59"/>
  <c r="A49" i="59"/>
  <c r="A48" i="59"/>
  <c r="A47" i="59"/>
  <c r="A46" i="59"/>
  <c r="A45" i="59"/>
  <c r="A44" i="59"/>
  <c r="A43" i="59"/>
  <c r="A42" i="59"/>
  <c r="A41" i="59"/>
  <c r="A40" i="59"/>
  <c r="A39" i="59"/>
  <c r="A38" i="59"/>
  <c r="A37" i="59"/>
  <c r="A36" i="59"/>
  <c r="A35" i="59"/>
  <c r="A34" i="59"/>
  <c r="A33" i="59"/>
  <c r="A32" i="59"/>
  <c r="A31" i="59"/>
  <c r="A30" i="59"/>
  <c r="A29" i="59"/>
  <c r="A28" i="59"/>
  <c r="A27" i="59"/>
  <c r="A26" i="59"/>
  <c r="A25" i="59"/>
  <c r="A24" i="59"/>
  <c r="A23" i="59"/>
  <c r="A22" i="59"/>
  <c r="A21" i="59"/>
  <c r="A20" i="59"/>
  <c r="A19" i="59"/>
  <c r="A18" i="59"/>
  <c r="A17" i="59"/>
  <c r="A16" i="59"/>
  <c r="A15" i="59"/>
  <c r="A14" i="59"/>
  <c r="A13" i="59"/>
  <c r="A12" i="59"/>
  <c r="A11" i="59"/>
  <c r="A10" i="59"/>
  <c r="A9" i="59"/>
  <c r="A8" i="59"/>
  <c r="A7" i="59"/>
  <c r="A6" i="59"/>
  <c r="A5" i="59"/>
  <c r="A4" i="59"/>
  <c r="A3" i="59"/>
  <c r="I2" i="59"/>
  <c r="I3" i="59" s="1"/>
  <c r="I4" i="59" s="1"/>
  <c r="I5" i="59" s="1"/>
  <c r="I6" i="59" s="1"/>
  <c r="A2" i="59"/>
  <c r="A67" i="58"/>
  <c r="F66" i="58"/>
  <c r="C66" i="58"/>
  <c r="A66" i="58"/>
  <c r="A65" i="58"/>
  <c r="A64" i="58"/>
  <c r="A63" i="58"/>
  <c r="A62" i="58"/>
  <c r="A61" i="58"/>
  <c r="A60" i="58"/>
  <c r="A59" i="58"/>
  <c r="A58" i="58"/>
  <c r="A57" i="58"/>
  <c r="A56" i="58"/>
  <c r="A55" i="58"/>
  <c r="A54" i="58"/>
  <c r="A53" i="58"/>
  <c r="A52" i="58"/>
  <c r="A51" i="58"/>
  <c r="A50" i="58"/>
  <c r="A49" i="58"/>
  <c r="A48" i="58"/>
  <c r="A47" i="58"/>
  <c r="A46" i="58"/>
  <c r="A45" i="58"/>
  <c r="A44" i="58"/>
  <c r="A43" i="58"/>
  <c r="A42" i="58"/>
  <c r="A41" i="58"/>
  <c r="A40" i="58"/>
  <c r="A39" i="58"/>
  <c r="A38" i="58"/>
  <c r="A37" i="58"/>
  <c r="A36" i="58"/>
  <c r="A35" i="58"/>
  <c r="A34" i="58"/>
  <c r="A33" i="58"/>
  <c r="A32" i="58"/>
  <c r="A31" i="58"/>
  <c r="A30" i="58"/>
  <c r="A29" i="58"/>
  <c r="A28" i="58"/>
  <c r="A27" i="58"/>
  <c r="A26" i="58"/>
  <c r="A25" i="58"/>
  <c r="A24" i="58"/>
  <c r="A23" i="58"/>
  <c r="A22" i="58"/>
  <c r="A21" i="58"/>
  <c r="A20" i="58"/>
  <c r="A19" i="58"/>
  <c r="A18" i="58"/>
  <c r="A17" i="58"/>
  <c r="A16" i="58"/>
  <c r="A15" i="58"/>
  <c r="A14" i="58"/>
  <c r="A13" i="58"/>
  <c r="A12" i="58"/>
  <c r="A11" i="58"/>
  <c r="A10" i="58"/>
  <c r="A9" i="58"/>
  <c r="A8" i="58"/>
  <c r="A7" i="58"/>
  <c r="A6" i="58"/>
  <c r="A5" i="58"/>
  <c r="A4" i="58"/>
  <c r="A3" i="58"/>
  <c r="I2" i="58"/>
  <c r="A2" i="58"/>
  <c r="A67" i="57"/>
  <c r="E66" i="57"/>
  <c r="C66" i="57"/>
  <c r="C65" i="57" s="1"/>
  <c r="C64" i="57" s="1"/>
  <c r="A66" i="57"/>
  <c r="E65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A12" i="57"/>
  <c r="A11" i="57"/>
  <c r="A10" i="57"/>
  <c r="A9" i="57"/>
  <c r="A8" i="57"/>
  <c r="A7" i="57"/>
  <c r="A6" i="57"/>
  <c r="A5" i="57"/>
  <c r="A4" i="57"/>
  <c r="A3" i="57"/>
  <c r="I2" i="57"/>
  <c r="I3" i="57" s="1"/>
  <c r="A2" i="57"/>
  <c r="A67" i="56"/>
  <c r="C66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9" i="56"/>
  <c r="A8" i="56"/>
  <c r="A7" i="56"/>
  <c r="A6" i="56"/>
  <c r="A5" i="56"/>
  <c r="A4" i="56"/>
  <c r="A3" i="56"/>
  <c r="I2" i="56"/>
  <c r="I3" i="56" s="1"/>
  <c r="A2" i="56"/>
  <c r="A67" i="55"/>
  <c r="C66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A12" i="55"/>
  <c r="A11" i="55"/>
  <c r="A10" i="55"/>
  <c r="A9" i="55"/>
  <c r="A8" i="55"/>
  <c r="A7" i="55"/>
  <c r="A6" i="55"/>
  <c r="A5" i="55"/>
  <c r="A4" i="55"/>
  <c r="A3" i="55"/>
  <c r="I2" i="55"/>
  <c r="A2" i="55"/>
  <c r="A67" i="54"/>
  <c r="C66" i="54"/>
  <c r="E66" i="54" s="1"/>
  <c r="A66" i="54"/>
  <c r="C65" i="54"/>
  <c r="C64" i="54" s="1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I2" i="54"/>
  <c r="I3" i="54" s="1"/>
  <c r="A2" i="54"/>
  <c r="A67" i="53"/>
  <c r="C66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I3" i="53"/>
  <c r="A3" i="53"/>
  <c r="I2" i="53"/>
  <c r="A2" i="53"/>
  <c r="A67" i="52"/>
  <c r="C66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A12" i="52"/>
  <c r="A11" i="52"/>
  <c r="A10" i="52"/>
  <c r="A9" i="52"/>
  <c r="A8" i="52"/>
  <c r="A7" i="52"/>
  <c r="A6" i="52"/>
  <c r="A5" i="52"/>
  <c r="A4" i="52"/>
  <c r="I3" i="52"/>
  <c r="A3" i="52"/>
  <c r="I2" i="52"/>
  <c r="A2" i="52"/>
  <c r="A67" i="51"/>
  <c r="E66" i="51"/>
  <c r="C66" i="51"/>
  <c r="A66" i="51"/>
  <c r="C65" i="51"/>
  <c r="E65" i="51" s="1"/>
  <c r="A65" i="51"/>
  <c r="C64" i="51"/>
  <c r="E64" i="51" s="1"/>
  <c r="A64" i="51"/>
  <c r="C63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A12" i="51"/>
  <c r="A11" i="51"/>
  <c r="A10" i="51"/>
  <c r="A9" i="51"/>
  <c r="A8" i="51"/>
  <c r="A7" i="51"/>
  <c r="A6" i="51"/>
  <c r="A5" i="51"/>
  <c r="A4" i="51"/>
  <c r="I3" i="51"/>
  <c r="I4" i="51" s="1"/>
  <c r="I5" i="51" s="1"/>
  <c r="A3" i="51"/>
  <c r="I2" i="51"/>
  <c r="A2" i="51"/>
  <c r="A67" i="50"/>
  <c r="C66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A12" i="50"/>
  <c r="A11" i="50"/>
  <c r="A10" i="50"/>
  <c r="A9" i="50"/>
  <c r="A8" i="50"/>
  <c r="A7" i="50"/>
  <c r="A6" i="50"/>
  <c r="A5" i="50"/>
  <c r="A4" i="50"/>
  <c r="A3" i="50"/>
  <c r="I2" i="50"/>
  <c r="I3" i="50" s="1"/>
  <c r="A2" i="50"/>
  <c r="A67" i="49"/>
  <c r="C66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A12" i="49"/>
  <c r="A11" i="49"/>
  <c r="A10" i="49"/>
  <c r="A9" i="49"/>
  <c r="A8" i="49"/>
  <c r="A7" i="49"/>
  <c r="A6" i="49"/>
  <c r="A5" i="49"/>
  <c r="A4" i="49"/>
  <c r="I3" i="49"/>
  <c r="A3" i="49"/>
  <c r="I2" i="49"/>
  <c r="A2" i="49"/>
  <c r="A67" i="48"/>
  <c r="C66" i="48"/>
  <c r="E66" i="48" s="1"/>
  <c r="A66" i="48"/>
  <c r="C65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I2" i="48"/>
  <c r="I3" i="48" s="1"/>
  <c r="I4" i="48" s="1"/>
  <c r="I5" i="48" s="1"/>
  <c r="A2" i="48"/>
  <c r="A67" i="47"/>
  <c r="E66" i="47"/>
  <c r="C66" i="47"/>
  <c r="A66" i="47"/>
  <c r="E65" i="47"/>
  <c r="C65" i="47"/>
  <c r="A65" i="47"/>
  <c r="C64" i="47"/>
  <c r="E64" i="47" s="1"/>
  <c r="A64" i="47"/>
  <c r="C63" i="47"/>
  <c r="E63" i="47" s="1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A9" i="47"/>
  <c r="A8" i="47"/>
  <c r="A7" i="47"/>
  <c r="A6" i="47"/>
  <c r="A5" i="47"/>
  <c r="A4" i="47"/>
  <c r="A3" i="47"/>
  <c r="I2" i="47"/>
  <c r="A2" i="47"/>
  <c r="A67" i="46"/>
  <c r="C66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I5" i="46"/>
  <c r="I6" i="46" s="1"/>
  <c r="I7" i="46" s="1"/>
  <c r="A5" i="46"/>
  <c r="A4" i="46"/>
  <c r="I3" i="46"/>
  <c r="I4" i="46" s="1"/>
  <c r="A3" i="46"/>
  <c r="I2" i="46"/>
  <c r="A2" i="46"/>
  <c r="A67" i="45"/>
  <c r="E66" i="45"/>
  <c r="C66" i="45"/>
  <c r="A66" i="45"/>
  <c r="E65" i="45"/>
  <c r="C65" i="45"/>
  <c r="A65" i="45"/>
  <c r="E64" i="45"/>
  <c r="C64" i="45"/>
  <c r="A64" i="45"/>
  <c r="E63" i="45"/>
  <c r="C63" i="45"/>
  <c r="C62" i="45" s="1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A5" i="45"/>
  <c r="A4" i="45"/>
  <c r="A3" i="45"/>
  <c r="I2" i="45"/>
  <c r="A2" i="45"/>
  <c r="A67" i="44"/>
  <c r="C66" i="44"/>
  <c r="E66" i="44" s="1"/>
  <c r="A66" i="44"/>
  <c r="C65" i="44"/>
  <c r="E65" i="44" s="1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A13" i="44"/>
  <c r="A12" i="44"/>
  <c r="A11" i="44"/>
  <c r="A10" i="44"/>
  <c r="A9" i="44"/>
  <c r="A8" i="44"/>
  <c r="A7" i="44"/>
  <c r="A6" i="44"/>
  <c r="A5" i="44"/>
  <c r="A4" i="44"/>
  <c r="A3" i="44"/>
  <c r="I2" i="44"/>
  <c r="I3" i="44" s="1"/>
  <c r="I4" i="44" s="1"/>
  <c r="A2" i="44"/>
  <c r="A67" i="43"/>
  <c r="C66" i="43"/>
  <c r="C65" i="43" s="1"/>
  <c r="A66" i="43"/>
  <c r="E65" i="43"/>
  <c r="A65" i="43"/>
  <c r="E64" i="43"/>
  <c r="C64" i="43"/>
  <c r="A64" i="43"/>
  <c r="E63" i="43"/>
  <c r="C63" i="43"/>
  <c r="C62" i="43" s="1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I2" i="43"/>
  <c r="A2" i="43"/>
  <c r="A67" i="42"/>
  <c r="C66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I3" i="42"/>
  <c r="I4" i="42" s="1"/>
  <c r="I5" i="42" s="1"/>
  <c r="I6" i="42" s="1"/>
  <c r="A3" i="42"/>
  <c r="I2" i="42"/>
  <c r="A2" i="42"/>
  <c r="A67" i="41"/>
  <c r="C66" i="41"/>
  <c r="E66" i="41" s="1"/>
  <c r="A66" i="41"/>
  <c r="C65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5" i="41"/>
  <c r="A4" i="41"/>
  <c r="A3" i="41"/>
  <c r="I2" i="41"/>
  <c r="I3" i="41" s="1"/>
  <c r="I4" i="41" s="1"/>
  <c r="A2" i="41"/>
  <c r="A67" i="40"/>
  <c r="C66" i="40"/>
  <c r="C65" i="40" s="1"/>
  <c r="C64" i="40" s="1"/>
  <c r="E64" i="40" s="1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I2" i="40"/>
  <c r="A67" i="39"/>
  <c r="C66" i="39"/>
  <c r="C65" i="39" s="1"/>
  <c r="C64" i="39" s="1"/>
  <c r="C63" i="39" s="1"/>
  <c r="A66" i="39"/>
  <c r="E65" i="39"/>
  <c r="A65" i="39"/>
  <c r="E64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A9" i="39"/>
  <c r="A8" i="39"/>
  <c r="A7" i="39"/>
  <c r="A6" i="39"/>
  <c r="A5" i="39"/>
  <c r="A4" i="39"/>
  <c r="I3" i="39"/>
  <c r="A3" i="39"/>
  <c r="I2" i="39"/>
  <c r="A2" i="39"/>
  <c r="A67" i="38"/>
  <c r="C66" i="38"/>
  <c r="E66" i="38" s="1"/>
  <c r="A66" i="38"/>
  <c r="C65" i="38"/>
  <c r="E65" i="38" s="1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I2" i="38"/>
  <c r="A2" i="38"/>
  <c r="A67" i="37"/>
  <c r="E66" i="37"/>
  <c r="C66" i="37"/>
  <c r="A66" i="37"/>
  <c r="C65" i="37"/>
  <c r="E65" i="37" s="1"/>
  <c r="A65" i="37"/>
  <c r="C64" i="37"/>
  <c r="C63" i="37" s="1"/>
  <c r="E63" i="37" s="1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I3" i="37"/>
  <c r="I4" i="37" s="1"/>
  <c r="A3" i="37"/>
  <c r="I2" i="37"/>
  <c r="A2" i="37"/>
  <c r="A67" i="36"/>
  <c r="E66" i="36"/>
  <c r="C66" i="36"/>
  <c r="A66" i="36"/>
  <c r="C65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A12" i="36"/>
  <c r="A11" i="36"/>
  <c r="A10" i="36"/>
  <c r="A9" i="36"/>
  <c r="A8" i="36"/>
  <c r="A7" i="36"/>
  <c r="A6" i="36"/>
  <c r="A5" i="36"/>
  <c r="A4" i="36"/>
  <c r="A3" i="36"/>
  <c r="I2" i="36"/>
  <c r="A2" i="36"/>
  <c r="A67" i="35"/>
  <c r="E66" i="35"/>
  <c r="C66" i="35"/>
  <c r="A66" i="35"/>
  <c r="C65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6" i="35"/>
  <c r="A5" i="35"/>
  <c r="A4" i="35"/>
  <c r="A3" i="35"/>
  <c r="I2" i="35"/>
  <c r="A2" i="35"/>
  <c r="A67" i="34"/>
  <c r="C66" i="34"/>
  <c r="C65" i="34" s="1"/>
  <c r="C64" i="34" s="1"/>
  <c r="C63" i="34" s="1"/>
  <c r="C62" i="34" s="1"/>
  <c r="A66" i="34"/>
  <c r="E65" i="34"/>
  <c r="A65" i="34"/>
  <c r="E64" i="34"/>
  <c r="A64" i="34"/>
  <c r="E63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A9" i="34"/>
  <c r="A8" i="34"/>
  <c r="A7" i="34"/>
  <c r="A6" i="34"/>
  <c r="A5" i="34"/>
  <c r="A4" i="34"/>
  <c r="A3" i="34"/>
  <c r="I2" i="34"/>
  <c r="A2" i="34"/>
  <c r="A67" i="33"/>
  <c r="E66" i="33"/>
  <c r="C66" i="33"/>
  <c r="A66" i="33"/>
  <c r="C65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I3" i="33"/>
  <c r="A3" i="33"/>
  <c r="I2" i="33"/>
  <c r="A2" i="33"/>
  <c r="A67" i="32"/>
  <c r="C66" i="32"/>
  <c r="E66" i="32" s="1"/>
  <c r="A66" i="32"/>
  <c r="C65" i="32"/>
  <c r="E65" i="32" s="1"/>
  <c r="A65" i="32"/>
  <c r="C64" i="32"/>
  <c r="C63" i="32" s="1"/>
  <c r="C62" i="32" s="1"/>
  <c r="E62" i="32" s="1"/>
  <c r="A64" i="32"/>
  <c r="E63" i="32"/>
  <c r="A63" i="32"/>
  <c r="A62" i="32"/>
  <c r="C61" i="32"/>
  <c r="E61" i="32" s="1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4" i="32"/>
  <c r="I3" i="32"/>
  <c r="I4" i="32" s="1"/>
  <c r="I5" i="32" s="1"/>
  <c r="I6" i="32" s="1"/>
  <c r="A3" i="32"/>
  <c r="I2" i="32"/>
  <c r="A2" i="32"/>
  <c r="A67" i="31"/>
  <c r="C66" i="31"/>
  <c r="E66" i="31" s="1"/>
  <c r="A66" i="31"/>
  <c r="C65" i="31"/>
  <c r="E65" i="31" s="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I2" i="31"/>
  <c r="I3" i="31" s="1"/>
  <c r="A2" i="31"/>
  <c r="A67" i="30"/>
  <c r="C66" i="30"/>
  <c r="E66" i="30" s="1"/>
  <c r="A66" i="30"/>
  <c r="E65" i="30"/>
  <c r="C65" i="30"/>
  <c r="C64" i="30" s="1"/>
  <c r="C63" i="30" s="1"/>
  <c r="E63" i="30" s="1"/>
  <c r="A65" i="30"/>
  <c r="E64" i="30"/>
  <c r="A64" i="30"/>
  <c r="A63" i="30"/>
  <c r="C62" i="30"/>
  <c r="C61" i="30" s="1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I3" i="30"/>
  <c r="I4" i="30" s="1"/>
  <c r="A3" i="30"/>
  <c r="I2" i="30"/>
  <c r="A2" i="30"/>
  <c r="A67" i="29"/>
  <c r="C66" i="29"/>
  <c r="E66" i="29" s="1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5" i="29"/>
  <c r="A4" i="29"/>
  <c r="A3" i="29"/>
  <c r="I2" i="29"/>
  <c r="I3" i="29" s="1"/>
  <c r="I4" i="29" s="1"/>
  <c r="I5" i="29" s="1"/>
  <c r="A2" i="29"/>
  <c r="A67" i="28"/>
  <c r="C66" i="28"/>
  <c r="E66" i="28" s="1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I4" i="28"/>
  <c r="A4" i="28"/>
  <c r="A3" i="28"/>
  <c r="I2" i="28"/>
  <c r="I3" i="28" s="1"/>
  <c r="A2" i="28"/>
  <c r="A67" i="27"/>
  <c r="C66" i="27"/>
  <c r="E66" i="27" s="1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I5" i="27"/>
  <c r="I6" i="27" s="1"/>
  <c r="A5" i="27"/>
  <c r="A4" i="27"/>
  <c r="A3" i="27"/>
  <c r="I2" i="27"/>
  <c r="I3" i="27" s="1"/>
  <c r="I4" i="27" s="1"/>
  <c r="A2" i="27"/>
  <c r="A67" i="26"/>
  <c r="E66" i="26"/>
  <c r="C66" i="26"/>
  <c r="C65" i="26" s="1"/>
  <c r="C64" i="26" s="1"/>
  <c r="E64" i="26" s="1"/>
  <c r="A66" i="26"/>
  <c r="A65" i="26"/>
  <c r="A64" i="26"/>
  <c r="C63" i="26"/>
  <c r="E63" i="26" s="1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I3" i="26"/>
  <c r="I4" i="26" s="1"/>
  <c r="I5" i="26" s="1"/>
  <c r="A3" i="26"/>
  <c r="I2" i="26"/>
  <c r="A2" i="26"/>
  <c r="A67" i="25"/>
  <c r="E66" i="25"/>
  <c r="C66" i="25"/>
  <c r="A66" i="25"/>
  <c r="C65" i="25"/>
  <c r="E65" i="25" s="1"/>
  <c r="A65" i="25"/>
  <c r="C64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I3" i="25"/>
  <c r="I4" i="25" s="1"/>
  <c r="A3" i="25"/>
  <c r="I2" i="25"/>
  <c r="A2" i="25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I2" i="24"/>
  <c r="I3" i="24" s="1"/>
  <c r="I4" i="24" s="1"/>
  <c r="I5" i="24" s="1"/>
  <c r="I6" i="24" s="1"/>
  <c r="A2" i="24"/>
  <c r="A67" i="23"/>
  <c r="E66" i="23"/>
  <c r="C66" i="23"/>
  <c r="C65" i="23" s="1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I2" i="23"/>
  <c r="I3" i="23" s="1"/>
  <c r="I4" i="23" s="1"/>
  <c r="A2" i="23"/>
  <c r="A67" i="22"/>
  <c r="E66" i="22"/>
  <c r="C66" i="22"/>
  <c r="A66" i="22"/>
  <c r="E65" i="22"/>
  <c r="C65" i="22"/>
  <c r="C64" i="22" s="1"/>
  <c r="E64" i="22" s="1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I3" i="22"/>
  <c r="I4" i="22" s="1"/>
  <c r="I5" i="22" s="1"/>
  <c r="I6" i="22" s="1"/>
  <c r="A3" i="22"/>
  <c r="I2" i="22"/>
  <c r="A2" i="22"/>
  <c r="A67" i="21"/>
  <c r="C66" i="21"/>
  <c r="E66" i="21" s="1"/>
  <c r="A66" i="21"/>
  <c r="C65" i="21"/>
  <c r="E65" i="21" s="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I2" i="21"/>
  <c r="I3" i="21" s="1"/>
  <c r="A2" i="21"/>
  <c r="A67" i="20"/>
  <c r="E66" i="20"/>
  <c r="C66" i="20"/>
  <c r="A66" i="20"/>
  <c r="C65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I2" i="20"/>
  <c r="I3" i="20" s="1"/>
  <c r="A2" i="20"/>
  <c r="A67" i="19"/>
  <c r="E66" i="19"/>
  <c r="C66" i="19"/>
  <c r="A66" i="19"/>
  <c r="C65" i="19"/>
  <c r="C64" i="19" s="1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I2" i="19"/>
  <c r="I3" i="19" s="1"/>
  <c r="A2" i="19"/>
  <c r="A67" i="18"/>
  <c r="C66" i="18"/>
  <c r="E66" i="18" s="1"/>
  <c r="A66" i="18"/>
  <c r="C65" i="18"/>
  <c r="C64" i="18" s="1"/>
  <c r="E64" i="18" s="1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I2" i="18"/>
  <c r="I3" i="18" s="1"/>
  <c r="I4" i="18" s="1"/>
  <c r="A2" i="18"/>
  <c r="A67" i="17"/>
  <c r="C66" i="17"/>
  <c r="E66" i="17" s="1"/>
  <c r="A66" i="17"/>
  <c r="C65" i="17"/>
  <c r="E65" i="17" s="1"/>
  <c r="A65" i="17"/>
  <c r="C64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I2" i="17"/>
  <c r="A2" i="17"/>
  <c r="A67" i="16"/>
  <c r="C66" i="16"/>
  <c r="E66" i="16" s="1"/>
  <c r="A66" i="16"/>
  <c r="C65" i="16"/>
  <c r="C64" i="16" s="1"/>
  <c r="E64" i="16" s="1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I3" i="16"/>
  <c r="I4" i="16" s="1"/>
  <c r="I5" i="16" s="1"/>
  <c r="A3" i="16"/>
  <c r="I2" i="16"/>
  <c r="A2" i="16"/>
  <c r="A67" i="15"/>
  <c r="E66" i="15"/>
  <c r="C66" i="15"/>
  <c r="A66" i="15"/>
  <c r="C65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I3" i="15"/>
  <c r="I4" i="15" s="1"/>
  <c r="I5" i="15" s="1"/>
  <c r="I6" i="15" s="1"/>
  <c r="I7" i="15" s="1"/>
  <c r="A3" i="15"/>
  <c r="I2" i="15"/>
  <c r="A2" i="15"/>
  <c r="A67" i="14"/>
  <c r="C66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I5" i="14"/>
  <c r="I6" i="14" s="1"/>
  <c r="A5" i="14"/>
  <c r="I4" i="14"/>
  <c r="A4" i="14"/>
  <c r="A3" i="14"/>
  <c r="I2" i="14"/>
  <c r="I3" i="14" s="1"/>
  <c r="A2" i="14"/>
  <c r="A67" i="13"/>
  <c r="C66" i="13"/>
  <c r="E66" i="13" s="1"/>
  <c r="A66" i="13"/>
  <c r="C65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I5" i="13"/>
  <c r="A5" i="13"/>
  <c r="A4" i="13"/>
  <c r="A3" i="13"/>
  <c r="I2" i="13"/>
  <c r="I3" i="13" s="1"/>
  <c r="I4" i="13" s="1"/>
  <c r="A2" i="13"/>
  <c r="A67" i="12"/>
  <c r="C66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I2" i="12"/>
  <c r="I3" i="12" s="1"/>
  <c r="I4" i="12" s="1"/>
  <c r="I5" i="12" s="1"/>
  <c r="I6" i="12" s="1"/>
  <c r="I7" i="12" s="1"/>
  <c r="A2" i="12"/>
  <c r="A67" i="11"/>
  <c r="E66" i="11"/>
  <c r="C66" i="11"/>
  <c r="A66" i="11"/>
  <c r="E65" i="11"/>
  <c r="C65" i="11"/>
  <c r="A65" i="11"/>
  <c r="C64" i="11"/>
  <c r="E64" i="11" s="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I2" i="11"/>
  <c r="A2" i="11"/>
  <c r="A67" i="10"/>
  <c r="E66" i="10"/>
  <c r="C66" i="10"/>
  <c r="A66" i="10"/>
  <c r="C65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I2" i="10"/>
  <c r="I3" i="10" s="1"/>
  <c r="I4" i="10" s="1"/>
  <c r="A2" i="10"/>
  <c r="A67" i="9"/>
  <c r="C66" i="9"/>
  <c r="E66" i="9" s="1"/>
  <c r="A66" i="9"/>
  <c r="C65" i="9"/>
  <c r="C64" i="9" s="1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I3" i="9"/>
  <c r="I4" i="9" s="1"/>
  <c r="I5" i="9" s="1"/>
  <c r="A3" i="9"/>
  <c r="I2" i="9"/>
  <c r="A2" i="9"/>
  <c r="A67" i="8"/>
  <c r="C66" i="8"/>
  <c r="E66" i="8" s="1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I2" i="8"/>
  <c r="A2" i="8"/>
  <c r="A67" i="7"/>
  <c r="C66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I3" i="7"/>
  <c r="I4" i="7" s="1"/>
  <c r="I5" i="7" s="1"/>
  <c r="I6" i="7" s="1"/>
  <c r="I7" i="7" s="1"/>
  <c r="A3" i="7"/>
  <c r="I2" i="7"/>
  <c r="A2" i="7"/>
  <c r="A67" i="6"/>
  <c r="C66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7" i="5"/>
  <c r="E66" i="5"/>
  <c r="C66" i="5"/>
  <c r="A66" i="5"/>
  <c r="E65" i="5"/>
  <c r="C65" i="5"/>
  <c r="A65" i="5"/>
  <c r="C64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I2" i="5"/>
  <c r="I3" i="5" s="1"/>
  <c r="A2" i="5"/>
  <c r="A67" i="4"/>
  <c r="C66" i="4"/>
  <c r="E66" i="4" s="1"/>
  <c r="A66" i="4"/>
  <c r="E65" i="4"/>
  <c r="C65" i="4"/>
  <c r="C64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I2" i="4"/>
  <c r="I3" i="4" s="1"/>
  <c r="A2" i="4"/>
  <c r="A67" i="3"/>
  <c r="C66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I3" i="3"/>
  <c r="A3" i="3"/>
  <c r="I2" i="3"/>
  <c r="A2" i="3"/>
  <c r="IU67" i="2"/>
  <c r="IS67" i="2"/>
  <c r="IJ67" i="2"/>
  <c r="IH67" i="2"/>
  <c r="HY67" i="2"/>
  <c r="HW67" i="2"/>
  <c r="HN67" i="2"/>
  <c r="HL67" i="2"/>
  <c r="HC67" i="2"/>
  <c r="HA67" i="2"/>
  <c r="GR67" i="2"/>
  <c r="GP67" i="2"/>
  <c r="GE67" i="2"/>
  <c r="FV67" i="2"/>
  <c r="FT67" i="2"/>
  <c r="FK67" i="2"/>
  <c r="FI67" i="2"/>
  <c r="EZ67" i="2"/>
  <c r="EX67" i="2"/>
  <c r="EO67" i="2"/>
  <c r="EM67" i="2"/>
  <c r="ED67" i="2"/>
  <c r="EB67" i="2"/>
  <c r="DS67" i="2"/>
  <c r="DQ67" i="2"/>
  <c r="DH67" i="2"/>
  <c r="DF67" i="2"/>
  <c r="CW67" i="2"/>
  <c r="CU67" i="2"/>
  <c r="CL67" i="2"/>
  <c r="CJ67" i="2"/>
  <c r="CA67" i="2"/>
  <c r="BY67" i="2"/>
  <c r="BP67" i="2"/>
  <c r="BN67" i="2"/>
  <c r="BE67" i="2"/>
  <c r="BC67" i="2"/>
  <c r="AT67" i="2"/>
  <c r="AR67" i="2"/>
  <c r="AI67" i="2"/>
  <c r="AG67" i="2"/>
  <c r="X67" i="2"/>
  <c r="V67" i="2"/>
  <c r="M67" i="2"/>
  <c r="K67" i="2"/>
  <c r="A67" i="2"/>
  <c r="IU66" i="2"/>
  <c r="IV66" i="2" s="1"/>
  <c r="IS66" i="2"/>
  <c r="IJ66" i="2"/>
  <c r="IK66" i="2" s="1"/>
  <c r="IH66" i="2"/>
  <c r="HY66" i="2"/>
  <c r="HW66" i="2"/>
  <c r="HN66" i="2"/>
  <c r="HL66" i="2"/>
  <c r="HD66" i="2"/>
  <c r="HC66" i="2"/>
  <c r="HA66" i="2"/>
  <c r="GP66" i="2"/>
  <c r="GE66" i="2"/>
  <c r="FV66" i="2"/>
  <c r="FW66" i="2" s="1"/>
  <c r="FT66" i="2"/>
  <c r="FI66" i="2"/>
  <c r="EZ66" i="2"/>
  <c r="EX66" i="2"/>
  <c r="EM66" i="2"/>
  <c r="ED66" i="2"/>
  <c r="EB66" i="2"/>
  <c r="DS66" i="2"/>
  <c r="DQ66" i="2"/>
  <c r="DH66" i="2"/>
  <c r="DI66" i="2" s="1"/>
  <c r="DF66" i="2"/>
  <c r="CW66" i="2"/>
  <c r="CU66" i="2"/>
  <c r="CJ66" i="2"/>
  <c r="CA66" i="2"/>
  <c r="BY66" i="2"/>
  <c r="BQ66" i="2"/>
  <c r="BP66" i="2"/>
  <c r="BN66" i="2"/>
  <c r="BE66" i="2"/>
  <c r="BC66" i="2"/>
  <c r="AT66" i="2"/>
  <c r="AR66" i="2"/>
  <c r="AI66" i="2"/>
  <c r="AG66" i="2"/>
  <c r="V66" i="2"/>
  <c r="M66" i="2"/>
  <c r="K66" i="2"/>
  <c r="A66" i="2"/>
  <c r="IS65" i="2"/>
  <c r="IH65" i="2"/>
  <c r="HW65" i="2"/>
  <c r="HL65" i="2"/>
  <c r="HA65" i="2"/>
  <c r="GP65" i="2"/>
  <c r="GE65" i="2"/>
  <c r="FT65" i="2"/>
  <c r="FI65" i="2"/>
  <c r="EX65" i="2"/>
  <c r="EM65" i="2"/>
  <c r="EB65" i="2"/>
  <c r="DS65" i="2"/>
  <c r="DT64" i="2" s="1"/>
  <c r="DQ65" i="2"/>
  <c r="DI65" i="2"/>
  <c r="DH65" i="2"/>
  <c r="DF65" i="2"/>
  <c r="CW65" i="2"/>
  <c r="CX65" i="2" s="1"/>
  <c r="CU65" i="2"/>
  <c r="CJ65" i="2"/>
  <c r="BY65" i="2"/>
  <c r="BN65" i="2"/>
  <c r="BC65" i="2"/>
  <c r="AR65" i="2"/>
  <c r="AG65" i="2"/>
  <c r="V65" i="2"/>
  <c r="K65" i="2"/>
  <c r="A65" i="2"/>
  <c r="IS64" i="2"/>
  <c r="IH64" i="2"/>
  <c r="HW64" i="2"/>
  <c r="HL64" i="2"/>
  <c r="HA64" i="2"/>
  <c r="GP64" i="2"/>
  <c r="GE64" i="2"/>
  <c r="FT64" i="2"/>
  <c r="FI64" i="2"/>
  <c r="EX64" i="2"/>
  <c r="EM64" i="2"/>
  <c r="EB64" i="2"/>
  <c r="DS64" i="2"/>
  <c r="DQ64" i="2"/>
  <c r="DF64" i="2"/>
  <c r="CU64" i="2"/>
  <c r="CJ64" i="2"/>
  <c r="BY64" i="2"/>
  <c r="BN64" i="2"/>
  <c r="BC64" i="2"/>
  <c r="AR64" i="2"/>
  <c r="AG64" i="2"/>
  <c r="V64" i="2"/>
  <c r="K64" i="2"/>
  <c r="A64" i="2"/>
  <c r="IS63" i="2"/>
  <c r="IH63" i="2"/>
  <c r="HW63" i="2"/>
  <c r="HL63" i="2"/>
  <c r="HA63" i="2"/>
  <c r="GP63" i="2"/>
  <c r="GE63" i="2"/>
  <c r="FT63" i="2"/>
  <c r="FI63" i="2"/>
  <c r="EX63" i="2"/>
  <c r="EM63" i="2"/>
  <c r="EB63" i="2"/>
  <c r="DQ63" i="2"/>
  <c r="DF63" i="2"/>
  <c r="CU63" i="2"/>
  <c r="CJ63" i="2"/>
  <c r="BY63" i="2"/>
  <c r="BN63" i="2"/>
  <c r="BC63" i="2"/>
  <c r="AR63" i="2"/>
  <c r="AG63" i="2"/>
  <c r="V63" i="2"/>
  <c r="K63" i="2"/>
  <c r="A63" i="2"/>
  <c r="IS62" i="2"/>
  <c r="IH62" i="2"/>
  <c r="HW62" i="2"/>
  <c r="HL62" i="2"/>
  <c r="HA62" i="2"/>
  <c r="GP62" i="2"/>
  <c r="GE62" i="2"/>
  <c r="FT62" i="2"/>
  <c r="FI62" i="2"/>
  <c r="EX62" i="2"/>
  <c r="EM62" i="2"/>
  <c r="EB62" i="2"/>
  <c r="DQ62" i="2"/>
  <c r="DF62" i="2"/>
  <c r="CU62" i="2"/>
  <c r="CJ62" i="2"/>
  <c r="BY62" i="2"/>
  <c r="BN62" i="2"/>
  <c r="BC62" i="2"/>
  <c r="AR62" i="2"/>
  <c r="AG62" i="2"/>
  <c r="V62" i="2"/>
  <c r="K62" i="2"/>
  <c r="A62" i="2"/>
  <c r="IS61" i="2"/>
  <c r="IH61" i="2"/>
  <c r="HW61" i="2"/>
  <c r="HL61" i="2"/>
  <c r="HA61" i="2"/>
  <c r="GP61" i="2"/>
  <c r="GE61" i="2"/>
  <c r="FT61" i="2"/>
  <c r="FI61" i="2"/>
  <c r="EX61" i="2"/>
  <c r="EM61" i="2"/>
  <c r="EB61" i="2"/>
  <c r="DQ61" i="2"/>
  <c r="DF61" i="2"/>
  <c r="CU61" i="2"/>
  <c r="CJ61" i="2"/>
  <c r="BY61" i="2"/>
  <c r="BN61" i="2"/>
  <c r="BC61" i="2"/>
  <c r="AR61" i="2"/>
  <c r="AG61" i="2"/>
  <c r="V61" i="2"/>
  <c r="K61" i="2"/>
  <c r="A61" i="2"/>
  <c r="IS60" i="2"/>
  <c r="IH60" i="2"/>
  <c r="HW60" i="2"/>
  <c r="HL60" i="2"/>
  <c r="HA60" i="2"/>
  <c r="GP60" i="2"/>
  <c r="GE60" i="2"/>
  <c r="FT60" i="2"/>
  <c r="FI60" i="2"/>
  <c r="EX60" i="2"/>
  <c r="EM60" i="2"/>
  <c r="EB60" i="2"/>
  <c r="DQ60" i="2"/>
  <c r="DF60" i="2"/>
  <c r="CU60" i="2"/>
  <c r="CJ60" i="2"/>
  <c r="BY60" i="2"/>
  <c r="BN60" i="2"/>
  <c r="BC60" i="2"/>
  <c r="AR60" i="2"/>
  <c r="AG60" i="2"/>
  <c r="V60" i="2"/>
  <c r="K60" i="2"/>
  <c r="A60" i="2"/>
  <c r="IS59" i="2"/>
  <c r="IH59" i="2"/>
  <c r="HW59" i="2"/>
  <c r="HL59" i="2"/>
  <c r="HA59" i="2"/>
  <c r="GP59" i="2"/>
  <c r="GE59" i="2"/>
  <c r="FT59" i="2"/>
  <c r="FI59" i="2"/>
  <c r="EX59" i="2"/>
  <c r="EM59" i="2"/>
  <c r="EB59" i="2"/>
  <c r="DQ59" i="2"/>
  <c r="DF59" i="2"/>
  <c r="CU59" i="2"/>
  <c r="CJ59" i="2"/>
  <c r="BY59" i="2"/>
  <c r="BN59" i="2"/>
  <c r="BC59" i="2"/>
  <c r="AR59" i="2"/>
  <c r="AG59" i="2"/>
  <c r="V59" i="2"/>
  <c r="K59" i="2"/>
  <c r="A59" i="2"/>
  <c r="IS58" i="2"/>
  <c r="IH58" i="2"/>
  <c r="HW58" i="2"/>
  <c r="HL58" i="2"/>
  <c r="HA58" i="2"/>
  <c r="GP58" i="2"/>
  <c r="GE58" i="2"/>
  <c r="FT58" i="2"/>
  <c r="FI58" i="2"/>
  <c r="EX58" i="2"/>
  <c r="EM58" i="2"/>
  <c r="EB58" i="2"/>
  <c r="DQ58" i="2"/>
  <c r="DF58" i="2"/>
  <c r="CU58" i="2"/>
  <c r="CJ58" i="2"/>
  <c r="BY58" i="2"/>
  <c r="BN58" i="2"/>
  <c r="BC58" i="2"/>
  <c r="AR58" i="2"/>
  <c r="AG58" i="2"/>
  <c r="V58" i="2"/>
  <c r="K58" i="2"/>
  <c r="A58" i="2"/>
  <c r="IS57" i="2"/>
  <c r="IH57" i="2"/>
  <c r="HW57" i="2"/>
  <c r="HL57" i="2"/>
  <c r="HA57" i="2"/>
  <c r="GP57" i="2"/>
  <c r="GE57" i="2"/>
  <c r="FT57" i="2"/>
  <c r="FI57" i="2"/>
  <c r="EX57" i="2"/>
  <c r="EM57" i="2"/>
  <c r="EB57" i="2"/>
  <c r="DQ57" i="2"/>
  <c r="DF57" i="2"/>
  <c r="CU57" i="2"/>
  <c r="CJ57" i="2"/>
  <c r="BY57" i="2"/>
  <c r="BN57" i="2"/>
  <c r="BC57" i="2"/>
  <c r="AR57" i="2"/>
  <c r="AG57" i="2"/>
  <c r="V57" i="2"/>
  <c r="K57" i="2"/>
  <c r="A57" i="2"/>
  <c r="IS56" i="2"/>
  <c r="IH56" i="2"/>
  <c r="HW56" i="2"/>
  <c r="HL56" i="2"/>
  <c r="HA56" i="2"/>
  <c r="GP56" i="2"/>
  <c r="GE56" i="2"/>
  <c r="FT56" i="2"/>
  <c r="FI56" i="2"/>
  <c r="EX56" i="2"/>
  <c r="EM56" i="2"/>
  <c r="EB56" i="2"/>
  <c r="DQ56" i="2"/>
  <c r="DF56" i="2"/>
  <c r="CU56" i="2"/>
  <c r="CJ56" i="2"/>
  <c r="BY56" i="2"/>
  <c r="BN56" i="2"/>
  <c r="BC56" i="2"/>
  <c r="AR56" i="2"/>
  <c r="AG56" i="2"/>
  <c r="V56" i="2"/>
  <c r="K56" i="2"/>
  <c r="A56" i="2"/>
  <c r="IS55" i="2"/>
  <c r="IH55" i="2"/>
  <c r="HW55" i="2"/>
  <c r="HL55" i="2"/>
  <c r="HA55" i="2"/>
  <c r="GP55" i="2"/>
  <c r="GE55" i="2"/>
  <c r="FT55" i="2"/>
  <c r="FI55" i="2"/>
  <c r="EX55" i="2"/>
  <c r="EM55" i="2"/>
  <c r="EB55" i="2"/>
  <c r="DQ55" i="2"/>
  <c r="DF55" i="2"/>
  <c r="CU55" i="2"/>
  <c r="CJ55" i="2"/>
  <c r="BY55" i="2"/>
  <c r="BN55" i="2"/>
  <c r="BC55" i="2"/>
  <c r="AR55" i="2"/>
  <c r="AG55" i="2"/>
  <c r="V55" i="2"/>
  <c r="K55" i="2"/>
  <c r="A55" i="2"/>
  <c r="IS54" i="2"/>
  <c r="IH54" i="2"/>
  <c r="HW54" i="2"/>
  <c r="HL54" i="2"/>
  <c r="HA54" i="2"/>
  <c r="GP54" i="2"/>
  <c r="GE54" i="2"/>
  <c r="FT54" i="2"/>
  <c r="FI54" i="2"/>
  <c r="EX54" i="2"/>
  <c r="EM54" i="2"/>
  <c r="EB54" i="2"/>
  <c r="DQ54" i="2"/>
  <c r="DF54" i="2"/>
  <c r="CU54" i="2"/>
  <c r="CJ54" i="2"/>
  <c r="BY54" i="2"/>
  <c r="BN54" i="2"/>
  <c r="BC54" i="2"/>
  <c r="AR54" i="2"/>
  <c r="AG54" i="2"/>
  <c r="V54" i="2"/>
  <c r="K54" i="2"/>
  <c r="A54" i="2"/>
  <c r="IS53" i="2"/>
  <c r="IH53" i="2"/>
  <c r="HW53" i="2"/>
  <c r="HL53" i="2"/>
  <c r="HA53" i="2"/>
  <c r="GP53" i="2"/>
  <c r="GE53" i="2"/>
  <c r="FT53" i="2"/>
  <c r="FI53" i="2"/>
  <c r="EX53" i="2"/>
  <c r="EM53" i="2"/>
  <c r="EB53" i="2"/>
  <c r="DQ53" i="2"/>
  <c r="DF53" i="2"/>
  <c r="CU53" i="2"/>
  <c r="CJ53" i="2"/>
  <c r="BY53" i="2"/>
  <c r="BN53" i="2"/>
  <c r="BC53" i="2"/>
  <c r="AR53" i="2"/>
  <c r="AG53" i="2"/>
  <c r="V53" i="2"/>
  <c r="K53" i="2"/>
  <c r="A53" i="2"/>
  <c r="IS52" i="2"/>
  <c r="IH52" i="2"/>
  <c r="HW52" i="2"/>
  <c r="HL52" i="2"/>
  <c r="HA52" i="2"/>
  <c r="GP52" i="2"/>
  <c r="GE52" i="2"/>
  <c r="FT52" i="2"/>
  <c r="FI52" i="2"/>
  <c r="EX52" i="2"/>
  <c r="EM52" i="2"/>
  <c r="EB52" i="2"/>
  <c r="DQ52" i="2"/>
  <c r="DF52" i="2"/>
  <c r="CU52" i="2"/>
  <c r="CJ52" i="2"/>
  <c r="BY52" i="2"/>
  <c r="BN52" i="2"/>
  <c r="BC52" i="2"/>
  <c r="AR52" i="2"/>
  <c r="AG52" i="2"/>
  <c r="V52" i="2"/>
  <c r="K52" i="2"/>
  <c r="A52" i="2"/>
  <c r="IS51" i="2"/>
  <c r="IH51" i="2"/>
  <c r="HW51" i="2"/>
  <c r="HL51" i="2"/>
  <c r="HA51" i="2"/>
  <c r="GP51" i="2"/>
  <c r="GE51" i="2"/>
  <c r="FT51" i="2"/>
  <c r="FI51" i="2"/>
  <c r="EX51" i="2"/>
  <c r="EM51" i="2"/>
  <c r="EB51" i="2"/>
  <c r="DQ51" i="2"/>
  <c r="DF51" i="2"/>
  <c r="CU51" i="2"/>
  <c r="CJ51" i="2"/>
  <c r="BY51" i="2"/>
  <c r="BN51" i="2"/>
  <c r="BC51" i="2"/>
  <c r="AR51" i="2"/>
  <c r="AG51" i="2"/>
  <c r="V51" i="2"/>
  <c r="K51" i="2"/>
  <c r="A51" i="2"/>
  <c r="IS50" i="2"/>
  <c r="IH50" i="2"/>
  <c r="HW50" i="2"/>
  <c r="HL50" i="2"/>
  <c r="HA50" i="2"/>
  <c r="GP50" i="2"/>
  <c r="GE50" i="2"/>
  <c r="FT50" i="2"/>
  <c r="FI50" i="2"/>
  <c r="EX50" i="2"/>
  <c r="EM50" i="2"/>
  <c r="EB50" i="2"/>
  <c r="DQ50" i="2"/>
  <c r="DF50" i="2"/>
  <c r="CU50" i="2"/>
  <c r="CJ50" i="2"/>
  <c r="BY50" i="2"/>
  <c r="BN50" i="2"/>
  <c r="BC50" i="2"/>
  <c r="AR50" i="2"/>
  <c r="AG50" i="2"/>
  <c r="V50" i="2"/>
  <c r="K50" i="2"/>
  <c r="A50" i="2"/>
  <c r="IS49" i="2"/>
  <c r="IH49" i="2"/>
  <c r="HW49" i="2"/>
  <c r="HL49" i="2"/>
  <c r="HA49" i="2"/>
  <c r="GP49" i="2"/>
  <c r="GE49" i="2"/>
  <c r="FT49" i="2"/>
  <c r="FI49" i="2"/>
  <c r="EX49" i="2"/>
  <c r="EM49" i="2"/>
  <c r="EB49" i="2"/>
  <c r="DQ49" i="2"/>
  <c r="DF49" i="2"/>
  <c r="CU49" i="2"/>
  <c r="CJ49" i="2"/>
  <c r="BY49" i="2"/>
  <c r="BN49" i="2"/>
  <c r="BC49" i="2"/>
  <c r="AR49" i="2"/>
  <c r="AG49" i="2"/>
  <c r="V49" i="2"/>
  <c r="K49" i="2"/>
  <c r="A49" i="2"/>
  <c r="IS48" i="2"/>
  <c r="IH48" i="2"/>
  <c r="HW48" i="2"/>
  <c r="HL48" i="2"/>
  <c r="HA48" i="2"/>
  <c r="GP48" i="2"/>
  <c r="GE48" i="2"/>
  <c r="FT48" i="2"/>
  <c r="FI48" i="2"/>
  <c r="EX48" i="2"/>
  <c r="EM48" i="2"/>
  <c r="EB48" i="2"/>
  <c r="DQ48" i="2"/>
  <c r="DF48" i="2"/>
  <c r="CU48" i="2"/>
  <c r="CJ48" i="2"/>
  <c r="BY48" i="2"/>
  <c r="BN48" i="2"/>
  <c r="BC48" i="2"/>
  <c r="AR48" i="2"/>
  <c r="AG48" i="2"/>
  <c r="V48" i="2"/>
  <c r="K48" i="2"/>
  <c r="A48" i="2"/>
  <c r="IS47" i="2"/>
  <c r="IH47" i="2"/>
  <c r="HW47" i="2"/>
  <c r="HL47" i="2"/>
  <c r="HA47" i="2"/>
  <c r="GP47" i="2"/>
  <c r="GE47" i="2"/>
  <c r="FT47" i="2"/>
  <c r="FI47" i="2"/>
  <c r="EX47" i="2"/>
  <c r="EM47" i="2"/>
  <c r="EB47" i="2"/>
  <c r="DQ47" i="2"/>
  <c r="DF47" i="2"/>
  <c r="CU47" i="2"/>
  <c r="CJ47" i="2"/>
  <c r="BY47" i="2"/>
  <c r="BN47" i="2"/>
  <c r="BC47" i="2"/>
  <c r="AR47" i="2"/>
  <c r="AG47" i="2"/>
  <c r="V47" i="2"/>
  <c r="K47" i="2"/>
  <c r="A47" i="2"/>
  <c r="IS46" i="2"/>
  <c r="IH46" i="2"/>
  <c r="HW46" i="2"/>
  <c r="HL46" i="2"/>
  <c r="HA46" i="2"/>
  <c r="GP46" i="2"/>
  <c r="GE46" i="2"/>
  <c r="FT46" i="2"/>
  <c r="FI46" i="2"/>
  <c r="EX46" i="2"/>
  <c r="EM46" i="2"/>
  <c r="EB46" i="2"/>
  <c r="DQ46" i="2"/>
  <c r="DF46" i="2"/>
  <c r="CU46" i="2"/>
  <c r="CJ46" i="2"/>
  <c r="BY46" i="2"/>
  <c r="BN46" i="2"/>
  <c r="BC46" i="2"/>
  <c r="AR46" i="2"/>
  <c r="AG46" i="2"/>
  <c r="V46" i="2"/>
  <c r="K46" i="2"/>
  <c r="A46" i="2"/>
  <c r="IS45" i="2"/>
  <c r="IH45" i="2"/>
  <c r="HW45" i="2"/>
  <c r="HL45" i="2"/>
  <c r="HA45" i="2"/>
  <c r="GP45" i="2"/>
  <c r="GE45" i="2"/>
  <c r="FT45" i="2"/>
  <c r="FI45" i="2"/>
  <c r="EX45" i="2"/>
  <c r="EM45" i="2"/>
  <c r="EB45" i="2"/>
  <c r="DQ45" i="2"/>
  <c r="DF45" i="2"/>
  <c r="CU45" i="2"/>
  <c r="CJ45" i="2"/>
  <c r="BY45" i="2"/>
  <c r="BN45" i="2"/>
  <c r="BC45" i="2"/>
  <c r="AR45" i="2"/>
  <c r="AG45" i="2"/>
  <c r="V45" i="2"/>
  <c r="K45" i="2"/>
  <c r="A45" i="2"/>
  <c r="IS44" i="2"/>
  <c r="IH44" i="2"/>
  <c r="HW44" i="2"/>
  <c r="HL44" i="2"/>
  <c r="HA44" i="2"/>
  <c r="GP44" i="2"/>
  <c r="GE44" i="2"/>
  <c r="FT44" i="2"/>
  <c r="FI44" i="2"/>
  <c r="EX44" i="2"/>
  <c r="EM44" i="2"/>
  <c r="EB44" i="2"/>
  <c r="DQ44" i="2"/>
  <c r="DF44" i="2"/>
  <c r="CU44" i="2"/>
  <c r="CJ44" i="2"/>
  <c r="BY44" i="2"/>
  <c r="BN44" i="2"/>
  <c r="BC44" i="2"/>
  <c r="AR44" i="2"/>
  <c r="AG44" i="2"/>
  <c r="V44" i="2"/>
  <c r="K44" i="2"/>
  <c r="A44" i="2"/>
  <c r="IS43" i="2"/>
  <c r="IH43" i="2"/>
  <c r="HW43" i="2"/>
  <c r="HL43" i="2"/>
  <c r="HA43" i="2"/>
  <c r="GP43" i="2"/>
  <c r="GE43" i="2"/>
  <c r="FT43" i="2"/>
  <c r="FI43" i="2"/>
  <c r="EX43" i="2"/>
  <c r="EM43" i="2"/>
  <c r="EB43" i="2"/>
  <c r="DQ43" i="2"/>
  <c r="DF43" i="2"/>
  <c r="CU43" i="2"/>
  <c r="CJ43" i="2"/>
  <c r="BY43" i="2"/>
  <c r="BN43" i="2"/>
  <c r="BC43" i="2"/>
  <c r="AR43" i="2"/>
  <c r="AG43" i="2"/>
  <c r="V43" i="2"/>
  <c r="K43" i="2"/>
  <c r="A43" i="2"/>
  <c r="IS42" i="2"/>
  <c r="IH42" i="2"/>
  <c r="HW42" i="2"/>
  <c r="HL42" i="2"/>
  <c r="HA42" i="2"/>
  <c r="GP42" i="2"/>
  <c r="GE42" i="2"/>
  <c r="FT42" i="2"/>
  <c r="FI42" i="2"/>
  <c r="EX42" i="2"/>
  <c r="EM42" i="2"/>
  <c r="EB42" i="2"/>
  <c r="DQ42" i="2"/>
  <c r="DF42" i="2"/>
  <c r="CU42" i="2"/>
  <c r="CJ42" i="2"/>
  <c r="BY42" i="2"/>
  <c r="BN42" i="2"/>
  <c r="BC42" i="2"/>
  <c r="AR42" i="2"/>
  <c r="AG42" i="2"/>
  <c r="V42" i="2"/>
  <c r="K42" i="2"/>
  <c r="A42" i="2"/>
  <c r="IS41" i="2"/>
  <c r="IH41" i="2"/>
  <c r="HW41" i="2"/>
  <c r="HL41" i="2"/>
  <c r="HA41" i="2"/>
  <c r="GP41" i="2"/>
  <c r="GE41" i="2"/>
  <c r="FT41" i="2"/>
  <c r="FI41" i="2"/>
  <c r="EX41" i="2"/>
  <c r="EM41" i="2"/>
  <c r="EB41" i="2"/>
  <c r="DQ41" i="2"/>
  <c r="DF41" i="2"/>
  <c r="CU41" i="2"/>
  <c r="CJ41" i="2"/>
  <c r="BY41" i="2"/>
  <c r="BN41" i="2"/>
  <c r="BC41" i="2"/>
  <c r="AR41" i="2"/>
  <c r="AG41" i="2"/>
  <c r="V41" i="2"/>
  <c r="K41" i="2"/>
  <c r="A41" i="2"/>
  <c r="IS40" i="2"/>
  <c r="IH40" i="2"/>
  <c r="HW40" i="2"/>
  <c r="HL40" i="2"/>
  <c r="HA40" i="2"/>
  <c r="GP40" i="2"/>
  <c r="GE40" i="2"/>
  <c r="FT40" i="2"/>
  <c r="FI40" i="2"/>
  <c r="EX40" i="2"/>
  <c r="EM40" i="2"/>
  <c r="EB40" i="2"/>
  <c r="DQ40" i="2"/>
  <c r="DF40" i="2"/>
  <c r="CU40" i="2"/>
  <c r="CJ40" i="2"/>
  <c r="BY40" i="2"/>
  <c r="BN40" i="2"/>
  <c r="BC40" i="2"/>
  <c r="AR40" i="2"/>
  <c r="AG40" i="2"/>
  <c r="V40" i="2"/>
  <c r="K40" i="2"/>
  <c r="A40" i="2"/>
  <c r="IS39" i="2"/>
  <c r="IH39" i="2"/>
  <c r="HW39" i="2"/>
  <c r="HL39" i="2"/>
  <c r="HA39" i="2"/>
  <c r="GP39" i="2"/>
  <c r="GE39" i="2"/>
  <c r="FT39" i="2"/>
  <c r="FI39" i="2"/>
  <c r="EX39" i="2"/>
  <c r="EM39" i="2"/>
  <c r="EB39" i="2"/>
  <c r="DQ39" i="2"/>
  <c r="DF39" i="2"/>
  <c r="CU39" i="2"/>
  <c r="CJ39" i="2"/>
  <c r="BY39" i="2"/>
  <c r="BN39" i="2"/>
  <c r="BC39" i="2"/>
  <c r="AR39" i="2"/>
  <c r="AG39" i="2"/>
  <c r="V39" i="2"/>
  <c r="K39" i="2"/>
  <c r="A39" i="2"/>
  <c r="IS38" i="2"/>
  <c r="IH38" i="2"/>
  <c r="HW38" i="2"/>
  <c r="HL38" i="2"/>
  <c r="HA38" i="2"/>
  <c r="GP38" i="2"/>
  <c r="GE38" i="2"/>
  <c r="FT38" i="2"/>
  <c r="FI38" i="2"/>
  <c r="EX38" i="2"/>
  <c r="EM38" i="2"/>
  <c r="EB38" i="2"/>
  <c r="DQ38" i="2"/>
  <c r="DF38" i="2"/>
  <c r="CU38" i="2"/>
  <c r="CJ38" i="2"/>
  <c r="BY38" i="2"/>
  <c r="BN38" i="2"/>
  <c r="BC38" i="2"/>
  <c r="AR38" i="2"/>
  <c r="AG38" i="2"/>
  <c r="V38" i="2"/>
  <c r="K38" i="2"/>
  <c r="A38" i="2"/>
  <c r="IS37" i="2"/>
  <c r="IH37" i="2"/>
  <c r="HW37" i="2"/>
  <c r="HL37" i="2"/>
  <c r="HA37" i="2"/>
  <c r="GP37" i="2"/>
  <c r="GE37" i="2"/>
  <c r="FT37" i="2"/>
  <c r="FI37" i="2"/>
  <c r="EX37" i="2"/>
  <c r="EM37" i="2"/>
  <c r="EB37" i="2"/>
  <c r="DQ37" i="2"/>
  <c r="DF37" i="2"/>
  <c r="CU37" i="2"/>
  <c r="CJ37" i="2"/>
  <c r="BY37" i="2"/>
  <c r="BN37" i="2"/>
  <c r="BC37" i="2"/>
  <c r="AR37" i="2"/>
  <c r="AG37" i="2"/>
  <c r="V37" i="2"/>
  <c r="K37" i="2"/>
  <c r="A37" i="2"/>
  <c r="IS36" i="2"/>
  <c r="IH36" i="2"/>
  <c r="HW36" i="2"/>
  <c r="HL36" i="2"/>
  <c r="HA36" i="2"/>
  <c r="GP36" i="2"/>
  <c r="GE36" i="2"/>
  <c r="FT36" i="2"/>
  <c r="FI36" i="2"/>
  <c r="EX36" i="2"/>
  <c r="EM36" i="2"/>
  <c r="EB36" i="2"/>
  <c r="DQ36" i="2"/>
  <c r="DF36" i="2"/>
  <c r="CU36" i="2"/>
  <c r="CJ36" i="2"/>
  <c r="BY36" i="2"/>
  <c r="BN36" i="2"/>
  <c r="BC36" i="2"/>
  <c r="AR36" i="2"/>
  <c r="AG36" i="2"/>
  <c r="V36" i="2"/>
  <c r="K36" i="2"/>
  <c r="A36" i="2"/>
  <c r="IS35" i="2"/>
  <c r="IH35" i="2"/>
  <c r="HW35" i="2"/>
  <c r="HL35" i="2"/>
  <c r="HA35" i="2"/>
  <c r="GP35" i="2"/>
  <c r="GE35" i="2"/>
  <c r="FT35" i="2"/>
  <c r="FI35" i="2"/>
  <c r="EX35" i="2"/>
  <c r="EM35" i="2"/>
  <c r="EB35" i="2"/>
  <c r="DQ35" i="2"/>
  <c r="DF35" i="2"/>
  <c r="CU35" i="2"/>
  <c r="CJ35" i="2"/>
  <c r="BY35" i="2"/>
  <c r="BN35" i="2"/>
  <c r="BC35" i="2"/>
  <c r="AR35" i="2"/>
  <c r="AG35" i="2"/>
  <c r="V35" i="2"/>
  <c r="K35" i="2"/>
  <c r="A35" i="2"/>
  <c r="IS34" i="2"/>
  <c r="IH34" i="2"/>
  <c r="HW34" i="2"/>
  <c r="HL34" i="2"/>
  <c r="HA34" i="2"/>
  <c r="GP34" i="2"/>
  <c r="GE34" i="2"/>
  <c r="FT34" i="2"/>
  <c r="FI34" i="2"/>
  <c r="EX34" i="2"/>
  <c r="EM34" i="2"/>
  <c r="EB34" i="2"/>
  <c r="DQ34" i="2"/>
  <c r="DF34" i="2"/>
  <c r="CU34" i="2"/>
  <c r="CJ34" i="2"/>
  <c r="BY34" i="2"/>
  <c r="BN34" i="2"/>
  <c r="BC34" i="2"/>
  <c r="AR34" i="2"/>
  <c r="AG34" i="2"/>
  <c r="V34" i="2"/>
  <c r="K34" i="2"/>
  <c r="A34" i="2"/>
  <c r="IS33" i="2"/>
  <c r="IH33" i="2"/>
  <c r="HW33" i="2"/>
  <c r="HL33" i="2"/>
  <c r="HA33" i="2"/>
  <c r="GP33" i="2"/>
  <c r="GE33" i="2"/>
  <c r="FT33" i="2"/>
  <c r="FI33" i="2"/>
  <c r="EX33" i="2"/>
  <c r="EM33" i="2"/>
  <c r="EB33" i="2"/>
  <c r="DQ33" i="2"/>
  <c r="DF33" i="2"/>
  <c r="CU33" i="2"/>
  <c r="CJ33" i="2"/>
  <c r="BY33" i="2"/>
  <c r="BN33" i="2"/>
  <c r="BC33" i="2"/>
  <c r="AR33" i="2"/>
  <c r="AG33" i="2"/>
  <c r="V33" i="2"/>
  <c r="K33" i="2"/>
  <c r="A33" i="2"/>
  <c r="IS32" i="2"/>
  <c r="IH32" i="2"/>
  <c r="HW32" i="2"/>
  <c r="HL32" i="2"/>
  <c r="HA32" i="2"/>
  <c r="GP32" i="2"/>
  <c r="GE32" i="2"/>
  <c r="FT32" i="2"/>
  <c r="FI32" i="2"/>
  <c r="EX32" i="2"/>
  <c r="EM32" i="2"/>
  <c r="EB32" i="2"/>
  <c r="DQ32" i="2"/>
  <c r="DF32" i="2"/>
  <c r="CU32" i="2"/>
  <c r="CJ32" i="2"/>
  <c r="BY32" i="2"/>
  <c r="BN32" i="2"/>
  <c r="BC32" i="2"/>
  <c r="AR32" i="2"/>
  <c r="AG32" i="2"/>
  <c r="V32" i="2"/>
  <c r="K32" i="2"/>
  <c r="A32" i="2"/>
  <c r="IS31" i="2"/>
  <c r="IH31" i="2"/>
  <c r="HW31" i="2"/>
  <c r="HL31" i="2"/>
  <c r="HA31" i="2"/>
  <c r="GP31" i="2"/>
  <c r="GE31" i="2"/>
  <c r="FT31" i="2"/>
  <c r="FI31" i="2"/>
  <c r="EX31" i="2"/>
  <c r="EM31" i="2"/>
  <c r="EB31" i="2"/>
  <c r="DQ31" i="2"/>
  <c r="DF31" i="2"/>
  <c r="CU31" i="2"/>
  <c r="CJ31" i="2"/>
  <c r="BY31" i="2"/>
  <c r="BN31" i="2"/>
  <c r="BC31" i="2"/>
  <c r="AR31" i="2"/>
  <c r="AG31" i="2"/>
  <c r="V31" i="2"/>
  <c r="K31" i="2"/>
  <c r="A31" i="2"/>
  <c r="IS30" i="2"/>
  <c r="IH30" i="2"/>
  <c r="HW30" i="2"/>
  <c r="HL30" i="2"/>
  <c r="HA30" i="2"/>
  <c r="GP30" i="2"/>
  <c r="GE30" i="2"/>
  <c r="FT30" i="2"/>
  <c r="FI30" i="2"/>
  <c r="EX30" i="2"/>
  <c r="EM30" i="2"/>
  <c r="EB30" i="2"/>
  <c r="DQ30" i="2"/>
  <c r="DF30" i="2"/>
  <c r="CU30" i="2"/>
  <c r="CJ30" i="2"/>
  <c r="BY30" i="2"/>
  <c r="BN30" i="2"/>
  <c r="BC30" i="2"/>
  <c r="AR30" i="2"/>
  <c r="AG30" i="2"/>
  <c r="V30" i="2"/>
  <c r="K30" i="2"/>
  <c r="A30" i="2"/>
  <c r="IS29" i="2"/>
  <c r="IH29" i="2"/>
  <c r="HW29" i="2"/>
  <c r="HL29" i="2"/>
  <c r="HA29" i="2"/>
  <c r="GP29" i="2"/>
  <c r="GE29" i="2"/>
  <c r="FT29" i="2"/>
  <c r="FI29" i="2"/>
  <c r="EX29" i="2"/>
  <c r="EM29" i="2"/>
  <c r="EB29" i="2"/>
  <c r="DQ29" i="2"/>
  <c r="DF29" i="2"/>
  <c r="CU29" i="2"/>
  <c r="CJ29" i="2"/>
  <c r="BY29" i="2"/>
  <c r="BN29" i="2"/>
  <c r="BC29" i="2"/>
  <c r="AR29" i="2"/>
  <c r="AG29" i="2"/>
  <c r="V29" i="2"/>
  <c r="K29" i="2"/>
  <c r="A29" i="2"/>
  <c r="IS28" i="2"/>
  <c r="IH28" i="2"/>
  <c r="HW28" i="2"/>
  <c r="HL28" i="2"/>
  <c r="HA28" i="2"/>
  <c r="GP28" i="2"/>
  <c r="GE28" i="2"/>
  <c r="FT28" i="2"/>
  <c r="FI28" i="2"/>
  <c r="EX28" i="2"/>
  <c r="EM28" i="2"/>
  <c r="EB28" i="2"/>
  <c r="DQ28" i="2"/>
  <c r="DF28" i="2"/>
  <c r="CU28" i="2"/>
  <c r="CJ28" i="2"/>
  <c r="BY28" i="2"/>
  <c r="BN28" i="2"/>
  <c r="BC28" i="2"/>
  <c r="AR28" i="2"/>
  <c r="AG28" i="2"/>
  <c r="V28" i="2"/>
  <c r="K28" i="2"/>
  <c r="A28" i="2"/>
  <c r="IS27" i="2"/>
  <c r="IH27" i="2"/>
  <c r="HW27" i="2"/>
  <c r="HL27" i="2"/>
  <c r="HA27" i="2"/>
  <c r="GP27" i="2"/>
  <c r="GE27" i="2"/>
  <c r="FT27" i="2"/>
  <c r="FI27" i="2"/>
  <c r="EX27" i="2"/>
  <c r="EM27" i="2"/>
  <c r="EB27" i="2"/>
  <c r="DQ27" i="2"/>
  <c r="DF27" i="2"/>
  <c r="CU27" i="2"/>
  <c r="CJ27" i="2"/>
  <c r="BY27" i="2"/>
  <c r="BN27" i="2"/>
  <c r="BC27" i="2"/>
  <c r="AR27" i="2"/>
  <c r="AG27" i="2"/>
  <c r="V27" i="2"/>
  <c r="K27" i="2"/>
  <c r="A27" i="2"/>
  <c r="IS26" i="2"/>
  <c r="IH26" i="2"/>
  <c r="HW26" i="2"/>
  <c r="HL26" i="2"/>
  <c r="HA26" i="2"/>
  <c r="GP26" i="2"/>
  <c r="GE26" i="2"/>
  <c r="FT26" i="2"/>
  <c r="FI26" i="2"/>
  <c r="EX26" i="2"/>
  <c r="EM26" i="2"/>
  <c r="EB26" i="2"/>
  <c r="DQ26" i="2"/>
  <c r="DF26" i="2"/>
  <c r="CU26" i="2"/>
  <c r="CJ26" i="2"/>
  <c r="BY26" i="2"/>
  <c r="BN26" i="2"/>
  <c r="BC26" i="2"/>
  <c r="AR26" i="2"/>
  <c r="AG26" i="2"/>
  <c r="V26" i="2"/>
  <c r="K26" i="2"/>
  <c r="A26" i="2"/>
  <c r="IS25" i="2"/>
  <c r="IH25" i="2"/>
  <c r="HW25" i="2"/>
  <c r="HL25" i="2"/>
  <c r="HA25" i="2"/>
  <c r="GP25" i="2"/>
  <c r="GE25" i="2"/>
  <c r="FT25" i="2"/>
  <c r="FI25" i="2"/>
  <c r="EX25" i="2"/>
  <c r="EM25" i="2"/>
  <c r="EB25" i="2"/>
  <c r="DQ25" i="2"/>
  <c r="DF25" i="2"/>
  <c r="CU25" i="2"/>
  <c r="CJ25" i="2"/>
  <c r="BY25" i="2"/>
  <c r="BN25" i="2"/>
  <c r="BC25" i="2"/>
  <c r="AR25" i="2"/>
  <c r="AG25" i="2"/>
  <c r="V25" i="2"/>
  <c r="K25" i="2"/>
  <c r="A25" i="2"/>
  <c r="IS24" i="2"/>
  <c r="IH24" i="2"/>
  <c r="HW24" i="2"/>
  <c r="HL24" i="2"/>
  <c r="HA24" i="2"/>
  <c r="GP24" i="2"/>
  <c r="GE24" i="2"/>
  <c r="FT24" i="2"/>
  <c r="FI24" i="2"/>
  <c r="EX24" i="2"/>
  <c r="EM24" i="2"/>
  <c r="EB24" i="2"/>
  <c r="DQ24" i="2"/>
  <c r="DF24" i="2"/>
  <c r="CU24" i="2"/>
  <c r="CJ24" i="2"/>
  <c r="BY24" i="2"/>
  <c r="BN24" i="2"/>
  <c r="BC24" i="2"/>
  <c r="AR24" i="2"/>
  <c r="AG24" i="2"/>
  <c r="V24" i="2"/>
  <c r="K24" i="2"/>
  <c r="A24" i="2"/>
  <c r="IS23" i="2"/>
  <c r="IH23" i="2"/>
  <c r="HW23" i="2"/>
  <c r="HL23" i="2"/>
  <c r="HA23" i="2"/>
  <c r="GP23" i="2"/>
  <c r="GE23" i="2"/>
  <c r="FT23" i="2"/>
  <c r="FI23" i="2"/>
  <c r="EX23" i="2"/>
  <c r="EM23" i="2"/>
  <c r="EB23" i="2"/>
  <c r="DQ23" i="2"/>
  <c r="DF23" i="2"/>
  <c r="CU23" i="2"/>
  <c r="CJ23" i="2"/>
  <c r="BY23" i="2"/>
  <c r="BN23" i="2"/>
  <c r="BC23" i="2"/>
  <c r="AR23" i="2"/>
  <c r="AG23" i="2"/>
  <c r="V23" i="2"/>
  <c r="K23" i="2"/>
  <c r="A23" i="2"/>
  <c r="IS22" i="2"/>
  <c r="IH22" i="2"/>
  <c r="HW22" i="2"/>
  <c r="HL22" i="2"/>
  <c r="HA22" i="2"/>
  <c r="GP22" i="2"/>
  <c r="GE22" i="2"/>
  <c r="FT22" i="2"/>
  <c r="FI22" i="2"/>
  <c r="EX22" i="2"/>
  <c r="EM22" i="2"/>
  <c r="EB22" i="2"/>
  <c r="DQ22" i="2"/>
  <c r="DF22" i="2"/>
  <c r="CU22" i="2"/>
  <c r="CJ22" i="2"/>
  <c r="BY22" i="2"/>
  <c r="BN22" i="2"/>
  <c r="BC22" i="2"/>
  <c r="AR22" i="2"/>
  <c r="AG22" i="2"/>
  <c r="V22" i="2"/>
  <c r="K22" i="2"/>
  <c r="A22" i="2"/>
  <c r="IS21" i="2"/>
  <c r="IH21" i="2"/>
  <c r="HW21" i="2"/>
  <c r="HL21" i="2"/>
  <c r="HA21" i="2"/>
  <c r="GP21" i="2"/>
  <c r="GE21" i="2"/>
  <c r="FT21" i="2"/>
  <c r="FI21" i="2"/>
  <c r="EX21" i="2"/>
  <c r="EM21" i="2"/>
  <c r="EB21" i="2"/>
  <c r="DQ21" i="2"/>
  <c r="DF21" i="2"/>
  <c r="CU21" i="2"/>
  <c r="CJ21" i="2"/>
  <c r="BY21" i="2"/>
  <c r="BN21" i="2"/>
  <c r="BC21" i="2"/>
  <c r="AR21" i="2"/>
  <c r="AG21" i="2"/>
  <c r="V21" i="2"/>
  <c r="K21" i="2"/>
  <c r="A21" i="2"/>
  <c r="IS20" i="2"/>
  <c r="IH20" i="2"/>
  <c r="HW20" i="2"/>
  <c r="HL20" i="2"/>
  <c r="HA20" i="2"/>
  <c r="GP20" i="2"/>
  <c r="GE20" i="2"/>
  <c r="FT20" i="2"/>
  <c r="FI20" i="2"/>
  <c r="EX20" i="2"/>
  <c r="EM20" i="2"/>
  <c r="EB20" i="2"/>
  <c r="DQ20" i="2"/>
  <c r="DF20" i="2"/>
  <c r="CU20" i="2"/>
  <c r="CJ20" i="2"/>
  <c r="BY20" i="2"/>
  <c r="BN20" i="2"/>
  <c r="BC20" i="2"/>
  <c r="AR20" i="2"/>
  <c r="AG20" i="2"/>
  <c r="V20" i="2"/>
  <c r="K20" i="2"/>
  <c r="A20" i="2"/>
  <c r="IS19" i="2"/>
  <c r="IH19" i="2"/>
  <c r="HW19" i="2"/>
  <c r="HL19" i="2"/>
  <c r="HA19" i="2"/>
  <c r="GP19" i="2"/>
  <c r="GE19" i="2"/>
  <c r="FT19" i="2"/>
  <c r="FI19" i="2"/>
  <c r="EX19" i="2"/>
  <c r="EM19" i="2"/>
  <c r="EB19" i="2"/>
  <c r="DQ19" i="2"/>
  <c r="DF19" i="2"/>
  <c r="CU19" i="2"/>
  <c r="CJ19" i="2"/>
  <c r="BY19" i="2"/>
  <c r="BN19" i="2"/>
  <c r="BC19" i="2"/>
  <c r="AR19" i="2"/>
  <c r="AG19" i="2"/>
  <c r="V19" i="2"/>
  <c r="K19" i="2"/>
  <c r="A19" i="2"/>
  <c r="IS18" i="2"/>
  <c r="IH18" i="2"/>
  <c r="HW18" i="2"/>
  <c r="HL18" i="2"/>
  <c r="HA18" i="2"/>
  <c r="GP18" i="2"/>
  <c r="GE18" i="2"/>
  <c r="FT18" i="2"/>
  <c r="FI18" i="2"/>
  <c r="EX18" i="2"/>
  <c r="EM18" i="2"/>
  <c r="EB18" i="2"/>
  <c r="DQ18" i="2"/>
  <c r="DF18" i="2"/>
  <c r="CU18" i="2"/>
  <c r="CJ18" i="2"/>
  <c r="BY18" i="2"/>
  <c r="BN18" i="2"/>
  <c r="BC18" i="2"/>
  <c r="AR18" i="2"/>
  <c r="AG18" i="2"/>
  <c r="V18" i="2"/>
  <c r="K18" i="2"/>
  <c r="A18" i="2"/>
  <c r="IS17" i="2"/>
  <c r="IH17" i="2"/>
  <c r="HW17" i="2"/>
  <c r="HL17" i="2"/>
  <c r="HA17" i="2"/>
  <c r="GP17" i="2"/>
  <c r="GE17" i="2"/>
  <c r="FT17" i="2"/>
  <c r="FI17" i="2"/>
  <c r="EX17" i="2"/>
  <c r="EM17" i="2"/>
  <c r="EB17" i="2"/>
  <c r="DQ17" i="2"/>
  <c r="DF17" i="2"/>
  <c r="CU17" i="2"/>
  <c r="CJ17" i="2"/>
  <c r="BY17" i="2"/>
  <c r="BN17" i="2"/>
  <c r="BC17" i="2"/>
  <c r="AR17" i="2"/>
  <c r="AG17" i="2"/>
  <c r="V17" i="2"/>
  <c r="K17" i="2"/>
  <c r="A17" i="2"/>
  <c r="IS16" i="2"/>
  <c r="IH16" i="2"/>
  <c r="HW16" i="2"/>
  <c r="HL16" i="2"/>
  <c r="HA16" i="2"/>
  <c r="GP16" i="2"/>
  <c r="GE16" i="2"/>
  <c r="FT16" i="2"/>
  <c r="FI16" i="2"/>
  <c r="EX16" i="2"/>
  <c r="EM16" i="2"/>
  <c r="EB16" i="2"/>
  <c r="DQ16" i="2"/>
  <c r="DF16" i="2"/>
  <c r="CU16" i="2"/>
  <c r="CJ16" i="2"/>
  <c r="BY16" i="2"/>
  <c r="BN16" i="2"/>
  <c r="BC16" i="2"/>
  <c r="AR16" i="2"/>
  <c r="AG16" i="2"/>
  <c r="V16" i="2"/>
  <c r="K16" i="2"/>
  <c r="A16" i="2"/>
  <c r="IS15" i="2"/>
  <c r="IH15" i="2"/>
  <c r="HW15" i="2"/>
  <c r="HL15" i="2"/>
  <c r="HA15" i="2"/>
  <c r="GP15" i="2"/>
  <c r="GE15" i="2"/>
  <c r="FT15" i="2"/>
  <c r="FI15" i="2"/>
  <c r="EX15" i="2"/>
  <c r="EM15" i="2"/>
  <c r="EB15" i="2"/>
  <c r="DQ15" i="2"/>
  <c r="DF15" i="2"/>
  <c r="CU15" i="2"/>
  <c r="CJ15" i="2"/>
  <c r="BY15" i="2"/>
  <c r="BN15" i="2"/>
  <c r="BC15" i="2"/>
  <c r="AR15" i="2"/>
  <c r="AG15" i="2"/>
  <c r="V15" i="2"/>
  <c r="K15" i="2"/>
  <c r="A15" i="2"/>
  <c r="IS14" i="2"/>
  <c r="IH14" i="2"/>
  <c r="HW14" i="2"/>
  <c r="HL14" i="2"/>
  <c r="HA14" i="2"/>
  <c r="GP14" i="2"/>
  <c r="GE14" i="2"/>
  <c r="FT14" i="2"/>
  <c r="FI14" i="2"/>
  <c r="EX14" i="2"/>
  <c r="EM14" i="2"/>
  <c r="EB14" i="2"/>
  <c r="DQ14" i="2"/>
  <c r="DF14" i="2"/>
  <c r="CU14" i="2"/>
  <c r="CJ14" i="2"/>
  <c r="BY14" i="2"/>
  <c r="BN14" i="2"/>
  <c r="BC14" i="2"/>
  <c r="AR14" i="2"/>
  <c r="AG14" i="2"/>
  <c r="V14" i="2"/>
  <c r="K14" i="2"/>
  <c r="A14" i="2"/>
  <c r="IS13" i="2"/>
  <c r="IH13" i="2"/>
  <c r="HW13" i="2"/>
  <c r="HL13" i="2"/>
  <c r="HA13" i="2"/>
  <c r="GP13" i="2"/>
  <c r="GE13" i="2"/>
  <c r="FT13" i="2"/>
  <c r="FI13" i="2"/>
  <c r="EX13" i="2"/>
  <c r="EM13" i="2"/>
  <c r="EB13" i="2"/>
  <c r="DQ13" i="2"/>
  <c r="DF13" i="2"/>
  <c r="CU13" i="2"/>
  <c r="CJ13" i="2"/>
  <c r="BY13" i="2"/>
  <c r="BN13" i="2"/>
  <c r="BC13" i="2"/>
  <c r="AR13" i="2"/>
  <c r="AG13" i="2"/>
  <c r="V13" i="2"/>
  <c r="K13" i="2"/>
  <c r="A13" i="2"/>
  <c r="IS12" i="2"/>
  <c r="IH12" i="2"/>
  <c r="HW12" i="2"/>
  <c r="HL12" i="2"/>
  <c r="HA12" i="2"/>
  <c r="GP12" i="2"/>
  <c r="GE12" i="2"/>
  <c r="FT12" i="2"/>
  <c r="FI12" i="2"/>
  <c r="EX12" i="2"/>
  <c r="EM12" i="2"/>
  <c r="EB12" i="2"/>
  <c r="DQ12" i="2"/>
  <c r="DF12" i="2"/>
  <c r="CU12" i="2"/>
  <c r="CJ12" i="2"/>
  <c r="BY12" i="2"/>
  <c r="BN12" i="2"/>
  <c r="BC12" i="2"/>
  <c r="AR12" i="2"/>
  <c r="AG12" i="2"/>
  <c r="V12" i="2"/>
  <c r="K12" i="2"/>
  <c r="A12" i="2"/>
  <c r="IS11" i="2"/>
  <c r="IH11" i="2"/>
  <c r="HW11" i="2"/>
  <c r="HL11" i="2"/>
  <c r="HA11" i="2"/>
  <c r="GP11" i="2"/>
  <c r="GE11" i="2"/>
  <c r="FT11" i="2"/>
  <c r="FI11" i="2"/>
  <c r="EX11" i="2"/>
  <c r="EM11" i="2"/>
  <c r="EB11" i="2"/>
  <c r="DQ11" i="2"/>
  <c r="DF11" i="2"/>
  <c r="CU11" i="2"/>
  <c r="CJ11" i="2"/>
  <c r="BY11" i="2"/>
  <c r="BN11" i="2"/>
  <c r="BC11" i="2"/>
  <c r="AR11" i="2"/>
  <c r="AG11" i="2"/>
  <c r="V11" i="2"/>
  <c r="K11" i="2"/>
  <c r="A11" i="2"/>
  <c r="IS10" i="2"/>
  <c r="IH10" i="2"/>
  <c r="HW10" i="2"/>
  <c r="HL10" i="2"/>
  <c r="HA10" i="2"/>
  <c r="GP10" i="2"/>
  <c r="GE10" i="2"/>
  <c r="FT10" i="2"/>
  <c r="FI10" i="2"/>
  <c r="EX10" i="2"/>
  <c r="EM10" i="2"/>
  <c r="EB10" i="2"/>
  <c r="DQ10" i="2"/>
  <c r="DF10" i="2"/>
  <c r="CU10" i="2"/>
  <c r="CJ10" i="2"/>
  <c r="BY10" i="2"/>
  <c r="BN10" i="2"/>
  <c r="BC10" i="2"/>
  <c r="AR10" i="2"/>
  <c r="AG10" i="2"/>
  <c r="V10" i="2"/>
  <c r="K10" i="2"/>
  <c r="A10" i="2"/>
  <c r="IS9" i="2"/>
  <c r="IH9" i="2"/>
  <c r="HW9" i="2"/>
  <c r="HL9" i="2"/>
  <c r="HA9" i="2"/>
  <c r="GP9" i="2"/>
  <c r="GE9" i="2"/>
  <c r="FT9" i="2"/>
  <c r="FI9" i="2"/>
  <c r="EX9" i="2"/>
  <c r="EM9" i="2"/>
  <c r="EB9" i="2"/>
  <c r="DQ9" i="2"/>
  <c r="DF9" i="2"/>
  <c r="CU9" i="2"/>
  <c r="CJ9" i="2"/>
  <c r="BY9" i="2"/>
  <c r="BN9" i="2"/>
  <c r="BC9" i="2"/>
  <c r="AR9" i="2"/>
  <c r="AG9" i="2"/>
  <c r="V9" i="2"/>
  <c r="K9" i="2"/>
  <c r="A9" i="2"/>
  <c r="IS8" i="2"/>
  <c r="IH8" i="2"/>
  <c r="HW8" i="2"/>
  <c r="HL8" i="2"/>
  <c r="HA8" i="2"/>
  <c r="GP8" i="2"/>
  <c r="GE8" i="2"/>
  <c r="FT8" i="2"/>
  <c r="FI8" i="2"/>
  <c r="EX8" i="2"/>
  <c r="EM8" i="2"/>
  <c r="EB8" i="2"/>
  <c r="DQ8" i="2"/>
  <c r="DF8" i="2"/>
  <c r="CU8" i="2"/>
  <c r="CJ8" i="2"/>
  <c r="BY8" i="2"/>
  <c r="BN8" i="2"/>
  <c r="BC8" i="2"/>
  <c r="AR8" i="2"/>
  <c r="AG8" i="2"/>
  <c r="V8" i="2"/>
  <c r="K8" i="2"/>
  <c r="A8" i="2"/>
  <c r="IS7" i="2"/>
  <c r="IH7" i="2"/>
  <c r="HW7" i="2"/>
  <c r="HL7" i="2"/>
  <c r="HA7" i="2"/>
  <c r="GP7" i="2"/>
  <c r="GE7" i="2"/>
  <c r="FT7" i="2"/>
  <c r="FI7" i="2"/>
  <c r="EX7" i="2"/>
  <c r="EM7" i="2"/>
  <c r="EB7" i="2"/>
  <c r="DQ7" i="2"/>
  <c r="DF7" i="2"/>
  <c r="CU7" i="2"/>
  <c r="CJ7" i="2"/>
  <c r="BY7" i="2"/>
  <c r="BN7" i="2"/>
  <c r="BC7" i="2"/>
  <c r="AR7" i="2"/>
  <c r="AG7" i="2"/>
  <c r="V7" i="2"/>
  <c r="K7" i="2"/>
  <c r="A7" i="2"/>
  <c r="IS6" i="2"/>
  <c r="IH6" i="2"/>
  <c r="HW6" i="2"/>
  <c r="HL6" i="2"/>
  <c r="HA6" i="2"/>
  <c r="GP6" i="2"/>
  <c r="GE6" i="2"/>
  <c r="FT6" i="2"/>
  <c r="FI6" i="2"/>
  <c r="EX6" i="2"/>
  <c r="EM6" i="2"/>
  <c r="EB6" i="2"/>
  <c r="DQ6" i="2"/>
  <c r="DF6" i="2"/>
  <c r="CU6" i="2"/>
  <c r="CJ6" i="2"/>
  <c r="BY6" i="2"/>
  <c r="BN6" i="2"/>
  <c r="BC6" i="2"/>
  <c r="AR6" i="2"/>
  <c r="AG6" i="2"/>
  <c r="V6" i="2"/>
  <c r="K6" i="2"/>
  <c r="A6" i="2"/>
  <c r="IS5" i="2"/>
  <c r="IH5" i="2"/>
  <c r="HW5" i="2"/>
  <c r="HL5" i="2"/>
  <c r="HA5" i="2"/>
  <c r="GP5" i="2"/>
  <c r="GE5" i="2"/>
  <c r="FT5" i="2"/>
  <c r="FI5" i="2"/>
  <c r="EX5" i="2"/>
  <c r="EM5" i="2"/>
  <c r="EB5" i="2"/>
  <c r="DQ5" i="2"/>
  <c r="DF5" i="2"/>
  <c r="CU5" i="2"/>
  <c r="CJ5" i="2"/>
  <c r="BY5" i="2"/>
  <c r="BN5" i="2"/>
  <c r="BC5" i="2"/>
  <c r="AR5" i="2"/>
  <c r="AG5" i="2"/>
  <c r="V5" i="2"/>
  <c r="K5" i="2"/>
  <c r="A5" i="2"/>
  <c r="IS4" i="2"/>
  <c r="IH4" i="2"/>
  <c r="HW4" i="2"/>
  <c r="HL4" i="2"/>
  <c r="HA4" i="2"/>
  <c r="GP4" i="2"/>
  <c r="GE4" i="2"/>
  <c r="FT4" i="2"/>
  <c r="FI4" i="2"/>
  <c r="EX4" i="2"/>
  <c r="EM4" i="2"/>
  <c r="EB4" i="2"/>
  <c r="DQ4" i="2"/>
  <c r="DF4" i="2"/>
  <c r="CU4" i="2"/>
  <c r="CJ4" i="2"/>
  <c r="BY4" i="2"/>
  <c r="BN4" i="2"/>
  <c r="BC4" i="2"/>
  <c r="AR4" i="2"/>
  <c r="AG4" i="2"/>
  <c r="V4" i="2"/>
  <c r="K4" i="2"/>
  <c r="A4" i="2"/>
  <c r="IS3" i="2"/>
  <c r="IH3" i="2"/>
  <c r="HW3" i="2"/>
  <c r="HL3" i="2"/>
  <c r="HA3" i="2"/>
  <c r="GP3" i="2"/>
  <c r="GE3" i="2"/>
  <c r="FT3" i="2"/>
  <c r="FI3" i="2"/>
  <c r="EX3" i="2"/>
  <c r="EM3" i="2"/>
  <c r="EB3" i="2"/>
  <c r="DQ3" i="2"/>
  <c r="DF3" i="2"/>
  <c r="CU3" i="2"/>
  <c r="CJ3" i="2"/>
  <c r="BY3" i="2"/>
  <c r="BN3" i="2"/>
  <c r="BC3" i="2"/>
  <c r="AR3" i="2"/>
  <c r="AG3" i="2"/>
  <c r="V3" i="2"/>
  <c r="K3" i="2"/>
  <c r="A3" i="2"/>
  <c r="IS2" i="2"/>
  <c r="IH2" i="2"/>
  <c r="HW2" i="2"/>
  <c r="HL2" i="2"/>
  <c r="HA2" i="2"/>
  <c r="GP2" i="2"/>
  <c r="GE2" i="2"/>
  <c r="FT2" i="2"/>
  <c r="FI2" i="2"/>
  <c r="EX2" i="2"/>
  <c r="EM2" i="2"/>
  <c r="EB2" i="2"/>
  <c r="DQ2" i="2"/>
  <c r="DF2" i="2"/>
  <c r="CU2" i="2"/>
  <c r="CJ2" i="2"/>
  <c r="BY2" i="2"/>
  <c r="BN2" i="2"/>
  <c r="BC2" i="2"/>
  <c r="AR2" i="2"/>
  <c r="AG2" i="2"/>
  <c r="V2" i="2"/>
  <c r="K2" i="2"/>
  <c r="A2" i="2"/>
  <c r="CA67" i="1"/>
  <c r="BY67" i="1"/>
  <c r="BP67" i="1"/>
  <c r="BN67" i="1"/>
  <c r="BC67" i="1"/>
  <c r="AT67" i="1"/>
  <c r="AR67" i="1"/>
  <c r="AI67" i="1"/>
  <c r="AG67" i="1"/>
  <c r="X67" i="1"/>
  <c r="V67" i="1"/>
  <c r="M67" i="1"/>
  <c r="K67" i="1"/>
  <c r="A67" i="1"/>
  <c r="CA66" i="1"/>
  <c r="BY66" i="1"/>
  <c r="BN66" i="1"/>
  <c r="BC66" i="1"/>
  <c r="AR66" i="1"/>
  <c r="AI66" i="1"/>
  <c r="AG66" i="1"/>
  <c r="X66" i="1"/>
  <c r="V66" i="1"/>
  <c r="M66" i="1"/>
  <c r="K66" i="1"/>
  <c r="A66" i="1"/>
  <c r="BY65" i="1"/>
  <c r="BN65" i="1"/>
  <c r="BC65" i="1"/>
  <c r="AR65" i="1"/>
  <c r="AG65" i="1"/>
  <c r="V65" i="1"/>
  <c r="K65" i="1"/>
  <c r="A65" i="1"/>
  <c r="BY64" i="1"/>
  <c r="BN64" i="1"/>
  <c r="BC64" i="1"/>
  <c r="AR64" i="1"/>
  <c r="AG64" i="1"/>
  <c r="V64" i="1"/>
  <c r="K64" i="1"/>
  <c r="A64" i="1"/>
  <c r="BY63" i="1"/>
  <c r="BN63" i="1"/>
  <c r="BC63" i="1"/>
  <c r="AR63" i="1"/>
  <c r="AG63" i="1"/>
  <c r="V63" i="1"/>
  <c r="K63" i="1"/>
  <c r="A63" i="1"/>
  <c r="BY62" i="1"/>
  <c r="BN62" i="1"/>
  <c r="BC62" i="1"/>
  <c r="AR62" i="1"/>
  <c r="AG62" i="1"/>
  <c r="V62" i="1"/>
  <c r="K62" i="1"/>
  <c r="A62" i="1"/>
  <c r="BY61" i="1"/>
  <c r="BN61" i="1"/>
  <c r="BC61" i="1"/>
  <c r="AR61" i="1"/>
  <c r="AG61" i="1"/>
  <c r="V61" i="1"/>
  <c r="K61" i="1"/>
  <c r="A61" i="1"/>
  <c r="BY60" i="1"/>
  <c r="BN60" i="1"/>
  <c r="BC60" i="1"/>
  <c r="AR60" i="1"/>
  <c r="AG60" i="1"/>
  <c r="V60" i="1"/>
  <c r="K60" i="1"/>
  <c r="A60" i="1"/>
  <c r="BY59" i="1"/>
  <c r="BN59" i="1"/>
  <c r="BC59" i="1"/>
  <c r="AR59" i="1"/>
  <c r="AG59" i="1"/>
  <c r="V59" i="1"/>
  <c r="K59" i="1"/>
  <c r="A59" i="1"/>
  <c r="BY58" i="1"/>
  <c r="BN58" i="1"/>
  <c r="BC58" i="1"/>
  <c r="AR58" i="1"/>
  <c r="AG58" i="1"/>
  <c r="V58" i="1"/>
  <c r="K58" i="1"/>
  <c r="A58" i="1"/>
  <c r="BY57" i="1"/>
  <c r="BN57" i="1"/>
  <c r="BC57" i="1"/>
  <c r="AR57" i="1"/>
  <c r="AG57" i="1"/>
  <c r="V57" i="1"/>
  <c r="K57" i="1"/>
  <c r="A57" i="1"/>
  <c r="BY56" i="1"/>
  <c r="BN56" i="1"/>
  <c r="BC56" i="1"/>
  <c r="AR56" i="1"/>
  <c r="AG56" i="1"/>
  <c r="V56" i="1"/>
  <c r="K56" i="1"/>
  <c r="A56" i="1"/>
  <c r="BY55" i="1"/>
  <c r="BN55" i="1"/>
  <c r="BC55" i="1"/>
  <c r="AR55" i="1"/>
  <c r="AG55" i="1"/>
  <c r="V55" i="1"/>
  <c r="K55" i="1"/>
  <c r="A55" i="1"/>
  <c r="BY54" i="1"/>
  <c r="BN54" i="1"/>
  <c r="BC54" i="1"/>
  <c r="AR54" i="1"/>
  <c r="AG54" i="1"/>
  <c r="V54" i="1"/>
  <c r="K54" i="1"/>
  <c r="A54" i="1"/>
  <c r="BY53" i="1"/>
  <c r="BN53" i="1"/>
  <c r="BC53" i="1"/>
  <c r="AR53" i="1"/>
  <c r="AG53" i="1"/>
  <c r="V53" i="1"/>
  <c r="K53" i="1"/>
  <c r="A53" i="1"/>
  <c r="BY52" i="1"/>
  <c r="BN52" i="1"/>
  <c r="BC52" i="1"/>
  <c r="AR52" i="1"/>
  <c r="AG52" i="1"/>
  <c r="V52" i="1"/>
  <c r="K52" i="1"/>
  <c r="A52" i="1"/>
  <c r="BY51" i="1"/>
  <c r="BN51" i="1"/>
  <c r="BC51" i="1"/>
  <c r="AR51" i="1"/>
  <c r="AG51" i="1"/>
  <c r="V51" i="1"/>
  <c r="K51" i="1"/>
  <c r="A51" i="1"/>
  <c r="BY50" i="1"/>
  <c r="BN50" i="1"/>
  <c r="BC50" i="1"/>
  <c r="AR50" i="1"/>
  <c r="AG50" i="1"/>
  <c r="V50" i="1"/>
  <c r="K50" i="1"/>
  <c r="A50" i="1"/>
  <c r="BY49" i="1"/>
  <c r="BN49" i="1"/>
  <c r="BC49" i="1"/>
  <c r="AR49" i="1"/>
  <c r="AG49" i="1"/>
  <c r="V49" i="1"/>
  <c r="K49" i="1"/>
  <c r="A49" i="1"/>
  <c r="BY48" i="1"/>
  <c r="BN48" i="1"/>
  <c r="BC48" i="1"/>
  <c r="AR48" i="1"/>
  <c r="AG48" i="1"/>
  <c r="V48" i="1"/>
  <c r="K48" i="1"/>
  <c r="A48" i="1"/>
  <c r="BY47" i="1"/>
  <c r="BN47" i="1"/>
  <c r="BC47" i="1"/>
  <c r="AR47" i="1"/>
  <c r="AG47" i="1"/>
  <c r="V47" i="1"/>
  <c r="K47" i="1"/>
  <c r="A47" i="1"/>
  <c r="BY46" i="1"/>
  <c r="BN46" i="1"/>
  <c r="BC46" i="1"/>
  <c r="AR46" i="1"/>
  <c r="AG46" i="1"/>
  <c r="V46" i="1"/>
  <c r="K46" i="1"/>
  <c r="A46" i="1"/>
  <c r="BY45" i="1"/>
  <c r="BN45" i="1"/>
  <c r="BC45" i="1"/>
  <c r="AR45" i="1"/>
  <c r="AG45" i="1"/>
  <c r="V45" i="1"/>
  <c r="K45" i="1"/>
  <c r="A45" i="1"/>
  <c r="BY44" i="1"/>
  <c r="BN44" i="1"/>
  <c r="BC44" i="1"/>
  <c r="AR44" i="1"/>
  <c r="AG44" i="1"/>
  <c r="V44" i="1"/>
  <c r="K44" i="1"/>
  <c r="A44" i="1"/>
  <c r="BY43" i="1"/>
  <c r="BN43" i="1"/>
  <c r="BC43" i="1"/>
  <c r="AR43" i="1"/>
  <c r="AG43" i="1"/>
  <c r="V43" i="1"/>
  <c r="K43" i="1"/>
  <c r="A43" i="1"/>
  <c r="BY42" i="1"/>
  <c r="BN42" i="1"/>
  <c r="BC42" i="1"/>
  <c r="AR42" i="1"/>
  <c r="AG42" i="1"/>
  <c r="V42" i="1"/>
  <c r="K42" i="1"/>
  <c r="A42" i="1"/>
  <c r="BY41" i="1"/>
  <c r="BN41" i="1"/>
  <c r="BC41" i="1"/>
  <c r="AR41" i="1"/>
  <c r="AG41" i="1"/>
  <c r="V41" i="1"/>
  <c r="K41" i="1"/>
  <c r="A41" i="1"/>
  <c r="BY40" i="1"/>
  <c r="BN40" i="1"/>
  <c r="BC40" i="1"/>
  <c r="AR40" i="1"/>
  <c r="AG40" i="1"/>
  <c r="V40" i="1"/>
  <c r="K40" i="1"/>
  <c r="A40" i="1"/>
  <c r="BY39" i="1"/>
  <c r="BN39" i="1"/>
  <c r="BC39" i="1"/>
  <c r="AR39" i="1"/>
  <c r="AG39" i="1"/>
  <c r="V39" i="1"/>
  <c r="K39" i="1"/>
  <c r="A39" i="1"/>
  <c r="BY38" i="1"/>
  <c r="BN38" i="1"/>
  <c r="BC38" i="1"/>
  <c r="AR38" i="1"/>
  <c r="AG38" i="1"/>
  <c r="V38" i="1"/>
  <c r="K38" i="1"/>
  <c r="A38" i="1"/>
  <c r="BY37" i="1"/>
  <c r="BN37" i="1"/>
  <c r="BC37" i="1"/>
  <c r="AR37" i="1"/>
  <c r="AG37" i="1"/>
  <c r="V37" i="1"/>
  <c r="K37" i="1"/>
  <c r="A37" i="1"/>
  <c r="BY36" i="1"/>
  <c r="BN36" i="1"/>
  <c r="BC36" i="1"/>
  <c r="AR36" i="1"/>
  <c r="AG36" i="1"/>
  <c r="V36" i="1"/>
  <c r="K36" i="1"/>
  <c r="A36" i="1"/>
  <c r="BY35" i="1"/>
  <c r="BN35" i="1"/>
  <c r="BC35" i="1"/>
  <c r="AR35" i="1"/>
  <c r="AG35" i="1"/>
  <c r="V35" i="1"/>
  <c r="K35" i="1"/>
  <c r="A35" i="1"/>
  <c r="BY34" i="1"/>
  <c r="BN34" i="1"/>
  <c r="BC34" i="1"/>
  <c r="AR34" i="1"/>
  <c r="AG34" i="1"/>
  <c r="V34" i="1"/>
  <c r="K34" i="1"/>
  <c r="A34" i="1"/>
  <c r="BY33" i="1"/>
  <c r="BN33" i="1"/>
  <c r="BC33" i="1"/>
  <c r="AR33" i="1"/>
  <c r="AG33" i="1"/>
  <c r="V33" i="1"/>
  <c r="K33" i="1"/>
  <c r="A33" i="1"/>
  <c r="BY32" i="1"/>
  <c r="BN32" i="1"/>
  <c r="BC32" i="1"/>
  <c r="AR32" i="1"/>
  <c r="AG32" i="1"/>
  <c r="V32" i="1"/>
  <c r="K32" i="1"/>
  <c r="A32" i="1"/>
  <c r="BY31" i="1"/>
  <c r="BN31" i="1"/>
  <c r="BC31" i="1"/>
  <c r="AR31" i="1"/>
  <c r="AG31" i="1"/>
  <c r="V31" i="1"/>
  <c r="K31" i="1"/>
  <c r="A31" i="1"/>
  <c r="BY30" i="1"/>
  <c r="BN30" i="1"/>
  <c r="BC30" i="1"/>
  <c r="AR30" i="1"/>
  <c r="AG30" i="1"/>
  <c r="V30" i="1"/>
  <c r="K30" i="1"/>
  <c r="A30" i="1"/>
  <c r="BY29" i="1"/>
  <c r="BN29" i="1"/>
  <c r="BC29" i="1"/>
  <c r="AR29" i="1"/>
  <c r="AG29" i="1"/>
  <c r="V29" i="1"/>
  <c r="K29" i="1"/>
  <c r="A29" i="1"/>
  <c r="BY28" i="1"/>
  <c r="BN28" i="1"/>
  <c r="BC28" i="1"/>
  <c r="AR28" i="1"/>
  <c r="AG28" i="1"/>
  <c r="V28" i="1"/>
  <c r="K28" i="1"/>
  <c r="A28" i="1"/>
  <c r="BY27" i="1"/>
  <c r="BN27" i="1"/>
  <c r="BC27" i="1"/>
  <c r="AR27" i="1"/>
  <c r="AG27" i="1"/>
  <c r="V27" i="1"/>
  <c r="K27" i="1"/>
  <c r="A27" i="1"/>
  <c r="BY26" i="1"/>
  <c r="BN26" i="1"/>
  <c r="BC26" i="1"/>
  <c r="AR26" i="1"/>
  <c r="AG26" i="1"/>
  <c r="V26" i="1"/>
  <c r="K26" i="1"/>
  <c r="A26" i="1"/>
  <c r="BY25" i="1"/>
  <c r="BN25" i="1"/>
  <c r="BC25" i="1"/>
  <c r="AR25" i="1"/>
  <c r="AG25" i="1"/>
  <c r="V25" i="1"/>
  <c r="K25" i="1"/>
  <c r="A25" i="1"/>
  <c r="BY24" i="1"/>
  <c r="BN24" i="1"/>
  <c r="BC24" i="1"/>
  <c r="AR24" i="1"/>
  <c r="AG24" i="1"/>
  <c r="V24" i="1"/>
  <c r="K24" i="1"/>
  <c r="A24" i="1"/>
  <c r="BY23" i="1"/>
  <c r="BN23" i="1"/>
  <c r="BC23" i="1"/>
  <c r="AR23" i="1"/>
  <c r="AG23" i="1"/>
  <c r="V23" i="1"/>
  <c r="K23" i="1"/>
  <c r="A23" i="1"/>
  <c r="BY22" i="1"/>
  <c r="BN22" i="1"/>
  <c r="BC22" i="1"/>
  <c r="AR22" i="1"/>
  <c r="AG22" i="1"/>
  <c r="V22" i="1"/>
  <c r="K22" i="1"/>
  <c r="A22" i="1"/>
  <c r="BY21" i="1"/>
  <c r="BN21" i="1"/>
  <c r="BC21" i="1"/>
  <c r="AR21" i="1"/>
  <c r="AG21" i="1"/>
  <c r="V21" i="1"/>
  <c r="K21" i="1"/>
  <c r="A21" i="1"/>
  <c r="BY20" i="1"/>
  <c r="BN20" i="1"/>
  <c r="BC20" i="1"/>
  <c r="AR20" i="1"/>
  <c r="AG20" i="1"/>
  <c r="V20" i="1"/>
  <c r="K20" i="1"/>
  <c r="A20" i="1"/>
  <c r="BY19" i="1"/>
  <c r="BN19" i="1"/>
  <c r="BC19" i="1"/>
  <c r="AR19" i="1"/>
  <c r="AG19" i="1"/>
  <c r="V19" i="1"/>
  <c r="K19" i="1"/>
  <c r="A19" i="1"/>
  <c r="BY18" i="1"/>
  <c r="BN18" i="1"/>
  <c r="BC18" i="1"/>
  <c r="AR18" i="1"/>
  <c r="AG18" i="1"/>
  <c r="V18" i="1"/>
  <c r="K18" i="1"/>
  <c r="A18" i="1"/>
  <c r="BY17" i="1"/>
  <c r="BN17" i="1"/>
  <c r="BC17" i="1"/>
  <c r="AR17" i="1"/>
  <c r="AG17" i="1"/>
  <c r="V17" i="1"/>
  <c r="K17" i="1"/>
  <c r="A17" i="1"/>
  <c r="BY16" i="1"/>
  <c r="BN16" i="1"/>
  <c r="BC16" i="1"/>
  <c r="AR16" i="1"/>
  <c r="AG16" i="1"/>
  <c r="V16" i="1"/>
  <c r="K16" i="1"/>
  <c r="A16" i="1"/>
  <c r="BY15" i="1"/>
  <c r="BN15" i="1"/>
  <c r="BC15" i="1"/>
  <c r="AR15" i="1"/>
  <c r="AG15" i="1"/>
  <c r="V15" i="1"/>
  <c r="K15" i="1"/>
  <c r="A15" i="1"/>
  <c r="BY14" i="1"/>
  <c r="BN14" i="1"/>
  <c r="BC14" i="1"/>
  <c r="AR14" i="1"/>
  <c r="AG14" i="1"/>
  <c r="V14" i="1"/>
  <c r="K14" i="1"/>
  <c r="A14" i="1"/>
  <c r="BY13" i="1"/>
  <c r="BN13" i="1"/>
  <c r="BC13" i="1"/>
  <c r="AR13" i="1"/>
  <c r="AG13" i="1"/>
  <c r="V13" i="1"/>
  <c r="K13" i="1"/>
  <c r="A13" i="1"/>
  <c r="BY12" i="1"/>
  <c r="BN12" i="1"/>
  <c r="BC12" i="1"/>
  <c r="AR12" i="1"/>
  <c r="AG12" i="1"/>
  <c r="V12" i="1"/>
  <c r="K12" i="1"/>
  <c r="A12" i="1"/>
  <c r="BY11" i="1"/>
  <c r="BN11" i="1"/>
  <c r="BC11" i="1"/>
  <c r="AR11" i="1"/>
  <c r="AG11" i="1"/>
  <c r="V11" i="1"/>
  <c r="K11" i="1"/>
  <c r="A11" i="1"/>
  <c r="BY10" i="1"/>
  <c r="BN10" i="1"/>
  <c r="BC10" i="1"/>
  <c r="AR10" i="1"/>
  <c r="AG10" i="1"/>
  <c r="V10" i="1"/>
  <c r="K10" i="1"/>
  <c r="A10" i="1"/>
  <c r="BY9" i="1"/>
  <c r="BN9" i="1"/>
  <c r="BC9" i="1"/>
  <c r="AR9" i="1"/>
  <c r="AG9" i="1"/>
  <c r="V9" i="1"/>
  <c r="K9" i="1"/>
  <c r="A9" i="1"/>
  <c r="BY8" i="1"/>
  <c r="BN8" i="1"/>
  <c r="BC8" i="1"/>
  <c r="AR8" i="1"/>
  <c r="AG8" i="1"/>
  <c r="V8" i="1"/>
  <c r="K8" i="1"/>
  <c r="A8" i="1"/>
  <c r="BY7" i="1"/>
  <c r="BN7" i="1"/>
  <c r="BC7" i="1"/>
  <c r="AR7" i="1"/>
  <c r="AG7" i="1"/>
  <c r="V7" i="1"/>
  <c r="K7" i="1"/>
  <c r="A7" i="1"/>
  <c r="BY6" i="1"/>
  <c r="BN6" i="1"/>
  <c r="BC6" i="1"/>
  <c r="AR6" i="1"/>
  <c r="AG6" i="1"/>
  <c r="V6" i="1"/>
  <c r="K6" i="1"/>
  <c r="A6" i="1"/>
  <c r="BY5" i="1"/>
  <c r="BN5" i="1"/>
  <c r="BC5" i="1"/>
  <c r="AR5" i="1"/>
  <c r="AG5" i="1"/>
  <c r="V5" i="1"/>
  <c r="K5" i="1"/>
  <c r="A5" i="1"/>
  <c r="BY4" i="1"/>
  <c r="BN4" i="1"/>
  <c r="BC4" i="1"/>
  <c r="AR4" i="1"/>
  <c r="AG4" i="1"/>
  <c r="V4" i="1"/>
  <c r="K4" i="1"/>
  <c r="A4" i="1"/>
  <c r="BY3" i="1"/>
  <c r="BN3" i="1"/>
  <c r="BC3" i="1"/>
  <c r="AR3" i="1"/>
  <c r="AG3" i="1"/>
  <c r="V3" i="1"/>
  <c r="K3" i="1"/>
  <c r="A3" i="1"/>
  <c r="BY2" i="1"/>
  <c r="BN2" i="1"/>
  <c r="BC2" i="1"/>
  <c r="AR2" i="1"/>
  <c r="AG2" i="1"/>
  <c r="V2" i="1"/>
  <c r="K2" i="1"/>
  <c r="A2" i="1"/>
  <c r="C65" i="101" l="1"/>
  <c r="C65" i="156"/>
  <c r="CL66" i="2"/>
  <c r="CM66" i="2" s="1"/>
  <c r="C64" i="149"/>
  <c r="E65" i="149"/>
  <c r="E66" i="147"/>
  <c r="C64" i="137"/>
  <c r="E65" i="137"/>
  <c r="E66" i="131"/>
  <c r="C65" i="130"/>
  <c r="FA66" i="2"/>
  <c r="DT65" i="2"/>
  <c r="E66" i="119"/>
  <c r="AJ66" i="2"/>
  <c r="E65" i="98"/>
  <c r="C60" i="98"/>
  <c r="E62" i="98"/>
  <c r="E64" i="98"/>
  <c r="C65" i="74"/>
  <c r="E65" i="61"/>
  <c r="C64" i="61"/>
  <c r="C65" i="59"/>
  <c r="E65" i="59" s="1"/>
  <c r="C64" i="59"/>
  <c r="C63" i="40"/>
  <c r="C62" i="40" s="1"/>
  <c r="E65" i="40"/>
  <c r="GR66" i="2"/>
  <c r="GS66" i="2" s="1"/>
  <c r="BP66" i="1"/>
  <c r="FK66" i="2"/>
  <c r="FL66" i="2" s="1"/>
  <c r="C65" i="150"/>
  <c r="I4" i="4"/>
  <c r="C63" i="5"/>
  <c r="E64" i="5"/>
  <c r="DT66" i="2"/>
  <c r="EE66" i="2"/>
  <c r="E64" i="4"/>
  <c r="C63" i="4"/>
  <c r="AU66" i="2"/>
  <c r="I4" i="3"/>
  <c r="C65" i="3"/>
  <c r="X66" i="2"/>
  <c r="E66" i="3"/>
  <c r="BF66" i="2"/>
  <c r="CB66" i="2"/>
  <c r="HO66" i="2"/>
  <c r="HZ66" i="2"/>
  <c r="CX66" i="2"/>
  <c r="I4" i="5"/>
  <c r="N66" i="2"/>
  <c r="I8" i="7"/>
  <c r="E66" i="6"/>
  <c r="C65" i="6"/>
  <c r="E64" i="9"/>
  <c r="C63" i="9"/>
  <c r="E65" i="9"/>
  <c r="E66" i="7"/>
  <c r="C65" i="7"/>
  <c r="EO66" i="2"/>
  <c r="AT66" i="1"/>
  <c r="I7" i="14"/>
  <c r="I5" i="10"/>
  <c r="I3" i="8"/>
  <c r="E65" i="13"/>
  <c r="C64" i="13"/>
  <c r="E66" i="14"/>
  <c r="C65" i="14"/>
  <c r="C63" i="11"/>
  <c r="I3" i="17"/>
  <c r="I3" i="11"/>
  <c r="I6" i="13"/>
  <c r="I8" i="12"/>
  <c r="C64" i="15"/>
  <c r="E65" i="15"/>
  <c r="I8" i="15"/>
  <c r="I6" i="9"/>
  <c r="C65" i="8"/>
  <c r="E65" i="10"/>
  <c r="C64" i="10"/>
  <c r="C65" i="12"/>
  <c r="E66" i="12"/>
  <c r="I6" i="16"/>
  <c r="I5" i="18"/>
  <c r="I7" i="24"/>
  <c r="C63" i="25"/>
  <c r="E64" i="25"/>
  <c r="I7" i="27"/>
  <c r="I5" i="25"/>
  <c r="I4" i="20"/>
  <c r="I4" i="19"/>
  <c r="C63" i="16"/>
  <c r="C63" i="17"/>
  <c r="E64" i="17"/>
  <c r="I6" i="29"/>
  <c r="I7" i="22"/>
  <c r="I6" i="26"/>
  <c r="C64" i="20"/>
  <c r="E65" i="20"/>
  <c r="C63" i="18"/>
  <c r="E65" i="16"/>
  <c r="E65" i="23"/>
  <c r="C64" i="23"/>
  <c r="I5" i="23"/>
  <c r="E65" i="18"/>
  <c r="C64" i="21"/>
  <c r="I4" i="31"/>
  <c r="I4" i="21"/>
  <c r="E64" i="19"/>
  <c r="C63" i="19"/>
  <c r="E65" i="19"/>
  <c r="I5" i="28"/>
  <c r="C62" i="26"/>
  <c r="I4" i="33"/>
  <c r="C65" i="27"/>
  <c r="E65" i="26"/>
  <c r="C65" i="28"/>
  <c r="C65" i="29"/>
  <c r="C63" i="22"/>
  <c r="C60" i="30"/>
  <c r="E61" i="30"/>
  <c r="E62" i="30"/>
  <c r="I7" i="32"/>
  <c r="I5" i="30"/>
  <c r="C60" i="32"/>
  <c r="I7" i="42"/>
  <c r="I3" i="35"/>
  <c r="C64" i="35"/>
  <c r="E65" i="35"/>
  <c r="I4" i="39"/>
  <c r="C64" i="36"/>
  <c r="E65" i="36"/>
  <c r="I3" i="34"/>
  <c r="I3" i="36"/>
  <c r="C64" i="31"/>
  <c r="E64" i="32"/>
  <c r="I5" i="41"/>
  <c r="C64" i="33"/>
  <c r="E65" i="33"/>
  <c r="I3" i="38"/>
  <c r="E62" i="34"/>
  <c r="C61" i="34"/>
  <c r="E66" i="34"/>
  <c r="I5" i="44"/>
  <c r="C62" i="37"/>
  <c r="C64" i="38"/>
  <c r="E64" i="37"/>
  <c r="I3" i="43"/>
  <c r="I3" i="40"/>
  <c r="E66" i="40"/>
  <c r="I5" i="37"/>
  <c r="E66" i="42"/>
  <c r="C65" i="42"/>
  <c r="E62" i="43"/>
  <c r="C61" i="43"/>
  <c r="C64" i="44"/>
  <c r="I8" i="46"/>
  <c r="I6" i="48"/>
  <c r="E62" i="45"/>
  <c r="C61" i="45"/>
  <c r="C65" i="46"/>
  <c r="E66" i="46"/>
  <c r="E65" i="41"/>
  <c r="C64" i="41"/>
  <c r="E63" i="39"/>
  <c r="C62" i="39"/>
  <c r="E66" i="39"/>
  <c r="E65" i="48"/>
  <c r="C64" i="48"/>
  <c r="E66" i="49"/>
  <c r="C65" i="49"/>
  <c r="E66" i="53"/>
  <c r="C65" i="53"/>
  <c r="I4" i="54"/>
  <c r="I3" i="45"/>
  <c r="I4" i="52"/>
  <c r="I4" i="49"/>
  <c r="E66" i="50"/>
  <c r="C65" i="50"/>
  <c r="I6" i="51"/>
  <c r="I3" i="47"/>
  <c r="E63" i="51"/>
  <c r="C62" i="51"/>
  <c r="E66" i="43"/>
  <c r="C62" i="47"/>
  <c r="I4" i="53"/>
  <c r="C63" i="57"/>
  <c r="E64" i="57"/>
  <c r="C65" i="55"/>
  <c r="E66" i="55"/>
  <c r="I4" i="56"/>
  <c r="C63" i="54"/>
  <c r="E64" i="54"/>
  <c r="I5" i="60"/>
  <c r="I4" i="50"/>
  <c r="E65" i="54"/>
  <c r="C65" i="52"/>
  <c r="E66" i="52"/>
  <c r="I7" i="59"/>
  <c r="E66" i="56"/>
  <c r="C65" i="56"/>
  <c r="I3" i="58"/>
  <c r="C65" i="58"/>
  <c r="E66" i="58"/>
  <c r="I3" i="64"/>
  <c r="C62" i="62"/>
  <c r="E63" i="62"/>
  <c r="I4" i="57"/>
  <c r="I6" i="62"/>
  <c r="I8" i="61"/>
  <c r="I3" i="65"/>
  <c r="C63" i="67"/>
  <c r="E64" i="67"/>
  <c r="I5" i="63"/>
  <c r="E64" i="60"/>
  <c r="C63" i="60"/>
  <c r="C64" i="63"/>
  <c r="E65" i="63"/>
  <c r="I3" i="55"/>
  <c r="E64" i="68"/>
  <c r="C63" i="68"/>
  <c r="I4" i="67"/>
  <c r="I4" i="73"/>
  <c r="E64" i="65"/>
  <c r="C63" i="65"/>
  <c r="I5" i="68"/>
  <c r="I7" i="71"/>
  <c r="I3" i="69"/>
  <c r="I5" i="66"/>
  <c r="C63" i="66"/>
  <c r="E64" i="66"/>
  <c r="E64" i="64"/>
  <c r="C63" i="64"/>
  <c r="E65" i="67"/>
  <c r="I4" i="76"/>
  <c r="E66" i="73"/>
  <c r="I4" i="70"/>
  <c r="E65" i="70"/>
  <c r="C64" i="70"/>
  <c r="I5" i="72"/>
  <c r="C64" i="71"/>
  <c r="C62" i="69"/>
  <c r="I8" i="74"/>
  <c r="E63" i="72"/>
  <c r="C62" i="72"/>
  <c r="E65" i="69"/>
  <c r="C62" i="73"/>
  <c r="I8" i="75"/>
  <c r="I6" i="77"/>
  <c r="C64" i="80"/>
  <c r="E65" i="80"/>
  <c r="C64" i="77"/>
  <c r="I7" i="79"/>
  <c r="I6" i="78"/>
  <c r="E64" i="75"/>
  <c r="C63" i="75"/>
  <c r="E65" i="78"/>
  <c r="C64" i="78"/>
  <c r="I4" i="80"/>
  <c r="C63" i="81"/>
  <c r="E64" i="81"/>
  <c r="I7" i="82"/>
  <c r="E66" i="80"/>
  <c r="C58" i="82"/>
  <c r="I4" i="84"/>
  <c r="C62" i="84"/>
  <c r="E65" i="81"/>
  <c r="C64" i="88"/>
  <c r="E65" i="88"/>
  <c r="E61" i="82"/>
  <c r="C64" i="76"/>
  <c r="C64" i="79"/>
  <c r="I3" i="81"/>
  <c r="I4" i="88"/>
  <c r="E62" i="82"/>
  <c r="E64" i="86"/>
  <c r="I5" i="83"/>
  <c r="E63" i="86"/>
  <c r="C62" i="86"/>
  <c r="I6" i="89"/>
  <c r="I4" i="85"/>
  <c r="E63" i="82"/>
  <c r="E64" i="83"/>
  <c r="C63" i="83"/>
  <c r="I4" i="86"/>
  <c r="I4" i="87"/>
  <c r="E65" i="85"/>
  <c r="E66" i="88"/>
  <c r="C60" i="87"/>
  <c r="E66" i="90"/>
  <c r="C65" i="90"/>
  <c r="C64" i="89"/>
  <c r="I5" i="93"/>
  <c r="C62" i="85"/>
  <c r="I5" i="92"/>
  <c r="I3" i="90"/>
  <c r="I4" i="97"/>
  <c r="I3" i="95"/>
  <c r="I6" i="98"/>
  <c r="I5" i="99"/>
  <c r="I3" i="91"/>
  <c r="C64" i="97"/>
  <c r="C65" i="93"/>
  <c r="I7" i="94"/>
  <c r="C65" i="91"/>
  <c r="E66" i="92"/>
  <c r="C65" i="92"/>
  <c r="I4" i="103"/>
  <c r="I3" i="100"/>
  <c r="I3" i="96"/>
  <c r="E63" i="98"/>
  <c r="E62" i="102"/>
  <c r="C61" i="102"/>
  <c r="C63" i="99"/>
  <c r="I6" i="101"/>
  <c r="C64" i="95"/>
  <c r="C64" i="96"/>
  <c r="E65" i="99"/>
  <c r="C64" i="101"/>
  <c r="E65" i="101"/>
  <c r="E66" i="99"/>
  <c r="I4" i="104"/>
  <c r="C65" i="100"/>
  <c r="C63" i="94"/>
  <c r="I3" i="102"/>
  <c r="E62" i="105"/>
  <c r="C61" i="105"/>
  <c r="C65" i="107"/>
  <c r="E66" i="107"/>
  <c r="E65" i="108"/>
  <c r="C64" i="108"/>
  <c r="E66" i="108"/>
  <c r="I4" i="108"/>
  <c r="E64" i="104"/>
  <c r="C63" i="104"/>
  <c r="I4" i="106"/>
  <c r="I6" i="107"/>
  <c r="I3" i="105"/>
  <c r="E64" i="103"/>
  <c r="C63" i="103"/>
  <c r="I3" i="110"/>
  <c r="C63" i="110"/>
  <c r="E64" i="110"/>
  <c r="E62" i="111"/>
  <c r="C61" i="111"/>
  <c r="C62" i="106"/>
  <c r="I4" i="111"/>
  <c r="E65" i="106"/>
  <c r="E66" i="109"/>
  <c r="C65" i="109"/>
  <c r="I4" i="116"/>
  <c r="I3" i="112"/>
  <c r="E64" i="113"/>
  <c r="C63" i="113"/>
  <c r="I5" i="113"/>
  <c r="E63" i="115"/>
  <c r="C62" i="115"/>
  <c r="C64" i="114"/>
  <c r="E65" i="114"/>
  <c r="I4" i="114"/>
  <c r="I3" i="109"/>
  <c r="I5" i="115"/>
  <c r="C63" i="116"/>
  <c r="I5" i="118"/>
  <c r="I6" i="117"/>
  <c r="I4" i="121"/>
  <c r="C63" i="112"/>
  <c r="I4" i="123"/>
  <c r="I4" i="119"/>
  <c r="E65" i="117"/>
  <c r="C64" i="117"/>
  <c r="C64" i="119"/>
  <c r="E65" i="119"/>
  <c r="E63" i="120"/>
  <c r="C62" i="120"/>
  <c r="I3" i="120"/>
  <c r="C63" i="118"/>
  <c r="E64" i="118"/>
  <c r="I6" i="122"/>
  <c r="E65" i="125"/>
  <c r="C64" i="125"/>
  <c r="I6" i="127"/>
  <c r="I5" i="129"/>
  <c r="I3" i="125"/>
  <c r="I4" i="126"/>
  <c r="E63" i="123"/>
  <c r="C62" i="123"/>
  <c r="C62" i="127"/>
  <c r="E63" i="127"/>
  <c r="C64" i="122"/>
  <c r="C61" i="131"/>
  <c r="E62" i="131"/>
  <c r="E64" i="126"/>
  <c r="C63" i="126"/>
  <c r="E63" i="124"/>
  <c r="C62" i="124"/>
  <c r="C65" i="121"/>
  <c r="I6" i="128"/>
  <c r="I5" i="124"/>
  <c r="E65" i="130"/>
  <c r="I6" i="132"/>
  <c r="I6" i="135"/>
  <c r="E64" i="128"/>
  <c r="C63" i="128"/>
  <c r="E65" i="128"/>
  <c r="E65" i="132"/>
  <c r="C64" i="132"/>
  <c r="I3" i="130"/>
  <c r="I8" i="134"/>
  <c r="I4" i="131"/>
  <c r="E64" i="129"/>
  <c r="C63" i="129"/>
  <c r="I8" i="133"/>
  <c r="I4" i="137"/>
  <c r="C64" i="134"/>
  <c r="I5" i="139"/>
  <c r="I6" i="136"/>
  <c r="C63" i="137"/>
  <c r="E64" i="137"/>
  <c r="C64" i="133"/>
  <c r="E65" i="133"/>
  <c r="C60" i="138"/>
  <c r="E61" i="138"/>
  <c r="E64" i="131"/>
  <c r="E66" i="133"/>
  <c r="E66" i="136"/>
  <c r="C65" i="136"/>
  <c r="E64" i="135"/>
  <c r="C63" i="135"/>
  <c r="C62" i="141"/>
  <c r="E63" i="141"/>
  <c r="E63" i="138"/>
  <c r="I3" i="140"/>
  <c r="I6" i="142"/>
  <c r="I4" i="144"/>
  <c r="I4" i="138"/>
  <c r="C63" i="139"/>
  <c r="I3" i="141"/>
  <c r="I8" i="145"/>
  <c r="E64" i="144"/>
  <c r="C63" i="144"/>
  <c r="C64" i="140"/>
  <c r="E65" i="140"/>
  <c r="I3" i="143"/>
  <c r="I5" i="149"/>
  <c r="C65" i="143"/>
  <c r="E66" i="143"/>
  <c r="E65" i="144"/>
  <c r="I3" i="148"/>
  <c r="I3" i="147"/>
  <c r="C64" i="145"/>
  <c r="C64" i="142"/>
  <c r="E61" i="146"/>
  <c r="C60" i="146"/>
  <c r="E62" i="146"/>
  <c r="I4" i="151"/>
  <c r="I3" i="146"/>
  <c r="C64" i="147"/>
  <c r="E65" i="147"/>
  <c r="I6" i="150"/>
  <c r="I6" i="152"/>
  <c r="I4" i="153"/>
  <c r="E64" i="148"/>
  <c r="C63" i="148"/>
  <c r="C64" i="151"/>
  <c r="E65" i="151"/>
  <c r="I6" i="156"/>
  <c r="C64" i="153"/>
  <c r="I5" i="159"/>
  <c r="I5" i="157"/>
  <c r="C64" i="154"/>
  <c r="E65" i="154"/>
  <c r="I5" i="158"/>
  <c r="I4" i="154"/>
  <c r="C60" i="157"/>
  <c r="E61" i="157"/>
  <c r="C65" i="158"/>
  <c r="E62" i="160"/>
  <c r="C61" i="160"/>
  <c r="C65" i="155"/>
  <c r="C63" i="161"/>
  <c r="E64" i="161"/>
  <c r="C62" i="159"/>
  <c r="E63" i="159"/>
  <c r="I4" i="155"/>
  <c r="E66" i="152"/>
  <c r="C65" i="152"/>
  <c r="I3" i="160"/>
  <c r="E63" i="163"/>
  <c r="C62" i="163"/>
  <c r="I3" i="163"/>
  <c r="I4" i="161"/>
  <c r="I4" i="162"/>
  <c r="E62" i="166"/>
  <c r="C60" i="166"/>
  <c r="E61" i="166"/>
  <c r="E63" i="166"/>
  <c r="C64" i="164"/>
  <c r="E65" i="164"/>
  <c r="I6" i="164"/>
  <c r="I4" i="168"/>
  <c r="C64" i="162"/>
  <c r="I5" i="165"/>
  <c r="E65" i="160"/>
  <c r="I3" i="166"/>
  <c r="E63" i="168"/>
  <c r="C62" i="168"/>
  <c r="I5" i="167"/>
  <c r="C61" i="165"/>
  <c r="E62" i="165"/>
  <c r="C63" i="167"/>
  <c r="E64" i="167"/>
  <c r="C62" i="171"/>
  <c r="E63" i="171"/>
  <c r="I6" i="172"/>
  <c r="I4" i="170"/>
  <c r="E65" i="165"/>
  <c r="C65" i="170"/>
  <c r="E66" i="170"/>
  <c r="I4" i="169"/>
  <c r="I5" i="173"/>
  <c r="I3" i="171"/>
  <c r="E63" i="173"/>
  <c r="C62" i="173"/>
  <c r="E64" i="171"/>
  <c r="E65" i="169"/>
  <c r="C64" i="169"/>
  <c r="E66" i="166"/>
  <c r="C65" i="172"/>
  <c r="E66" i="172"/>
  <c r="I3" i="174"/>
  <c r="C65" i="174"/>
  <c r="E65" i="156" l="1"/>
  <c r="C64" i="156"/>
  <c r="E63" i="40"/>
  <c r="E64" i="149"/>
  <c r="C63" i="149"/>
  <c r="C64" i="130"/>
  <c r="EZ65" i="2"/>
  <c r="FA65" i="2" s="1"/>
  <c r="E60" i="98"/>
  <c r="C59" i="98"/>
  <c r="E65" i="74"/>
  <c r="C64" i="74"/>
  <c r="C63" i="61"/>
  <c r="E64" i="61"/>
  <c r="C63" i="59"/>
  <c r="E64" i="59"/>
  <c r="C64" i="150"/>
  <c r="E65" i="150"/>
  <c r="C64" i="109"/>
  <c r="E65" i="109"/>
  <c r="ED65" i="2"/>
  <c r="C63" i="108"/>
  <c r="E64" i="108"/>
  <c r="E64" i="76"/>
  <c r="C63" i="76"/>
  <c r="I4" i="55"/>
  <c r="E65" i="56"/>
  <c r="C64" i="56"/>
  <c r="I4" i="38"/>
  <c r="I5" i="31"/>
  <c r="I6" i="25"/>
  <c r="I9" i="7"/>
  <c r="C63" i="164"/>
  <c r="E64" i="164"/>
  <c r="I6" i="158"/>
  <c r="I5" i="162"/>
  <c r="I4" i="125"/>
  <c r="C62" i="112"/>
  <c r="E63" i="112"/>
  <c r="C64" i="92"/>
  <c r="E65" i="92"/>
  <c r="HN65" i="2"/>
  <c r="E62" i="85"/>
  <c r="C61" i="85"/>
  <c r="I5" i="70"/>
  <c r="I7" i="172"/>
  <c r="E64" i="63"/>
  <c r="C63" i="63"/>
  <c r="I8" i="59"/>
  <c r="I7" i="48"/>
  <c r="E64" i="33"/>
  <c r="C63" i="33"/>
  <c r="E65" i="107"/>
  <c r="C64" i="107"/>
  <c r="BE64" i="2" s="1"/>
  <c r="I6" i="93"/>
  <c r="I7" i="51"/>
  <c r="I9" i="46"/>
  <c r="C63" i="21"/>
  <c r="E64" i="21"/>
  <c r="I4" i="17"/>
  <c r="E63" i="4"/>
  <c r="C62" i="4"/>
  <c r="I5" i="121"/>
  <c r="I4" i="146"/>
  <c r="I7" i="117"/>
  <c r="C60" i="105"/>
  <c r="E61" i="105"/>
  <c r="C64" i="91"/>
  <c r="E65" i="91"/>
  <c r="C63" i="89"/>
  <c r="E64" i="89"/>
  <c r="HN64" i="2"/>
  <c r="E64" i="88"/>
  <c r="C63" i="88"/>
  <c r="I8" i="79"/>
  <c r="I6" i="41"/>
  <c r="I8" i="27"/>
  <c r="C62" i="128"/>
  <c r="E63" i="128"/>
  <c r="E65" i="90"/>
  <c r="C64" i="90"/>
  <c r="E64" i="77"/>
  <c r="C63" i="77"/>
  <c r="C62" i="60"/>
  <c r="E63" i="60"/>
  <c r="E65" i="52"/>
  <c r="C64" i="52"/>
  <c r="BP65" i="2"/>
  <c r="E65" i="50"/>
  <c r="C64" i="50"/>
  <c r="AT65" i="2"/>
  <c r="E64" i="44"/>
  <c r="C63" i="44"/>
  <c r="E63" i="22"/>
  <c r="C62" i="22"/>
  <c r="C63" i="147"/>
  <c r="E64" i="147"/>
  <c r="I5" i="161"/>
  <c r="E65" i="174"/>
  <c r="C64" i="174"/>
  <c r="HY65" i="2"/>
  <c r="I4" i="163"/>
  <c r="C63" i="154"/>
  <c r="E64" i="154"/>
  <c r="I9" i="145"/>
  <c r="I4" i="174"/>
  <c r="I6" i="157"/>
  <c r="I5" i="111"/>
  <c r="I8" i="94"/>
  <c r="C60" i="43"/>
  <c r="E61" i="43"/>
  <c r="C62" i="25"/>
  <c r="E63" i="25"/>
  <c r="C62" i="167"/>
  <c r="E63" i="167"/>
  <c r="E65" i="93"/>
  <c r="C64" i="93"/>
  <c r="I5" i="50"/>
  <c r="E64" i="31"/>
  <c r="C63" i="31"/>
  <c r="E65" i="29"/>
  <c r="C64" i="29"/>
  <c r="X65" i="1"/>
  <c r="C62" i="11"/>
  <c r="E63" i="11"/>
  <c r="E60" i="138"/>
  <c r="C59" i="138"/>
  <c r="I6" i="129"/>
  <c r="C61" i="106"/>
  <c r="E62" i="106"/>
  <c r="E60" i="87"/>
  <c r="C59" i="87"/>
  <c r="I6" i="63"/>
  <c r="I6" i="159"/>
  <c r="E61" i="111"/>
  <c r="C60" i="111"/>
  <c r="I5" i="84"/>
  <c r="I5" i="49"/>
  <c r="E65" i="42"/>
  <c r="C64" i="42"/>
  <c r="FV65" i="2"/>
  <c r="E65" i="28"/>
  <c r="C64" i="28"/>
  <c r="AI65" i="2"/>
  <c r="I6" i="23"/>
  <c r="E65" i="14"/>
  <c r="C64" i="14"/>
  <c r="GR65" i="2"/>
  <c r="I5" i="5"/>
  <c r="E64" i="133"/>
  <c r="C63" i="133"/>
  <c r="DH64" i="2"/>
  <c r="I7" i="135"/>
  <c r="E63" i="137"/>
  <c r="C62" i="137"/>
  <c r="E64" i="80"/>
  <c r="C63" i="80"/>
  <c r="I5" i="76"/>
  <c r="I7" i="132"/>
  <c r="E61" i="165"/>
  <c r="C60" i="165"/>
  <c r="I4" i="160"/>
  <c r="I5" i="151"/>
  <c r="I4" i="141"/>
  <c r="I7" i="136"/>
  <c r="C62" i="116"/>
  <c r="E63" i="116"/>
  <c r="C63" i="97"/>
  <c r="E64" i="97"/>
  <c r="EO64" i="2"/>
  <c r="C57" i="82"/>
  <c r="E58" i="82"/>
  <c r="I6" i="60"/>
  <c r="I4" i="36"/>
  <c r="E64" i="23"/>
  <c r="C63" i="23"/>
  <c r="I8" i="24"/>
  <c r="C61" i="171"/>
  <c r="E62" i="171"/>
  <c r="E62" i="163"/>
  <c r="C61" i="163"/>
  <c r="I4" i="102"/>
  <c r="C61" i="84"/>
  <c r="E62" i="84"/>
  <c r="I7" i="127"/>
  <c r="I6" i="118"/>
  <c r="E63" i="94"/>
  <c r="C62" i="94"/>
  <c r="C64" i="172"/>
  <c r="E65" i="172"/>
  <c r="I6" i="167"/>
  <c r="C62" i="139"/>
  <c r="E63" i="139"/>
  <c r="E64" i="125"/>
  <c r="C63" i="125"/>
  <c r="I6" i="115"/>
  <c r="E65" i="100"/>
  <c r="C64" i="100"/>
  <c r="I5" i="87"/>
  <c r="I7" i="77"/>
  <c r="C62" i="67"/>
  <c r="E63" i="67"/>
  <c r="I5" i="52"/>
  <c r="I6" i="37"/>
  <c r="I4" i="34"/>
  <c r="I5" i="138"/>
  <c r="C62" i="110"/>
  <c r="E63" i="110"/>
  <c r="E63" i="64"/>
  <c r="C62" i="64"/>
  <c r="E63" i="54"/>
  <c r="C62" i="54"/>
  <c r="E65" i="27"/>
  <c r="C64" i="27"/>
  <c r="IJ64" i="2" s="1"/>
  <c r="IJ65" i="2"/>
  <c r="I6" i="18"/>
  <c r="E60" i="146"/>
  <c r="C59" i="146"/>
  <c r="I6" i="139"/>
  <c r="I7" i="122"/>
  <c r="I5" i="104"/>
  <c r="I5" i="86"/>
  <c r="I4" i="65"/>
  <c r="I4" i="45"/>
  <c r="E64" i="36"/>
  <c r="C63" i="36"/>
  <c r="CW64" i="2"/>
  <c r="I5" i="33"/>
  <c r="E63" i="18"/>
  <c r="C62" i="18"/>
  <c r="I7" i="16"/>
  <c r="C63" i="13"/>
  <c r="E64" i="13"/>
  <c r="E63" i="5"/>
  <c r="C62" i="5"/>
  <c r="I6" i="124"/>
  <c r="I4" i="110"/>
  <c r="I4" i="91"/>
  <c r="I5" i="56"/>
  <c r="I4" i="40"/>
  <c r="I5" i="39"/>
  <c r="C63" i="169"/>
  <c r="E64" i="169"/>
  <c r="HY64" i="2"/>
  <c r="C64" i="152"/>
  <c r="M64" i="2" s="1"/>
  <c r="E65" i="152"/>
  <c r="M65" i="2"/>
  <c r="I7" i="156"/>
  <c r="C63" i="142"/>
  <c r="E64" i="142"/>
  <c r="I4" i="109"/>
  <c r="E63" i="103"/>
  <c r="C62" i="103"/>
  <c r="E63" i="83"/>
  <c r="C62" i="83"/>
  <c r="I8" i="82"/>
  <c r="E63" i="66"/>
  <c r="C62" i="66"/>
  <c r="I5" i="54"/>
  <c r="I4" i="43"/>
  <c r="E64" i="20"/>
  <c r="C63" i="20"/>
  <c r="C62" i="118"/>
  <c r="E63" i="118"/>
  <c r="I9" i="75"/>
  <c r="C64" i="53"/>
  <c r="E65" i="53"/>
  <c r="BE65" i="2"/>
  <c r="E65" i="12"/>
  <c r="C64" i="12"/>
  <c r="X65" i="2"/>
  <c r="M65" i="1"/>
  <c r="C61" i="73"/>
  <c r="E62" i="73"/>
  <c r="I9" i="61"/>
  <c r="E65" i="55"/>
  <c r="C64" i="55"/>
  <c r="FK64" i="2" s="1"/>
  <c r="FK65" i="2"/>
  <c r="E64" i="10"/>
  <c r="C63" i="10"/>
  <c r="I4" i="8"/>
  <c r="I5" i="114"/>
  <c r="E64" i="101"/>
  <c r="C63" i="101"/>
  <c r="I5" i="155"/>
  <c r="C63" i="145"/>
  <c r="E64" i="145"/>
  <c r="I7" i="142"/>
  <c r="I5" i="137"/>
  <c r="E65" i="121"/>
  <c r="C64" i="121"/>
  <c r="I4" i="120"/>
  <c r="I6" i="99"/>
  <c r="C62" i="81"/>
  <c r="E63" i="81"/>
  <c r="I6" i="66"/>
  <c r="C64" i="49"/>
  <c r="E65" i="49"/>
  <c r="E64" i="35"/>
  <c r="C63" i="35"/>
  <c r="I7" i="26"/>
  <c r="I5" i="4"/>
  <c r="E62" i="124"/>
  <c r="C61" i="124"/>
  <c r="C63" i="96"/>
  <c r="E64" i="96"/>
  <c r="I7" i="98"/>
  <c r="I5" i="85"/>
  <c r="E63" i="57"/>
  <c r="C62" i="57"/>
  <c r="E64" i="38"/>
  <c r="C63" i="38"/>
  <c r="E62" i="26"/>
  <c r="C61" i="26"/>
  <c r="C64" i="8"/>
  <c r="HC65" i="2"/>
  <c r="E65" i="8"/>
  <c r="BP65" i="1"/>
  <c r="I6" i="10"/>
  <c r="C63" i="151"/>
  <c r="E64" i="151"/>
  <c r="I4" i="147"/>
  <c r="I4" i="140"/>
  <c r="I9" i="133"/>
  <c r="C63" i="114"/>
  <c r="E64" i="114"/>
  <c r="I4" i="105"/>
  <c r="E64" i="95"/>
  <c r="C63" i="95"/>
  <c r="I5" i="80"/>
  <c r="I4" i="69"/>
  <c r="I7" i="62"/>
  <c r="C63" i="48"/>
  <c r="E64" i="48"/>
  <c r="I4" i="35"/>
  <c r="I8" i="22"/>
  <c r="I7" i="9"/>
  <c r="I7" i="128"/>
  <c r="I6" i="165"/>
  <c r="E63" i="129"/>
  <c r="C62" i="129"/>
  <c r="DS63" i="2"/>
  <c r="C62" i="126"/>
  <c r="E63" i="126"/>
  <c r="C61" i="115"/>
  <c r="E62" i="115"/>
  <c r="I7" i="101"/>
  <c r="I4" i="95"/>
  <c r="I7" i="89"/>
  <c r="I8" i="71"/>
  <c r="I5" i="57"/>
  <c r="E62" i="40"/>
  <c r="C61" i="40"/>
  <c r="I8" i="14"/>
  <c r="C63" i="162"/>
  <c r="E64" i="162"/>
  <c r="E63" i="161"/>
  <c r="C62" i="161"/>
  <c r="E62" i="86"/>
  <c r="C61" i="86"/>
  <c r="E62" i="72"/>
  <c r="C61" i="72"/>
  <c r="I8" i="42"/>
  <c r="I6" i="28"/>
  <c r="I7" i="29"/>
  <c r="I9" i="15"/>
  <c r="E62" i="159"/>
  <c r="C61" i="159"/>
  <c r="I5" i="168"/>
  <c r="C64" i="155"/>
  <c r="E65" i="155"/>
  <c r="CL65" i="2"/>
  <c r="C61" i="120"/>
  <c r="E62" i="120"/>
  <c r="I7" i="107"/>
  <c r="E63" i="99"/>
  <c r="C62" i="99"/>
  <c r="I5" i="97"/>
  <c r="I6" i="68"/>
  <c r="I5" i="53"/>
  <c r="E62" i="37"/>
  <c r="C61" i="37"/>
  <c r="C59" i="32"/>
  <c r="E60" i="32"/>
  <c r="EP66" i="2"/>
  <c r="E61" i="160"/>
  <c r="C60" i="160"/>
  <c r="E62" i="141"/>
  <c r="C61" i="141"/>
  <c r="I5" i="131"/>
  <c r="I6" i="113"/>
  <c r="I5" i="106"/>
  <c r="E61" i="102"/>
  <c r="C60" i="102"/>
  <c r="I9" i="74"/>
  <c r="C61" i="39"/>
  <c r="E62" i="39"/>
  <c r="E65" i="7"/>
  <c r="C64" i="7"/>
  <c r="EO65" i="2"/>
  <c r="AT65" i="1"/>
  <c r="C63" i="153"/>
  <c r="E64" i="153"/>
  <c r="C63" i="134"/>
  <c r="E64" i="134"/>
  <c r="EZ64" i="2"/>
  <c r="I7" i="164"/>
  <c r="I5" i="153"/>
  <c r="E61" i="131"/>
  <c r="C60" i="131"/>
  <c r="C62" i="113"/>
  <c r="E63" i="113"/>
  <c r="I6" i="83"/>
  <c r="C63" i="78"/>
  <c r="E64" i="78"/>
  <c r="C62" i="65"/>
  <c r="E63" i="65"/>
  <c r="I6" i="44"/>
  <c r="I6" i="30"/>
  <c r="E63" i="17"/>
  <c r="C62" i="17"/>
  <c r="C63" i="15"/>
  <c r="E64" i="15"/>
  <c r="I4" i="148"/>
  <c r="I5" i="169"/>
  <c r="E65" i="143"/>
  <c r="C64" i="143"/>
  <c r="E65" i="158"/>
  <c r="C64" i="158"/>
  <c r="C62" i="135"/>
  <c r="E63" i="135"/>
  <c r="E64" i="122"/>
  <c r="C63" i="122"/>
  <c r="E64" i="119"/>
  <c r="C63" i="119"/>
  <c r="C62" i="104"/>
  <c r="E63" i="104"/>
  <c r="E62" i="62"/>
  <c r="C61" i="62"/>
  <c r="E62" i="47"/>
  <c r="C61" i="47"/>
  <c r="I9" i="12"/>
  <c r="I5" i="144"/>
  <c r="E62" i="173"/>
  <c r="C61" i="173"/>
  <c r="I6" i="149"/>
  <c r="I9" i="134"/>
  <c r="E64" i="117"/>
  <c r="C63" i="117"/>
  <c r="I4" i="96"/>
  <c r="I4" i="90"/>
  <c r="E62" i="69"/>
  <c r="C61" i="69"/>
  <c r="C63" i="41"/>
  <c r="E64" i="41"/>
  <c r="I8" i="32"/>
  <c r="E60" i="157"/>
  <c r="C59" i="157"/>
  <c r="E62" i="127"/>
  <c r="C61" i="127"/>
  <c r="E63" i="75"/>
  <c r="C62" i="75"/>
  <c r="E64" i="71"/>
  <c r="C63" i="71"/>
  <c r="I5" i="73"/>
  <c r="I4" i="64"/>
  <c r="E63" i="16"/>
  <c r="C62" i="16"/>
  <c r="I7" i="13"/>
  <c r="C62" i="9"/>
  <c r="E63" i="9"/>
  <c r="I6" i="173"/>
  <c r="I7" i="152"/>
  <c r="E62" i="123"/>
  <c r="C61" i="123"/>
  <c r="I4" i="112"/>
  <c r="I5" i="88"/>
  <c r="I5" i="67"/>
  <c r="C61" i="51"/>
  <c r="E62" i="51"/>
  <c r="E63" i="19"/>
  <c r="C62" i="19"/>
  <c r="Y66" i="2"/>
  <c r="E62" i="168"/>
  <c r="C61" i="168"/>
  <c r="I4" i="166"/>
  <c r="I4" i="143"/>
  <c r="C59" i="166"/>
  <c r="E60" i="166"/>
  <c r="I4" i="130"/>
  <c r="I5" i="119"/>
  <c r="I4" i="100"/>
  <c r="I6" i="72"/>
  <c r="E65" i="58"/>
  <c r="C64" i="58"/>
  <c r="CA64" i="2" s="1"/>
  <c r="CA65" i="2"/>
  <c r="E65" i="46"/>
  <c r="C64" i="46"/>
  <c r="AI65" i="1"/>
  <c r="C60" i="34"/>
  <c r="E61" i="34"/>
  <c r="I5" i="19"/>
  <c r="I4" i="11"/>
  <c r="C64" i="6"/>
  <c r="IU64" i="2" s="1"/>
  <c r="IU65" i="2"/>
  <c r="E65" i="6"/>
  <c r="CA65" i="1"/>
  <c r="E65" i="3"/>
  <c r="C64" i="3"/>
  <c r="I4" i="171"/>
  <c r="E65" i="170"/>
  <c r="C64" i="170"/>
  <c r="E65" i="136"/>
  <c r="C64" i="136"/>
  <c r="I5" i="170"/>
  <c r="I5" i="154"/>
  <c r="E64" i="140"/>
  <c r="C63" i="140"/>
  <c r="C63" i="132"/>
  <c r="E64" i="132"/>
  <c r="I5" i="116"/>
  <c r="I5" i="108"/>
  <c r="I4" i="81"/>
  <c r="I7" i="78"/>
  <c r="E64" i="70"/>
  <c r="C63" i="70"/>
  <c r="C62" i="68"/>
  <c r="E63" i="68"/>
  <c r="I4" i="47"/>
  <c r="E61" i="45"/>
  <c r="C60" i="45"/>
  <c r="I5" i="3"/>
  <c r="E63" i="148"/>
  <c r="C62" i="148"/>
  <c r="I7" i="150"/>
  <c r="E63" i="144"/>
  <c r="C62" i="144"/>
  <c r="I5" i="126"/>
  <c r="I5" i="123"/>
  <c r="I5" i="103"/>
  <c r="I6" i="92"/>
  <c r="E64" i="79"/>
  <c r="C63" i="79"/>
  <c r="I4" i="58"/>
  <c r="E60" i="30"/>
  <c r="C59" i="30"/>
  <c r="I5" i="21"/>
  <c r="I5" i="20"/>
  <c r="E64" i="156" l="1"/>
  <c r="C63" i="156"/>
  <c r="E63" i="149"/>
  <c r="C62" i="149"/>
  <c r="E64" i="130"/>
  <c r="C63" i="130"/>
  <c r="E59" i="98"/>
  <c r="C58" i="98"/>
  <c r="C63" i="74"/>
  <c r="E64" i="74"/>
  <c r="C62" i="61"/>
  <c r="E63" i="61"/>
  <c r="C62" i="59"/>
  <c r="E63" i="59"/>
  <c r="E64" i="150"/>
  <c r="C63" i="150"/>
  <c r="FL64" i="2"/>
  <c r="CB64" i="2"/>
  <c r="N64" i="2"/>
  <c r="IK64" i="2"/>
  <c r="E60" i="34"/>
  <c r="C59" i="34"/>
  <c r="I7" i="149"/>
  <c r="E62" i="144"/>
  <c r="C61" i="144"/>
  <c r="I6" i="170"/>
  <c r="I6" i="119"/>
  <c r="I8" i="13"/>
  <c r="E61" i="39"/>
  <c r="C60" i="39"/>
  <c r="E63" i="162"/>
  <c r="C62" i="162"/>
  <c r="I9" i="22"/>
  <c r="C60" i="26"/>
  <c r="E61" i="26"/>
  <c r="I5" i="40"/>
  <c r="C62" i="23"/>
  <c r="E63" i="23"/>
  <c r="I8" i="135"/>
  <c r="I7" i="129"/>
  <c r="I5" i="35"/>
  <c r="I6" i="137"/>
  <c r="C61" i="118"/>
  <c r="E62" i="118"/>
  <c r="I6" i="104"/>
  <c r="I5" i="174"/>
  <c r="I10" i="46"/>
  <c r="C61" i="112"/>
  <c r="E62" i="112"/>
  <c r="E61" i="173"/>
  <c r="C60" i="173"/>
  <c r="I8" i="150"/>
  <c r="I7" i="30"/>
  <c r="I8" i="107"/>
  <c r="I9" i="14"/>
  <c r="E63" i="38"/>
  <c r="C62" i="38"/>
  <c r="I6" i="56"/>
  <c r="DI64" i="2"/>
  <c r="E62" i="128"/>
  <c r="C61" i="128"/>
  <c r="I5" i="125"/>
  <c r="E64" i="170"/>
  <c r="C63" i="170"/>
  <c r="I6" i="144"/>
  <c r="I8" i="142"/>
  <c r="E63" i="20"/>
  <c r="C62" i="20"/>
  <c r="I8" i="122"/>
  <c r="E64" i="100"/>
  <c r="C63" i="100"/>
  <c r="I5" i="36"/>
  <c r="C62" i="133"/>
  <c r="E63" i="133"/>
  <c r="DH63" i="2"/>
  <c r="C58" i="138"/>
  <c r="E59" i="138"/>
  <c r="I8" i="51"/>
  <c r="E59" i="166"/>
  <c r="C58" i="166"/>
  <c r="I5" i="64"/>
  <c r="I7" i="44"/>
  <c r="I10" i="74"/>
  <c r="C60" i="120"/>
  <c r="E61" i="120"/>
  <c r="E61" i="40"/>
  <c r="C60" i="40"/>
  <c r="E63" i="48"/>
  <c r="C62" i="48"/>
  <c r="E62" i="57"/>
  <c r="C61" i="57"/>
  <c r="I10" i="145"/>
  <c r="I9" i="27"/>
  <c r="C62" i="145"/>
  <c r="E63" i="145"/>
  <c r="I5" i="91"/>
  <c r="I7" i="139"/>
  <c r="I7" i="60"/>
  <c r="I7" i="41"/>
  <c r="I6" i="73"/>
  <c r="I10" i="12"/>
  <c r="E62" i="65"/>
  <c r="C61" i="65"/>
  <c r="E60" i="102"/>
  <c r="C59" i="102"/>
  <c r="I8" i="62"/>
  <c r="I6" i="155"/>
  <c r="I5" i="43"/>
  <c r="I5" i="110"/>
  <c r="C58" i="146"/>
  <c r="E59" i="146"/>
  <c r="I7" i="115"/>
  <c r="I6" i="5"/>
  <c r="E62" i="11"/>
  <c r="C61" i="11"/>
  <c r="CM65" i="2"/>
  <c r="E63" i="125"/>
  <c r="C62" i="125"/>
  <c r="E57" i="82"/>
  <c r="C56" i="82"/>
  <c r="GS65" i="2"/>
  <c r="Y65" i="1"/>
  <c r="E63" i="154"/>
  <c r="C62" i="154"/>
  <c r="I9" i="79"/>
  <c r="I7" i="93"/>
  <c r="I6" i="162"/>
  <c r="C62" i="78"/>
  <c r="E63" i="78"/>
  <c r="C62" i="101"/>
  <c r="E63" i="101"/>
  <c r="I6" i="54"/>
  <c r="EP64" i="2"/>
  <c r="E64" i="14"/>
  <c r="C63" i="14"/>
  <c r="C63" i="29"/>
  <c r="E64" i="29"/>
  <c r="E64" i="107"/>
  <c r="C63" i="107"/>
  <c r="I5" i="166"/>
  <c r="I5" i="69"/>
  <c r="E64" i="3"/>
  <c r="C63" i="3"/>
  <c r="C60" i="168"/>
  <c r="E61" i="168"/>
  <c r="C61" i="75"/>
  <c r="E62" i="75"/>
  <c r="C60" i="47"/>
  <c r="E61" i="47"/>
  <c r="I7" i="83"/>
  <c r="I6" i="106"/>
  <c r="E64" i="155"/>
  <c r="C63" i="155"/>
  <c r="I6" i="57"/>
  <c r="I8" i="98"/>
  <c r="C61" i="66"/>
  <c r="E62" i="66"/>
  <c r="I7" i="124"/>
  <c r="I7" i="18"/>
  <c r="I5" i="163"/>
  <c r="I7" i="158"/>
  <c r="E63" i="71"/>
  <c r="C62" i="71"/>
  <c r="I6" i="85"/>
  <c r="E60" i="45"/>
  <c r="C59" i="45"/>
  <c r="I5" i="47"/>
  <c r="I7" i="113"/>
  <c r="I6" i="80"/>
  <c r="IK65" i="2"/>
  <c r="E62" i="139"/>
  <c r="C61" i="139"/>
  <c r="E63" i="97"/>
  <c r="C62" i="97"/>
  <c r="HZ65" i="2"/>
  <c r="E63" i="88"/>
  <c r="C62" i="88"/>
  <c r="E61" i="127"/>
  <c r="C60" i="127"/>
  <c r="E61" i="62"/>
  <c r="C60" i="62"/>
  <c r="I6" i="168"/>
  <c r="I9" i="71"/>
  <c r="C62" i="95"/>
  <c r="E63" i="95"/>
  <c r="C62" i="96"/>
  <c r="E63" i="96"/>
  <c r="I6" i="114"/>
  <c r="I9" i="82"/>
  <c r="C61" i="5"/>
  <c r="E62" i="5"/>
  <c r="C63" i="27"/>
  <c r="E64" i="27"/>
  <c r="I7" i="167"/>
  <c r="I7" i="23"/>
  <c r="C62" i="31"/>
  <c r="E63" i="31"/>
  <c r="E64" i="174"/>
  <c r="C63" i="174"/>
  <c r="E63" i="164"/>
  <c r="C62" i="164"/>
  <c r="E62" i="113"/>
  <c r="C61" i="113"/>
  <c r="E61" i="124"/>
  <c r="C60" i="124"/>
  <c r="AJ65" i="2"/>
  <c r="HO64" i="2"/>
  <c r="I10" i="7"/>
  <c r="E64" i="136"/>
  <c r="C63" i="136"/>
  <c r="CB65" i="1"/>
  <c r="C61" i="116"/>
  <c r="E62" i="116"/>
  <c r="C63" i="28"/>
  <c r="E64" i="28"/>
  <c r="I6" i="50"/>
  <c r="I6" i="161"/>
  <c r="C62" i="33"/>
  <c r="E63" i="33"/>
  <c r="C61" i="68"/>
  <c r="E62" i="68"/>
  <c r="E63" i="70"/>
  <c r="C62" i="70"/>
  <c r="E64" i="6"/>
  <c r="C63" i="6"/>
  <c r="IU63" i="2" s="1"/>
  <c r="CA64" i="1"/>
  <c r="E62" i="104"/>
  <c r="C61" i="104"/>
  <c r="E61" i="141"/>
  <c r="C60" i="141"/>
  <c r="I5" i="95"/>
  <c r="I5" i="105"/>
  <c r="C62" i="10"/>
  <c r="E63" i="10"/>
  <c r="E62" i="83"/>
  <c r="C61" i="83"/>
  <c r="C63" i="172"/>
  <c r="E64" i="172"/>
  <c r="E63" i="89"/>
  <c r="C62" i="89"/>
  <c r="I6" i="3"/>
  <c r="IV65" i="2"/>
  <c r="C60" i="159"/>
  <c r="E61" i="159"/>
  <c r="I8" i="89"/>
  <c r="E62" i="54"/>
  <c r="C61" i="54"/>
  <c r="I6" i="20"/>
  <c r="I5" i="11"/>
  <c r="I9" i="32"/>
  <c r="C62" i="119"/>
  <c r="E63" i="119"/>
  <c r="I6" i="153"/>
  <c r="I6" i="4"/>
  <c r="E63" i="13"/>
  <c r="C62" i="13"/>
  <c r="E62" i="64"/>
  <c r="C61" i="64"/>
  <c r="C61" i="94"/>
  <c r="E62" i="94"/>
  <c r="I8" i="136"/>
  <c r="FW65" i="2"/>
  <c r="E64" i="93"/>
  <c r="C63" i="93"/>
  <c r="I8" i="48"/>
  <c r="I7" i="25"/>
  <c r="E62" i="148"/>
  <c r="C61" i="148"/>
  <c r="C61" i="19"/>
  <c r="E62" i="19"/>
  <c r="E59" i="157"/>
  <c r="C58" i="157"/>
  <c r="C59" i="131"/>
  <c r="E60" i="131"/>
  <c r="I6" i="131"/>
  <c r="I5" i="8"/>
  <c r="IV64" i="2"/>
  <c r="I6" i="21"/>
  <c r="E61" i="51"/>
  <c r="C60" i="51"/>
  <c r="E63" i="114"/>
  <c r="C62" i="114"/>
  <c r="FL65" i="2"/>
  <c r="E62" i="103"/>
  <c r="C61" i="103"/>
  <c r="E64" i="42"/>
  <c r="C63" i="42"/>
  <c r="FV64" i="2"/>
  <c r="E63" i="147"/>
  <c r="C62" i="147"/>
  <c r="E64" i="91"/>
  <c r="C63" i="91"/>
  <c r="E60" i="160"/>
  <c r="C59" i="160"/>
  <c r="I10" i="15"/>
  <c r="I8" i="101"/>
  <c r="I10" i="133"/>
  <c r="I8" i="26"/>
  <c r="E64" i="55"/>
  <c r="C63" i="55"/>
  <c r="I8" i="16"/>
  <c r="I5" i="141"/>
  <c r="C61" i="22"/>
  <c r="E62" i="22"/>
  <c r="I9" i="59"/>
  <c r="I6" i="31"/>
  <c r="I5" i="130"/>
  <c r="I5" i="143"/>
  <c r="I5" i="81"/>
  <c r="I8" i="164"/>
  <c r="I8" i="29"/>
  <c r="E63" i="35"/>
  <c r="C62" i="35"/>
  <c r="E62" i="110"/>
  <c r="C61" i="110"/>
  <c r="I7" i="118"/>
  <c r="E62" i="167"/>
  <c r="C61" i="167"/>
  <c r="E60" i="105"/>
  <c r="C59" i="105"/>
  <c r="FA64" i="2"/>
  <c r="E61" i="115"/>
  <c r="C60" i="115"/>
  <c r="I5" i="140"/>
  <c r="I5" i="109"/>
  <c r="C61" i="18"/>
  <c r="E62" i="18"/>
  <c r="I6" i="138"/>
  <c r="I8" i="127"/>
  <c r="I6" i="151"/>
  <c r="I6" i="49"/>
  <c r="E63" i="44"/>
  <c r="C62" i="44"/>
  <c r="I8" i="117"/>
  <c r="CL64" i="2"/>
  <c r="I5" i="38"/>
  <c r="I8" i="78"/>
  <c r="C62" i="41"/>
  <c r="E63" i="41"/>
  <c r="I5" i="58"/>
  <c r="I6" i="108"/>
  <c r="I10" i="61"/>
  <c r="E63" i="63"/>
  <c r="C62" i="63"/>
  <c r="C63" i="56"/>
  <c r="E64" i="56"/>
  <c r="C61" i="126"/>
  <c r="E62" i="126"/>
  <c r="E64" i="49"/>
  <c r="C63" i="49"/>
  <c r="C62" i="142"/>
  <c r="E63" i="142"/>
  <c r="I6" i="33"/>
  <c r="I5" i="160"/>
  <c r="I6" i="84"/>
  <c r="AU65" i="2"/>
  <c r="I5" i="146"/>
  <c r="I5" i="171"/>
  <c r="E64" i="158"/>
  <c r="C63" i="158"/>
  <c r="I5" i="34"/>
  <c r="C60" i="84"/>
  <c r="E61" i="84"/>
  <c r="E60" i="165"/>
  <c r="C59" i="165"/>
  <c r="C59" i="111"/>
  <c r="E60" i="111"/>
  <c r="E62" i="25"/>
  <c r="C61" i="25"/>
  <c r="C63" i="50"/>
  <c r="E64" i="50"/>
  <c r="AT64" i="2"/>
  <c r="I5" i="55"/>
  <c r="I7" i="37"/>
  <c r="I6" i="121"/>
  <c r="I8" i="172"/>
  <c r="C61" i="135"/>
  <c r="E62" i="135"/>
  <c r="DT63" i="2"/>
  <c r="I6" i="116"/>
  <c r="E63" i="153"/>
  <c r="C62" i="153"/>
  <c r="C60" i="72"/>
  <c r="E61" i="72"/>
  <c r="C62" i="151"/>
  <c r="E63" i="151"/>
  <c r="Y65" i="2"/>
  <c r="N65" i="2"/>
  <c r="C62" i="36"/>
  <c r="CW62" i="2" s="1"/>
  <c r="E63" i="36"/>
  <c r="I5" i="102"/>
  <c r="I8" i="132"/>
  <c r="C59" i="43"/>
  <c r="E60" i="43"/>
  <c r="BQ65" i="2"/>
  <c r="C62" i="76"/>
  <c r="E63" i="76"/>
  <c r="I6" i="67"/>
  <c r="I6" i="88"/>
  <c r="E64" i="46"/>
  <c r="C63" i="46"/>
  <c r="E63" i="132"/>
  <c r="C62" i="132"/>
  <c r="C60" i="163"/>
  <c r="E61" i="163"/>
  <c r="I7" i="159"/>
  <c r="E64" i="52"/>
  <c r="C63" i="52"/>
  <c r="BP64" i="2"/>
  <c r="E62" i="4"/>
  <c r="C61" i="4"/>
  <c r="I6" i="70"/>
  <c r="E63" i="134"/>
  <c r="C62" i="134"/>
  <c r="EZ63" i="2"/>
  <c r="C58" i="32"/>
  <c r="E59" i="32"/>
  <c r="I7" i="92"/>
  <c r="E64" i="58"/>
  <c r="C63" i="58"/>
  <c r="CA63" i="2" s="1"/>
  <c r="I5" i="96"/>
  <c r="AU65" i="1"/>
  <c r="I6" i="53"/>
  <c r="I7" i="10"/>
  <c r="E62" i="81"/>
  <c r="C61" i="81"/>
  <c r="C63" i="12"/>
  <c r="E64" i="12"/>
  <c r="X64" i="2"/>
  <c r="M64" i="1"/>
  <c r="I8" i="152"/>
  <c r="E63" i="117"/>
  <c r="C62" i="117"/>
  <c r="I6" i="169"/>
  <c r="EP65" i="2"/>
  <c r="E61" i="86"/>
  <c r="C60" i="86"/>
  <c r="I7" i="165"/>
  <c r="E64" i="152"/>
  <c r="C63" i="152"/>
  <c r="M63" i="2" s="1"/>
  <c r="I5" i="45"/>
  <c r="I6" i="52"/>
  <c r="I9" i="94"/>
  <c r="E61" i="85"/>
  <c r="C60" i="85"/>
  <c r="E63" i="122"/>
  <c r="C62" i="122"/>
  <c r="C58" i="30"/>
  <c r="E59" i="30"/>
  <c r="E63" i="79"/>
  <c r="C62" i="79"/>
  <c r="I5" i="147"/>
  <c r="C60" i="123"/>
  <c r="E61" i="123"/>
  <c r="E64" i="143"/>
  <c r="C63" i="143"/>
  <c r="E62" i="129"/>
  <c r="C61" i="129"/>
  <c r="DS62" i="2"/>
  <c r="AI64" i="2"/>
  <c r="I6" i="103"/>
  <c r="E63" i="140"/>
  <c r="C62" i="140"/>
  <c r="I5" i="148"/>
  <c r="C63" i="7"/>
  <c r="EO63" i="2" s="1"/>
  <c r="E64" i="7"/>
  <c r="AT64" i="1"/>
  <c r="I7" i="68"/>
  <c r="BQ65" i="1"/>
  <c r="I7" i="99"/>
  <c r="BF65" i="2"/>
  <c r="HZ64" i="2"/>
  <c r="I6" i="76"/>
  <c r="I7" i="63"/>
  <c r="E63" i="108"/>
  <c r="C62" i="108"/>
  <c r="E62" i="16"/>
  <c r="C61" i="16"/>
  <c r="I7" i="28"/>
  <c r="GR64" i="2"/>
  <c r="I7" i="72"/>
  <c r="I7" i="173"/>
  <c r="E62" i="67"/>
  <c r="C61" i="67"/>
  <c r="C60" i="171"/>
  <c r="E61" i="171"/>
  <c r="C62" i="80"/>
  <c r="E63" i="80"/>
  <c r="E59" i="87"/>
  <c r="C58" i="87"/>
  <c r="I6" i="111"/>
  <c r="C61" i="60"/>
  <c r="E62" i="60"/>
  <c r="HO65" i="2"/>
  <c r="EE65" i="2"/>
  <c r="C60" i="73"/>
  <c r="E61" i="73"/>
  <c r="I5" i="90"/>
  <c r="E61" i="37"/>
  <c r="C60" i="37"/>
  <c r="I7" i="66"/>
  <c r="N65" i="1"/>
  <c r="I8" i="156"/>
  <c r="I8" i="128"/>
  <c r="I6" i="123"/>
  <c r="I6" i="154"/>
  <c r="I5" i="100"/>
  <c r="I10" i="134"/>
  <c r="C61" i="161"/>
  <c r="E62" i="161"/>
  <c r="HD65" i="2"/>
  <c r="I5" i="120"/>
  <c r="E64" i="53"/>
  <c r="C63" i="53"/>
  <c r="E63" i="169"/>
  <c r="C62" i="169"/>
  <c r="HY63" i="2"/>
  <c r="I5" i="65"/>
  <c r="I8" i="77"/>
  <c r="C62" i="77"/>
  <c r="E63" i="77"/>
  <c r="I5" i="17"/>
  <c r="BF64" i="2"/>
  <c r="AJ65" i="1"/>
  <c r="I5" i="112"/>
  <c r="I9" i="42"/>
  <c r="CX64" i="2"/>
  <c r="CB65" i="2"/>
  <c r="I6" i="126"/>
  <c r="E62" i="9"/>
  <c r="C61" i="9"/>
  <c r="E63" i="15"/>
  <c r="C62" i="15"/>
  <c r="I6" i="97"/>
  <c r="I8" i="9"/>
  <c r="E64" i="8"/>
  <c r="C63" i="8"/>
  <c r="HC64" i="2"/>
  <c r="BP64" i="1"/>
  <c r="C63" i="121"/>
  <c r="AI63" i="2" s="1"/>
  <c r="E64" i="121"/>
  <c r="I10" i="75"/>
  <c r="I6" i="39"/>
  <c r="I9" i="24"/>
  <c r="C61" i="137"/>
  <c r="E62" i="137"/>
  <c r="E64" i="92"/>
  <c r="C63" i="92"/>
  <c r="HN63" i="2" s="1"/>
  <c r="C63" i="109"/>
  <c r="E64" i="109"/>
  <c r="ED64" i="2"/>
  <c r="I6" i="19"/>
  <c r="E61" i="69"/>
  <c r="C60" i="69"/>
  <c r="C61" i="17"/>
  <c r="E62" i="17"/>
  <c r="E62" i="99"/>
  <c r="C61" i="99"/>
  <c r="I6" i="86"/>
  <c r="I6" i="87"/>
  <c r="X64" i="1"/>
  <c r="E61" i="106"/>
  <c r="C60" i="106"/>
  <c r="I7" i="157"/>
  <c r="E64" i="90"/>
  <c r="C63" i="90"/>
  <c r="CL63" i="2" s="1"/>
  <c r="E63" i="21"/>
  <c r="C62" i="21"/>
  <c r="CW63" i="2"/>
  <c r="AI64" i="1"/>
  <c r="E63" i="156" l="1"/>
  <c r="C62" i="156"/>
  <c r="C61" i="149"/>
  <c r="E62" i="149"/>
  <c r="E63" i="130"/>
  <c r="C62" i="130"/>
  <c r="C57" i="98"/>
  <c r="E58" i="98"/>
  <c r="C62" i="74"/>
  <c r="E63" i="74"/>
  <c r="E62" i="61"/>
  <c r="C61" i="61"/>
  <c r="C61" i="59"/>
  <c r="E62" i="59"/>
  <c r="E63" i="150"/>
  <c r="C62" i="150"/>
  <c r="AJ63" i="2"/>
  <c r="HO63" i="2"/>
  <c r="N63" i="2"/>
  <c r="CX62" i="2"/>
  <c r="CM63" i="2"/>
  <c r="EP63" i="2"/>
  <c r="CB63" i="2"/>
  <c r="IV63" i="2"/>
  <c r="I9" i="117"/>
  <c r="E61" i="54"/>
  <c r="C60" i="54"/>
  <c r="C61" i="70"/>
  <c r="E62" i="70"/>
  <c r="E62" i="88"/>
  <c r="C61" i="88"/>
  <c r="I8" i="124"/>
  <c r="DI63" i="2"/>
  <c r="I10" i="14"/>
  <c r="I8" i="63"/>
  <c r="I6" i="147"/>
  <c r="C62" i="12"/>
  <c r="E63" i="12"/>
  <c r="X63" i="2"/>
  <c r="M63" i="1"/>
  <c r="C61" i="132"/>
  <c r="E62" i="132"/>
  <c r="I7" i="87"/>
  <c r="HZ63" i="2"/>
  <c r="C61" i="79"/>
  <c r="E62" i="79"/>
  <c r="E63" i="174"/>
  <c r="C62" i="174"/>
  <c r="I8" i="115"/>
  <c r="C61" i="145"/>
  <c r="E62" i="145"/>
  <c r="I6" i="40"/>
  <c r="E61" i="81"/>
  <c r="C60" i="81"/>
  <c r="I11" i="15"/>
  <c r="E61" i="19"/>
  <c r="C60" i="19"/>
  <c r="C61" i="169"/>
  <c r="E62" i="169"/>
  <c r="C59" i="73"/>
  <c r="E60" i="73"/>
  <c r="I7" i="76"/>
  <c r="E63" i="46"/>
  <c r="C62" i="46"/>
  <c r="I7" i="84"/>
  <c r="E62" i="44"/>
  <c r="C61" i="44"/>
  <c r="C61" i="35"/>
  <c r="E62" i="35"/>
  <c r="E61" i="148"/>
  <c r="C60" i="148"/>
  <c r="E61" i="66"/>
  <c r="C60" i="66"/>
  <c r="E62" i="133"/>
  <c r="C61" i="133"/>
  <c r="DH62" i="2"/>
  <c r="I9" i="9"/>
  <c r="I7" i="86"/>
  <c r="I8" i="10"/>
  <c r="C60" i="135"/>
  <c r="E61" i="135"/>
  <c r="C58" i="160"/>
  <c r="E59" i="160"/>
  <c r="I9" i="89"/>
  <c r="E61" i="68"/>
  <c r="C60" i="68"/>
  <c r="I9" i="98"/>
  <c r="C57" i="146"/>
  <c r="E58" i="146"/>
  <c r="I9" i="107"/>
  <c r="C59" i="26"/>
  <c r="E60" i="26"/>
  <c r="I6" i="65"/>
  <c r="E61" i="99"/>
  <c r="C60" i="99"/>
  <c r="I7" i="97"/>
  <c r="E63" i="53"/>
  <c r="C62" i="53"/>
  <c r="E58" i="30"/>
  <c r="C57" i="30"/>
  <c r="I7" i="88"/>
  <c r="I6" i="160"/>
  <c r="I9" i="29"/>
  <c r="I7" i="54"/>
  <c r="I6" i="110"/>
  <c r="I6" i="36"/>
  <c r="C61" i="122"/>
  <c r="E62" i="122"/>
  <c r="E63" i="91"/>
  <c r="C62" i="91"/>
  <c r="I8" i="25"/>
  <c r="E62" i="31"/>
  <c r="C61" i="31"/>
  <c r="E62" i="97"/>
  <c r="C61" i="97"/>
  <c r="E63" i="100"/>
  <c r="C62" i="100"/>
  <c r="I8" i="30"/>
  <c r="I10" i="22"/>
  <c r="I6" i="120"/>
  <c r="I7" i="53"/>
  <c r="I7" i="33"/>
  <c r="I7" i="49"/>
  <c r="I9" i="164"/>
  <c r="C59" i="159"/>
  <c r="E60" i="159"/>
  <c r="E62" i="33"/>
  <c r="C61" i="33"/>
  <c r="I7" i="57"/>
  <c r="E62" i="101"/>
  <c r="C61" i="101"/>
  <c r="I9" i="150"/>
  <c r="E62" i="162"/>
  <c r="C61" i="162"/>
  <c r="C60" i="17"/>
  <c r="E61" i="17"/>
  <c r="E62" i="15"/>
  <c r="C61" i="15"/>
  <c r="E60" i="85"/>
  <c r="C59" i="85"/>
  <c r="I7" i="67"/>
  <c r="I7" i="121"/>
  <c r="E62" i="147"/>
  <c r="C61" i="147"/>
  <c r="I9" i="48"/>
  <c r="I8" i="23"/>
  <c r="C60" i="139"/>
  <c r="E61" i="139"/>
  <c r="E63" i="155"/>
  <c r="C62" i="155"/>
  <c r="I6" i="43"/>
  <c r="I10" i="27"/>
  <c r="I9" i="122"/>
  <c r="E60" i="69"/>
  <c r="C59" i="69"/>
  <c r="E61" i="60"/>
  <c r="C60" i="60"/>
  <c r="I8" i="99"/>
  <c r="C62" i="93"/>
  <c r="E63" i="93"/>
  <c r="I7" i="161"/>
  <c r="C61" i="78"/>
  <c r="E62" i="78"/>
  <c r="I7" i="155"/>
  <c r="I11" i="145"/>
  <c r="C59" i="39"/>
  <c r="E60" i="39"/>
  <c r="C61" i="142"/>
  <c r="E62" i="142"/>
  <c r="E61" i="9"/>
  <c r="C60" i="9"/>
  <c r="I10" i="94"/>
  <c r="C61" i="76"/>
  <c r="E62" i="76"/>
  <c r="I8" i="37"/>
  <c r="E63" i="49"/>
  <c r="C62" i="49"/>
  <c r="I7" i="151"/>
  <c r="I6" i="81"/>
  <c r="FW64" i="2"/>
  <c r="I7" i="3"/>
  <c r="I7" i="50"/>
  <c r="I8" i="167"/>
  <c r="I7" i="106"/>
  <c r="C61" i="20"/>
  <c r="E62" i="20"/>
  <c r="C59" i="173"/>
  <c r="E60" i="173"/>
  <c r="I9" i="172"/>
  <c r="I7" i="111"/>
  <c r="I6" i="96"/>
  <c r="I6" i="55"/>
  <c r="E63" i="42"/>
  <c r="C62" i="42"/>
  <c r="FV63" i="2"/>
  <c r="I7" i="162"/>
  <c r="I9" i="62"/>
  <c r="C60" i="57"/>
  <c r="E61" i="57"/>
  <c r="I9" i="127"/>
  <c r="I6" i="143"/>
  <c r="E63" i="27"/>
  <c r="C62" i="27"/>
  <c r="I7" i="80"/>
  <c r="I9" i="13"/>
  <c r="AU64" i="2"/>
  <c r="E61" i="126"/>
  <c r="C60" i="126"/>
  <c r="E61" i="103"/>
  <c r="C60" i="103"/>
  <c r="I9" i="136"/>
  <c r="E62" i="89"/>
  <c r="C61" i="89"/>
  <c r="E63" i="28"/>
  <c r="C62" i="28"/>
  <c r="AI62" i="2" s="1"/>
  <c r="I8" i="83"/>
  <c r="I8" i="93"/>
  <c r="E62" i="48"/>
  <c r="C61" i="48"/>
  <c r="I9" i="142"/>
  <c r="I11" i="134"/>
  <c r="AU64" i="1"/>
  <c r="I6" i="45"/>
  <c r="I8" i="92"/>
  <c r="E59" i="43"/>
  <c r="C58" i="43"/>
  <c r="I7" i="138"/>
  <c r="I6" i="130"/>
  <c r="I8" i="113"/>
  <c r="I10" i="79"/>
  <c r="E61" i="112"/>
  <c r="C60" i="112"/>
  <c r="CW61" i="2"/>
  <c r="I7" i="119"/>
  <c r="I9" i="132"/>
  <c r="C62" i="50"/>
  <c r="E63" i="50"/>
  <c r="AT63" i="2"/>
  <c r="E63" i="56"/>
  <c r="C62" i="56"/>
  <c r="E61" i="116"/>
  <c r="C60" i="116"/>
  <c r="E61" i="5"/>
  <c r="C60" i="5"/>
  <c r="E60" i="47"/>
  <c r="C59" i="47"/>
  <c r="C58" i="102"/>
  <c r="E59" i="102"/>
  <c r="I7" i="170"/>
  <c r="C62" i="152"/>
  <c r="E63" i="152"/>
  <c r="E61" i="25"/>
  <c r="C60" i="25"/>
  <c r="I7" i="31"/>
  <c r="E61" i="94"/>
  <c r="C60" i="94"/>
  <c r="C62" i="172"/>
  <c r="E63" i="172"/>
  <c r="IJ63" i="2"/>
  <c r="C59" i="40"/>
  <c r="E60" i="40"/>
  <c r="I11" i="46"/>
  <c r="I7" i="19"/>
  <c r="I7" i="126"/>
  <c r="I7" i="52"/>
  <c r="E63" i="109"/>
  <c r="C62" i="109"/>
  <c r="ED63" i="2"/>
  <c r="E60" i="171"/>
  <c r="C59" i="171"/>
  <c r="C57" i="32"/>
  <c r="E58" i="32"/>
  <c r="I6" i="102"/>
  <c r="E62" i="63"/>
  <c r="C61" i="63"/>
  <c r="E61" i="18"/>
  <c r="C60" i="18"/>
  <c r="E62" i="114"/>
  <c r="C61" i="114"/>
  <c r="C60" i="64"/>
  <c r="E61" i="64"/>
  <c r="I10" i="82"/>
  <c r="I6" i="47"/>
  <c r="E61" i="75"/>
  <c r="C60" i="75"/>
  <c r="E62" i="154"/>
  <c r="C61" i="154"/>
  <c r="IJ62" i="2"/>
  <c r="C60" i="65"/>
  <c r="E61" i="65"/>
  <c r="E61" i="144"/>
  <c r="C60" i="144"/>
  <c r="EE64" i="2"/>
  <c r="C60" i="83"/>
  <c r="E61" i="83"/>
  <c r="C62" i="136"/>
  <c r="E63" i="136"/>
  <c r="E59" i="45"/>
  <c r="C58" i="45"/>
  <c r="I7" i="144"/>
  <c r="I6" i="174"/>
  <c r="I10" i="59"/>
  <c r="I7" i="154"/>
  <c r="I8" i="165"/>
  <c r="C61" i="134"/>
  <c r="E62" i="134"/>
  <c r="EZ62" i="2"/>
  <c r="C58" i="111"/>
  <c r="E59" i="111"/>
  <c r="C59" i="51"/>
  <c r="E60" i="51"/>
  <c r="E62" i="13"/>
  <c r="C61" i="13"/>
  <c r="I7" i="114"/>
  <c r="E60" i="168"/>
  <c r="C59" i="168"/>
  <c r="E60" i="120"/>
  <c r="C59" i="120"/>
  <c r="C62" i="170"/>
  <c r="E63" i="170"/>
  <c r="I7" i="104"/>
  <c r="I8" i="149"/>
  <c r="E62" i="140"/>
  <c r="C61" i="140"/>
  <c r="E62" i="36"/>
  <c r="C61" i="36"/>
  <c r="C58" i="165"/>
  <c r="E59" i="165"/>
  <c r="I11" i="61"/>
  <c r="I6" i="140"/>
  <c r="E61" i="22"/>
  <c r="C60" i="22"/>
  <c r="I7" i="85"/>
  <c r="I11" i="12"/>
  <c r="I11" i="74"/>
  <c r="I6" i="109"/>
  <c r="I6" i="112"/>
  <c r="E60" i="86"/>
  <c r="C59" i="86"/>
  <c r="E61" i="137"/>
  <c r="C60" i="137"/>
  <c r="I7" i="123"/>
  <c r="I8" i="173"/>
  <c r="I7" i="108"/>
  <c r="I7" i="4"/>
  <c r="E62" i="10"/>
  <c r="C61" i="10"/>
  <c r="I11" i="7"/>
  <c r="E62" i="96"/>
  <c r="C61" i="96"/>
  <c r="E63" i="3"/>
  <c r="C62" i="3"/>
  <c r="C58" i="34"/>
  <c r="E59" i="34"/>
  <c r="E58" i="87"/>
  <c r="C57" i="87"/>
  <c r="I7" i="103"/>
  <c r="I7" i="70"/>
  <c r="E60" i="115"/>
  <c r="C59" i="115"/>
  <c r="I6" i="141"/>
  <c r="I7" i="21"/>
  <c r="I7" i="73"/>
  <c r="I8" i="44"/>
  <c r="I6" i="125"/>
  <c r="C60" i="118"/>
  <c r="E61" i="118"/>
  <c r="I8" i="72"/>
  <c r="CX63" i="2"/>
  <c r="C60" i="4"/>
  <c r="E61" i="4"/>
  <c r="E60" i="84"/>
  <c r="C59" i="84"/>
  <c r="I6" i="58"/>
  <c r="I9" i="16"/>
  <c r="I6" i="105"/>
  <c r="E62" i="95"/>
  <c r="C61" i="95"/>
  <c r="C55" i="82"/>
  <c r="E56" i="82"/>
  <c r="E61" i="128"/>
  <c r="C60" i="128"/>
  <c r="I9" i="128"/>
  <c r="E62" i="21"/>
  <c r="C61" i="21"/>
  <c r="I9" i="156"/>
  <c r="GS64" i="2"/>
  <c r="AJ64" i="2"/>
  <c r="I7" i="169"/>
  <c r="I6" i="34"/>
  <c r="I7" i="153"/>
  <c r="I6" i="95"/>
  <c r="C61" i="71"/>
  <c r="E62" i="71"/>
  <c r="I7" i="137"/>
  <c r="AJ64" i="1"/>
  <c r="I10" i="24"/>
  <c r="I7" i="39"/>
  <c r="I8" i="28"/>
  <c r="DT62" i="2"/>
  <c r="BE63" i="2"/>
  <c r="E63" i="55"/>
  <c r="C62" i="55"/>
  <c r="I10" i="71"/>
  <c r="I6" i="69"/>
  <c r="E62" i="125"/>
  <c r="C61" i="125"/>
  <c r="I8" i="41"/>
  <c r="I6" i="64"/>
  <c r="E63" i="158"/>
  <c r="C62" i="158"/>
  <c r="E59" i="105"/>
  <c r="C58" i="105"/>
  <c r="I6" i="8"/>
  <c r="E62" i="119"/>
  <c r="C61" i="119"/>
  <c r="C59" i="141"/>
  <c r="E60" i="141"/>
  <c r="E60" i="124"/>
  <c r="C59" i="124"/>
  <c r="I8" i="158"/>
  <c r="E58" i="166"/>
  <c r="C57" i="166"/>
  <c r="I6" i="35"/>
  <c r="I6" i="100"/>
  <c r="E63" i="7"/>
  <c r="C62" i="7"/>
  <c r="AT63" i="1"/>
  <c r="BQ64" i="2"/>
  <c r="E61" i="16"/>
  <c r="C60" i="16"/>
  <c r="E63" i="52"/>
  <c r="C62" i="52"/>
  <c r="BP63" i="2"/>
  <c r="E62" i="41"/>
  <c r="C61" i="41"/>
  <c r="I7" i="168"/>
  <c r="I6" i="166"/>
  <c r="I8" i="60"/>
  <c r="E63" i="143"/>
  <c r="C62" i="143"/>
  <c r="I9" i="152"/>
  <c r="E60" i="72"/>
  <c r="C59" i="72"/>
  <c r="I6" i="171"/>
  <c r="I9" i="78"/>
  <c r="E61" i="167"/>
  <c r="C60" i="167"/>
  <c r="I9" i="26"/>
  <c r="I7" i="131"/>
  <c r="I10" i="32"/>
  <c r="C60" i="104"/>
  <c r="E61" i="104"/>
  <c r="C60" i="113"/>
  <c r="E61" i="113"/>
  <c r="E60" i="62"/>
  <c r="C59" i="62"/>
  <c r="I6" i="163"/>
  <c r="E63" i="107"/>
  <c r="C62" i="107"/>
  <c r="I9" i="51"/>
  <c r="I8" i="129"/>
  <c r="E62" i="80"/>
  <c r="C61" i="80"/>
  <c r="C62" i="92"/>
  <c r="E63" i="92"/>
  <c r="E62" i="108"/>
  <c r="C61" i="108"/>
  <c r="E61" i="11"/>
  <c r="C60" i="11"/>
  <c r="I7" i="56"/>
  <c r="I9" i="135"/>
  <c r="I6" i="17"/>
  <c r="E63" i="121"/>
  <c r="C62" i="121"/>
  <c r="E62" i="153"/>
  <c r="C61" i="153"/>
  <c r="C59" i="106"/>
  <c r="E60" i="106"/>
  <c r="BQ64" i="1"/>
  <c r="I9" i="77"/>
  <c r="E60" i="37"/>
  <c r="C59" i="37"/>
  <c r="N64" i="1"/>
  <c r="I8" i="159"/>
  <c r="I11" i="133"/>
  <c r="E59" i="131"/>
  <c r="C58" i="131"/>
  <c r="I6" i="11"/>
  <c r="CB64" i="1"/>
  <c r="E62" i="164"/>
  <c r="C61" i="164"/>
  <c r="E60" i="127"/>
  <c r="C59" i="127"/>
  <c r="I8" i="139"/>
  <c r="E63" i="58"/>
  <c r="C62" i="58"/>
  <c r="C60" i="161"/>
  <c r="E61" i="161"/>
  <c r="I8" i="68"/>
  <c r="C60" i="67"/>
  <c r="E61" i="67"/>
  <c r="I6" i="148"/>
  <c r="FA63" i="2"/>
  <c r="C62" i="90"/>
  <c r="CL62" i="2" s="1"/>
  <c r="E63" i="90"/>
  <c r="E61" i="129"/>
  <c r="C60" i="129"/>
  <c r="DS61" i="2"/>
  <c r="C61" i="117"/>
  <c r="E62" i="117"/>
  <c r="C61" i="151"/>
  <c r="E62" i="151"/>
  <c r="I11" i="75"/>
  <c r="I8" i="66"/>
  <c r="I8" i="157"/>
  <c r="E62" i="77"/>
  <c r="C61" i="77"/>
  <c r="HD64" i="2"/>
  <c r="AI63" i="1"/>
  <c r="C59" i="123"/>
  <c r="E60" i="123"/>
  <c r="Y64" i="2"/>
  <c r="I6" i="146"/>
  <c r="I6" i="38"/>
  <c r="I8" i="118"/>
  <c r="E58" i="157"/>
  <c r="C57" i="157"/>
  <c r="E63" i="6"/>
  <c r="C62" i="6"/>
  <c r="IU62" i="2" s="1"/>
  <c r="CA63" i="1"/>
  <c r="I8" i="18"/>
  <c r="E63" i="29"/>
  <c r="C62" i="29"/>
  <c r="X63" i="1"/>
  <c r="E62" i="38"/>
  <c r="C61" i="38"/>
  <c r="I10" i="42"/>
  <c r="Y64" i="1"/>
  <c r="HC63" i="2"/>
  <c r="E63" i="8"/>
  <c r="C62" i="8"/>
  <c r="BP63" i="1"/>
  <c r="I6" i="90"/>
  <c r="E60" i="163"/>
  <c r="C59" i="163"/>
  <c r="I7" i="116"/>
  <c r="CM64" i="2"/>
  <c r="E61" i="110"/>
  <c r="C60" i="110"/>
  <c r="I9" i="101"/>
  <c r="I7" i="20"/>
  <c r="FK63" i="2"/>
  <c r="C62" i="14"/>
  <c r="E63" i="14"/>
  <c r="GR63" i="2"/>
  <c r="I7" i="5"/>
  <c r="I6" i="91"/>
  <c r="C57" i="138"/>
  <c r="E58" i="138"/>
  <c r="C61" i="23"/>
  <c r="E62" i="23"/>
  <c r="C61" i="156" l="1"/>
  <c r="E62" i="156"/>
  <c r="E61" i="149"/>
  <c r="C60" i="149"/>
  <c r="C61" i="130"/>
  <c r="E62" i="130"/>
  <c r="E57" i="98"/>
  <c r="C56" i="98"/>
  <c r="E62" i="74"/>
  <c r="C61" i="74"/>
  <c r="C60" i="61"/>
  <c r="E61" i="61"/>
  <c r="C60" i="59"/>
  <c r="E61" i="59"/>
  <c r="C61" i="150"/>
  <c r="E62" i="150"/>
  <c r="AJ62" i="2"/>
  <c r="CM62" i="2"/>
  <c r="IV62" i="2"/>
  <c r="C59" i="103"/>
  <c r="E60" i="103"/>
  <c r="I10" i="172"/>
  <c r="E61" i="147"/>
  <c r="C60" i="147"/>
  <c r="I8" i="33"/>
  <c r="I8" i="54"/>
  <c r="E61" i="169"/>
  <c r="C60" i="169"/>
  <c r="FL63" i="2"/>
  <c r="I7" i="166"/>
  <c r="I9" i="165"/>
  <c r="C61" i="121"/>
  <c r="E62" i="121"/>
  <c r="I8" i="131"/>
  <c r="E60" i="118"/>
  <c r="C59" i="118"/>
  <c r="I8" i="4"/>
  <c r="C60" i="140"/>
  <c r="E61" i="140"/>
  <c r="I7" i="174"/>
  <c r="E59" i="39"/>
  <c r="C58" i="39"/>
  <c r="E60" i="19"/>
  <c r="C59" i="19"/>
  <c r="E59" i="115"/>
  <c r="C58" i="115"/>
  <c r="I10" i="77"/>
  <c r="I8" i="119"/>
  <c r="I10" i="101"/>
  <c r="I9" i="118"/>
  <c r="I8" i="116"/>
  <c r="C58" i="163"/>
  <c r="E59" i="163"/>
  <c r="C59" i="161"/>
  <c r="E60" i="161"/>
  <c r="E59" i="123"/>
  <c r="C58" i="123"/>
  <c r="C61" i="58"/>
  <c r="E62" i="58"/>
  <c r="AU63" i="1"/>
  <c r="I8" i="108"/>
  <c r="E61" i="63"/>
  <c r="C60" i="63"/>
  <c r="C61" i="152"/>
  <c r="M61" i="2" s="1"/>
  <c r="E62" i="152"/>
  <c r="I9" i="113"/>
  <c r="E60" i="126"/>
  <c r="C59" i="126"/>
  <c r="E58" i="160"/>
  <c r="C57" i="160"/>
  <c r="I7" i="105"/>
  <c r="E62" i="172"/>
  <c r="C61" i="172"/>
  <c r="I11" i="71"/>
  <c r="AJ63" i="1"/>
  <c r="I7" i="17"/>
  <c r="I10" i="26"/>
  <c r="E62" i="7"/>
  <c r="C61" i="7"/>
  <c r="AT62" i="1"/>
  <c r="E62" i="55"/>
  <c r="C61" i="55"/>
  <c r="I7" i="125"/>
  <c r="I8" i="144"/>
  <c r="C58" i="173"/>
  <c r="E59" i="173"/>
  <c r="I12" i="145"/>
  <c r="I8" i="121"/>
  <c r="I8" i="53"/>
  <c r="I10" i="29"/>
  <c r="I12" i="15"/>
  <c r="I9" i="124"/>
  <c r="I9" i="158"/>
  <c r="I7" i="91"/>
  <c r="E61" i="38"/>
  <c r="C60" i="38"/>
  <c r="E61" i="151"/>
  <c r="C60" i="151"/>
  <c r="E60" i="129"/>
  <c r="C59" i="129"/>
  <c r="DS60" i="2"/>
  <c r="E62" i="90"/>
  <c r="C61" i="90"/>
  <c r="I7" i="163"/>
  <c r="I7" i="64"/>
  <c r="C59" i="167"/>
  <c r="E60" i="167"/>
  <c r="I10" i="156"/>
  <c r="I9" i="149"/>
  <c r="E58" i="45"/>
  <c r="C57" i="45"/>
  <c r="I7" i="102"/>
  <c r="I8" i="170"/>
  <c r="I7" i="130"/>
  <c r="E60" i="135"/>
  <c r="C59" i="135"/>
  <c r="E60" i="110"/>
  <c r="C59" i="110"/>
  <c r="I7" i="38"/>
  <c r="E60" i="67"/>
  <c r="C59" i="67"/>
  <c r="E59" i="106"/>
  <c r="C58" i="106"/>
  <c r="I7" i="90"/>
  <c r="I9" i="139"/>
  <c r="BQ63" i="1"/>
  <c r="I10" i="135"/>
  <c r="I7" i="100"/>
  <c r="BF63" i="2"/>
  <c r="C60" i="21"/>
  <c r="E61" i="21"/>
  <c r="I9" i="44"/>
  <c r="I9" i="173"/>
  <c r="I8" i="104"/>
  <c r="E61" i="20"/>
  <c r="C60" i="20"/>
  <c r="I8" i="155"/>
  <c r="I8" i="67"/>
  <c r="I7" i="120"/>
  <c r="I7" i="160"/>
  <c r="E60" i="81"/>
  <c r="C59" i="81"/>
  <c r="FK62" i="2"/>
  <c r="AI62" i="1"/>
  <c r="I8" i="73"/>
  <c r="I8" i="123"/>
  <c r="I8" i="138"/>
  <c r="C58" i="85"/>
  <c r="E59" i="85"/>
  <c r="I9" i="10"/>
  <c r="E61" i="88"/>
  <c r="C60" i="88"/>
  <c r="I9" i="18"/>
  <c r="CB63" i="1"/>
  <c r="E62" i="8"/>
  <c r="C61" i="8"/>
  <c r="HC62" i="2"/>
  <c r="BP62" i="1"/>
  <c r="E61" i="77"/>
  <c r="C60" i="77"/>
  <c r="C58" i="127"/>
  <c r="E59" i="127"/>
  <c r="I10" i="78"/>
  <c r="I7" i="35"/>
  <c r="I10" i="128"/>
  <c r="C61" i="136"/>
  <c r="E62" i="136"/>
  <c r="E57" i="32"/>
  <c r="C56" i="32"/>
  <c r="E58" i="43"/>
  <c r="C57" i="43"/>
  <c r="I10" i="13"/>
  <c r="I8" i="106"/>
  <c r="C60" i="78"/>
  <c r="E61" i="78"/>
  <c r="I11" i="22"/>
  <c r="I8" i="88"/>
  <c r="I7" i="40"/>
  <c r="HD63" i="2"/>
  <c r="E61" i="164"/>
  <c r="C60" i="164"/>
  <c r="E60" i="11"/>
  <c r="C59" i="11"/>
  <c r="I7" i="171"/>
  <c r="E60" i="137"/>
  <c r="C59" i="137"/>
  <c r="E62" i="170"/>
  <c r="C61" i="170"/>
  <c r="C58" i="171"/>
  <c r="E59" i="171"/>
  <c r="I9" i="167"/>
  <c r="E61" i="15"/>
  <c r="C60" i="15"/>
  <c r="E57" i="30"/>
  <c r="C56" i="30"/>
  <c r="I8" i="86"/>
  <c r="I8" i="56"/>
  <c r="I9" i="157"/>
  <c r="C60" i="23"/>
  <c r="E61" i="23"/>
  <c r="E57" i="166"/>
  <c r="C56" i="166"/>
  <c r="E60" i="128"/>
  <c r="C59" i="128"/>
  <c r="I8" i="21"/>
  <c r="E59" i="120"/>
  <c r="C58" i="120"/>
  <c r="C57" i="102"/>
  <c r="E58" i="102"/>
  <c r="I8" i="80"/>
  <c r="I8" i="161"/>
  <c r="I9" i="30"/>
  <c r="I10" i="9"/>
  <c r="C60" i="70"/>
  <c r="E61" i="70"/>
  <c r="E59" i="72"/>
  <c r="C58" i="72"/>
  <c r="I9" i="28"/>
  <c r="E59" i="86"/>
  <c r="C58" i="86"/>
  <c r="C59" i="83"/>
  <c r="E60" i="83"/>
  <c r="EE63" i="2"/>
  <c r="E59" i="47"/>
  <c r="C58" i="47"/>
  <c r="I9" i="92"/>
  <c r="C61" i="27"/>
  <c r="IJ61" i="2" s="1"/>
  <c r="E62" i="27"/>
  <c r="I8" i="50"/>
  <c r="C61" i="100"/>
  <c r="E62" i="100"/>
  <c r="C61" i="53"/>
  <c r="E62" i="53"/>
  <c r="E61" i="145"/>
  <c r="C60" i="145"/>
  <c r="E60" i="54"/>
  <c r="C59" i="54"/>
  <c r="I9" i="66"/>
  <c r="I8" i="39"/>
  <c r="I7" i="141"/>
  <c r="E59" i="168"/>
  <c r="C58" i="168"/>
  <c r="E62" i="109"/>
  <c r="C61" i="109"/>
  <c r="ED62" i="2"/>
  <c r="E62" i="93"/>
  <c r="C61" i="93"/>
  <c r="E60" i="17"/>
  <c r="C59" i="17"/>
  <c r="DI62" i="2"/>
  <c r="I9" i="115"/>
  <c r="C59" i="5"/>
  <c r="E60" i="5"/>
  <c r="I7" i="45"/>
  <c r="I9" i="99"/>
  <c r="I8" i="97"/>
  <c r="C60" i="133"/>
  <c r="E61" i="133"/>
  <c r="DH61" i="2"/>
  <c r="E59" i="124"/>
  <c r="C58" i="124"/>
  <c r="I8" i="114"/>
  <c r="E60" i="144"/>
  <c r="C59" i="144"/>
  <c r="I8" i="52"/>
  <c r="I7" i="143"/>
  <c r="I8" i="3"/>
  <c r="E62" i="174"/>
  <c r="C61" i="174"/>
  <c r="HY61" i="2" s="1"/>
  <c r="I10" i="117"/>
  <c r="I7" i="11"/>
  <c r="E62" i="92"/>
  <c r="C61" i="92"/>
  <c r="I7" i="112"/>
  <c r="E58" i="131"/>
  <c r="C57" i="131"/>
  <c r="E61" i="80"/>
  <c r="C60" i="80"/>
  <c r="E62" i="143"/>
  <c r="C61" i="143"/>
  <c r="I11" i="24"/>
  <c r="I8" i="70"/>
  <c r="I7" i="109"/>
  <c r="C59" i="60"/>
  <c r="E60" i="60"/>
  <c r="C60" i="162"/>
  <c r="E61" i="162"/>
  <c r="EO62" i="2"/>
  <c r="E60" i="99"/>
  <c r="C59" i="99"/>
  <c r="C59" i="66"/>
  <c r="E60" i="66"/>
  <c r="I10" i="152"/>
  <c r="E55" i="82"/>
  <c r="C54" i="82"/>
  <c r="C60" i="13"/>
  <c r="E61" i="13"/>
  <c r="I8" i="126"/>
  <c r="E60" i="116"/>
  <c r="C59" i="116"/>
  <c r="I12" i="134"/>
  <c r="I10" i="127"/>
  <c r="E61" i="97"/>
  <c r="C60" i="97"/>
  <c r="EO61" i="2"/>
  <c r="E62" i="29"/>
  <c r="C61" i="29"/>
  <c r="X62" i="1"/>
  <c r="I9" i="129"/>
  <c r="C58" i="141"/>
  <c r="E59" i="141"/>
  <c r="I8" i="103"/>
  <c r="I12" i="74"/>
  <c r="E60" i="65"/>
  <c r="C59" i="65"/>
  <c r="I7" i="81"/>
  <c r="C58" i="69"/>
  <c r="E59" i="69"/>
  <c r="E60" i="148"/>
  <c r="C59" i="148"/>
  <c r="E61" i="79"/>
  <c r="C60" i="79"/>
  <c r="C60" i="117"/>
  <c r="E61" i="117"/>
  <c r="I12" i="133"/>
  <c r="E61" i="119"/>
  <c r="C60" i="119"/>
  <c r="I8" i="137"/>
  <c r="IK62" i="2"/>
  <c r="I8" i="19"/>
  <c r="E62" i="56"/>
  <c r="C61" i="56"/>
  <c r="C59" i="57"/>
  <c r="E60" i="57"/>
  <c r="I10" i="150"/>
  <c r="CA62" i="2"/>
  <c r="I7" i="65"/>
  <c r="C60" i="108"/>
  <c r="E61" i="108"/>
  <c r="DT61" i="2"/>
  <c r="E57" i="87"/>
  <c r="C56" i="87"/>
  <c r="E59" i="51"/>
  <c r="C58" i="51"/>
  <c r="C60" i="154"/>
  <c r="E61" i="154"/>
  <c r="I10" i="142"/>
  <c r="I8" i="151"/>
  <c r="E61" i="101"/>
  <c r="C60" i="101"/>
  <c r="C60" i="31"/>
  <c r="E61" i="31"/>
  <c r="CA61" i="2"/>
  <c r="C61" i="14"/>
  <c r="E62" i="14"/>
  <c r="I10" i="51"/>
  <c r="I9" i="60"/>
  <c r="I12" i="12"/>
  <c r="AU63" i="2"/>
  <c r="C60" i="48"/>
  <c r="E61" i="48"/>
  <c r="I10" i="62"/>
  <c r="I10" i="122"/>
  <c r="E59" i="26"/>
  <c r="C58" i="26"/>
  <c r="C60" i="35"/>
  <c r="E61" i="35"/>
  <c r="I8" i="87"/>
  <c r="I10" i="16"/>
  <c r="E58" i="111"/>
  <c r="C57" i="111"/>
  <c r="E60" i="75"/>
  <c r="C59" i="75"/>
  <c r="I12" i="46"/>
  <c r="I8" i="162"/>
  <c r="E62" i="49"/>
  <c r="C61" i="49"/>
  <c r="I11" i="27"/>
  <c r="I8" i="57"/>
  <c r="I10" i="107"/>
  <c r="E61" i="44"/>
  <c r="C60" i="44"/>
  <c r="E62" i="6"/>
  <c r="C61" i="6"/>
  <c r="IU61" i="2" s="1"/>
  <c r="CA62" i="1"/>
  <c r="C57" i="105"/>
  <c r="E58" i="105"/>
  <c r="C57" i="34"/>
  <c r="E58" i="34"/>
  <c r="I8" i="85"/>
  <c r="FA62" i="2"/>
  <c r="E62" i="50"/>
  <c r="C61" i="50"/>
  <c r="AT62" i="2"/>
  <c r="I9" i="93"/>
  <c r="I9" i="25"/>
  <c r="I9" i="159"/>
  <c r="C58" i="37"/>
  <c r="E59" i="37"/>
  <c r="C60" i="71"/>
  <c r="E61" i="71"/>
  <c r="I7" i="58"/>
  <c r="C61" i="3"/>
  <c r="E62" i="3"/>
  <c r="E60" i="22"/>
  <c r="C59" i="22"/>
  <c r="I7" i="47"/>
  <c r="FW63" i="2"/>
  <c r="M62" i="2"/>
  <c r="E62" i="91"/>
  <c r="C61" i="91"/>
  <c r="E61" i="132"/>
  <c r="C60" i="132"/>
  <c r="E59" i="84"/>
  <c r="C58" i="84"/>
  <c r="E61" i="134"/>
  <c r="C60" i="134"/>
  <c r="EZ61" i="2"/>
  <c r="E59" i="40"/>
  <c r="C58" i="40"/>
  <c r="I10" i="132"/>
  <c r="I9" i="83"/>
  <c r="C61" i="42"/>
  <c r="E62" i="42"/>
  <c r="FV62" i="2"/>
  <c r="I9" i="37"/>
  <c r="I7" i="43"/>
  <c r="E61" i="33"/>
  <c r="C60" i="33"/>
  <c r="I8" i="84"/>
  <c r="N63" i="1"/>
  <c r="C61" i="158"/>
  <c r="E62" i="158"/>
  <c r="I8" i="20"/>
  <c r="E59" i="62"/>
  <c r="C58" i="62"/>
  <c r="BE62" i="2"/>
  <c r="I7" i="95"/>
  <c r="IK63" i="2"/>
  <c r="C61" i="155"/>
  <c r="E62" i="155"/>
  <c r="E62" i="46"/>
  <c r="C61" i="46"/>
  <c r="Y63" i="2"/>
  <c r="GS63" i="2"/>
  <c r="E62" i="28"/>
  <c r="C61" i="28"/>
  <c r="E61" i="76"/>
  <c r="C60" i="76"/>
  <c r="C56" i="146"/>
  <c r="E57" i="146"/>
  <c r="E62" i="107"/>
  <c r="C61" i="107"/>
  <c r="I7" i="8"/>
  <c r="I7" i="140"/>
  <c r="C60" i="96"/>
  <c r="E61" i="96"/>
  <c r="CX61" i="2"/>
  <c r="I7" i="55"/>
  <c r="I10" i="98"/>
  <c r="I8" i="76"/>
  <c r="E62" i="12"/>
  <c r="C61" i="12"/>
  <c r="X62" i="2"/>
  <c r="M62" i="1"/>
  <c r="I12" i="75"/>
  <c r="I8" i="5"/>
  <c r="C60" i="95"/>
  <c r="E61" i="95"/>
  <c r="I11" i="82"/>
  <c r="E60" i="113"/>
  <c r="C59" i="113"/>
  <c r="BQ63" i="2"/>
  <c r="I7" i="34"/>
  <c r="E60" i="4"/>
  <c r="C59" i="4"/>
  <c r="I12" i="61"/>
  <c r="I8" i="154"/>
  <c r="E60" i="64"/>
  <c r="C59" i="64"/>
  <c r="E60" i="94"/>
  <c r="C59" i="94"/>
  <c r="C59" i="112"/>
  <c r="E60" i="112"/>
  <c r="CW60" i="2"/>
  <c r="HN62" i="2"/>
  <c r="I11" i="94"/>
  <c r="C59" i="139"/>
  <c r="E60" i="139"/>
  <c r="E59" i="159"/>
  <c r="C58" i="159"/>
  <c r="E61" i="122"/>
  <c r="C60" i="122"/>
  <c r="GR62" i="2"/>
  <c r="I8" i="153"/>
  <c r="E62" i="52"/>
  <c r="C61" i="52"/>
  <c r="BP62" i="2"/>
  <c r="I9" i="41"/>
  <c r="I12" i="7"/>
  <c r="C60" i="114"/>
  <c r="E61" i="114"/>
  <c r="C60" i="89"/>
  <c r="E61" i="89"/>
  <c r="HN61" i="2"/>
  <c r="I7" i="96"/>
  <c r="E60" i="9"/>
  <c r="C59" i="9"/>
  <c r="I9" i="23"/>
  <c r="E60" i="68"/>
  <c r="C59" i="68"/>
  <c r="I7" i="147"/>
  <c r="E61" i="125"/>
  <c r="C60" i="125"/>
  <c r="I8" i="169"/>
  <c r="E58" i="165"/>
  <c r="C57" i="165"/>
  <c r="I8" i="111"/>
  <c r="I10" i="164"/>
  <c r="I7" i="36"/>
  <c r="C58" i="73"/>
  <c r="E59" i="73"/>
  <c r="I11" i="42"/>
  <c r="E57" i="138"/>
  <c r="C56" i="138"/>
  <c r="Y63" i="1"/>
  <c r="C56" i="157"/>
  <c r="E57" i="157"/>
  <c r="I8" i="168"/>
  <c r="I7" i="148"/>
  <c r="E60" i="104"/>
  <c r="C59" i="104"/>
  <c r="I7" i="146"/>
  <c r="I9" i="68"/>
  <c r="E61" i="153"/>
  <c r="C60" i="153"/>
  <c r="C59" i="16"/>
  <c r="E60" i="16"/>
  <c r="C60" i="10"/>
  <c r="E61" i="10"/>
  <c r="E61" i="36"/>
  <c r="C60" i="36"/>
  <c r="I8" i="31"/>
  <c r="I10" i="136"/>
  <c r="I7" i="110"/>
  <c r="HY62" i="2"/>
  <c r="I9" i="63"/>
  <c r="E61" i="41"/>
  <c r="C60" i="41"/>
  <c r="BE61" i="2"/>
  <c r="I11" i="32"/>
  <c r="I7" i="69"/>
  <c r="I9" i="72"/>
  <c r="I11" i="59"/>
  <c r="E60" i="18"/>
  <c r="C59" i="18"/>
  <c r="C59" i="25"/>
  <c r="E60" i="25"/>
  <c r="I11" i="79"/>
  <c r="C60" i="142"/>
  <c r="E61" i="142"/>
  <c r="I10" i="48"/>
  <c r="I8" i="49"/>
  <c r="I10" i="89"/>
  <c r="I11" i="14"/>
  <c r="C60" i="156" l="1"/>
  <c r="E61" i="156"/>
  <c r="E60" i="149"/>
  <c r="C59" i="149"/>
  <c r="C60" i="130"/>
  <c r="E61" i="130"/>
  <c r="E56" i="98"/>
  <c r="C55" i="98"/>
  <c r="E61" i="74"/>
  <c r="C60" i="74"/>
  <c r="E60" i="61"/>
  <c r="C59" i="61"/>
  <c r="C59" i="59"/>
  <c r="E60" i="59"/>
  <c r="E61" i="150"/>
  <c r="C60" i="150"/>
  <c r="IK61" i="2"/>
  <c r="HZ61" i="2"/>
  <c r="CX60" i="2"/>
  <c r="I9" i="76"/>
  <c r="I10" i="159"/>
  <c r="I13" i="46"/>
  <c r="CB61" i="2"/>
  <c r="EP61" i="2"/>
  <c r="I10" i="66"/>
  <c r="I11" i="9"/>
  <c r="C57" i="171"/>
  <c r="E58" i="171"/>
  <c r="I11" i="128"/>
  <c r="I10" i="139"/>
  <c r="C58" i="118"/>
  <c r="E59" i="118"/>
  <c r="C59" i="97"/>
  <c r="E60" i="97"/>
  <c r="C60" i="143"/>
  <c r="E61" i="143"/>
  <c r="DI61" i="2"/>
  <c r="C60" i="170"/>
  <c r="E61" i="170"/>
  <c r="AJ62" i="1"/>
  <c r="DT60" i="2"/>
  <c r="AU62" i="1"/>
  <c r="C60" i="58"/>
  <c r="E61" i="58"/>
  <c r="I9" i="168"/>
  <c r="I10" i="23"/>
  <c r="E58" i="40"/>
  <c r="C57" i="40"/>
  <c r="I12" i="32"/>
  <c r="E59" i="112"/>
  <c r="C58" i="112"/>
  <c r="E61" i="155"/>
  <c r="C60" i="155"/>
  <c r="I10" i="25"/>
  <c r="C58" i="75"/>
  <c r="E59" i="75"/>
  <c r="C59" i="31"/>
  <c r="E60" i="31"/>
  <c r="I9" i="137"/>
  <c r="E59" i="54"/>
  <c r="C58" i="54"/>
  <c r="I10" i="30"/>
  <c r="I8" i="35"/>
  <c r="FL62" i="2"/>
  <c r="I8" i="90"/>
  <c r="C58" i="129"/>
  <c r="E59" i="129"/>
  <c r="DS59" i="2"/>
  <c r="E61" i="7"/>
  <c r="C60" i="7"/>
  <c r="AT61" i="1"/>
  <c r="E58" i="123"/>
  <c r="C57" i="123"/>
  <c r="I9" i="131"/>
  <c r="C59" i="101"/>
  <c r="E60" i="101"/>
  <c r="C59" i="119"/>
  <c r="E60" i="119"/>
  <c r="C59" i="80"/>
  <c r="E60" i="80"/>
  <c r="C59" i="133"/>
  <c r="E60" i="133"/>
  <c r="DH60" i="2"/>
  <c r="E59" i="137"/>
  <c r="C58" i="137"/>
  <c r="I11" i="78"/>
  <c r="C58" i="81"/>
  <c r="E59" i="81"/>
  <c r="E58" i="106"/>
  <c r="C57" i="106"/>
  <c r="I11" i="127"/>
  <c r="C59" i="145"/>
  <c r="E60" i="145"/>
  <c r="I9" i="161"/>
  <c r="C59" i="151"/>
  <c r="E60" i="151"/>
  <c r="BF61" i="2"/>
  <c r="E59" i="94"/>
  <c r="C58" i="94"/>
  <c r="C58" i="64"/>
  <c r="E59" i="64"/>
  <c r="AU62" i="2"/>
  <c r="I13" i="133"/>
  <c r="E57" i="131"/>
  <c r="C56" i="131"/>
  <c r="I9" i="97"/>
  <c r="I9" i="80"/>
  <c r="I8" i="171"/>
  <c r="I8" i="160"/>
  <c r="E59" i="67"/>
  <c r="C58" i="67"/>
  <c r="I11" i="26"/>
  <c r="E61" i="121"/>
  <c r="C60" i="121"/>
  <c r="E61" i="50"/>
  <c r="C60" i="50"/>
  <c r="AT61" i="2"/>
  <c r="I9" i="151"/>
  <c r="I13" i="134"/>
  <c r="C57" i="127"/>
  <c r="E58" i="127"/>
  <c r="E60" i="38"/>
  <c r="C59" i="38"/>
  <c r="E59" i="161"/>
  <c r="C58" i="161"/>
  <c r="I10" i="165"/>
  <c r="I8" i="95"/>
  <c r="E56" i="138"/>
  <c r="C55" i="138"/>
  <c r="I11" i="16"/>
  <c r="E59" i="116"/>
  <c r="C58" i="116"/>
  <c r="E61" i="53"/>
  <c r="C60" i="53"/>
  <c r="E59" i="11"/>
  <c r="C58" i="11"/>
  <c r="C59" i="77"/>
  <c r="E60" i="77"/>
  <c r="I8" i="17"/>
  <c r="HO61" i="2"/>
  <c r="BF62" i="2"/>
  <c r="HZ62" i="2"/>
  <c r="I9" i="154"/>
  <c r="C57" i="62"/>
  <c r="E58" i="62"/>
  <c r="E60" i="132"/>
  <c r="C59" i="132"/>
  <c r="I11" i="142"/>
  <c r="E60" i="117"/>
  <c r="C59" i="117"/>
  <c r="I8" i="112"/>
  <c r="E57" i="102"/>
  <c r="C56" i="102"/>
  <c r="I8" i="120"/>
  <c r="I8" i="38"/>
  <c r="C57" i="163"/>
  <c r="E58" i="163"/>
  <c r="I8" i="166"/>
  <c r="E58" i="84"/>
  <c r="C57" i="84"/>
  <c r="I8" i="110"/>
  <c r="I12" i="42"/>
  <c r="C59" i="89"/>
  <c r="E60" i="89"/>
  <c r="E60" i="96"/>
  <c r="C59" i="96"/>
  <c r="I9" i="87"/>
  <c r="E60" i="79"/>
  <c r="C59" i="79"/>
  <c r="C60" i="92"/>
  <c r="E61" i="92"/>
  <c r="I10" i="99"/>
  <c r="E61" i="100"/>
  <c r="C60" i="100"/>
  <c r="C57" i="120"/>
  <c r="E58" i="120"/>
  <c r="C59" i="164"/>
  <c r="E60" i="164"/>
  <c r="BQ62" i="1"/>
  <c r="E59" i="110"/>
  <c r="C58" i="110"/>
  <c r="I8" i="91"/>
  <c r="I8" i="69"/>
  <c r="E60" i="41"/>
  <c r="C59" i="41"/>
  <c r="E60" i="134"/>
  <c r="C59" i="134"/>
  <c r="EZ60" i="2"/>
  <c r="I13" i="61"/>
  <c r="I8" i="140"/>
  <c r="I9" i="126"/>
  <c r="I9" i="50"/>
  <c r="HD62" i="2"/>
  <c r="I9" i="67"/>
  <c r="I10" i="158"/>
  <c r="I12" i="71"/>
  <c r="I9" i="116"/>
  <c r="I10" i="93"/>
  <c r="E59" i="148"/>
  <c r="C58" i="148"/>
  <c r="I8" i="45"/>
  <c r="C60" i="8"/>
  <c r="E61" i="8"/>
  <c r="HC61" i="2"/>
  <c r="BP61" i="1"/>
  <c r="I9" i="155"/>
  <c r="C58" i="135"/>
  <c r="E59" i="135"/>
  <c r="C58" i="9"/>
  <c r="E59" i="9"/>
  <c r="I11" i="98"/>
  <c r="I8" i="55"/>
  <c r="E57" i="111"/>
  <c r="C56" i="111"/>
  <c r="C59" i="35"/>
  <c r="E60" i="35"/>
  <c r="C59" i="154"/>
  <c r="E60" i="154"/>
  <c r="I11" i="89"/>
  <c r="E58" i="73"/>
  <c r="C57" i="73"/>
  <c r="E59" i="4"/>
  <c r="C58" i="4"/>
  <c r="C60" i="91"/>
  <c r="E61" i="91"/>
  <c r="E58" i="26"/>
  <c r="C57" i="26"/>
  <c r="E58" i="51"/>
  <c r="C57" i="51"/>
  <c r="E60" i="13"/>
  <c r="C59" i="13"/>
  <c r="I8" i="11"/>
  <c r="I9" i="21"/>
  <c r="E61" i="172"/>
  <c r="C60" i="172"/>
  <c r="I10" i="118"/>
  <c r="C53" i="82"/>
  <c r="E54" i="82"/>
  <c r="E59" i="5"/>
  <c r="C58" i="5"/>
  <c r="E61" i="27"/>
  <c r="C60" i="27"/>
  <c r="C58" i="128"/>
  <c r="E59" i="128"/>
  <c r="E60" i="20"/>
  <c r="C59" i="20"/>
  <c r="I8" i="130"/>
  <c r="I10" i="124"/>
  <c r="I11" i="101"/>
  <c r="C59" i="169"/>
  <c r="E60" i="169"/>
  <c r="HY60" i="2"/>
  <c r="I9" i="20"/>
  <c r="I8" i="8"/>
  <c r="N62" i="2"/>
  <c r="C55" i="87"/>
  <c r="E56" i="87"/>
  <c r="E58" i="69"/>
  <c r="C57" i="69"/>
  <c r="I11" i="117"/>
  <c r="I10" i="92"/>
  <c r="I8" i="40"/>
  <c r="I10" i="63"/>
  <c r="E61" i="174"/>
  <c r="C60" i="174"/>
  <c r="C55" i="166"/>
  <c r="E56" i="166"/>
  <c r="I9" i="88"/>
  <c r="I9" i="104"/>
  <c r="I13" i="15"/>
  <c r="I8" i="105"/>
  <c r="I12" i="14"/>
  <c r="I11" i="136"/>
  <c r="E60" i="114"/>
  <c r="C59" i="114"/>
  <c r="I9" i="49"/>
  <c r="I11" i="48"/>
  <c r="C59" i="36"/>
  <c r="CW59" i="2" s="1"/>
  <c r="E60" i="36"/>
  <c r="BQ62" i="2"/>
  <c r="E61" i="107"/>
  <c r="C60" i="107"/>
  <c r="CB62" i="1"/>
  <c r="I8" i="81"/>
  <c r="I11" i="152"/>
  <c r="I10" i="115"/>
  <c r="C57" i="47"/>
  <c r="E58" i="47"/>
  <c r="I10" i="18"/>
  <c r="I9" i="170"/>
  <c r="I11" i="29"/>
  <c r="I9" i="119"/>
  <c r="I9" i="54"/>
  <c r="E61" i="52"/>
  <c r="C60" i="52"/>
  <c r="BP61" i="2"/>
  <c r="I9" i="84"/>
  <c r="E61" i="6"/>
  <c r="C60" i="6"/>
  <c r="CA61" i="1"/>
  <c r="I11" i="62"/>
  <c r="E59" i="65"/>
  <c r="C58" i="65"/>
  <c r="FK61" i="2"/>
  <c r="I8" i="102"/>
  <c r="C56" i="160"/>
  <c r="E57" i="160"/>
  <c r="C56" i="34"/>
  <c r="E57" i="34"/>
  <c r="I9" i="111"/>
  <c r="E59" i="113"/>
  <c r="C58" i="113"/>
  <c r="N61" i="2"/>
  <c r="I8" i="47"/>
  <c r="C58" i="66"/>
  <c r="E59" i="66"/>
  <c r="C59" i="23"/>
  <c r="E60" i="23"/>
  <c r="I12" i="22"/>
  <c r="E60" i="88"/>
  <c r="C59" i="88"/>
  <c r="I10" i="173"/>
  <c r="I11" i="77"/>
  <c r="I9" i="33"/>
  <c r="E56" i="146"/>
  <c r="C55" i="146"/>
  <c r="C59" i="108"/>
  <c r="E60" i="108"/>
  <c r="E59" i="17"/>
  <c r="C58" i="17"/>
  <c r="I10" i="44"/>
  <c r="C56" i="45"/>
  <c r="E57" i="45"/>
  <c r="I9" i="53"/>
  <c r="E59" i="126"/>
  <c r="C58" i="126"/>
  <c r="E58" i="115"/>
  <c r="C57" i="115"/>
  <c r="C59" i="147"/>
  <c r="E60" i="147"/>
  <c r="I8" i="36"/>
  <c r="E60" i="33"/>
  <c r="C59" i="33"/>
  <c r="C58" i="99"/>
  <c r="E59" i="99"/>
  <c r="C59" i="44"/>
  <c r="E60" i="44"/>
  <c r="I8" i="65"/>
  <c r="I13" i="74"/>
  <c r="I9" i="3"/>
  <c r="I10" i="157"/>
  <c r="E60" i="78"/>
  <c r="C59" i="78"/>
  <c r="I9" i="121"/>
  <c r="I11" i="122"/>
  <c r="E60" i="48"/>
  <c r="C59" i="48"/>
  <c r="I9" i="153"/>
  <c r="I12" i="79"/>
  <c r="E59" i="16"/>
  <c r="C58" i="16"/>
  <c r="GS62" i="2"/>
  <c r="I12" i="82"/>
  <c r="E60" i="76"/>
  <c r="C59" i="76"/>
  <c r="EP62" i="2"/>
  <c r="I8" i="143"/>
  <c r="C60" i="93"/>
  <c r="E61" i="93"/>
  <c r="I9" i="106"/>
  <c r="I10" i="10"/>
  <c r="I10" i="149"/>
  <c r="E59" i="19"/>
  <c r="C58" i="19"/>
  <c r="I11" i="172"/>
  <c r="I11" i="164"/>
  <c r="I10" i="41"/>
  <c r="I8" i="34"/>
  <c r="C58" i="22"/>
  <c r="E59" i="22"/>
  <c r="C59" i="153"/>
  <c r="E60" i="153"/>
  <c r="I11" i="107"/>
  <c r="CB62" i="2"/>
  <c r="I9" i="103"/>
  <c r="E60" i="21"/>
  <c r="C59" i="21"/>
  <c r="I10" i="113"/>
  <c r="I13" i="7"/>
  <c r="IV61" i="2"/>
  <c r="E60" i="122"/>
  <c r="C59" i="122"/>
  <c r="I8" i="43"/>
  <c r="E59" i="83"/>
  <c r="C58" i="83"/>
  <c r="I9" i="56"/>
  <c r="E59" i="25"/>
  <c r="C58" i="25"/>
  <c r="E57" i="165"/>
  <c r="C56" i="165"/>
  <c r="E60" i="95"/>
  <c r="C59" i="95"/>
  <c r="C60" i="28"/>
  <c r="E61" i="28"/>
  <c r="I13" i="12"/>
  <c r="E60" i="162"/>
  <c r="C59" i="162"/>
  <c r="EE62" i="2"/>
  <c r="C57" i="86"/>
  <c r="E58" i="86"/>
  <c r="E58" i="85"/>
  <c r="C57" i="85"/>
  <c r="I11" i="156"/>
  <c r="I13" i="145"/>
  <c r="E58" i="39"/>
  <c r="C57" i="39"/>
  <c r="I9" i="31"/>
  <c r="I10" i="37"/>
  <c r="E61" i="3"/>
  <c r="C60" i="3"/>
  <c r="I11" i="150"/>
  <c r="E58" i="141"/>
  <c r="C57" i="141"/>
  <c r="I9" i="52"/>
  <c r="E61" i="109"/>
  <c r="C60" i="109"/>
  <c r="ED61" i="2"/>
  <c r="I9" i="86"/>
  <c r="I11" i="13"/>
  <c r="I9" i="138"/>
  <c r="E61" i="152"/>
  <c r="C60" i="152"/>
  <c r="C58" i="103"/>
  <c r="E59" i="103"/>
  <c r="E57" i="105"/>
  <c r="C56" i="105"/>
  <c r="E58" i="159"/>
  <c r="C57" i="159"/>
  <c r="I9" i="57"/>
  <c r="E59" i="60"/>
  <c r="C58" i="60"/>
  <c r="E59" i="144"/>
  <c r="C58" i="144"/>
  <c r="E56" i="30"/>
  <c r="C55" i="30"/>
  <c r="C56" i="43"/>
  <c r="E57" i="43"/>
  <c r="CL61" i="2"/>
  <c r="FA61" i="2"/>
  <c r="E59" i="18"/>
  <c r="C58" i="18"/>
  <c r="FW62" i="2"/>
  <c r="I8" i="146"/>
  <c r="I9" i="169"/>
  <c r="I8" i="58"/>
  <c r="I12" i="27"/>
  <c r="I10" i="60"/>
  <c r="E59" i="57"/>
  <c r="C58" i="57"/>
  <c r="X61" i="1"/>
  <c r="C57" i="168"/>
  <c r="E58" i="168"/>
  <c r="I10" i="28"/>
  <c r="I8" i="100"/>
  <c r="E59" i="167"/>
  <c r="C58" i="167"/>
  <c r="C57" i="173"/>
  <c r="E58" i="173"/>
  <c r="C59" i="63"/>
  <c r="E60" i="63"/>
  <c r="CL60" i="2"/>
  <c r="I8" i="174"/>
  <c r="I9" i="85"/>
  <c r="E61" i="56"/>
  <c r="C60" i="56"/>
  <c r="E58" i="72"/>
  <c r="C57" i="72"/>
  <c r="E60" i="15"/>
  <c r="C59" i="15"/>
  <c r="E56" i="32"/>
  <c r="C55" i="32"/>
  <c r="I11" i="135"/>
  <c r="I9" i="144"/>
  <c r="AI61" i="2"/>
  <c r="I8" i="96"/>
  <c r="E61" i="158"/>
  <c r="C60" i="158"/>
  <c r="C59" i="142"/>
  <c r="E60" i="142"/>
  <c r="E61" i="42"/>
  <c r="C60" i="42"/>
  <c r="FV61" i="2"/>
  <c r="N62" i="1"/>
  <c r="E61" i="49"/>
  <c r="C60" i="49"/>
  <c r="I11" i="51"/>
  <c r="I10" i="129"/>
  <c r="I8" i="64"/>
  <c r="E56" i="157"/>
  <c r="C55" i="157"/>
  <c r="E60" i="10"/>
  <c r="C59" i="10"/>
  <c r="I12" i="59"/>
  <c r="C59" i="125"/>
  <c r="E60" i="125"/>
  <c r="I13" i="75"/>
  <c r="E59" i="104"/>
  <c r="C58" i="104"/>
  <c r="E59" i="139"/>
  <c r="C58" i="139"/>
  <c r="C59" i="71"/>
  <c r="E60" i="71"/>
  <c r="I8" i="109"/>
  <c r="I9" i="114"/>
  <c r="I8" i="141"/>
  <c r="I10" i="72"/>
  <c r="I8" i="147"/>
  <c r="Y62" i="2"/>
  <c r="E61" i="46"/>
  <c r="C60" i="46"/>
  <c r="AI61" i="1"/>
  <c r="I10" i="83"/>
  <c r="Y62" i="1"/>
  <c r="I10" i="167"/>
  <c r="I8" i="163"/>
  <c r="I8" i="125"/>
  <c r="I9" i="108"/>
  <c r="E60" i="140"/>
  <c r="C59" i="140"/>
  <c r="I10" i="68"/>
  <c r="I8" i="148"/>
  <c r="E61" i="12"/>
  <c r="C60" i="12"/>
  <c r="M61" i="1"/>
  <c r="X61" i="2"/>
  <c r="I9" i="19"/>
  <c r="C60" i="29"/>
  <c r="E61" i="29"/>
  <c r="I9" i="70"/>
  <c r="E60" i="70"/>
  <c r="C59" i="70"/>
  <c r="E61" i="136"/>
  <c r="C60" i="136"/>
  <c r="I9" i="123"/>
  <c r="I9" i="5"/>
  <c r="I12" i="94"/>
  <c r="I11" i="132"/>
  <c r="E58" i="37"/>
  <c r="C57" i="37"/>
  <c r="E59" i="68"/>
  <c r="C58" i="68"/>
  <c r="HO62" i="2"/>
  <c r="I9" i="162"/>
  <c r="C60" i="14"/>
  <c r="E61" i="14"/>
  <c r="I12" i="24"/>
  <c r="E58" i="124"/>
  <c r="C57" i="124"/>
  <c r="I9" i="39"/>
  <c r="I9" i="73"/>
  <c r="C60" i="90"/>
  <c r="E61" i="90"/>
  <c r="C60" i="55"/>
  <c r="E61" i="55"/>
  <c r="I9" i="4"/>
  <c r="GR61" i="2"/>
  <c r="C59" i="156" l="1"/>
  <c r="E60" i="156"/>
  <c r="C58" i="149"/>
  <c r="E59" i="149"/>
  <c r="E60" i="130"/>
  <c r="C59" i="130"/>
  <c r="C54" i="98"/>
  <c r="E55" i="98"/>
  <c r="E60" i="74"/>
  <c r="C59" i="74"/>
  <c r="C58" i="61"/>
  <c r="E59" i="61"/>
  <c r="E59" i="59"/>
  <c r="C58" i="59"/>
  <c r="E60" i="150"/>
  <c r="C59" i="150"/>
  <c r="CX59" i="2"/>
  <c r="I9" i="109"/>
  <c r="C57" i="57"/>
  <c r="E58" i="57"/>
  <c r="I11" i="10"/>
  <c r="I11" i="157"/>
  <c r="E60" i="174"/>
  <c r="C59" i="174"/>
  <c r="C57" i="128"/>
  <c r="E58" i="128"/>
  <c r="E56" i="131"/>
  <c r="C55" i="131"/>
  <c r="E59" i="80"/>
  <c r="C58" i="80"/>
  <c r="C58" i="97"/>
  <c r="E59" i="97"/>
  <c r="CM60" i="2"/>
  <c r="C59" i="42"/>
  <c r="E60" i="42"/>
  <c r="FV60" i="2"/>
  <c r="I11" i="167"/>
  <c r="GS61" i="2"/>
  <c r="I10" i="123"/>
  <c r="I13" i="59"/>
  <c r="E56" i="105"/>
  <c r="C55" i="105"/>
  <c r="I14" i="145"/>
  <c r="I14" i="7"/>
  <c r="I10" i="3"/>
  <c r="E59" i="108"/>
  <c r="C58" i="108"/>
  <c r="I9" i="102"/>
  <c r="I12" i="152"/>
  <c r="E60" i="27"/>
  <c r="C59" i="27"/>
  <c r="IJ59" i="2" s="1"/>
  <c r="E59" i="154"/>
  <c r="C58" i="154"/>
  <c r="I10" i="67"/>
  <c r="I11" i="99"/>
  <c r="I11" i="165"/>
  <c r="I11" i="25"/>
  <c r="I12" i="156"/>
  <c r="I10" i="106"/>
  <c r="E55" i="146"/>
  <c r="C54" i="146"/>
  <c r="FL61" i="2"/>
  <c r="I12" i="142"/>
  <c r="C58" i="119"/>
  <c r="E59" i="119"/>
  <c r="C59" i="155"/>
  <c r="E60" i="155"/>
  <c r="E58" i="118"/>
  <c r="C57" i="118"/>
  <c r="E60" i="46"/>
  <c r="C59" i="46"/>
  <c r="AI60" i="1"/>
  <c r="I10" i="4"/>
  <c r="C59" i="136"/>
  <c r="E60" i="136"/>
  <c r="E59" i="10"/>
  <c r="C58" i="10"/>
  <c r="E55" i="32"/>
  <c r="C54" i="32"/>
  <c r="I11" i="60"/>
  <c r="I14" i="74"/>
  <c r="I9" i="81"/>
  <c r="I11" i="63"/>
  <c r="C57" i="5"/>
  <c r="E58" i="5"/>
  <c r="E59" i="35"/>
  <c r="C58" i="35"/>
  <c r="C59" i="92"/>
  <c r="E60" i="92"/>
  <c r="C58" i="132"/>
  <c r="E59" i="132"/>
  <c r="E58" i="161"/>
  <c r="C57" i="161"/>
  <c r="I14" i="133"/>
  <c r="I11" i="139"/>
  <c r="I13" i="24"/>
  <c r="C58" i="70"/>
  <c r="E59" i="70"/>
  <c r="E58" i="103"/>
  <c r="C57" i="103"/>
  <c r="E57" i="85"/>
  <c r="C56" i="85"/>
  <c r="I11" i="113"/>
  <c r="E60" i="93"/>
  <c r="C59" i="93"/>
  <c r="I10" i="33"/>
  <c r="I9" i="40"/>
  <c r="C55" i="111"/>
  <c r="E56" i="111"/>
  <c r="C58" i="79"/>
  <c r="E59" i="79"/>
  <c r="E59" i="101"/>
  <c r="C58" i="101"/>
  <c r="I10" i="73"/>
  <c r="E59" i="21"/>
  <c r="C58" i="21"/>
  <c r="E58" i="65"/>
  <c r="C57" i="65"/>
  <c r="I10" i="50"/>
  <c r="C58" i="38"/>
  <c r="E59" i="38"/>
  <c r="C57" i="112"/>
  <c r="E58" i="112"/>
  <c r="I10" i="162"/>
  <c r="E60" i="55"/>
  <c r="C59" i="55"/>
  <c r="E59" i="15"/>
  <c r="C58" i="15"/>
  <c r="I13" i="27"/>
  <c r="C59" i="152"/>
  <c r="M59" i="2" s="1"/>
  <c r="E60" i="152"/>
  <c r="I11" i="83"/>
  <c r="E55" i="157"/>
  <c r="C54" i="157"/>
  <c r="I9" i="143"/>
  <c r="I9" i="65"/>
  <c r="C59" i="107"/>
  <c r="E60" i="107"/>
  <c r="I10" i="126"/>
  <c r="E57" i="62"/>
  <c r="C56" i="62"/>
  <c r="I10" i="131"/>
  <c r="I12" i="128"/>
  <c r="C56" i="72"/>
  <c r="E57" i="72"/>
  <c r="I9" i="58"/>
  <c r="I10" i="138"/>
  <c r="E57" i="86"/>
  <c r="C56" i="86"/>
  <c r="I10" i="103"/>
  <c r="I12" i="77"/>
  <c r="I12" i="62"/>
  <c r="I11" i="92"/>
  <c r="E53" i="82"/>
  <c r="C52" i="82"/>
  <c r="I9" i="55"/>
  <c r="I10" i="87"/>
  <c r="I10" i="154"/>
  <c r="E58" i="64"/>
  <c r="C57" i="64"/>
  <c r="E57" i="123"/>
  <c r="C56" i="123"/>
  <c r="I11" i="118"/>
  <c r="I12" i="98"/>
  <c r="I9" i="140"/>
  <c r="E59" i="96"/>
  <c r="C58" i="96"/>
  <c r="E57" i="127"/>
  <c r="C56" i="127"/>
  <c r="C57" i="94"/>
  <c r="E58" i="94"/>
  <c r="I13" i="32"/>
  <c r="C56" i="171"/>
  <c r="E57" i="171"/>
  <c r="E60" i="29"/>
  <c r="C59" i="29"/>
  <c r="X60" i="1"/>
  <c r="I10" i="169"/>
  <c r="I12" i="13"/>
  <c r="I11" i="173"/>
  <c r="CB61" i="1"/>
  <c r="I12" i="117"/>
  <c r="AU61" i="1"/>
  <c r="I9" i="64"/>
  <c r="C59" i="56"/>
  <c r="E60" i="56"/>
  <c r="FK60" i="2"/>
  <c r="E60" i="6"/>
  <c r="C59" i="6"/>
  <c r="IU59" i="2" s="1"/>
  <c r="CA60" i="1"/>
  <c r="IU60" i="2"/>
  <c r="E57" i="69"/>
  <c r="C56" i="69"/>
  <c r="E60" i="172"/>
  <c r="C59" i="172"/>
  <c r="HN60" i="2"/>
  <c r="C59" i="7"/>
  <c r="EO59" i="2" s="1"/>
  <c r="E60" i="7"/>
  <c r="AT60" i="1"/>
  <c r="E57" i="40"/>
  <c r="C56" i="40"/>
  <c r="I12" i="9"/>
  <c r="I11" i="129"/>
  <c r="I9" i="146"/>
  <c r="C58" i="88"/>
  <c r="E59" i="88"/>
  <c r="C58" i="36"/>
  <c r="CW58" i="2" s="1"/>
  <c r="E59" i="36"/>
  <c r="C57" i="9"/>
  <c r="E58" i="9"/>
  <c r="I14" i="61"/>
  <c r="I14" i="134"/>
  <c r="I11" i="66"/>
  <c r="E59" i="76"/>
  <c r="C58" i="76"/>
  <c r="C58" i="162"/>
  <c r="E59" i="162"/>
  <c r="I10" i="39"/>
  <c r="I10" i="19"/>
  <c r="C56" i="124"/>
  <c r="E57" i="124"/>
  <c r="Y61" i="2"/>
  <c r="I10" i="85"/>
  <c r="I10" i="86"/>
  <c r="I12" i="107"/>
  <c r="I13" i="82"/>
  <c r="E58" i="99"/>
  <c r="C57" i="99"/>
  <c r="FA60" i="2"/>
  <c r="E59" i="89"/>
  <c r="C58" i="89"/>
  <c r="HN59" i="2"/>
  <c r="DT59" i="2"/>
  <c r="I11" i="23"/>
  <c r="C58" i="44"/>
  <c r="E59" i="44"/>
  <c r="N61" i="1"/>
  <c r="I9" i="147"/>
  <c r="I12" i="51"/>
  <c r="EE61" i="2"/>
  <c r="I14" i="12"/>
  <c r="M60" i="2"/>
  <c r="I13" i="22"/>
  <c r="I10" i="84"/>
  <c r="I12" i="48"/>
  <c r="E55" i="87"/>
  <c r="C54" i="87"/>
  <c r="I10" i="21"/>
  <c r="C57" i="135"/>
  <c r="E58" i="135"/>
  <c r="C58" i="134"/>
  <c r="E59" i="134"/>
  <c r="EZ59" i="2"/>
  <c r="I13" i="42"/>
  <c r="E59" i="151"/>
  <c r="C58" i="151"/>
  <c r="E60" i="49"/>
  <c r="C59" i="49"/>
  <c r="I9" i="174"/>
  <c r="E60" i="109"/>
  <c r="C59" i="109"/>
  <c r="ED60" i="2"/>
  <c r="E59" i="153"/>
  <c r="C58" i="153"/>
  <c r="C58" i="33"/>
  <c r="E59" i="33"/>
  <c r="BQ61" i="2"/>
  <c r="I9" i="11"/>
  <c r="I10" i="151"/>
  <c r="E58" i="129"/>
  <c r="C57" i="129"/>
  <c r="DS58" i="2"/>
  <c r="E58" i="18"/>
  <c r="C57" i="18"/>
  <c r="E60" i="28"/>
  <c r="C59" i="28"/>
  <c r="C59" i="52"/>
  <c r="E60" i="52"/>
  <c r="BP60" i="2"/>
  <c r="I10" i="49"/>
  <c r="I10" i="155"/>
  <c r="BE60" i="2"/>
  <c r="I9" i="17"/>
  <c r="AU61" i="2"/>
  <c r="I10" i="161"/>
  <c r="I9" i="90"/>
  <c r="I10" i="168"/>
  <c r="E58" i="22"/>
  <c r="C57" i="22"/>
  <c r="E59" i="23"/>
  <c r="C58" i="23"/>
  <c r="C58" i="114"/>
  <c r="E59" i="114"/>
  <c r="E59" i="13"/>
  <c r="C58" i="13"/>
  <c r="BQ61" i="1"/>
  <c r="C58" i="41"/>
  <c r="E59" i="41"/>
  <c r="I9" i="110"/>
  <c r="C59" i="50"/>
  <c r="E60" i="50"/>
  <c r="AT60" i="2"/>
  <c r="C58" i="95"/>
  <c r="E59" i="95"/>
  <c r="C59" i="14"/>
  <c r="E60" i="14"/>
  <c r="I9" i="148"/>
  <c r="I9" i="141"/>
  <c r="C58" i="63"/>
  <c r="E59" i="63"/>
  <c r="I10" i="52"/>
  <c r="C57" i="16"/>
  <c r="E58" i="16"/>
  <c r="I9" i="36"/>
  <c r="I10" i="54"/>
  <c r="I9" i="8"/>
  <c r="HD61" i="2"/>
  <c r="E57" i="84"/>
  <c r="C56" i="84"/>
  <c r="E59" i="145"/>
  <c r="C58" i="145"/>
  <c r="C59" i="58"/>
  <c r="E60" i="58"/>
  <c r="I14" i="46"/>
  <c r="I12" i="136"/>
  <c r="E57" i="51"/>
  <c r="C56" i="51"/>
  <c r="E59" i="77"/>
  <c r="C58" i="77"/>
  <c r="E60" i="121"/>
  <c r="C59" i="121"/>
  <c r="I10" i="114"/>
  <c r="CM61" i="2"/>
  <c r="C58" i="147"/>
  <c r="E59" i="147"/>
  <c r="I10" i="20"/>
  <c r="E60" i="8"/>
  <c r="C59" i="8"/>
  <c r="HC60" i="2"/>
  <c r="BP60" i="1"/>
  <c r="I9" i="69"/>
  <c r="E58" i="11"/>
  <c r="C57" i="11"/>
  <c r="I12" i="127"/>
  <c r="I10" i="70"/>
  <c r="E58" i="25"/>
  <c r="C57" i="25"/>
  <c r="I11" i="41"/>
  <c r="I13" i="79"/>
  <c r="C56" i="115"/>
  <c r="E57" i="115"/>
  <c r="I9" i="47"/>
  <c r="I10" i="119"/>
  <c r="HZ60" i="2"/>
  <c r="E57" i="26"/>
  <c r="C56" i="26"/>
  <c r="I9" i="91"/>
  <c r="I9" i="166"/>
  <c r="I12" i="26"/>
  <c r="C56" i="106"/>
  <c r="E57" i="106"/>
  <c r="I9" i="35"/>
  <c r="I11" i="159"/>
  <c r="I12" i="150"/>
  <c r="I13" i="14"/>
  <c r="I9" i="45"/>
  <c r="E60" i="53"/>
  <c r="C59" i="53"/>
  <c r="C59" i="12"/>
  <c r="E60" i="12"/>
  <c r="M60" i="1"/>
  <c r="X60" i="2"/>
  <c r="E59" i="142"/>
  <c r="C58" i="142"/>
  <c r="C54" i="30"/>
  <c r="E55" i="30"/>
  <c r="I10" i="56"/>
  <c r="I12" i="164"/>
  <c r="I10" i="153"/>
  <c r="E58" i="126"/>
  <c r="C57" i="126"/>
  <c r="I9" i="105"/>
  <c r="E59" i="169"/>
  <c r="C58" i="169"/>
  <c r="HY59" i="2"/>
  <c r="C57" i="148"/>
  <c r="E58" i="148"/>
  <c r="E58" i="110"/>
  <c r="C57" i="110"/>
  <c r="C56" i="163"/>
  <c r="E57" i="163"/>
  <c r="C57" i="67"/>
  <c r="E58" i="67"/>
  <c r="I11" i="30"/>
  <c r="I11" i="72"/>
  <c r="C56" i="173"/>
  <c r="E57" i="173"/>
  <c r="C57" i="113"/>
  <c r="E58" i="113"/>
  <c r="I12" i="29"/>
  <c r="C59" i="91"/>
  <c r="E60" i="91"/>
  <c r="I9" i="38"/>
  <c r="E58" i="116"/>
  <c r="C57" i="116"/>
  <c r="C57" i="81"/>
  <c r="E58" i="81"/>
  <c r="C57" i="54"/>
  <c r="E58" i="54"/>
  <c r="I11" i="68"/>
  <c r="AI60" i="2"/>
  <c r="C58" i="48"/>
  <c r="E59" i="48"/>
  <c r="E60" i="3"/>
  <c r="C59" i="3"/>
  <c r="I10" i="53"/>
  <c r="I10" i="170"/>
  <c r="I14" i="15"/>
  <c r="I12" i="101"/>
  <c r="I9" i="160"/>
  <c r="I10" i="76"/>
  <c r="C57" i="66"/>
  <c r="E58" i="66"/>
  <c r="I10" i="108"/>
  <c r="I11" i="124"/>
  <c r="I11" i="93"/>
  <c r="I9" i="120"/>
  <c r="I12" i="16"/>
  <c r="I12" i="78"/>
  <c r="C59" i="170"/>
  <c r="E60" i="170"/>
  <c r="AJ61" i="1"/>
  <c r="C59" i="158"/>
  <c r="E60" i="158"/>
  <c r="E58" i="83"/>
  <c r="C57" i="83"/>
  <c r="I12" i="172"/>
  <c r="E58" i="4"/>
  <c r="C57" i="4"/>
  <c r="E58" i="104"/>
  <c r="C57" i="104"/>
  <c r="I9" i="96"/>
  <c r="I11" i="28"/>
  <c r="E58" i="60"/>
  <c r="C57" i="60"/>
  <c r="I12" i="122"/>
  <c r="I10" i="111"/>
  <c r="I10" i="104"/>
  <c r="C57" i="137"/>
  <c r="E58" i="137"/>
  <c r="I10" i="137"/>
  <c r="C57" i="144"/>
  <c r="E58" i="144"/>
  <c r="I11" i="18"/>
  <c r="E57" i="73"/>
  <c r="C56" i="73"/>
  <c r="I10" i="116"/>
  <c r="E59" i="164"/>
  <c r="C58" i="164"/>
  <c r="C55" i="102"/>
  <c r="E56" i="102"/>
  <c r="I9" i="171"/>
  <c r="CA60" i="2"/>
  <c r="E59" i="140"/>
  <c r="C58" i="140"/>
  <c r="E58" i="139"/>
  <c r="C57" i="139"/>
  <c r="I9" i="100"/>
  <c r="I9" i="125"/>
  <c r="I10" i="144"/>
  <c r="E57" i="168"/>
  <c r="C56" i="168"/>
  <c r="I10" i="57"/>
  <c r="I10" i="31"/>
  <c r="I10" i="121"/>
  <c r="I11" i="44"/>
  <c r="C55" i="34"/>
  <c r="E56" i="34"/>
  <c r="I9" i="130"/>
  <c r="I13" i="71"/>
  <c r="E55" i="138"/>
  <c r="C54" i="138"/>
  <c r="DI60" i="2"/>
  <c r="E56" i="43"/>
  <c r="C55" i="43"/>
  <c r="C58" i="71"/>
  <c r="E59" i="71"/>
  <c r="I11" i="37"/>
  <c r="I9" i="43"/>
  <c r="E58" i="19"/>
  <c r="C57" i="19"/>
  <c r="I14" i="75"/>
  <c r="Y61" i="1"/>
  <c r="E59" i="122"/>
  <c r="C58" i="122"/>
  <c r="C56" i="47"/>
  <c r="E57" i="47"/>
  <c r="I10" i="88"/>
  <c r="C58" i="20"/>
  <c r="E59" i="20"/>
  <c r="E57" i="120"/>
  <c r="C56" i="120"/>
  <c r="I10" i="80"/>
  <c r="E59" i="31"/>
  <c r="C58" i="31"/>
  <c r="E60" i="143"/>
  <c r="C59" i="143"/>
  <c r="FW61" i="2"/>
  <c r="C56" i="141"/>
  <c r="E57" i="141"/>
  <c r="C55" i="165"/>
  <c r="E56" i="165"/>
  <c r="I9" i="34"/>
  <c r="E58" i="68"/>
  <c r="C57" i="68"/>
  <c r="E57" i="37"/>
  <c r="C56" i="37"/>
  <c r="AJ61" i="2"/>
  <c r="E56" i="45"/>
  <c r="C55" i="45"/>
  <c r="I13" i="94"/>
  <c r="E59" i="78"/>
  <c r="C58" i="78"/>
  <c r="E57" i="39"/>
  <c r="C56" i="39"/>
  <c r="I11" i="149"/>
  <c r="E58" i="17"/>
  <c r="C57" i="17"/>
  <c r="E60" i="100"/>
  <c r="C59" i="100"/>
  <c r="FK59" i="2" s="1"/>
  <c r="I9" i="112"/>
  <c r="E59" i="133"/>
  <c r="C58" i="133"/>
  <c r="DH59" i="2"/>
  <c r="EO60" i="2"/>
  <c r="E60" i="90"/>
  <c r="C59" i="90"/>
  <c r="E58" i="167"/>
  <c r="C57" i="167"/>
  <c r="I12" i="132"/>
  <c r="I9" i="163"/>
  <c r="I12" i="89"/>
  <c r="I10" i="5"/>
  <c r="E59" i="125"/>
  <c r="C58" i="125"/>
  <c r="I12" i="135"/>
  <c r="E57" i="159"/>
  <c r="C56" i="159"/>
  <c r="C55" i="160"/>
  <c r="E56" i="160"/>
  <c r="I11" i="115"/>
  <c r="E55" i="166"/>
  <c r="C54" i="166"/>
  <c r="IJ60" i="2"/>
  <c r="I11" i="158"/>
  <c r="E59" i="117"/>
  <c r="C58" i="117"/>
  <c r="I9" i="95"/>
  <c r="I10" i="97"/>
  <c r="E58" i="75"/>
  <c r="C57" i="75"/>
  <c r="GR60" i="2"/>
  <c r="C58" i="156" l="1"/>
  <c r="E59" i="156"/>
  <c r="E58" i="149"/>
  <c r="C57" i="149"/>
  <c r="E59" i="130"/>
  <c r="C58" i="130"/>
  <c r="E54" i="98"/>
  <c r="C53" i="98"/>
  <c r="E59" i="74"/>
  <c r="C58" i="74"/>
  <c r="C57" i="61"/>
  <c r="E58" i="61"/>
  <c r="C57" i="59"/>
  <c r="E58" i="59"/>
  <c r="E59" i="150"/>
  <c r="C58" i="150"/>
  <c r="FL59" i="2"/>
  <c r="IK59" i="2"/>
  <c r="CX58" i="2"/>
  <c r="EP59" i="2"/>
  <c r="C57" i="164"/>
  <c r="E58" i="164"/>
  <c r="I15" i="15"/>
  <c r="I14" i="79"/>
  <c r="E58" i="95"/>
  <c r="C57" i="95"/>
  <c r="BF60" i="2"/>
  <c r="C58" i="49"/>
  <c r="E59" i="49"/>
  <c r="E57" i="94"/>
  <c r="C56" i="94"/>
  <c r="E57" i="103"/>
  <c r="C56" i="103"/>
  <c r="I11" i="123"/>
  <c r="I12" i="149"/>
  <c r="C55" i="120"/>
  <c r="E56" i="120"/>
  <c r="E59" i="12"/>
  <c r="C58" i="12"/>
  <c r="X59" i="2"/>
  <c r="M59" i="1"/>
  <c r="I13" i="136"/>
  <c r="AU60" i="2"/>
  <c r="I11" i="155"/>
  <c r="E58" i="44"/>
  <c r="C57" i="44"/>
  <c r="IV60" i="2"/>
  <c r="C55" i="127"/>
  <c r="E56" i="127"/>
  <c r="I12" i="60"/>
  <c r="C56" i="83"/>
  <c r="E57" i="83"/>
  <c r="I12" i="41"/>
  <c r="C57" i="151"/>
  <c r="E58" i="151"/>
  <c r="I12" i="66"/>
  <c r="CB60" i="1"/>
  <c r="I11" i="138"/>
  <c r="I11" i="162"/>
  <c r="E54" i="32"/>
  <c r="C53" i="32"/>
  <c r="I12" i="165"/>
  <c r="I11" i="116"/>
  <c r="I12" i="30"/>
  <c r="I15" i="46"/>
  <c r="C58" i="50"/>
  <c r="E59" i="50"/>
  <c r="AT59" i="2"/>
  <c r="I12" i="23"/>
  <c r="E59" i="6"/>
  <c r="C58" i="6"/>
  <c r="IU58" i="2" s="1"/>
  <c r="CA59" i="1"/>
  <c r="E58" i="96"/>
  <c r="C57" i="96"/>
  <c r="I12" i="99"/>
  <c r="I12" i="167"/>
  <c r="I11" i="170"/>
  <c r="C58" i="53"/>
  <c r="E59" i="53"/>
  <c r="I10" i="130"/>
  <c r="E58" i="125"/>
  <c r="C57" i="125"/>
  <c r="C57" i="78"/>
  <c r="E58" i="78"/>
  <c r="E58" i="20"/>
  <c r="C57" i="20"/>
  <c r="E56" i="73"/>
  <c r="C55" i="73"/>
  <c r="I11" i="53"/>
  <c r="I10" i="45"/>
  <c r="E57" i="25"/>
  <c r="C56" i="25"/>
  <c r="I11" i="49"/>
  <c r="I14" i="42"/>
  <c r="I15" i="134"/>
  <c r="I10" i="58"/>
  <c r="E58" i="10"/>
  <c r="C57" i="10"/>
  <c r="I11" i="88"/>
  <c r="E59" i="58"/>
  <c r="C58" i="58"/>
  <c r="I10" i="110"/>
  <c r="BQ60" i="2"/>
  <c r="FL60" i="2"/>
  <c r="C56" i="112"/>
  <c r="E57" i="112"/>
  <c r="E58" i="70"/>
  <c r="C57" i="70"/>
  <c r="I11" i="67"/>
  <c r="FW60" i="2"/>
  <c r="E55" i="34"/>
  <c r="C54" i="34"/>
  <c r="C58" i="158"/>
  <c r="E59" i="158"/>
  <c r="E59" i="3"/>
  <c r="C58" i="3"/>
  <c r="I14" i="94"/>
  <c r="E57" i="67"/>
  <c r="C56" i="67"/>
  <c r="I11" i="70"/>
  <c r="E58" i="145"/>
  <c r="C57" i="145"/>
  <c r="BE59" i="2"/>
  <c r="FA59" i="2"/>
  <c r="HO59" i="2"/>
  <c r="I15" i="61"/>
  <c r="I10" i="140"/>
  <c r="E56" i="72"/>
  <c r="C55" i="72"/>
  <c r="I14" i="14"/>
  <c r="E59" i="52"/>
  <c r="C58" i="52"/>
  <c r="BP59" i="2"/>
  <c r="C57" i="89"/>
  <c r="E58" i="89"/>
  <c r="I13" i="128"/>
  <c r="C57" i="38"/>
  <c r="E58" i="38"/>
  <c r="I14" i="24"/>
  <c r="E59" i="42"/>
  <c r="C58" i="42"/>
  <c r="FV59" i="2"/>
  <c r="E55" i="45"/>
  <c r="C54" i="45"/>
  <c r="E56" i="47"/>
  <c r="C55" i="47"/>
  <c r="I11" i="121"/>
  <c r="E56" i="163"/>
  <c r="C55" i="163"/>
  <c r="I13" i="150"/>
  <c r="I13" i="127"/>
  <c r="E56" i="84"/>
  <c r="C55" i="84"/>
  <c r="E58" i="41"/>
  <c r="C57" i="41"/>
  <c r="E59" i="28"/>
  <c r="C58" i="28"/>
  <c r="E58" i="134"/>
  <c r="C57" i="134"/>
  <c r="EZ58" i="2"/>
  <c r="E57" i="9"/>
  <c r="C56" i="9"/>
  <c r="I13" i="98"/>
  <c r="C57" i="154"/>
  <c r="E58" i="154"/>
  <c r="IJ58" i="2"/>
  <c r="C56" i="110"/>
  <c r="E57" i="110"/>
  <c r="C58" i="56"/>
  <c r="E59" i="56"/>
  <c r="I11" i="131"/>
  <c r="I11" i="50"/>
  <c r="I12" i="139"/>
  <c r="E59" i="136"/>
  <c r="C58" i="136"/>
  <c r="E58" i="122"/>
  <c r="C57" i="122"/>
  <c r="E58" i="48"/>
  <c r="C57" i="48"/>
  <c r="I12" i="159"/>
  <c r="E57" i="11"/>
  <c r="C56" i="11"/>
  <c r="E57" i="135"/>
  <c r="C56" i="135"/>
  <c r="C57" i="36"/>
  <c r="E58" i="36"/>
  <c r="I12" i="118"/>
  <c r="C56" i="65"/>
  <c r="E57" i="65"/>
  <c r="I15" i="133"/>
  <c r="I11" i="4"/>
  <c r="E59" i="27"/>
  <c r="C58" i="27"/>
  <c r="I11" i="31"/>
  <c r="I11" i="137"/>
  <c r="AJ60" i="2"/>
  <c r="C56" i="18"/>
  <c r="E57" i="18"/>
  <c r="I11" i="21"/>
  <c r="E57" i="99"/>
  <c r="C56" i="99"/>
  <c r="I10" i="64"/>
  <c r="E56" i="123"/>
  <c r="C55" i="123"/>
  <c r="E56" i="62"/>
  <c r="C55" i="62"/>
  <c r="I13" i="89"/>
  <c r="I13" i="78"/>
  <c r="IV59" i="2"/>
  <c r="GS60" i="2"/>
  <c r="E56" i="37"/>
  <c r="C55" i="37"/>
  <c r="E57" i="148"/>
  <c r="C56" i="148"/>
  <c r="I10" i="69"/>
  <c r="I10" i="8"/>
  <c r="E58" i="13"/>
  <c r="C57" i="13"/>
  <c r="C57" i="21"/>
  <c r="E58" i="21"/>
  <c r="AJ60" i="1"/>
  <c r="C57" i="97"/>
  <c r="E58" i="97"/>
  <c r="I14" i="82"/>
  <c r="E58" i="88"/>
  <c r="C57" i="88"/>
  <c r="C56" i="64"/>
  <c r="E57" i="64"/>
  <c r="E57" i="161"/>
  <c r="C56" i="161"/>
  <c r="E59" i="46"/>
  <c r="C58" i="46"/>
  <c r="I13" i="152"/>
  <c r="C57" i="80"/>
  <c r="E58" i="80"/>
  <c r="I11" i="54"/>
  <c r="C56" i="129"/>
  <c r="E57" i="129"/>
  <c r="DS57" i="2"/>
  <c r="I13" i="117"/>
  <c r="I11" i="126"/>
  <c r="I14" i="71"/>
  <c r="C58" i="170"/>
  <c r="E59" i="170"/>
  <c r="E57" i="54"/>
  <c r="C56" i="54"/>
  <c r="E56" i="106"/>
  <c r="C55" i="106"/>
  <c r="HD60" i="2"/>
  <c r="C57" i="114"/>
  <c r="E58" i="114"/>
  <c r="I10" i="146"/>
  <c r="I11" i="154"/>
  <c r="I11" i="73"/>
  <c r="E57" i="118"/>
  <c r="C56" i="118"/>
  <c r="I10" i="102"/>
  <c r="C54" i="131"/>
  <c r="E55" i="131"/>
  <c r="I10" i="163"/>
  <c r="BQ60" i="1"/>
  <c r="I13" i="132"/>
  <c r="I11" i="104"/>
  <c r="I10" i="120"/>
  <c r="I10" i="105"/>
  <c r="E58" i="23"/>
  <c r="C57" i="23"/>
  <c r="I13" i="48"/>
  <c r="I13" i="107"/>
  <c r="E59" i="107"/>
  <c r="C58" i="107"/>
  <c r="E58" i="101"/>
  <c r="C57" i="101"/>
  <c r="E58" i="132"/>
  <c r="C57" i="132"/>
  <c r="C57" i="108"/>
  <c r="E58" i="108"/>
  <c r="I12" i="18"/>
  <c r="I13" i="16"/>
  <c r="HZ59" i="2"/>
  <c r="I10" i="35"/>
  <c r="E58" i="169"/>
  <c r="C57" i="169"/>
  <c r="I11" i="97"/>
  <c r="C56" i="19"/>
  <c r="E57" i="19"/>
  <c r="I11" i="144"/>
  <c r="C58" i="8"/>
  <c r="E59" i="8"/>
  <c r="HC59" i="2"/>
  <c r="BP59" i="1"/>
  <c r="I11" i="151"/>
  <c r="I10" i="95"/>
  <c r="I10" i="34"/>
  <c r="I11" i="111"/>
  <c r="I12" i="93"/>
  <c r="E57" i="81"/>
  <c r="C56" i="81"/>
  <c r="I13" i="26"/>
  <c r="I10" i="36"/>
  <c r="I12" i="129"/>
  <c r="I11" i="87"/>
  <c r="I10" i="65"/>
  <c r="I12" i="68"/>
  <c r="I12" i="124"/>
  <c r="C56" i="116"/>
  <c r="E57" i="116"/>
  <c r="C56" i="126"/>
  <c r="E57" i="126"/>
  <c r="I10" i="166"/>
  <c r="I11" i="20"/>
  <c r="I11" i="84"/>
  <c r="I11" i="86"/>
  <c r="C58" i="92"/>
  <c r="E59" i="92"/>
  <c r="E59" i="155"/>
  <c r="C58" i="155"/>
  <c r="C56" i="128"/>
  <c r="E57" i="128"/>
  <c r="E56" i="159"/>
  <c r="C55" i="159"/>
  <c r="I11" i="80"/>
  <c r="I13" i="135"/>
  <c r="C55" i="39"/>
  <c r="E56" i="39"/>
  <c r="I11" i="5"/>
  <c r="C54" i="165"/>
  <c r="E55" i="165"/>
  <c r="I10" i="125"/>
  <c r="I13" i="122"/>
  <c r="C56" i="16"/>
  <c r="E57" i="16"/>
  <c r="I10" i="11"/>
  <c r="I13" i="9"/>
  <c r="I12" i="173"/>
  <c r="I10" i="143"/>
  <c r="C57" i="79"/>
  <c r="E58" i="79"/>
  <c r="E58" i="35"/>
  <c r="C57" i="35"/>
  <c r="I11" i="3"/>
  <c r="E59" i="174"/>
  <c r="C58" i="174"/>
  <c r="DT58" i="2"/>
  <c r="C56" i="167"/>
  <c r="E57" i="167"/>
  <c r="E59" i="90"/>
  <c r="C58" i="90"/>
  <c r="E57" i="22"/>
  <c r="C56" i="22"/>
  <c r="I14" i="22"/>
  <c r="I10" i="55"/>
  <c r="E58" i="119"/>
  <c r="C57" i="119"/>
  <c r="E58" i="117"/>
  <c r="C57" i="117"/>
  <c r="I10" i="43"/>
  <c r="C56" i="60"/>
  <c r="E57" i="60"/>
  <c r="I10" i="38"/>
  <c r="I11" i="85"/>
  <c r="E56" i="141"/>
  <c r="C55" i="141"/>
  <c r="I12" i="37"/>
  <c r="I10" i="100"/>
  <c r="I11" i="108"/>
  <c r="I11" i="153"/>
  <c r="I10" i="91"/>
  <c r="C57" i="147"/>
  <c r="E58" i="147"/>
  <c r="I11" i="52"/>
  <c r="N60" i="2"/>
  <c r="C55" i="40"/>
  <c r="E56" i="40"/>
  <c r="I13" i="13"/>
  <c r="E52" i="82"/>
  <c r="C51" i="82"/>
  <c r="C53" i="157"/>
  <c r="E54" i="157"/>
  <c r="E55" i="111"/>
  <c r="C54" i="111"/>
  <c r="I15" i="7"/>
  <c r="I12" i="157"/>
  <c r="C55" i="168"/>
  <c r="E56" i="168"/>
  <c r="I13" i="164"/>
  <c r="E56" i="26"/>
  <c r="C55" i="26"/>
  <c r="CL59" i="2"/>
  <c r="N59" i="2"/>
  <c r="I15" i="12"/>
  <c r="I10" i="40"/>
  <c r="I13" i="142"/>
  <c r="I15" i="145"/>
  <c r="I12" i="44"/>
  <c r="C56" i="144"/>
  <c r="E57" i="144"/>
  <c r="C56" i="75"/>
  <c r="E57" i="75"/>
  <c r="E57" i="66"/>
  <c r="C56" i="66"/>
  <c r="I11" i="168"/>
  <c r="AU60" i="1"/>
  <c r="I11" i="169"/>
  <c r="I12" i="92"/>
  <c r="I12" i="83"/>
  <c r="E57" i="5"/>
  <c r="C56" i="5"/>
  <c r="I12" i="158"/>
  <c r="EP60" i="2"/>
  <c r="GR59" i="2"/>
  <c r="IK60" i="2"/>
  <c r="I11" i="76"/>
  <c r="I13" i="29"/>
  <c r="I11" i="114"/>
  <c r="C57" i="63"/>
  <c r="E58" i="63"/>
  <c r="I10" i="90"/>
  <c r="E58" i="33"/>
  <c r="C57" i="33"/>
  <c r="E56" i="124"/>
  <c r="C55" i="124"/>
  <c r="Y60" i="1"/>
  <c r="I11" i="33"/>
  <c r="C54" i="105"/>
  <c r="E55" i="105"/>
  <c r="I12" i="10"/>
  <c r="AI59" i="2"/>
  <c r="I10" i="96"/>
  <c r="I11" i="56"/>
  <c r="I11" i="19"/>
  <c r="E59" i="7"/>
  <c r="C58" i="7"/>
  <c r="EO58" i="2" s="1"/>
  <c r="AT59" i="1"/>
  <c r="C58" i="29"/>
  <c r="E59" i="29"/>
  <c r="I12" i="63"/>
  <c r="E54" i="146"/>
  <c r="C53" i="146"/>
  <c r="E59" i="91"/>
  <c r="C58" i="91"/>
  <c r="X58" i="1" s="1"/>
  <c r="C54" i="43"/>
  <c r="E55" i="43"/>
  <c r="E58" i="140"/>
  <c r="C57" i="140"/>
  <c r="C57" i="153"/>
  <c r="E58" i="153"/>
  <c r="I12" i="115"/>
  <c r="I10" i="112"/>
  <c r="C58" i="143"/>
  <c r="E59" i="143"/>
  <c r="C56" i="104"/>
  <c r="E57" i="104"/>
  <c r="C58" i="121"/>
  <c r="E59" i="121"/>
  <c r="I10" i="141"/>
  <c r="I13" i="62"/>
  <c r="C58" i="152"/>
  <c r="M58" i="2" s="1"/>
  <c r="E59" i="152"/>
  <c r="C58" i="93"/>
  <c r="E59" i="93"/>
  <c r="E57" i="57"/>
  <c r="C56" i="57"/>
  <c r="I11" i="57"/>
  <c r="C56" i="68"/>
  <c r="E57" i="68"/>
  <c r="I15" i="75"/>
  <c r="C53" i="166"/>
  <c r="E54" i="166"/>
  <c r="I11" i="119"/>
  <c r="I11" i="161"/>
  <c r="EE60" i="2"/>
  <c r="I13" i="51"/>
  <c r="I13" i="77"/>
  <c r="I10" i="81"/>
  <c r="E57" i="137"/>
  <c r="C56" i="137"/>
  <c r="E54" i="87"/>
  <c r="C53" i="87"/>
  <c r="DI59" i="2"/>
  <c r="E58" i="133"/>
  <c r="C57" i="133"/>
  <c r="DH58" i="2"/>
  <c r="CB60" i="2"/>
  <c r="I10" i="160"/>
  <c r="E57" i="113"/>
  <c r="C56" i="113"/>
  <c r="C53" i="30"/>
  <c r="E54" i="30"/>
  <c r="E59" i="100"/>
  <c r="C58" i="100"/>
  <c r="CA59" i="2"/>
  <c r="I10" i="171"/>
  <c r="AI59" i="1"/>
  <c r="E58" i="142"/>
  <c r="C57" i="142"/>
  <c r="I10" i="47"/>
  <c r="C57" i="77"/>
  <c r="E58" i="77"/>
  <c r="I10" i="148"/>
  <c r="C58" i="109"/>
  <c r="E59" i="109"/>
  <c r="ED59" i="2"/>
  <c r="I11" i="39"/>
  <c r="HO60" i="2"/>
  <c r="E56" i="171"/>
  <c r="C55" i="171"/>
  <c r="I14" i="27"/>
  <c r="I11" i="106"/>
  <c r="I10" i="109"/>
  <c r="E57" i="4"/>
  <c r="C56" i="4"/>
  <c r="I13" i="101"/>
  <c r="I10" i="147"/>
  <c r="C58" i="172"/>
  <c r="E59" i="172"/>
  <c r="C57" i="15"/>
  <c r="E58" i="15"/>
  <c r="I12" i="113"/>
  <c r="C56" i="139"/>
  <c r="E57" i="139"/>
  <c r="I12" i="28"/>
  <c r="C57" i="31"/>
  <c r="E58" i="31"/>
  <c r="CA58" i="2"/>
  <c r="E55" i="160"/>
  <c r="C54" i="160"/>
  <c r="E57" i="17"/>
  <c r="C56" i="17"/>
  <c r="C53" i="138"/>
  <c r="E54" i="138"/>
  <c r="E56" i="173"/>
  <c r="C55" i="173"/>
  <c r="Y60" i="2"/>
  <c r="C55" i="51"/>
  <c r="E56" i="51"/>
  <c r="E59" i="14"/>
  <c r="C58" i="14"/>
  <c r="E58" i="162"/>
  <c r="C57" i="162"/>
  <c r="I14" i="32"/>
  <c r="I11" i="103"/>
  <c r="E56" i="85"/>
  <c r="C55" i="85"/>
  <c r="I13" i="156"/>
  <c r="I14" i="59"/>
  <c r="E58" i="71"/>
  <c r="C57" i="71"/>
  <c r="E55" i="102"/>
  <c r="C54" i="102"/>
  <c r="I13" i="172"/>
  <c r="I12" i="72"/>
  <c r="N60" i="1"/>
  <c r="C55" i="115"/>
  <c r="E56" i="115"/>
  <c r="I10" i="17"/>
  <c r="I10" i="174"/>
  <c r="E58" i="76"/>
  <c r="C57" i="76"/>
  <c r="E56" i="69"/>
  <c r="C55" i="69"/>
  <c r="E56" i="86"/>
  <c r="C55" i="86"/>
  <c r="E59" i="55"/>
  <c r="C58" i="55"/>
  <c r="I15" i="74"/>
  <c r="I12" i="25"/>
  <c r="X59" i="1"/>
  <c r="C57" i="156" l="1"/>
  <c r="E58" i="156"/>
  <c r="C56" i="149"/>
  <c r="E57" i="149"/>
  <c r="C57" i="130"/>
  <c r="E58" i="130"/>
  <c r="E53" i="98"/>
  <c r="C52" i="98"/>
  <c r="C57" i="74"/>
  <c r="E58" i="74"/>
  <c r="E57" i="61"/>
  <c r="C56" i="61"/>
  <c r="C56" i="59"/>
  <c r="E57" i="59"/>
  <c r="AI58" i="2"/>
  <c r="AJ58" i="2" s="1"/>
  <c r="E58" i="150"/>
  <c r="C57" i="150"/>
  <c r="EP58" i="2"/>
  <c r="Y58" i="1"/>
  <c r="C56" i="142"/>
  <c r="E57" i="142"/>
  <c r="E57" i="140"/>
  <c r="C56" i="140"/>
  <c r="I11" i="81"/>
  <c r="E57" i="169"/>
  <c r="C56" i="169"/>
  <c r="HY57" i="2"/>
  <c r="DT57" i="2"/>
  <c r="I12" i="31"/>
  <c r="I12" i="131"/>
  <c r="I12" i="162"/>
  <c r="I11" i="96"/>
  <c r="I13" i="158"/>
  <c r="CM59" i="2"/>
  <c r="I12" i="153"/>
  <c r="I12" i="80"/>
  <c r="E54" i="45"/>
  <c r="C53" i="45"/>
  <c r="I11" i="110"/>
  <c r="E58" i="53"/>
  <c r="C57" i="53"/>
  <c r="E58" i="55"/>
  <c r="C57" i="55"/>
  <c r="AJ59" i="2"/>
  <c r="E55" i="26"/>
  <c r="C54" i="26"/>
  <c r="I12" i="108"/>
  <c r="I13" i="129"/>
  <c r="I11" i="35"/>
  <c r="I11" i="163"/>
  <c r="E56" i="129"/>
  <c r="C55" i="129"/>
  <c r="DS56" i="2"/>
  <c r="I11" i="69"/>
  <c r="E58" i="27"/>
  <c r="C57" i="27"/>
  <c r="BF59" i="2"/>
  <c r="C57" i="58"/>
  <c r="E58" i="58"/>
  <c r="C54" i="120"/>
  <c r="E55" i="120"/>
  <c r="E57" i="15"/>
  <c r="C56" i="15"/>
  <c r="C57" i="174"/>
  <c r="E58" i="174"/>
  <c r="I15" i="32"/>
  <c r="E58" i="172"/>
  <c r="C57" i="172"/>
  <c r="I11" i="47"/>
  <c r="I14" i="77"/>
  <c r="C55" i="104"/>
  <c r="E56" i="104"/>
  <c r="I13" i="10"/>
  <c r="E56" i="5"/>
  <c r="C55" i="5"/>
  <c r="C54" i="159"/>
  <c r="E55" i="159"/>
  <c r="I11" i="36"/>
  <c r="E56" i="148"/>
  <c r="C55" i="148"/>
  <c r="E58" i="56"/>
  <c r="C57" i="56"/>
  <c r="FW59" i="2"/>
  <c r="C56" i="145"/>
  <c r="E57" i="145"/>
  <c r="I12" i="138"/>
  <c r="C54" i="86"/>
  <c r="E55" i="86"/>
  <c r="I12" i="54"/>
  <c r="I12" i="4"/>
  <c r="C57" i="42"/>
  <c r="E58" i="42"/>
  <c r="FV58" i="2"/>
  <c r="I12" i="88"/>
  <c r="I12" i="170"/>
  <c r="I13" i="149"/>
  <c r="I11" i="100"/>
  <c r="I12" i="3"/>
  <c r="E54" i="131"/>
  <c r="C53" i="131"/>
  <c r="C54" i="37"/>
  <c r="E55" i="37"/>
  <c r="E56" i="110"/>
  <c r="C55" i="110"/>
  <c r="I14" i="26"/>
  <c r="I11" i="102"/>
  <c r="E57" i="80"/>
  <c r="C56" i="80"/>
  <c r="IK58" i="2"/>
  <c r="I12" i="70"/>
  <c r="C56" i="10"/>
  <c r="E57" i="10"/>
  <c r="I13" i="66"/>
  <c r="I12" i="123"/>
  <c r="C56" i="162"/>
  <c r="E57" i="162"/>
  <c r="C54" i="168"/>
  <c r="E55" i="168"/>
  <c r="E58" i="155"/>
  <c r="C57" i="155"/>
  <c r="E56" i="81"/>
  <c r="C55" i="81"/>
  <c r="I14" i="16"/>
  <c r="I16" i="133"/>
  <c r="I15" i="24"/>
  <c r="E56" i="67"/>
  <c r="C55" i="67"/>
  <c r="I13" i="167"/>
  <c r="C55" i="103"/>
  <c r="E56" i="103"/>
  <c r="I14" i="51"/>
  <c r="I13" i="92"/>
  <c r="E55" i="141"/>
  <c r="C54" i="141"/>
  <c r="I13" i="18"/>
  <c r="E56" i="118"/>
  <c r="C55" i="118"/>
  <c r="I14" i="152"/>
  <c r="E57" i="154"/>
  <c r="C56" i="154"/>
  <c r="IJ57" i="2"/>
  <c r="I11" i="58"/>
  <c r="I11" i="171"/>
  <c r="I12" i="161"/>
  <c r="I12" i="33"/>
  <c r="E55" i="51"/>
  <c r="C54" i="51"/>
  <c r="C55" i="4"/>
  <c r="E56" i="4"/>
  <c r="CB59" i="2"/>
  <c r="I13" i="115"/>
  <c r="I13" i="157"/>
  <c r="E57" i="79"/>
  <c r="C56" i="79"/>
  <c r="C57" i="46"/>
  <c r="E58" i="46"/>
  <c r="E56" i="65"/>
  <c r="C55" i="65"/>
  <c r="C56" i="38"/>
  <c r="E57" i="38"/>
  <c r="I13" i="99"/>
  <c r="E57" i="151"/>
  <c r="C56" i="151"/>
  <c r="E56" i="94"/>
  <c r="C55" i="94"/>
  <c r="C57" i="100"/>
  <c r="E58" i="100"/>
  <c r="I12" i="169"/>
  <c r="I12" i="85"/>
  <c r="C57" i="92"/>
  <c r="E58" i="92"/>
  <c r="I13" i="93"/>
  <c r="I13" i="118"/>
  <c r="I14" i="98"/>
  <c r="I15" i="94"/>
  <c r="E57" i="96"/>
  <c r="C56" i="96"/>
  <c r="I13" i="41"/>
  <c r="E57" i="153"/>
  <c r="C56" i="153"/>
  <c r="C54" i="124"/>
  <c r="E55" i="124"/>
  <c r="I16" i="7"/>
  <c r="I11" i="143"/>
  <c r="E57" i="108"/>
  <c r="C56" i="108"/>
  <c r="I12" i="73"/>
  <c r="E56" i="9"/>
  <c r="C55" i="9"/>
  <c r="I14" i="128"/>
  <c r="I16" i="134"/>
  <c r="C56" i="76"/>
  <c r="E57" i="76"/>
  <c r="I11" i="174"/>
  <c r="I12" i="119"/>
  <c r="I11" i="17"/>
  <c r="I11" i="38"/>
  <c r="I12" i="86"/>
  <c r="I12" i="111"/>
  <c r="E57" i="132"/>
  <c r="C56" i="132"/>
  <c r="E56" i="161"/>
  <c r="C55" i="161"/>
  <c r="I14" i="78"/>
  <c r="C57" i="3"/>
  <c r="E58" i="3"/>
  <c r="I15" i="42"/>
  <c r="CB59" i="1"/>
  <c r="C57" i="49"/>
  <c r="E58" i="49"/>
  <c r="I12" i="168"/>
  <c r="C53" i="111"/>
  <c r="E54" i="111"/>
  <c r="I13" i="173"/>
  <c r="I12" i="154"/>
  <c r="E57" i="36"/>
  <c r="C56" i="36"/>
  <c r="FA58" i="2"/>
  <c r="E58" i="6"/>
  <c r="C57" i="6"/>
  <c r="CA58" i="1"/>
  <c r="I12" i="103"/>
  <c r="E58" i="121"/>
  <c r="C57" i="121"/>
  <c r="E57" i="33"/>
  <c r="C56" i="33"/>
  <c r="I14" i="9"/>
  <c r="I11" i="34"/>
  <c r="E57" i="101"/>
  <c r="C56" i="101"/>
  <c r="I14" i="89"/>
  <c r="E56" i="135"/>
  <c r="C55" i="135"/>
  <c r="C56" i="134"/>
  <c r="E57" i="134"/>
  <c r="EZ57" i="2"/>
  <c r="HN58" i="2"/>
  <c r="I12" i="49"/>
  <c r="E56" i="83"/>
  <c r="C55" i="83"/>
  <c r="C56" i="77"/>
  <c r="E57" i="77"/>
  <c r="C52" i="166"/>
  <c r="E53" i="166"/>
  <c r="N58" i="2"/>
  <c r="I12" i="84"/>
  <c r="E55" i="115"/>
  <c r="C54" i="115"/>
  <c r="I16" i="75"/>
  <c r="C55" i="66"/>
  <c r="E56" i="66"/>
  <c r="C55" i="60"/>
  <c r="E56" i="60"/>
  <c r="I11" i="146"/>
  <c r="E56" i="64"/>
  <c r="C55" i="64"/>
  <c r="C54" i="62"/>
  <c r="E55" i="62"/>
  <c r="I13" i="23"/>
  <c r="E57" i="95"/>
  <c r="C56" i="95"/>
  <c r="E53" i="30"/>
  <c r="C52" i="30"/>
  <c r="E58" i="107"/>
  <c r="C57" i="107"/>
  <c r="E56" i="11"/>
  <c r="C55" i="11"/>
  <c r="C57" i="28"/>
  <c r="E58" i="28"/>
  <c r="C56" i="89"/>
  <c r="E57" i="89"/>
  <c r="HN57" i="2"/>
  <c r="C57" i="158"/>
  <c r="E58" i="158"/>
  <c r="C55" i="25"/>
  <c r="E56" i="25"/>
  <c r="I13" i="60"/>
  <c r="I16" i="74"/>
  <c r="C54" i="69"/>
  <c r="E55" i="69"/>
  <c r="E54" i="105"/>
  <c r="C53" i="105"/>
  <c r="I11" i="109"/>
  <c r="C55" i="113"/>
  <c r="E56" i="113"/>
  <c r="I11" i="90"/>
  <c r="E57" i="114"/>
  <c r="C56" i="114"/>
  <c r="C56" i="88"/>
  <c r="E57" i="88"/>
  <c r="FK57" i="2"/>
  <c r="E55" i="123"/>
  <c r="C54" i="123"/>
  <c r="BQ59" i="2"/>
  <c r="E54" i="34"/>
  <c r="C53" i="34"/>
  <c r="AU59" i="2"/>
  <c r="I12" i="20"/>
  <c r="CL58" i="2"/>
  <c r="E56" i="75"/>
  <c r="C55" i="75"/>
  <c r="E57" i="117"/>
  <c r="C56" i="117"/>
  <c r="I12" i="151"/>
  <c r="I13" i="159"/>
  <c r="BE58" i="2"/>
  <c r="E58" i="52"/>
  <c r="C57" i="52"/>
  <c r="BP58" i="2"/>
  <c r="I11" i="45"/>
  <c r="E55" i="127"/>
  <c r="C54" i="127"/>
  <c r="I15" i="79"/>
  <c r="I14" i="13"/>
  <c r="E56" i="16"/>
  <c r="C55" i="16"/>
  <c r="I11" i="166"/>
  <c r="BQ59" i="1"/>
  <c r="I14" i="107"/>
  <c r="I15" i="82"/>
  <c r="I11" i="64"/>
  <c r="C56" i="41"/>
  <c r="E57" i="41"/>
  <c r="C57" i="50"/>
  <c r="E58" i="50"/>
  <c r="AT58" i="2"/>
  <c r="I16" i="15"/>
  <c r="E56" i="68"/>
  <c r="C55" i="68"/>
  <c r="I15" i="27"/>
  <c r="C55" i="57"/>
  <c r="E56" i="57"/>
  <c r="E57" i="63"/>
  <c r="C56" i="63"/>
  <c r="E56" i="144"/>
  <c r="C55" i="144"/>
  <c r="E57" i="119"/>
  <c r="C56" i="119"/>
  <c r="HD59" i="2"/>
  <c r="C54" i="106"/>
  <c r="E55" i="106"/>
  <c r="C56" i="48"/>
  <c r="E57" i="48"/>
  <c r="I15" i="14"/>
  <c r="I12" i="53"/>
  <c r="DI58" i="2"/>
  <c r="I14" i="172"/>
  <c r="C53" i="160"/>
  <c r="E54" i="160"/>
  <c r="C54" i="171"/>
  <c r="E55" i="171"/>
  <c r="E57" i="133"/>
  <c r="C56" i="133"/>
  <c r="DH57" i="2"/>
  <c r="I14" i="122"/>
  <c r="I14" i="48"/>
  <c r="E56" i="99"/>
  <c r="C55" i="99"/>
  <c r="C54" i="84"/>
  <c r="E55" i="84"/>
  <c r="I16" i="46"/>
  <c r="C56" i="44"/>
  <c r="E57" i="44"/>
  <c r="I14" i="101"/>
  <c r="I11" i="95"/>
  <c r="I13" i="72"/>
  <c r="I12" i="57"/>
  <c r="E53" i="146"/>
  <c r="C52" i="146"/>
  <c r="C53" i="102"/>
  <c r="E54" i="102"/>
  <c r="I13" i="63"/>
  <c r="I12" i="114"/>
  <c r="I13" i="44"/>
  <c r="C55" i="126"/>
  <c r="E56" i="126"/>
  <c r="E58" i="8"/>
  <c r="C57" i="8"/>
  <c r="BP58" i="1"/>
  <c r="HC58" i="2"/>
  <c r="E57" i="23"/>
  <c r="C56" i="23"/>
  <c r="E56" i="54"/>
  <c r="C55" i="54"/>
  <c r="C56" i="122"/>
  <c r="E57" i="122"/>
  <c r="I12" i="67"/>
  <c r="C54" i="73"/>
  <c r="E55" i="73"/>
  <c r="C56" i="164"/>
  <c r="E57" i="164"/>
  <c r="AJ59" i="1"/>
  <c r="I11" i="112"/>
  <c r="I13" i="83"/>
  <c r="I13" i="37"/>
  <c r="E57" i="35"/>
  <c r="C56" i="35"/>
  <c r="C50" i="82"/>
  <c r="E51" i="82"/>
  <c r="CB58" i="2"/>
  <c r="E58" i="93"/>
  <c r="C57" i="93"/>
  <c r="E55" i="40"/>
  <c r="C54" i="40"/>
  <c r="I11" i="55"/>
  <c r="I11" i="125"/>
  <c r="E57" i="97"/>
  <c r="C56" i="97"/>
  <c r="E57" i="70"/>
  <c r="C56" i="70"/>
  <c r="I13" i="30"/>
  <c r="I12" i="155"/>
  <c r="I11" i="147"/>
  <c r="E53" i="138"/>
  <c r="C52" i="138"/>
  <c r="I11" i="43"/>
  <c r="E56" i="17"/>
  <c r="C55" i="17"/>
  <c r="E57" i="71"/>
  <c r="C56" i="71"/>
  <c r="C57" i="29"/>
  <c r="E58" i="29"/>
  <c r="I14" i="29"/>
  <c r="I16" i="145"/>
  <c r="I15" i="22"/>
  <c r="E56" i="116"/>
  <c r="C55" i="116"/>
  <c r="I12" i="144"/>
  <c r="I11" i="105"/>
  <c r="I12" i="21"/>
  <c r="I14" i="127"/>
  <c r="E55" i="72"/>
  <c r="C54" i="72"/>
  <c r="C56" i="20"/>
  <c r="E57" i="20"/>
  <c r="E58" i="143"/>
  <c r="C57" i="143"/>
  <c r="I14" i="164"/>
  <c r="E58" i="14"/>
  <c r="C57" i="14"/>
  <c r="GR57" i="2" s="1"/>
  <c r="GR58" i="2"/>
  <c r="AU59" i="1"/>
  <c r="C53" i="165"/>
  <c r="E54" i="165"/>
  <c r="I13" i="124"/>
  <c r="E58" i="170"/>
  <c r="C57" i="170"/>
  <c r="CW57" i="2"/>
  <c r="I12" i="116"/>
  <c r="C57" i="7"/>
  <c r="EO57" i="2" s="1"/>
  <c r="E58" i="7"/>
  <c r="AT58" i="1"/>
  <c r="E58" i="136"/>
  <c r="C57" i="136"/>
  <c r="I14" i="150"/>
  <c r="I11" i="140"/>
  <c r="I13" i="165"/>
  <c r="C54" i="173"/>
  <c r="E55" i="173"/>
  <c r="I11" i="160"/>
  <c r="E54" i="43"/>
  <c r="C53" i="43"/>
  <c r="I11" i="11"/>
  <c r="E58" i="152"/>
  <c r="C57" i="152"/>
  <c r="M57" i="2" s="1"/>
  <c r="E56" i="22"/>
  <c r="C55" i="22"/>
  <c r="C55" i="137"/>
  <c r="E56" i="137"/>
  <c r="I14" i="62"/>
  <c r="I11" i="120"/>
  <c r="I15" i="71"/>
  <c r="E57" i="21"/>
  <c r="C56" i="21"/>
  <c r="E56" i="18"/>
  <c r="C55" i="18"/>
  <c r="C54" i="163"/>
  <c r="E55" i="163"/>
  <c r="E56" i="112"/>
  <c r="C55" i="112"/>
  <c r="CW56" i="2"/>
  <c r="E57" i="78"/>
  <c r="C56" i="78"/>
  <c r="E56" i="128"/>
  <c r="C55" i="128"/>
  <c r="FK58" i="2"/>
  <c r="I11" i="40"/>
  <c r="C57" i="90"/>
  <c r="E58" i="90"/>
  <c r="I13" i="68"/>
  <c r="IV58" i="2"/>
  <c r="I16" i="61"/>
  <c r="E57" i="125"/>
  <c r="C56" i="125"/>
  <c r="C52" i="32"/>
  <c r="E53" i="32"/>
  <c r="I14" i="136"/>
  <c r="I12" i="39"/>
  <c r="I12" i="76"/>
  <c r="I12" i="52"/>
  <c r="Y59" i="1"/>
  <c r="E56" i="139"/>
  <c r="C55" i="139"/>
  <c r="E58" i="109"/>
  <c r="C57" i="109"/>
  <c r="ED58" i="2"/>
  <c r="E55" i="39"/>
  <c r="C54" i="39"/>
  <c r="I12" i="97"/>
  <c r="I12" i="104"/>
  <c r="I12" i="126"/>
  <c r="C56" i="13"/>
  <c r="E57" i="13"/>
  <c r="IU57" i="2"/>
  <c r="I13" i="139"/>
  <c r="N59" i="1"/>
  <c r="AI58" i="1"/>
  <c r="I12" i="106"/>
  <c r="E53" i="157"/>
  <c r="C52" i="157"/>
  <c r="I14" i="142"/>
  <c r="I15" i="59"/>
  <c r="EE59" i="2"/>
  <c r="I12" i="5"/>
  <c r="I14" i="156"/>
  <c r="I12" i="19"/>
  <c r="GS59" i="2"/>
  <c r="C56" i="147"/>
  <c r="E57" i="147"/>
  <c r="C54" i="85"/>
  <c r="E55" i="85"/>
  <c r="I13" i="113"/>
  <c r="I11" i="148"/>
  <c r="I11" i="141"/>
  <c r="I12" i="56"/>
  <c r="I16" i="12"/>
  <c r="I14" i="135"/>
  <c r="I11" i="65"/>
  <c r="I12" i="121"/>
  <c r="Y59" i="2"/>
  <c r="E58" i="91"/>
  <c r="C57" i="91"/>
  <c r="E57" i="31"/>
  <c r="C56" i="31"/>
  <c r="CA57" i="2"/>
  <c r="C52" i="87"/>
  <c r="E53" i="87"/>
  <c r="E56" i="19"/>
  <c r="C55" i="19"/>
  <c r="I13" i="28"/>
  <c r="I13" i="25"/>
  <c r="I11" i="91"/>
  <c r="E56" i="167"/>
  <c r="C55" i="167"/>
  <c r="I12" i="87"/>
  <c r="HY58" i="2"/>
  <c r="I14" i="132"/>
  <c r="I14" i="117"/>
  <c r="I11" i="8"/>
  <c r="I12" i="137"/>
  <c r="I12" i="50"/>
  <c r="E55" i="47"/>
  <c r="C54" i="47"/>
  <c r="I11" i="130"/>
  <c r="C57" i="12"/>
  <c r="E58" i="12"/>
  <c r="M58" i="1"/>
  <c r="X58" i="2"/>
  <c r="C56" i="156" l="1"/>
  <c r="E57" i="156"/>
  <c r="C55" i="149"/>
  <c r="E56" i="149"/>
  <c r="C56" i="130"/>
  <c r="E57" i="130"/>
  <c r="E52" i="98"/>
  <c r="C51" i="98"/>
  <c r="E57" i="74"/>
  <c r="C56" i="74"/>
  <c r="E56" i="61"/>
  <c r="C55" i="61"/>
  <c r="E56" i="59"/>
  <c r="C55" i="59"/>
  <c r="AI57" i="2"/>
  <c r="C56" i="150"/>
  <c r="E57" i="150"/>
  <c r="EP57" i="2"/>
  <c r="N57" i="2"/>
  <c r="GS57" i="2"/>
  <c r="AJ57" i="2"/>
  <c r="E52" i="157"/>
  <c r="C51" i="157"/>
  <c r="I12" i="141"/>
  <c r="E56" i="125"/>
  <c r="C55" i="125"/>
  <c r="C53" i="40"/>
  <c r="E54" i="40"/>
  <c r="HD58" i="2"/>
  <c r="C55" i="63"/>
  <c r="E56" i="63"/>
  <c r="C53" i="127"/>
  <c r="E54" i="127"/>
  <c r="I12" i="90"/>
  <c r="I14" i="23"/>
  <c r="I13" i="168"/>
  <c r="E55" i="67"/>
  <c r="C54" i="67"/>
  <c r="C54" i="110"/>
  <c r="E55" i="110"/>
  <c r="C56" i="58"/>
  <c r="E57" i="58"/>
  <c r="I13" i="50"/>
  <c r="I13" i="5"/>
  <c r="E55" i="112"/>
  <c r="C54" i="112"/>
  <c r="I15" i="142"/>
  <c r="I12" i="91"/>
  <c r="I12" i="148"/>
  <c r="I14" i="139"/>
  <c r="I14" i="124"/>
  <c r="BQ58" i="1"/>
  <c r="I15" i="48"/>
  <c r="C55" i="134"/>
  <c r="E56" i="134"/>
  <c r="EZ56" i="2"/>
  <c r="I14" i="118"/>
  <c r="E55" i="148"/>
  <c r="C54" i="148"/>
  <c r="I13" i="153"/>
  <c r="IV57" i="2"/>
  <c r="E55" i="137"/>
  <c r="C54" i="137"/>
  <c r="I15" i="29"/>
  <c r="C56" i="93"/>
  <c r="E57" i="93"/>
  <c r="E57" i="8"/>
  <c r="HC57" i="2"/>
  <c r="C56" i="8"/>
  <c r="BP57" i="1"/>
  <c r="E54" i="62"/>
  <c r="C53" i="62"/>
  <c r="C54" i="135"/>
  <c r="E55" i="135"/>
  <c r="I14" i="93"/>
  <c r="E55" i="4"/>
  <c r="C54" i="4"/>
  <c r="I17" i="61"/>
  <c r="E55" i="22"/>
  <c r="C54" i="22"/>
  <c r="C52" i="165"/>
  <c r="E53" i="165"/>
  <c r="I15" i="122"/>
  <c r="E55" i="57"/>
  <c r="C54" i="57"/>
  <c r="I12" i="45"/>
  <c r="E55" i="113"/>
  <c r="C54" i="113"/>
  <c r="E55" i="64"/>
  <c r="C54" i="64"/>
  <c r="E57" i="49"/>
  <c r="C56" i="49"/>
  <c r="I12" i="174"/>
  <c r="C53" i="51"/>
  <c r="E54" i="51"/>
  <c r="I16" i="24"/>
  <c r="E54" i="37"/>
  <c r="C53" i="37"/>
  <c r="E57" i="27"/>
  <c r="C56" i="27"/>
  <c r="E57" i="29"/>
  <c r="C56" i="29"/>
  <c r="X57" i="1"/>
  <c r="DI57" i="2"/>
  <c r="BQ58" i="2"/>
  <c r="I12" i="109"/>
  <c r="I17" i="133"/>
  <c r="E53" i="131"/>
  <c r="C52" i="131"/>
  <c r="I12" i="36"/>
  <c r="I14" i="158"/>
  <c r="E56" i="71"/>
  <c r="C55" i="71"/>
  <c r="E55" i="126"/>
  <c r="C54" i="126"/>
  <c r="E56" i="133"/>
  <c r="C55" i="133"/>
  <c r="DH56" i="2"/>
  <c r="I16" i="27"/>
  <c r="E57" i="52"/>
  <c r="C56" i="52"/>
  <c r="BP57" i="2"/>
  <c r="I15" i="89"/>
  <c r="C55" i="76"/>
  <c r="E56" i="76"/>
  <c r="E57" i="92"/>
  <c r="C56" i="92"/>
  <c r="GS58" i="2"/>
  <c r="I14" i="44"/>
  <c r="C54" i="68"/>
  <c r="E55" i="68"/>
  <c r="C52" i="105"/>
  <c r="E53" i="105"/>
  <c r="I12" i="146"/>
  <c r="C55" i="101"/>
  <c r="E56" i="101"/>
  <c r="I17" i="134"/>
  <c r="I13" i="85"/>
  <c r="I13" i="33"/>
  <c r="I12" i="69"/>
  <c r="I13" i="161"/>
  <c r="I15" i="16"/>
  <c r="I13" i="3"/>
  <c r="C53" i="159"/>
  <c r="E54" i="159"/>
  <c r="DT56" i="2"/>
  <c r="I12" i="96"/>
  <c r="I12" i="11"/>
  <c r="I16" i="42"/>
  <c r="I13" i="169"/>
  <c r="E55" i="81"/>
  <c r="C54" i="81"/>
  <c r="I12" i="100"/>
  <c r="C54" i="5"/>
  <c r="E55" i="5"/>
  <c r="E55" i="129"/>
  <c r="C54" i="129"/>
  <c r="DS55" i="2"/>
  <c r="I13" i="162"/>
  <c r="E54" i="171"/>
  <c r="C53" i="171"/>
  <c r="N58" i="1"/>
  <c r="I14" i="28"/>
  <c r="I13" i="114"/>
  <c r="I14" i="159"/>
  <c r="E54" i="69"/>
  <c r="C53" i="69"/>
  <c r="I12" i="34"/>
  <c r="I15" i="128"/>
  <c r="E57" i="90"/>
  <c r="C56" i="90"/>
  <c r="E53" i="43"/>
  <c r="C52" i="43"/>
  <c r="I15" i="164"/>
  <c r="I17" i="15"/>
  <c r="E55" i="19"/>
  <c r="C54" i="19"/>
  <c r="I13" i="97"/>
  <c r="I12" i="43"/>
  <c r="E56" i="35"/>
  <c r="C55" i="35"/>
  <c r="AU58" i="2"/>
  <c r="I17" i="74"/>
  <c r="E55" i="60"/>
  <c r="C54" i="60"/>
  <c r="E55" i="9"/>
  <c r="C54" i="9"/>
  <c r="I12" i="171"/>
  <c r="E57" i="155"/>
  <c r="C56" i="155"/>
  <c r="I14" i="149"/>
  <c r="C53" i="85"/>
  <c r="E54" i="85"/>
  <c r="I14" i="68"/>
  <c r="E57" i="14"/>
  <c r="C56" i="14"/>
  <c r="E57" i="12"/>
  <c r="M57" i="1"/>
  <c r="C56" i="12"/>
  <c r="X57" i="2"/>
  <c r="E54" i="39"/>
  <c r="C53" i="39"/>
  <c r="I12" i="40"/>
  <c r="I12" i="160"/>
  <c r="E57" i="143"/>
  <c r="C56" i="143"/>
  <c r="I14" i="63"/>
  <c r="E53" i="160"/>
  <c r="C52" i="160"/>
  <c r="I13" i="151"/>
  <c r="I15" i="9"/>
  <c r="C56" i="100"/>
  <c r="E57" i="100"/>
  <c r="I12" i="58"/>
  <c r="I14" i="10"/>
  <c r="I12" i="163"/>
  <c r="I13" i="131"/>
  <c r="FL58" i="2"/>
  <c r="E55" i="66"/>
  <c r="C54" i="66"/>
  <c r="C56" i="3"/>
  <c r="E57" i="3"/>
  <c r="I13" i="73"/>
  <c r="C54" i="94"/>
  <c r="E55" i="94"/>
  <c r="I13" i="170"/>
  <c r="I12" i="35"/>
  <c r="E50" i="82"/>
  <c r="C49" i="82"/>
  <c r="E57" i="50"/>
  <c r="C56" i="50"/>
  <c r="AT57" i="2"/>
  <c r="EE58" i="2"/>
  <c r="I14" i="37"/>
  <c r="E56" i="33"/>
  <c r="C55" i="33"/>
  <c r="IK57" i="2"/>
  <c r="E54" i="168"/>
  <c r="C53" i="168"/>
  <c r="I13" i="31"/>
  <c r="I14" i="113"/>
  <c r="C56" i="109"/>
  <c r="E57" i="109"/>
  <c r="ED57" i="2"/>
  <c r="E56" i="20"/>
  <c r="C55" i="20"/>
  <c r="I12" i="147"/>
  <c r="I14" i="83"/>
  <c r="C51" i="146"/>
  <c r="E52" i="146"/>
  <c r="E55" i="75"/>
  <c r="C54" i="75"/>
  <c r="I17" i="75"/>
  <c r="C55" i="108"/>
  <c r="E56" i="108"/>
  <c r="E56" i="151"/>
  <c r="C55" i="151"/>
  <c r="E56" i="154"/>
  <c r="C55" i="154"/>
  <c r="IJ56" i="2"/>
  <c r="C54" i="104"/>
  <c r="E55" i="104"/>
  <c r="E56" i="41"/>
  <c r="C55" i="41"/>
  <c r="E55" i="25"/>
  <c r="C54" i="25"/>
  <c r="C53" i="115"/>
  <c r="E54" i="115"/>
  <c r="E57" i="121"/>
  <c r="C56" i="121"/>
  <c r="I15" i="78"/>
  <c r="E56" i="162"/>
  <c r="C55" i="162"/>
  <c r="I13" i="88"/>
  <c r="I14" i="129"/>
  <c r="I14" i="25"/>
  <c r="I13" i="104"/>
  <c r="C54" i="17"/>
  <c r="E55" i="17"/>
  <c r="I15" i="156"/>
  <c r="E55" i="139"/>
  <c r="C54" i="139"/>
  <c r="I14" i="165"/>
  <c r="I12" i="64"/>
  <c r="CM58" i="2"/>
  <c r="I15" i="152"/>
  <c r="I13" i="123"/>
  <c r="FW58" i="2"/>
  <c r="I15" i="77"/>
  <c r="HZ57" i="2"/>
  <c r="C51" i="138"/>
  <c r="E52" i="138"/>
  <c r="C55" i="117"/>
  <c r="E56" i="117"/>
  <c r="E52" i="87"/>
  <c r="C51" i="87"/>
  <c r="E55" i="128"/>
  <c r="C54" i="128"/>
  <c r="E57" i="158"/>
  <c r="C56" i="158"/>
  <c r="I13" i="103"/>
  <c r="I12" i="143"/>
  <c r="I14" i="99"/>
  <c r="I12" i="47"/>
  <c r="I13" i="108"/>
  <c r="C55" i="169"/>
  <c r="E56" i="169"/>
  <c r="HY56" i="2"/>
  <c r="BF58" i="2"/>
  <c r="I13" i="20"/>
  <c r="HO57" i="2"/>
  <c r="I13" i="84"/>
  <c r="E55" i="161"/>
  <c r="C54" i="161"/>
  <c r="E55" i="118"/>
  <c r="C54" i="118"/>
  <c r="E57" i="42"/>
  <c r="C56" i="42"/>
  <c r="FV57" i="2"/>
  <c r="C53" i="26"/>
  <c r="E54" i="26"/>
  <c r="C53" i="173"/>
  <c r="E54" i="173"/>
  <c r="I12" i="140"/>
  <c r="I14" i="30"/>
  <c r="I14" i="72"/>
  <c r="I16" i="14"/>
  <c r="I16" i="82"/>
  <c r="CB58" i="1"/>
  <c r="I17" i="7"/>
  <c r="E56" i="38"/>
  <c r="C55" i="38"/>
  <c r="I14" i="66"/>
  <c r="C56" i="172"/>
  <c r="E57" i="172"/>
  <c r="I13" i="57"/>
  <c r="C55" i="70"/>
  <c r="E56" i="70"/>
  <c r="I15" i="107"/>
  <c r="E56" i="89"/>
  <c r="C55" i="89"/>
  <c r="C56" i="6"/>
  <c r="IU56" i="2" s="1"/>
  <c r="E57" i="6"/>
  <c r="CA57" i="1"/>
  <c r="E56" i="132"/>
  <c r="C55" i="132"/>
  <c r="E55" i="65"/>
  <c r="C54" i="65"/>
  <c r="I13" i="4"/>
  <c r="I12" i="81"/>
  <c r="E56" i="31"/>
  <c r="C55" i="31"/>
  <c r="E57" i="91"/>
  <c r="C56" i="91"/>
  <c r="E56" i="164"/>
  <c r="C55" i="164"/>
  <c r="I12" i="95"/>
  <c r="C52" i="34"/>
  <c r="E53" i="34"/>
  <c r="C53" i="124"/>
  <c r="E54" i="124"/>
  <c r="I14" i="18"/>
  <c r="E56" i="10"/>
  <c r="C55" i="10"/>
  <c r="I15" i="172"/>
  <c r="I14" i="60"/>
  <c r="I12" i="8"/>
  <c r="I16" i="59"/>
  <c r="I13" i="52"/>
  <c r="C56" i="136"/>
  <c r="E57" i="136"/>
  <c r="I13" i="21"/>
  <c r="I15" i="101"/>
  <c r="E56" i="48"/>
  <c r="C55" i="48"/>
  <c r="C56" i="28"/>
  <c r="E57" i="28"/>
  <c r="E52" i="166"/>
  <c r="C51" i="166"/>
  <c r="E56" i="153"/>
  <c r="C55" i="153"/>
  <c r="E54" i="141"/>
  <c r="C53" i="141"/>
  <c r="I13" i="54"/>
  <c r="I16" i="32"/>
  <c r="C56" i="55"/>
  <c r="E57" i="55"/>
  <c r="E56" i="140"/>
  <c r="C55" i="140"/>
  <c r="E56" i="147"/>
  <c r="C55" i="147"/>
  <c r="C55" i="78"/>
  <c r="E56" i="78"/>
  <c r="E55" i="11"/>
  <c r="C54" i="11"/>
  <c r="I13" i="111"/>
  <c r="E57" i="46"/>
  <c r="C56" i="46"/>
  <c r="AI57" i="1"/>
  <c r="I13" i="70"/>
  <c r="C56" i="152"/>
  <c r="E57" i="152"/>
  <c r="I12" i="130"/>
  <c r="E54" i="47"/>
  <c r="C53" i="47"/>
  <c r="AU58" i="1"/>
  <c r="I13" i="67"/>
  <c r="E54" i="106"/>
  <c r="C53" i="106"/>
  <c r="E56" i="77"/>
  <c r="C55" i="77"/>
  <c r="E56" i="36"/>
  <c r="C55" i="36"/>
  <c r="I13" i="86"/>
  <c r="I14" i="41"/>
  <c r="C55" i="79"/>
  <c r="E56" i="79"/>
  <c r="I14" i="92"/>
  <c r="E54" i="86"/>
  <c r="C53" i="86"/>
  <c r="C56" i="174"/>
  <c r="E57" i="174"/>
  <c r="E57" i="53"/>
  <c r="C56" i="53"/>
  <c r="C54" i="18"/>
  <c r="E55" i="18"/>
  <c r="I12" i="105"/>
  <c r="I13" i="76"/>
  <c r="E56" i="21"/>
  <c r="C55" i="21"/>
  <c r="E56" i="97"/>
  <c r="C55" i="97"/>
  <c r="C55" i="44"/>
  <c r="E56" i="44"/>
  <c r="I12" i="166"/>
  <c r="E54" i="123"/>
  <c r="C53" i="123"/>
  <c r="E57" i="107"/>
  <c r="C56" i="107"/>
  <c r="E56" i="15"/>
  <c r="C55" i="15"/>
  <c r="E56" i="142"/>
  <c r="C55" i="142"/>
  <c r="I15" i="150"/>
  <c r="I13" i="137"/>
  <c r="I13" i="121"/>
  <c r="I12" i="65"/>
  <c r="E57" i="7"/>
  <c r="C56" i="7"/>
  <c r="EO56" i="2" s="1"/>
  <c r="AT57" i="1"/>
  <c r="I13" i="144"/>
  <c r="C54" i="16"/>
  <c r="E55" i="16"/>
  <c r="E55" i="83"/>
  <c r="C54" i="83"/>
  <c r="I13" i="154"/>
  <c r="C55" i="96"/>
  <c r="E56" i="96"/>
  <c r="E56" i="80"/>
  <c r="C55" i="80"/>
  <c r="I13" i="138"/>
  <c r="Y58" i="2"/>
  <c r="BE57" i="2"/>
  <c r="E54" i="72"/>
  <c r="C53" i="72"/>
  <c r="I15" i="117"/>
  <c r="E55" i="116"/>
  <c r="C54" i="116"/>
  <c r="C55" i="122"/>
  <c r="E56" i="122"/>
  <c r="I17" i="46"/>
  <c r="E56" i="119"/>
  <c r="C55" i="119"/>
  <c r="FL57" i="2"/>
  <c r="E52" i="30"/>
  <c r="C51" i="30"/>
  <c r="I12" i="38"/>
  <c r="I14" i="157"/>
  <c r="I15" i="51"/>
  <c r="I12" i="110"/>
  <c r="I13" i="126"/>
  <c r="CB57" i="2"/>
  <c r="E54" i="163"/>
  <c r="C53" i="163"/>
  <c r="I15" i="135"/>
  <c r="I13" i="39"/>
  <c r="I15" i="136"/>
  <c r="I12" i="125"/>
  <c r="E55" i="54"/>
  <c r="C54" i="54"/>
  <c r="I15" i="13"/>
  <c r="I13" i="49"/>
  <c r="I14" i="173"/>
  <c r="E56" i="145"/>
  <c r="C55" i="145"/>
  <c r="E54" i="120"/>
  <c r="C53" i="120"/>
  <c r="E53" i="45"/>
  <c r="C52" i="45"/>
  <c r="I13" i="155"/>
  <c r="I15" i="127"/>
  <c r="I13" i="53"/>
  <c r="I13" i="116"/>
  <c r="HZ58" i="2"/>
  <c r="I17" i="12"/>
  <c r="I13" i="106"/>
  <c r="I16" i="71"/>
  <c r="I13" i="56"/>
  <c r="AJ58" i="1"/>
  <c r="CX57" i="2"/>
  <c r="I16" i="22"/>
  <c r="C53" i="84"/>
  <c r="E54" i="84"/>
  <c r="E55" i="144"/>
  <c r="C54" i="144"/>
  <c r="E56" i="88"/>
  <c r="C55" i="88"/>
  <c r="C55" i="95"/>
  <c r="E56" i="95"/>
  <c r="I12" i="17"/>
  <c r="I16" i="94"/>
  <c r="I14" i="115"/>
  <c r="E55" i="103"/>
  <c r="C54" i="103"/>
  <c r="I12" i="102"/>
  <c r="I13" i="19"/>
  <c r="CX56" i="2"/>
  <c r="I12" i="120"/>
  <c r="E57" i="170"/>
  <c r="C56" i="170"/>
  <c r="I12" i="55"/>
  <c r="E56" i="23"/>
  <c r="C55" i="23"/>
  <c r="E55" i="99"/>
  <c r="C54" i="99"/>
  <c r="I16" i="79"/>
  <c r="E56" i="114"/>
  <c r="C55" i="114"/>
  <c r="HO58" i="2"/>
  <c r="I13" i="119"/>
  <c r="I14" i="167"/>
  <c r="I15" i="26"/>
  <c r="I13" i="80"/>
  <c r="E56" i="13"/>
  <c r="C55" i="13"/>
  <c r="C52" i="102"/>
  <c r="E53" i="102"/>
  <c r="I12" i="112"/>
  <c r="E54" i="73"/>
  <c r="C53" i="73"/>
  <c r="I15" i="132"/>
  <c r="I13" i="87"/>
  <c r="E55" i="167"/>
  <c r="C54" i="167"/>
  <c r="C51" i="32"/>
  <c r="E52" i="32"/>
  <c r="I15" i="62"/>
  <c r="I17" i="145"/>
  <c r="CL57" i="2"/>
  <c r="FA57" i="2"/>
  <c r="E53" i="111"/>
  <c r="C52" i="111"/>
  <c r="I15" i="98"/>
  <c r="E57" i="56"/>
  <c r="C56" i="56"/>
  <c r="C55" i="156" l="1"/>
  <c r="E56" i="156"/>
  <c r="C54" i="149"/>
  <c r="E55" i="149"/>
  <c r="E56" i="130"/>
  <c r="C55" i="130"/>
  <c r="BE56" i="2"/>
  <c r="E51" i="98"/>
  <c r="C50" i="98"/>
  <c r="E56" i="74"/>
  <c r="C55" i="74"/>
  <c r="C54" i="61"/>
  <c r="E55" i="61"/>
  <c r="C54" i="59"/>
  <c r="E55" i="59"/>
  <c r="E56" i="150"/>
  <c r="C55" i="150"/>
  <c r="EP56" i="2"/>
  <c r="BF56" i="2"/>
  <c r="I16" i="132"/>
  <c r="I18" i="46"/>
  <c r="I14" i="31"/>
  <c r="C52" i="163"/>
  <c r="E53" i="163"/>
  <c r="I14" i="86"/>
  <c r="I15" i="60"/>
  <c r="E55" i="89"/>
  <c r="C54" i="89"/>
  <c r="E53" i="173"/>
  <c r="C52" i="173"/>
  <c r="C55" i="158"/>
  <c r="E56" i="158"/>
  <c r="C54" i="108"/>
  <c r="E55" i="108"/>
  <c r="I15" i="149"/>
  <c r="I13" i="34"/>
  <c r="I18" i="61"/>
  <c r="I16" i="48"/>
  <c r="E55" i="164"/>
  <c r="C54" i="164"/>
  <c r="E55" i="169"/>
  <c r="C54" i="169"/>
  <c r="I14" i="80"/>
  <c r="E56" i="56"/>
  <c r="C55" i="56"/>
  <c r="I15" i="115"/>
  <c r="I14" i="116"/>
  <c r="C52" i="123"/>
  <c r="E53" i="123"/>
  <c r="E55" i="36"/>
  <c r="C54" i="36"/>
  <c r="C55" i="100"/>
  <c r="E56" i="100"/>
  <c r="C55" i="155"/>
  <c r="E56" i="155"/>
  <c r="C52" i="69"/>
  <c r="E53" i="69"/>
  <c r="I13" i="90"/>
  <c r="E55" i="95"/>
  <c r="C54" i="95"/>
  <c r="E54" i="144"/>
  <c r="C53" i="144"/>
  <c r="I13" i="38"/>
  <c r="I16" i="62"/>
  <c r="I17" i="82"/>
  <c r="I16" i="172"/>
  <c r="E53" i="26"/>
  <c r="C52" i="26"/>
  <c r="C53" i="128"/>
  <c r="E54" i="128"/>
  <c r="E54" i="17"/>
  <c r="C53" i="17"/>
  <c r="I18" i="75"/>
  <c r="I16" i="9"/>
  <c r="I13" i="96"/>
  <c r="C55" i="92"/>
  <c r="E56" i="92"/>
  <c r="Y57" i="1"/>
  <c r="E54" i="4"/>
  <c r="C53" i="4"/>
  <c r="E55" i="10"/>
  <c r="C54" i="10"/>
  <c r="I16" i="107"/>
  <c r="FW57" i="2"/>
  <c r="E54" i="75"/>
  <c r="C53" i="75"/>
  <c r="AU57" i="2"/>
  <c r="C55" i="29"/>
  <c r="E56" i="29"/>
  <c r="I15" i="124"/>
  <c r="E53" i="127"/>
  <c r="C52" i="127"/>
  <c r="I14" i="138"/>
  <c r="I13" i="166"/>
  <c r="I17" i="32"/>
  <c r="C55" i="42"/>
  <c r="E56" i="42"/>
  <c r="FV56" i="2"/>
  <c r="E51" i="87"/>
  <c r="C50" i="87"/>
  <c r="I14" i="104"/>
  <c r="C55" i="50"/>
  <c r="E56" i="50"/>
  <c r="AT56" i="2"/>
  <c r="I13" i="171"/>
  <c r="I15" i="159"/>
  <c r="CL56" i="2"/>
  <c r="E56" i="46"/>
  <c r="C55" i="46"/>
  <c r="C54" i="77"/>
  <c r="E55" i="77"/>
  <c r="I16" i="98"/>
  <c r="I16" i="26"/>
  <c r="I17" i="94"/>
  <c r="E53" i="106"/>
  <c r="C52" i="106"/>
  <c r="I15" i="18"/>
  <c r="C54" i="70"/>
  <c r="E55" i="70"/>
  <c r="I15" i="25"/>
  <c r="I14" i="151"/>
  <c r="E54" i="9"/>
  <c r="C53" i="9"/>
  <c r="I14" i="114"/>
  <c r="E55" i="76"/>
  <c r="C54" i="76"/>
  <c r="C55" i="27"/>
  <c r="E56" i="27"/>
  <c r="I15" i="93"/>
  <c r="I15" i="139"/>
  <c r="E56" i="55"/>
  <c r="C55" i="55"/>
  <c r="C54" i="80"/>
  <c r="E55" i="80"/>
  <c r="E52" i="111"/>
  <c r="C51" i="111"/>
  <c r="I13" i="17"/>
  <c r="I14" i="53"/>
  <c r="I14" i="126"/>
  <c r="I15" i="167"/>
  <c r="I16" i="127"/>
  <c r="I13" i="110"/>
  <c r="C54" i="96"/>
  <c r="E55" i="96"/>
  <c r="E55" i="44"/>
  <c r="C54" i="44"/>
  <c r="I14" i="54"/>
  <c r="E54" i="118"/>
  <c r="C53" i="118"/>
  <c r="C50" i="146"/>
  <c r="E51" i="146"/>
  <c r="E49" i="82"/>
  <c r="C48" i="82"/>
  <c r="E55" i="63"/>
  <c r="C54" i="63"/>
  <c r="I14" i="119"/>
  <c r="E53" i="141"/>
  <c r="C52" i="141"/>
  <c r="I14" i="57"/>
  <c r="I15" i="129"/>
  <c r="E52" i="160"/>
  <c r="C51" i="160"/>
  <c r="C53" i="60"/>
  <c r="E54" i="60"/>
  <c r="I15" i="28"/>
  <c r="E53" i="159"/>
  <c r="C52" i="159"/>
  <c r="I16" i="89"/>
  <c r="E53" i="37"/>
  <c r="C52" i="37"/>
  <c r="E54" i="135"/>
  <c r="C53" i="135"/>
  <c r="E55" i="97"/>
  <c r="C54" i="97"/>
  <c r="E53" i="124"/>
  <c r="C52" i="124"/>
  <c r="I15" i="83"/>
  <c r="I13" i="35"/>
  <c r="I14" i="3"/>
  <c r="BQ57" i="2"/>
  <c r="E53" i="62"/>
  <c r="C52" i="62"/>
  <c r="I13" i="148"/>
  <c r="I14" i="155"/>
  <c r="CM57" i="2"/>
  <c r="I16" i="51"/>
  <c r="C54" i="153"/>
  <c r="E55" i="153"/>
  <c r="E54" i="161"/>
  <c r="C53" i="161"/>
  <c r="C54" i="117"/>
  <c r="E55" i="117"/>
  <c r="E56" i="52"/>
  <c r="C55" i="52"/>
  <c r="BP56" i="2"/>
  <c r="I17" i="24"/>
  <c r="I13" i="91"/>
  <c r="I14" i="154"/>
  <c r="C55" i="172"/>
  <c r="E56" i="172"/>
  <c r="E55" i="88"/>
  <c r="C54" i="88"/>
  <c r="FK55" i="2"/>
  <c r="C51" i="45"/>
  <c r="E52" i="45"/>
  <c r="I15" i="157"/>
  <c r="C53" i="83"/>
  <c r="E54" i="83"/>
  <c r="C54" i="21"/>
  <c r="E55" i="21"/>
  <c r="C51" i="34"/>
  <c r="E52" i="34"/>
  <c r="I14" i="88"/>
  <c r="I13" i="147"/>
  <c r="I15" i="63"/>
  <c r="I18" i="74"/>
  <c r="BQ57" i="1"/>
  <c r="I14" i="67"/>
  <c r="FK56" i="2"/>
  <c r="I18" i="145"/>
  <c r="C54" i="114"/>
  <c r="E55" i="114"/>
  <c r="E53" i="47"/>
  <c r="C52" i="47"/>
  <c r="E51" i="166"/>
  <c r="C50" i="166"/>
  <c r="I15" i="66"/>
  <c r="C54" i="162"/>
  <c r="E55" i="162"/>
  <c r="E55" i="20"/>
  <c r="C54" i="20"/>
  <c r="I14" i="170"/>
  <c r="E56" i="143"/>
  <c r="C55" i="143"/>
  <c r="E53" i="171"/>
  <c r="C52" i="171"/>
  <c r="I16" i="16"/>
  <c r="C55" i="8"/>
  <c r="E56" i="8"/>
  <c r="HC56" i="2"/>
  <c r="BP56" i="1"/>
  <c r="I16" i="142"/>
  <c r="E53" i="40"/>
  <c r="C52" i="40"/>
  <c r="I14" i="76"/>
  <c r="I13" i="95"/>
  <c r="C54" i="38"/>
  <c r="E55" i="38"/>
  <c r="I14" i="84"/>
  <c r="E51" i="138"/>
  <c r="C50" i="138"/>
  <c r="I17" i="27"/>
  <c r="E53" i="51"/>
  <c r="C52" i="51"/>
  <c r="HD57" i="2"/>
  <c r="E55" i="125"/>
  <c r="C54" i="125"/>
  <c r="E53" i="120"/>
  <c r="C52" i="120"/>
  <c r="I16" i="78"/>
  <c r="EE57" i="2"/>
  <c r="C53" i="94"/>
  <c r="E54" i="94"/>
  <c r="E55" i="35"/>
  <c r="C54" i="35"/>
  <c r="I14" i="162"/>
  <c r="I14" i="161"/>
  <c r="DI56" i="2"/>
  <c r="I13" i="174"/>
  <c r="CW55" i="2"/>
  <c r="E55" i="145"/>
  <c r="C54" i="145"/>
  <c r="C50" i="30"/>
  <c r="E51" i="30"/>
  <c r="I13" i="105"/>
  <c r="E56" i="28"/>
  <c r="C55" i="28"/>
  <c r="I18" i="7"/>
  <c r="I14" i="73"/>
  <c r="I13" i="160"/>
  <c r="I13" i="69"/>
  <c r="C54" i="133"/>
  <c r="E55" i="133"/>
  <c r="DH55" i="2"/>
  <c r="E54" i="112"/>
  <c r="C53" i="112"/>
  <c r="I13" i="141"/>
  <c r="C55" i="91"/>
  <c r="E56" i="91"/>
  <c r="I14" i="20"/>
  <c r="I16" i="77"/>
  <c r="E56" i="121"/>
  <c r="C55" i="121"/>
  <c r="E56" i="109"/>
  <c r="C55" i="109"/>
  <c r="ED56" i="2"/>
  <c r="I13" i="40"/>
  <c r="I13" i="43"/>
  <c r="DT55" i="2"/>
  <c r="C55" i="49"/>
  <c r="AI55" i="2" s="1"/>
  <c r="E56" i="49"/>
  <c r="E56" i="93"/>
  <c r="C55" i="93"/>
  <c r="I15" i="173"/>
  <c r="AU57" i="1"/>
  <c r="E56" i="152"/>
  <c r="C55" i="152"/>
  <c r="M55" i="2" s="1"/>
  <c r="C53" i="129"/>
  <c r="E54" i="129"/>
  <c r="DS54" i="2"/>
  <c r="E54" i="126"/>
  <c r="C53" i="126"/>
  <c r="E51" i="157"/>
  <c r="C50" i="157"/>
  <c r="E55" i="48"/>
  <c r="C54" i="48"/>
  <c r="E54" i="167"/>
  <c r="C53" i="167"/>
  <c r="E55" i="23"/>
  <c r="C54" i="23"/>
  <c r="I17" i="22"/>
  <c r="C55" i="7"/>
  <c r="E56" i="7"/>
  <c r="AT56" i="1"/>
  <c r="I16" i="101"/>
  <c r="CA56" i="2"/>
  <c r="C52" i="39"/>
  <c r="E53" i="39"/>
  <c r="I14" i="33"/>
  <c r="E54" i="64"/>
  <c r="C53" i="64"/>
  <c r="I16" i="29"/>
  <c r="I14" i="5"/>
  <c r="E51" i="32"/>
  <c r="C50" i="32"/>
  <c r="I14" i="87"/>
  <c r="I14" i="49"/>
  <c r="E55" i="119"/>
  <c r="C54" i="119"/>
  <c r="C53" i="18"/>
  <c r="E54" i="18"/>
  <c r="I14" i="70"/>
  <c r="E55" i="31"/>
  <c r="C54" i="31"/>
  <c r="CA55" i="2"/>
  <c r="E53" i="115"/>
  <c r="C52" i="115"/>
  <c r="I14" i="97"/>
  <c r="C54" i="71"/>
  <c r="E55" i="71"/>
  <c r="E54" i="137"/>
  <c r="C53" i="137"/>
  <c r="AJ57" i="1"/>
  <c r="HZ56" i="2"/>
  <c r="I14" i="123"/>
  <c r="E54" i="25"/>
  <c r="C53" i="25"/>
  <c r="I15" i="113"/>
  <c r="C55" i="3"/>
  <c r="E56" i="3"/>
  <c r="Y57" i="2"/>
  <c r="C53" i="19"/>
  <c r="E54" i="19"/>
  <c r="I14" i="85"/>
  <c r="E54" i="113"/>
  <c r="C53" i="113"/>
  <c r="I14" i="50"/>
  <c r="C53" i="66"/>
  <c r="E54" i="66"/>
  <c r="M56" i="1"/>
  <c r="E56" i="12"/>
  <c r="C55" i="12"/>
  <c r="X56" i="2"/>
  <c r="E54" i="5"/>
  <c r="C53" i="5"/>
  <c r="I17" i="14"/>
  <c r="N57" i="1"/>
  <c r="I13" i="100"/>
  <c r="I18" i="134"/>
  <c r="I15" i="158"/>
  <c r="I13" i="45"/>
  <c r="C55" i="58"/>
  <c r="E56" i="58"/>
  <c r="AI56" i="1"/>
  <c r="I14" i="56"/>
  <c r="E54" i="54"/>
  <c r="C53" i="54"/>
  <c r="I14" i="121"/>
  <c r="E56" i="174"/>
  <c r="C55" i="174"/>
  <c r="I14" i="111"/>
  <c r="I15" i="72"/>
  <c r="I16" i="152"/>
  <c r="E55" i="41"/>
  <c r="C54" i="41"/>
  <c r="E53" i="168"/>
  <c r="C52" i="168"/>
  <c r="I18" i="15"/>
  <c r="I16" i="13"/>
  <c r="I14" i="21"/>
  <c r="I13" i="120"/>
  <c r="E55" i="122"/>
  <c r="C54" i="122"/>
  <c r="I14" i="137"/>
  <c r="E53" i="86"/>
  <c r="C52" i="86"/>
  <c r="I14" i="4"/>
  <c r="I14" i="108"/>
  <c r="E54" i="81"/>
  <c r="C53" i="81"/>
  <c r="E55" i="101"/>
  <c r="C54" i="101"/>
  <c r="I13" i="36"/>
  <c r="C53" i="57"/>
  <c r="E54" i="57"/>
  <c r="I14" i="153"/>
  <c r="E54" i="110"/>
  <c r="C53" i="110"/>
  <c r="C53" i="65"/>
  <c r="E54" i="65"/>
  <c r="I13" i="47"/>
  <c r="I16" i="164"/>
  <c r="I13" i="146"/>
  <c r="E52" i="131"/>
  <c r="C51" i="131"/>
  <c r="E54" i="148"/>
  <c r="C53" i="148"/>
  <c r="E54" i="67"/>
  <c r="C53" i="67"/>
  <c r="I13" i="55"/>
  <c r="I13" i="81"/>
  <c r="C52" i="73"/>
  <c r="E53" i="73"/>
  <c r="C55" i="136"/>
  <c r="E56" i="136"/>
  <c r="I13" i="125"/>
  <c r="I15" i="30"/>
  <c r="E54" i="104"/>
  <c r="C53" i="104"/>
  <c r="I14" i="131"/>
  <c r="C55" i="14"/>
  <c r="E56" i="14"/>
  <c r="GR56" i="2"/>
  <c r="E52" i="43"/>
  <c r="C51" i="43"/>
  <c r="I16" i="122"/>
  <c r="X56" i="1"/>
  <c r="I13" i="65"/>
  <c r="I13" i="112"/>
  <c r="I17" i="71"/>
  <c r="C53" i="116"/>
  <c r="E54" i="116"/>
  <c r="C54" i="132"/>
  <c r="E55" i="132"/>
  <c r="I14" i="169"/>
  <c r="I18" i="133"/>
  <c r="I15" i="118"/>
  <c r="I17" i="79"/>
  <c r="E54" i="16"/>
  <c r="C53" i="16"/>
  <c r="I13" i="130"/>
  <c r="C53" i="99"/>
  <c r="E54" i="99"/>
  <c r="E53" i="84"/>
  <c r="C52" i="84"/>
  <c r="C55" i="53"/>
  <c r="E56" i="53"/>
  <c r="E54" i="11"/>
  <c r="C53" i="11"/>
  <c r="I16" i="150"/>
  <c r="I17" i="150" s="1"/>
  <c r="I13" i="64"/>
  <c r="I14" i="19"/>
  <c r="I16" i="136"/>
  <c r="E55" i="142"/>
  <c r="C54" i="142"/>
  <c r="C54" i="78"/>
  <c r="E55" i="78"/>
  <c r="C54" i="154"/>
  <c r="E55" i="154"/>
  <c r="IJ55" i="2"/>
  <c r="I13" i="163"/>
  <c r="I15" i="68"/>
  <c r="E56" i="90"/>
  <c r="C55" i="90"/>
  <c r="I17" i="42"/>
  <c r="C51" i="105"/>
  <c r="E52" i="105"/>
  <c r="IK56" i="2"/>
  <c r="C51" i="102"/>
  <c r="E52" i="102"/>
  <c r="I14" i="106"/>
  <c r="IV56" i="2"/>
  <c r="E55" i="79"/>
  <c r="C54" i="79"/>
  <c r="E55" i="147"/>
  <c r="C54" i="147"/>
  <c r="I17" i="59"/>
  <c r="CB57" i="1"/>
  <c r="I15" i="165"/>
  <c r="M56" i="2"/>
  <c r="I13" i="109"/>
  <c r="E52" i="165"/>
  <c r="C51" i="165"/>
  <c r="FA56" i="2"/>
  <c r="I14" i="144"/>
  <c r="I15" i="99"/>
  <c r="C52" i="72"/>
  <c r="E53" i="72"/>
  <c r="E55" i="13"/>
  <c r="C54" i="13"/>
  <c r="I18" i="12"/>
  <c r="I14" i="39"/>
  <c r="E55" i="15"/>
  <c r="C54" i="15"/>
  <c r="I15" i="41"/>
  <c r="I13" i="140"/>
  <c r="I13" i="143"/>
  <c r="E54" i="139"/>
  <c r="C53" i="139"/>
  <c r="E55" i="151"/>
  <c r="C54" i="151"/>
  <c r="E55" i="33"/>
  <c r="C54" i="33"/>
  <c r="I15" i="10"/>
  <c r="I16" i="128"/>
  <c r="C53" i="68"/>
  <c r="E54" i="68"/>
  <c r="E54" i="22"/>
  <c r="C53" i="22"/>
  <c r="I14" i="168"/>
  <c r="E56" i="170"/>
  <c r="C55" i="170"/>
  <c r="I15" i="92"/>
  <c r="I13" i="102"/>
  <c r="BF57" i="2"/>
  <c r="AI56" i="2"/>
  <c r="I13" i="8"/>
  <c r="E56" i="6"/>
  <c r="C55" i="6"/>
  <c r="CA56" i="1"/>
  <c r="I14" i="103"/>
  <c r="C52" i="85"/>
  <c r="E53" i="85"/>
  <c r="E55" i="134"/>
  <c r="C54" i="134"/>
  <c r="EZ55" i="2"/>
  <c r="I14" i="52"/>
  <c r="I16" i="117"/>
  <c r="C53" i="103"/>
  <c r="E54" i="103"/>
  <c r="I16" i="135"/>
  <c r="E56" i="107"/>
  <c r="C55" i="107"/>
  <c r="C54" i="140"/>
  <c r="E55" i="140"/>
  <c r="HN56" i="2"/>
  <c r="I16" i="156"/>
  <c r="I15" i="37"/>
  <c r="I13" i="58"/>
  <c r="I13" i="11"/>
  <c r="I15" i="44"/>
  <c r="I15" i="23"/>
  <c r="C54" i="156" l="1"/>
  <c r="E55" i="156"/>
  <c r="E54" i="149"/>
  <c r="C53" i="149"/>
  <c r="C54" i="130"/>
  <c r="E55" i="130"/>
  <c r="E50" i="98"/>
  <c r="C49" i="98"/>
  <c r="C54" i="74"/>
  <c r="E55" i="74"/>
  <c r="E54" i="61"/>
  <c r="C53" i="61"/>
  <c r="C53" i="59"/>
  <c r="E54" i="59"/>
  <c r="C54" i="150"/>
  <c r="E55" i="150"/>
  <c r="I18" i="150"/>
  <c r="I19" i="150" s="1"/>
  <c r="I20" i="150" s="1"/>
  <c r="I21" i="150" s="1"/>
  <c r="I22" i="150" s="1"/>
  <c r="I23" i="150" s="1"/>
  <c r="I24" i="150" s="1"/>
  <c r="I25" i="150" s="1"/>
  <c r="I26" i="150" s="1"/>
  <c r="I27" i="150" s="1"/>
  <c r="I28" i="150" s="1"/>
  <c r="I29" i="150" s="1"/>
  <c r="I30" i="150" s="1"/>
  <c r="I31" i="150" s="1"/>
  <c r="I32" i="150" s="1"/>
  <c r="C53" i="15"/>
  <c r="E54" i="15"/>
  <c r="I15" i="39"/>
  <c r="E51" i="105"/>
  <c r="C50" i="105"/>
  <c r="C51" i="168"/>
  <c r="E52" i="168"/>
  <c r="E53" i="112"/>
  <c r="C52" i="112"/>
  <c r="BQ56" i="1"/>
  <c r="I19" i="74"/>
  <c r="C51" i="37"/>
  <c r="E52" i="37"/>
  <c r="E53" i="118"/>
  <c r="C52" i="118"/>
  <c r="E54" i="76"/>
  <c r="C53" i="76"/>
  <c r="E54" i="95"/>
  <c r="C53" i="95"/>
  <c r="C52" i="99"/>
  <c r="E53" i="99"/>
  <c r="GS56" i="2"/>
  <c r="E53" i="65"/>
  <c r="C52" i="65"/>
  <c r="I18" i="14"/>
  <c r="I15" i="123"/>
  <c r="E53" i="129"/>
  <c r="C52" i="129"/>
  <c r="DS53" i="2"/>
  <c r="E53" i="94"/>
  <c r="C52" i="94"/>
  <c r="HD56" i="2"/>
  <c r="I16" i="63"/>
  <c r="E54" i="117"/>
  <c r="C53" i="117"/>
  <c r="E55" i="50"/>
  <c r="C54" i="50"/>
  <c r="AT55" i="2"/>
  <c r="C53" i="10"/>
  <c r="E54" i="10"/>
  <c r="I16" i="23"/>
  <c r="I14" i="8"/>
  <c r="I15" i="106"/>
  <c r="C54" i="107"/>
  <c r="E55" i="107"/>
  <c r="I15" i="168"/>
  <c r="C51" i="72"/>
  <c r="E52" i="72"/>
  <c r="E53" i="110"/>
  <c r="C52" i="110"/>
  <c r="BE55" i="2"/>
  <c r="I15" i="5"/>
  <c r="E55" i="152"/>
  <c r="C54" i="152"/>
  <c r="DI55" i="2"/>
  <c r="I17" i="89"/>
  <c r="I15" i="54"/>
  <c r="I14" i="90"/>
  <c r="I16" i="149"/>
  <c r="I18" i="42"/>
  <c r="I14" i="130"/>
  <c r="I17" i="135"/>
  <c r="C52" i="22"/>
  <c r="E53" i="22"/>
  <c r="I16" i="99"/>
  <c r="E55" i="90"/>
  <c r="C54" i="90"/>
  <c r="E55" i="14"/>
  <c r="C54" i="14"/>
  <c r="GR55" i="2"/>
  <c r="C53" i="41"/>
  <c r="E54" i="41"/>
  <c r="I17" i="29"/>
  <c r="E55" i="8"/>
  <c r="C54" i="8"/>
  <c r="HC55" i="2"/>
  <c r="BP55" i="1"/>
  <c r="I14" i="147"/>
  <c r="C52" i="161"/>
  <c r="E53" i="161"/>
  <c r="I15" i="114"/>
  <c r="I15" i="104"/>
  <c r="E53" i="4"/>
  <c r="C52" i="4"/>
  <c r="E53" i="139"/>
  <c r="C52" i="139"/>
  <c r="I16" i="44"/>
  <c r="I15" i="144"/>
  <c r="C53" i="133"/>
  <c r="E54" i="133"/>
  <c r="DH54" i="2"/>
  <c r="C53" i="44"/>
  <c r="E54" i="44"/>
  <c r="E53" i="9"/>
  <c r="C52" i="9"/>
  <c r="E50" i="87"/>
  <c r="C49" i="87"/>
  <c r="E54" i="108"/>
  <c r="C53" i="108"/>
  <c r="E53" i="103"/>
  <c r="C52" i="103"/>
  <c r="I15" i="131"/>
  <c r="I15" i="153"/>
  <c r="I17" i="152"/>
  <c r="I14" i="69"/>
  <c r="I17" i="78"/>
  <c r="I17" i="16"/>
  <c r="C51" i="159"/>
  <c r="E52" i="159"/>
  <c r="C51" i="69"/>
  <c r="E52" i="69"/>
  <c r="E52" i="85"/>
  <c r="C51" i="85"/>
  <c r="C52" i="68"/>
  <c r="E53" i="68"/>
  <c r="I16" i="68"/>
  <c r="C51" i="120"/>
  <c r="E52" i="120"/>
  <c r="E52" i="171"/>
  <c r="C51" i="171"/>
  <c r="I15" i="88"/>
  <c r="E54" i="153"/>
  <c r="C53" i="153"/>
  <c r="I15" i="151"/>
  <c r="FW56" i="2"/>
  <c r="C54" i="158"/>
  <c r="E55" i="158"/>
  <c r="E53" i="64"/>
  <c r="C52" i="64"/>
  <c r="E53" i="104"/>
  <c r="C52" i="104"/>
  <c r="C52" i="5"/>
  <c r="E53" i="5"/>
  <c r="I17" i="117"/>
  <c r="I14" i="163"/>
  <c r="I18" i="79"/>
  <c r="C52" i="57"/>
  <c r="E53" i="57"/>
  <c r="I15" i="33"/>
  <c r="I16" i="173"/>
  <c r="I17" i="51"/>
  <c r="E54" i="96"/>
  <c r="C53" i="96"/>
  <c r="C54" i="155"/>
  <c r="E55" i="155"/>
  <c r="I17" i="128"/>
  <c r="C50" i="165"/>
  <c r="E51" i="165"/>
  <c r="I14" i="36"/>
  <c r="I16" i="72"/>
  <c r="Y56" i="2"/>
  <c r="C52" i="137"/>
  <c r="E53" i="137"/>
  <c r="E55" i="93"/>
  <c r="C54" i="93"/>
  <c r="I14" i="160"/>
  <c r="C53" i="125"/>
  <c r="E54" i="125"/>
  <c r="C54" i="143"/>
  <c r="E55" i="143"/>
  <c r="E51" i="34"/>
  <c r="C50" i="34"/>
  <c r="I16" i="28"/>
  <c r="I16" i="25"/>
  <c r="E55" i="42"/>
  <c r="C54" i="42"/>
  <c r="FV55" i="2"/>
  <c r="C51" i="173"/>
  <c r="E52" i="173"/>
  <c r="I14" i="64"/>
  <c r="I15" i="52"/>
  <c r="I16" i="30"/>
  <c r="E55" i="12"/>
  <c r="M55" i="1"/>
  <c r="C54" i="12"/>
  <c r="X55" i="2"/>
  <c r="I14" i="110"/>
  <c r="E55" i="92"/>
  <c r="C54" i="92"/>
  <c r="E55" i="100"/>
  <c r="C54" i="100"/>
  <c r="I14" i="58"/>
  <c r="I16" i="37"/>
  <c r="C53" i="101"/>
  <c r="E54" i="101"/>
  <c r="I15" i="111"/>
  <c r="E52" i="39"/>
  <c r="C51" i="39"/>
  <c r="I15" i="73"/>
  <c r="E54" i="21"/>
  <c r="C53" i="21"/>
  <c r="E53" i="60"/>
  <c r="C52" i="60"/>
  <c r="I18" i="32"/>
  <c r="I14" i="96"/>
  <c r="C53" i="36"/>
  <c r="E54" i="36"/>
  <c r="HN55" i="2"/>
  <c r="I16" i="158"/>
  <c r="C52" i="16"/>
  <c r="E53" i="16"/>
  <c r="I16" i="10"/>
  <c r="I14" i="125"/>
  <c r="E54" i="134"/>
  <c r="C53" i="134"/>
  <c r="EZ54" i="2"/>
  <c r="N55" i="2"/>
  <c r="I14" i="109"/>
  <c r="IK55" i="2"/>
  <c r="I16" i="118"/>
  <c r="E55" i="174"/>
  <c r="C54" i="174"/>
  <c r="N56" i="1"/>
  <c r="C53" i="71"/>
  <c r="E54" i="71"/>
  <c r="C54" i="49"/>
  <c r="E55" i="49"/>
  <c r="I19" i="7"/>
  <c r="I15" i="170"/>
  <c r="GR54" i="2"/>
  <c r="I17" i="127"/>
  <c r="E54" i="70"/>
  <c r="C53" i="70"/>
  <c r="C53" i="89"/>
  <c r="E54" i="89"/>
  <c r="HN54" i="2"/>
  <c r="C50" i="131"/>
  <c r="E51" i="131"/>
  <c r="FA55" i="2"/>
  <c r="C53" i="33"/>
  <c r="E54" i="33"/>
  <c r="M54" i="2"/>
  <c r="N56" i="2"/>
  <c r="C52" i="81"/>
  <c r="E53" i="81"/>
  <c r="X55" i="1"/>
  <c r="E52" i="51"/>
  <c r="C51" i="51"/>
  <c r="C53" i="20"/>
  <c r="E54" i="20"/>
  <c r="I15" i="155"/>
  <c r="E51" i="160"/>
  <c r="C50" i="160"/>
  <c r="I14" i="166"/>
  <c r="I16" i="41"/>
  <c r="I16" i="165"/>
  <c r="C53" i="154"/>
  <c r="E54" i="154"/>
  <c r="I19" i="133"/>
  <c r="E55" i="136"/>
  <c r="C54" i="136"/>
  <c r="I15" i="121"/>
  <c r="E53" i="66"/>
  <c r="C52" i="66"/>
  <c r="I15" i="97"/>
  <c r="CB56" i="2"/>
  <c r="E55" i="28"/>
  <c r="C54" i="28"/>
  <c r="E53" i="83"/>
  <c r="C52" i="83"/>
  <c r="I14" i="148"/>
  <c r="I16" i="167"/>
  <c r="I16" i="18"/>
  <c r="I17" i="9"/>
  <c r="E52" i="123"/>
  <c r="C51" i="123"/>
  <c r="I16" i="60"/>
  <c r="I18" i="27"/>
  <c r="I16" i="129"/>
  <c r="I15" i="126"/>
  <c r="C51" i="106"/>
  <c r="E52" i="106"/>
  <c r="I15" i="138"/>
  <c r="E54" i="78"/>
  <c r="C53" i="78"/>
  <c r="C51" i="73"/>
  <c r="E52" i="73"/>
  <c r="I15" i="108"/>
  <c r="E53" i="54"/>
  <c r="C52" i="54"/>
  <c r="I15" i="50"/>
  <c r="E52" i="115"/>
  <c r="C51" i="115"/>
  <c r="I17" i="101"/>
  <c r="I14" i="43"/>
  <c r="E54" i="162"/>
  <c r="C53" i="162"/>
  <c r="I16" i="157"/>
  <c r="C51" i="62"/>
  <c r="E52" i="62"/>
  <c r="I19" i="75"/>
  <c r="I15" i="116"/>
  <c r="C53" i="142"/>
  <c r="E54" i="142"/>
  <c r="I14" i="81"/>
  <c r="C52" i="113"/>
  <c r="E53" i="113"/>
  <c r="AU56" i="1"/>
  <c r="I14" i="105"/>
  <c r="I16" i="66"/>
  <c r="I15" i="53"/>
  <c r="C52" i="17"/>
  <c r="E53" i="17"/>
  <c r="I15" i="86"/>
  <c r="I15" i="103"/>
  <c r="I15" i="4"/>
  <c r="CB55" i="2"/>
  <c r="I14" i="40"/>
  <c r="E50" i="138"/>
  <c r="C49" i="138"/>
  <c r="E51" i="45"/>
  <c r="C50" i="45"/>
  <c r="I18" i="94"/>
  <c r="I16" i="115"/>
  <c r="I14" i="143"/>
  <c r="I18" i="59"/>
  <c r="I14" i="55"/>
  <c r="C51" i="86"/>
  <c r="E52" i="86"/>
  <c r="I15" i="56"/>
  <c r="C53" i="31"/>
  <c r="E54" i="31"/>
  <c r="CA54" i="2"/>
  <c r="C54" i="7"/>
  <c r="E55" i="7"/>
  <c r="AT55" i="1"/>
  <c r="EE56" i="2"/>
  <c r="E50" i="30"/>
  <c r="C49" i="30"/>
  <c r="C49" i="166"/>
  <c r="E50" i="166"/>
  <c r="FL55" i="2"/>
  <c r="I33" i="150"/>
  <c r="E55" i="56"/>
  <c r="C54" i="56"/>
  <c r="C51" i="163"/>
  <c r="E52" i="163"/>
  <c r="CB56" i="1"/>
  <c r="C53" i="147"/>
  <c r="E54" i="147"/>
  <c r="E54" i="132"/>
  <c r="C53" i="132"/>
  <c r="AJ56" i="1"/>
  <c r="I15" i="85"/>
  <c r="E55" i="109"/>
  <c r="C54" i="109"/>
  <c r="ED55" i="2"/>
  <c r="E54" i="145"/>
  <c r="C53" i="145"/>
  <c r="E54" i="88"/>
  <c r="C53" i="88"/>
  <c r="I15" i="57"/>
  <c r="I14" i="17"/>
  <c r="I17" i="26"/>
  <c r="C51" i="127"/>
  <c r="E52" i="127"/>
  <c r="C52" i="128"/>
  <c r="E53" i="128"/>
  <c r="I17" i="136"/>
  <c r="I14" i="11"/>
  <c r="E55" i="6"/>
  <c r="C54" i="6"/>
  <c r="IU54" i="2" s="1"/>
  <c r="CA55" i="1"/>
  <c r="E53" i="67"/>
  <c r="C52" i="67"/>
  <c r="I18" i="22"/>
  <c r="I15" i="84"/>
  <c r="C51" i="47"/>
  <c r="E52" i="47"/>
  <c r="I15" i="3"/>
  <c r="C51" i="141"/>
  <c r="E52" i="141"/>
  <c r="C50" i="111"/>
  <c r="E51" i="111"/>
  <c r="E52" i="26"/>
  <c r="C51" i="26"/>
  <c r="I15" i="31"/>
  <c r="I14" i="140"/>
  <c r="E54" i="79"/>
  <c r="C53" i="79"/>
  <c r="I15" i="19"/>
  <c r="E53" i="116"/>
  <c r="C52" i="116"/>
  <c r="I15" i="137"/>
  <c r="C54" i="58"/>
  <c r="E55" i="58"/>
  <c r="E53" i="19"/>
  <c r="C52" i="19"/>
  <c r="I15" i="70"/>
  <c r="E54" i="23"/>
  <c r="C53" i="23"/>
  <c r="C54" i="121"/>
  <c r="E55" i="121"/>
  <c r="CX55" i="2"/>
  <c r="I14" i="35"/>
  <c r="I17" i="98"/>
  <c r="I15" i="80"/>
  <c r="I15" i="169"/>
  <c r="I18" i="71"/>
  <c r="E53" i="148"/>
  <c r="C52" i="148"/>
  <c r="C53" i="122"/>
  <c r="E54" i="122"/>
  <c r="E54" i="38"/>
  <c r="C53" i="38"/>
  <c r="E55" i="172"/>
  <c r="C54" i="172"/>
  <c r="I15" i="119"/>
  <c r="I16" i="124"/>
  <c r="I17" i="172"/>
  <c r="HY55" i="2"/>
  <c r="I19" i="46"/>
  <c r="I14" i="45"/>
  <c r="C52" i="167"/>
  <c r="E53" i="167"/>
  <c r="I14" i="174"/>
  <c r="I14" i="95"/>
  <c r="E54" i="114"/>
  <c r="C53" i="114"/>
  <c r="I15" i="154"/>
  <c r="C53" i="80"/>
  <c r="E54" i="80"/>
  <c r="E54" i="77"/>
  <c r="C53" i="77"/>
  <c r="C53" i="169"/>
  <c r="E54" i="169"/>
  <c r="HY54" i="2"/>
  <c r="I17" i="132"/>
  <c r="E53" i="18"/>
  <c r="C52" i="18"/>
  <c r="I17" i="77"/>
  <c r="I19" i="145"/>
  <c r="I16" i="83"/>
  <c r="CL55" i="2"/>
  <c r="C54" i="55"/>
  <c r="FK54" i="2" s="1"/>
  <c r="E55" i="55"/>
  <c r="C54" i="46"/>
  <c r="E55" i="46"/>
  <c r="C54" i="29"/>
  <c r="E55" i="29"/>
  <c r="I14" i="120"/>
  <c r="C53" i="119"/>
  <c r="E54" i="119"/>
  <c r="E54" i="48"/>
  <c r="C53" i="48"/>
  <c r="I15" i="76"/>
  <c r="E52" i="124"/>
  <c r="C51" i="124"/>
  <c r="E54" i="63"/>
  <c r="C53" i="63"/>
  <c r="CL54" i="2"/>
  <c r="I18" i="82"/>
  <c r="E54" i="164"/>
  <c r="C53" i="164"/>
  <c r="IU55" i="2"/>
  <c r="E53" i="11"/>
  <c r="C52" i="11"/>
  <c r="I14" i="146"/>
  <c r="I15" i="20"/>
  <c r="FL56" i="2"/>
  <c r="I14" i="91"/>
  <c r="I16" i="139"/>
  <c r="CM56" i="2"/>
  <c r="I14" i="65"/>
  <c r="I15" i="21"/>
  <c r="I19" i="134"/>
  <c r="C54" i="3"/>
  <c r="E55" i="3"/>
  <c r="I15" i="49"/>
  <c r="C49" i="157"/>
  <c r="E50" i="157"/>
  <c r="I15" i="161"/>
  <c r="EO55" i="2"/>
  <c r="E53" i="75"/>
  <c r="C52" i="75"/>
  <c r="I17" i="62"/>
  <c r="E54" i="151"/>
  <c r="C53" i="151"/>
  <c r="I17" i="13"/>
  <c r="I16" i="113"/>
  <c r="C54" i="91"/>
  <c r="E55" i="91"/>
  <c r="E52" i="40"/>
  <c r="C51" i="40"/>
  <c r="I15" i="67"/>
  <c r="I18" i="24"/>
  <c r="E54" i="97"/>
  <c r="C53" i="97"/>
  <c r="EO54" i="2"/>
  <c r="C47" i="82"/>
  <c r="E48" i="82"/>
  <c r="I16" i="93"/>
  <c r="I16" i="159"/>
  <c r="I17" i="48"/>
  <c r="I14" i="112"/>
  <c r="I17" i="156"/>
  <c r="HO56" i="2"/>
  <c r="I14" i="102"/>
  <c r="I19" i="12"/>
  <c r="C50" i="102"/>
  <c r="E51" i="102"/>
  <c r="Y56" i="1"/>
  <c r="E55" i="53"/>
  <c r="C54" i="53"/>
  <c r="I17" i="164"/>
  <c r="I14" i="100"/>
  <c r="I15" i="87"/>
  <c r="E53" i="126"/>
  <c r="C52" i="126"/>
  <c r="I15" i="162"/>
  <c r="BQ56" i="2"/>
  <c r="I14" i="38"/>
  <c r="I19" i="61"/>
  <c r="AJ56" i="2"/>
  <c r="E54" i="13"/>
  <c r="C53" i="13"/>
  <c r="E52" i="84"/>
  <c r="C51" i="84"/>
  <c r="I17" i="122"/>
  <c r="I19" i="15"/>
  <c r="C52" i="25"/>
  <c r="E53" i="25"/>
  <c r="I14" i="141"/>
  <c r="C53" i="35"/>
  <c r="E54" i="35"/>
  <c r="C54" i="52"/>
  <c r="E55" i="52"/>
  <c r="BP55" i="2"/>
  <c r="E53" i="135"/>
  <c r="C52" i="135"/>
  <c r="I14" i="171"/>
  <c r="E53" i="144"/>
  <c r="C52" i="144"/>
  <c r="AJ55" i="2"/>
  <c r="I16" i="92"/>
  <c r="E54" i="140"/>
  <c r="C53" i="140"/>
  <c r="C54" i="170"/>
  <c r="E55" i="170"/>
  <c r="C50" i="43"/>
  <c r="E51" i="43"/>
  <c r="I14" i="47"/>
  <c r="E50" i="32"/>
  <c r="C49" i="32"/>
  <c r="DT54" i="2"/>
  <c r="CW54" i="2"/>
  <c r="I17" i="142"/>
  <c r="E50" i="146"/>
  <c r="C49" i="146"/>
  <c r="E55" i="27"/>
  <c r="C54" i="27"/>
  <c r="IJ54" i="2" s="1"/>
  <c r="AU56" i="2"/>
  <c r="I17" i="107"/>
  <c r="I14" i="34"/>
  <c r="AI55" i="1"/>
  <c r="E54" i="156" l="1"/>
  <c r="C53" i="156"/>
  <c r="E53" i="149"/>
  <c r="C52" i="149"/>
  <c r="E54" i="130"/>
  <c r="C53" i="130"/>
  <c r="C48" i="98"/>
  <c r="E49" i="98"/>
  <c r="C53" i="74"/>
  <c r="E54" i="74"/>
  <c r="E53" i="61"/>
  <c r="C52" i="61"/>
  <c r="E53" i="59"/>
  <c r="C52" i="59"/>
  <c r="C53" i="150"/>
  <c r="E54" i="150"/>
  <c r="IK54" i="2"/>
  <c r="FL54" i="2"/>
  <c r="I15" i="100"/>
  <c r="I20" i="61"/>
  <c r="I18" i="132"/>
  <c r="E53" i="142"/>
  <c r="C52" i="142"/>
  <c r="I16" i="126"/>
  <c r="FA54" i="2"/>
  <c r="E50" i="34"/>
  <c r="C49" i="34"/>
  <c r="E52" i="68"/>
  <c r="C51" i="68"/>
  <c r="DI54" i="2"/>
  <c r="C52" i="41"/>
  <c r="E53" i="41"/>
  <c r="I19" i="14"/>
  <c r="I18" i="48"/>
  <c r="I15" i="38"/>
  <c r="I19" i="82"/>
  <c r="HZ54" i="2"/>
  <c r="E53" i="79"/>
  <c r="C52" i="79"/>
  <c r="E51" i="127"/>
  <c r="C50" i="127"/>
  <c r="E49" i="138"/>
  <c r="C48" i="138"/>
  <c r="I16" i="116"/>
  <c r="I20" i="133"/>
  <c r="E50" i="131"/>
  <c r="C49" i="131"/>
  <c r="C52" i="134"/>
  <c r="E53" i="134"/>
  <c r="EZ53" i="2"/>
  <c r="E53" i="101"/>
  <c r="C52" i="101"/>
  <c r="E52" i="57"/>
  <c r="C51" i="57"/>
  <c r="GS55" i="2"/>
  <c r="E52" i="65"/>
  <c r="C51" i="65"/>
  <c r="E49" i="157"/>
  <c r="C48" i="157"/>
  <c r="CM54" i="2"/>
  <c r="E53" i="122"/>
  <c r="C52" i="122"/>
  <c r="I18" i="26"/>
  <c r="I17" i="129"/>
  <c r="HO54" i="2"/>
  <c r="I19" i="79"/>
  <c r="E53" i="133"/>
  <c r="C52" i="133"/>
  <c r="DH53" i="2"/>
  <c r="C53" i="14"/>
  <c r="E54" i="14"/>
  <c r="E51" i="72"/>
  <c r="C50" i="72"/>
  <c r="I17" i="92"/>
  <c r="I17" i="159"/>
  <c r="E53" i="63"/>
  <c r="C52" i="63"/>
  <c r="C52" i="169"/>
  <c r="E53" i="169"/>
  <c r="E52" i="148"/>
  <c r="C51" i="148"/>
  <c r="C48" i="166"/>
  <c r="E49" i="166"/>
  <c r="I20" i="75"/>
  <c r="I17" i="37"/>
  <c r="E54" i="143"/>
  <c r="C53" i="143"/>
  <c r="E51" i="85"/>
  <c r="C50" i="85"/>
  <c r="I15" i="140"/>
  <c r="C48" i="30"/>
  <c r="E49" i="30"/>
  <c r="I15" i="40"/>
  <c r="I19" i="27"/>
  <c r="E53" i="154"/>
  <c r="C52" i="154"/>
  <c r="E53" i="89"/>
  <c r="C52" i="89"/>
  <c r="I15" i="125"/>
  <c r="I15" i="163"/>
  <c r="E54" i="90"/>
  <c r="C53" i="90"/>
  <c r="I16" i="168"/>
  <c r="I16" i="31"/>
  <c r="I15" i="17"/>
  <c r="I17" i="165"/>
  <c r="C52" i="70"/>
  <c r="E53" i="70"/>
  <c r="I15" i="58"/>
  <c r="E53" i="125"/>
  <c r="C52" i="125"/>
  <c r="E51" i="124"/>
  <c r="C50" i="124"/>
  <c r="AJ55" i="1"/>
  <c r="E52" i="144"/>
  <c r="C51" i="144"/>
  <c r="I16" i="162"/>
  <c r="C46" i="82"/>
  <c r="E47" i="82"/>
  <c r="I19" i="71"/>
  <c r="I16" i="57"/>
  <c r="E51" i="62"/>
  <c r="C50" i="62"/>
  <c r="I17" i="60"/>
  <c r="E54" i="100"/>
  <c r="C53" i="100"/>
  <c r="I15" i="160"/>
  <c r="E51" i="69"/>
  <c r="C50" i="69"/>
  <c r="I17" i="99"/>
  <c r="C53" i="107"/>
  <c r="E54" i="107"/>
  <c r="E52" i="99"/>
  <c r="C51" i="99"/>
  <c r="E53" i="80"/>
  <c r="C52" i="80"/>
  <c r="E51" i="26"/>
  <c r="C50" i="26"/>
  <c r="E51" i="123"/>
  <c r="C50" i="123"/>
  <c r="I18" i="117"/>
  <c r="I16" i="144"/>
  <c r="I16" i="106"/>
  <c r="C52" i="95"/>
  <c r="E53" i="95"/>
  <c r="EP54" i="2"/>
  <c r="I16" i="76"/>
  <c r="I16" i="169"/>
  <c r="AU55" i="1"/>
  <c r="I16" i="4"/>
  <c r="I17" i="157"/>
  <c r="I18" i="127"/>
  <c r="I17" i="10"/>
  <c r="E54" i="92"/>
  <c r="C53" i="92"/>
  <c r="HN53" i="2" s="1"/>
  <c r="C53" i="93"/>
  <c r="E54" i="93"/>
  <c r="I17" i="44"/>
  <c r="I16" i="87"/>
  <c r="C52" i="48"/>
  <c r="E53" i="48"/>
  <c r="I16" i="154"/>
  <c r="E53" i="88"/>
  <c r="C52" i="88"/>
  <c r="E53" i="162"/>
  <c r="C52" i="162"/>
  <c r="I18" i="9"/>
  <c r="GS54" i="2"/>
  <c r="E51" i="159"/>
  <c r="C50" i="159"/>
  <c r="E52" i="22"/>
  <c r="C51" i="22"/>
  <c r="I15" i="8"/>
  <c r="E53" i="76"/>
  <c r="C52" i="76"/>
  <c r="C52" i="114"/>
  <c r="E53" i="114"/>
  <c r="I16" i="80"/>
  <c r="E50" i="111"/>
  <c r="C49" i="111"/>
  <c r="E54" i="7"/>
  <c r="C53" i="7"/>
  <c r="AT54" i="1"/>
  <c r="I17" i="41"/>
  <c r="I15" i="110"/>
  <c r="E52" i="5"/>
  <c r="C51" i="5"/>
  <c r="I18" i="16"/>
  <c r="C51" i="139"/>
  <c r="E52" i="139"/>
  <c r="I18" i="98"/>
  <c r="C52" i="145"/>
  <c r="E53" i="145"/>
  <c r="CB54" i="2"/>
  <c r="I15" i="43"/>
  <c r="I17" i="18"/>
  <c r="I16" i="170"/>
  <c r="C51" i="137"/>
  <c r="E52" i="137"/>
  <c r="E52" i="104"/>
  <c r="C51" i="104"/>
  <c r="I18" i="135"/>
  <c r="I17" i="23"/>
  <c r="E52" i="118"/>
  <c r="C51" i="118"/>
  <c r="I17" i="93"/>
  <c r="C51" i="135"/>
  <c r="E52" i="135"/>
  <c r="C50" i="141"/>
  <c r="E51" i="141"/>
  <c r="I16" i="103"/>
  <c r="I15" i="166"/>
  <c r="C51" i="16"/>
  <c r="E52" i="16"/>
  <c r="Y55" i="2"/>
  <c r="I15" i="130"/>
  <c r="E53" i="31"/>
  <c r="C52" i="31"/>
  <c r="I18" i="101"/>
  <c r="I17" i="167"/>
  <c r="I20" i="7"/>
  <c r="I17" i="158"/>
  <c r="C53" i="12"/>
  <c r="E54" i="12"/>
  <c r="X54" i="2"/>
  <c r="M54" i="1"/>
  <c r="E52" i="64"/>
  <c r="C51" i="64"/>
  <c r="I18" i="78"/>
  <c r="E52" i="4"/>
  <c r="C51" i="4"/>
  <c r="E54" i="109"/>
  <c r="C53" i="109"/>
  <c r="ED54" i="2"/>
  <c r="I16" i="86"/>
  <c r="E50" i="160"/>
  <c r="C49" i="160"/>
  <c r="N55" i="1"/>
  <c r="C52" i="10"/>
  <c r="E53" i="10"/>
  <c r="E51" i="37"/>
  <c r="C50" i="37"/>
  <c r="BQ55" i="2"/>
  <c r="I15" i="174"/>
  <c r="I16" i="56"/>
  <c r="E51" i="115"/>
  <c r="C50" i="115"/>
  <c r="I15" i="148"/>
  <c r="C53" i="49"/>
  <c r="E54" i="49"/>
  <c r="HO55" i="2"/>
  <c r="I17" i="72"/>
  <c r="I15" i="69"/>
  <c r="I19" i="42"/>
  <c r="AU55" i="2"/>
  <c r="E53" i="35"/>
  <c r="C52" i="35"/>
  <c r="E54" i="29"/>
  <c r="C53" i="29"/>
  <c r="X54" i="1"/>
  <c r="E51" i="47"/>
  <c r="C50" i="47"/>
  <c r="I16" i="85"/>
  <c r="E52" i="17"/>
  <c r="C51" i="17"/>
  <c r="I16" i="155"/>
  <c r="C53" i="158"/>
  <c r="E54" i="158"/>
  <c r="I16" i="104"/>
  <c r="E54" i="50"/>
  <c r="C53" i="50"/>
  <c r="AT54" i="2"/>
  <c r="I20" i="74"/>
  <c r="I18" i="142"/>
  <c r="E52" i="167"/>
  <c r="C51" i="167"/>
  <c r="E51" i="86"/>
  <c r="C50" i="86"/>
  <c r="I16" i="50"/>
  <c r="C52" i="36"/>
  <c r="E53" i="36"/>
  <c r="I17" i="30"/>
  <c r="I15" i="36"/>
  <c r="I18" i="152"/>
  <c r="I17" i="149"/>
  <c r="C53" i="121"/>
  <c r="E54" i="121"/>
  <c r="I16" i="84"/>
  <c r="E52" i="83"/>
  <c r="C51" i="83"/>
  <c r="I15" i="96"/>
  <c r="I16" i="52"/>
  <c r="I16" i="153"/>
  <c r="I16" i="114"/>
  <c r="E53" i="117"/>
  <c r="C52" i="117"/>
  <c r="I19" i="24"/>
  <c r="C53" i="91"/>
  <c r="E54" i="91"/>
  <c r="I15" i="45"/>
  <c r="E53" i="23"/>
  <c r="C52" i="23"/>
  <c r="I15" i="55"/>
  <c r="C51" i="54"/>
  <c r="E52" i="54"/>
  <c r="C52" i="20"/>
  <c r="E53" i="20"/>
  <c r="E53" i="71"/>
  <c r="C52" i="71"/>
  <c r="E50" i="165"/>
  <c r="C49" i="165"/>
  <c r="I15" i="90"/>
  <c r="CW53" i="2"/>
  <c r="I19" i="22"/>
  <c r="E53" i="132"/>
  <c r="C52" i="132"/>
  <c r="I16" i="53"/>
  <c r="E54" i="28"/>
  <c r="C53" i="28"/>
  <c r="C50" i="51"/>
  <c r="E51" i="51"/>
  <c r="I15" i="64"/>
  <c r="I18" i="128"/>
  <c r="I16" i="151"/>
  <c r="C51" i="112"/>
  <c r="E52" i="112"/>
  <c r="CW52" i="2"/>
  <c r="I18" i="13"/>
  <c r="CM55" i="2"/>
  <c r="I20" i="46"/>
  <c r="C51" i="67"/>
  <c r="E52" i="67"/>
  <c r="I19" i="59"/>
  <c r="I17" i="66"/>
  <c r="I16" i="108"/>
  <c r="I19" i="32"/>
  <c r="E53" i="153"/>
  <c r="C52" i="153"/>
  <c r="I16" i="131"/>
  <c r="C51" i="161"/>
  <c r="E52" i="161"/>
  <c r="I16" i="54"/>
  <c r="I17" i="63"/>
  <c r="I20" i="134"/>
  <c r="C48" i="32"/>
  <c r="E49" i="32"/>
  <c r="Y55" i="1"/>
  <c r="E54" i="174"/>
  <c r="C53" i="174"/>
  <c r="HY53" i="2" s="1"/>
  <c r="C51" i="60"/>
  <c r="E52" i="60"/>
  <c r="E52" i="103"/>
  <c r="C51" i="103"/>
  <c r="I17" i="113"/>
  <c r="I17" i="83"/>
  <c r="E52" i="19"/>
  <c r="C51" i="19"/>
  <c r="CB55" i="1"/>
  <c r="C52" i="147"/>
  <c r="E53" i="147"/>
  <c r="I15" i="143"/>
  <c r="C53" i="155"/>
  <c r="E54" i="155"/>
  <c r="I15" i="147"/>
  <c r="I18" i="89"/>
  <c r="C50" i="168"/>
  <c r="E51" i="168"/>
  <c r="E53" i="77"/>
  <c r="C52" i="77"/>
  <c r="I18" i="107"/>
  <c r="E54" i="52"/>
  <c r="C53" i="52"/>
  <c r="BP54" i="2"/>
  <c r="E54" i="46"/>
  <c r="C53" i="46"/>
  <c r="I18" i="122"/>
  <c r="C52" i="151"/>
  <c r="E53" i="151"/>
  <c r="I16" i="20"/>
  <c r="I18" i="172"/>
  <c r="E54" i="6"/>
  <c r="C53" i="6"/>
  <c r="IU53" i="2" s="1"/>
  <c r="CA54" i="1"/>
  <c r="I15" i="105"/>
  <c r="E51" i="73"/>
  <c r="C50" i="73"/>
  <c r="I16" i="97"/>
  <c r="E52" i="81"/>
  <c r="C51" i="81"/>
  <c r="I17" i="118"/>
  <c r="E53" i="21"/>
  <c r="C52" i="21"/>
  <c r="E51" i="173"/>
  <c r="C50" i="173"/>
  <c r="C52" i="96"/>
  <c r="E53" i="96"/>
  <c r="I16" i="88"/>
  <c r="E53" i="108"/>
  <c r="C52" i="108"/>
  <c r="BQ55" i="1"/>
  <c r="C51" i="94"/>
  <c r="E52" i="94"/>
  <c r="C49" i="105"/>
  <c r="E50" i="105"/>
  <c r="I15" i="34"/>
  <c r="E53" i="119"/>
  <c r="C52" i="119"/>
  <c r="E54" i="27"/>
  <c r="C53" i="27"/>
  <c r="I16" i="67"/>
  <c r="I15" i="65"/>
  <c r="I15" i="120"/>
  <c r="I16" i="3"/>
  <c r="EE55" i="2"/>
  <c r="CX54" i="2"/>
  <c r="I20" i="15"/>
  <c r="HZ55" i="2"/>
  <c r="I15" i="146"/>
  <c r="I20" i="145"/>
  <c r="I17" i="124"/>
  <c r="I17" i="115"/>
  <c r="C52" i="78"/>
  <c r="E53" i="78"/>
  <c r="FW55" i="2"/>
  <c r="C50" i="171"/>
  <c r="E51" i="171"/>
  <c r="HD55" i="2"/>
  <c r="I16" i="21"/>
  <c r="I15" i="95"/>
  <c r="C50" i="40"/>
  <c r="E51" i="40"/>
  <c r="I17" i="139"/>
  <c r="E50" i="102"/>
  <c r="C49" i="102"/>
  <c r="I15" i="91"/>
  <c r="E54" i="55"/>
  <c r="C53" i="55"/>
  <c r="FK53" i="2" s="1"/>
  <c r="I16" i="70"/>
  <c r="E54" i="58"/>
  <c r="C53" i="58"/>
  <c r="I19" i="94"/>
  <c r="E52" i="66"/>
  <c r="C51" i="66"/>
  <c r="C53" i="42"/>
  <c r="E54" i="42"/>
  <c r="FV54" i="2"/>
  <c r="C48" i="87"/>
  <c r="E49" i="87"/>
  <c r="C53" i="8"/>
  <c r="E54" i="8"/>
  <c r="HC54" i="2"/>
  <c r="BP54" i="1"/>
  <c r="E54" i="152"/>
  <c r="C53" i="152"/>
  <c r="DT53" i="2"/>
  <c r="I16" i="39"/>
  <c r="I16" i="49"/>
  <c r="E54" i="53"/>
  <c r="C53" i="53"/>
  <c r="I20" i="12"/>
  <c r="C49" i="43"/>
  <c r="E50" i="43"/>
  <c r="I16" i="137"/>
  <c r="I15" i="11"/>
  <c r="C50" i="163"/>
  <c r="E51" i="163"/>
  <c r="I16" i="138"/>
  <c r="N54" i="2"/>
  <c r="I16" i="73"/>
  <c r="I18" i="51"/>
  <c r="C51" i="129"/>
  <c r="E52" i="129"/>
  <c r="DS52" i="2"/>
  <c r="E52" i="25"/>
  <c r="C51" i="25"/>
  <c r="E51" i="84"/>
  <c r="C50" i="84"/>
  <c r="I18" i="77"/>
  <c r="I18" i="156"/>
  <c r="C51" i="75"/>
  <c r="E52" i="75"/>
  <c r="I16" i="119"/>
  <c r="I18" i="136"/>
  <c r="C53" i="56"/>
  <c r="E54" i="56"/>
  <c r="E52" i="113"/>
  <c r="C51" i="113"/>
  <c r="C50" i="39"/>
  <c r="E51" i="39"/>
  <c r="E51" i="120"/>
  <c r="C50" i="120"/>
  <c r="E52" i="9"/>
  <c r="C51" i="9"/>
  <c r="IV54" i="2"/>
  <c r="I15" i="35"/>
  <c r="E49" i="146"/>
  <c r="C48" i="146"/>
  <c r="I15" i="141"/>
  <c r="C52" i="13"/>
  <c r="E53" i="13"/>
  <c r="C51" i="11"/>
  <c r="E52" i="11"/>
  <c r="IV55" i="2"/>
  <c r="C51" i="18"/>
  <c r="E52" i="18"/>
  <c r="E54" i="172"/>
  <c r="C53" i="172"/>
  <c r="E52" i="116"/>
  <c r="C51" i="116"/>
  <c r="I16" i="121"/>
  <c r="E53" i="33"/>
  <c r="C52" i="33"/>
  <c r="I15" i="109"/>
  <c r="I17" i="25"/>
  <c r="I17" i="173"/>
  <c r="I17" i="68"/>
  <c r="I18" i="29"/>
  <c r="I16" i="5"/>
  <c r="E53" i="15"/>
  <c r="C52" i="15"/>
  <c r="C51" i="126"/>
  <c r="E52" i="126"/>
  <c r="I18" i="62"/>
  <c r="AI54" i="2"/>
  <c r="EP55" i="2"/>
  <c r="E53" i="164"/>
  <c r="C52" i="164"/>
  <c r="E50" i="45"/>
  <c r="C49" i="45"/>
  <c r="C50" i="106"/>
  <c r="E51" i="106"/>
  <c r="E54" i="136"/>
  <c r="C53" i="136"/>
  <c r="I16" i="111"/>
  <c r="I16" i="33"/>
  <c r="BE54" i="2"/>
  <c r="BF55" i="2"/>
  <c r="I16" i="123"/>
  <c r="AI54" i="1"/>
  <c r="I15" i="171"/>
  <c r="E53" i="97"/>
  <c r="C52" i="97"/>
  <c r="EO53" i="2"/>
  <c r="E54" i="3"/>
  <c r="C53" i="3"/>
  <c r="I18" i="164"/>
  <c r="I15" i="102"/>
  <c r="I15" i="47"/>
  <c r="C53" i="170"/>
  <c r="E54" i="170"/>
  <c r="I15" i="112"/>
  <c r="I34" i="150"/>
  <c r="I15" i="81"/>
  <c r="C52" i="140"/>
  <c r="E53" i="140"/>
  <c r="I16" i="161"/>
  <c r="C52" i="38"/>
  <c r="E53" i="38"/>
  <c r="I16" i="19"/>
  <c r="C51" i="128"/>
  <c r="E52" i="128"/>
  <c r="I17" i="28"/>
  <c r="E53" i="44"/>
  <c r="C52" i="44"/>
  <c r="C51" i="110"/>
  <c r="E52" i="110"/>
  <c r="E53" i="156" l="1"/>
  <c r="C52" i="156"/>
  <c r="C51" i="149"/>
  <c r="E52" i="149"/>
  <c r="E53" i="130"/>
  <c r="C52" i="130"/>
  <c r="BE53" i="2"/>
  <c r="E48" i="98"/>
  <c r="C47" i="98"/>
  <c r="C52" i="74"/>
  <c r="E53" i="74"/>
  <c r="E52" i="61"/>
  <c r="C51" i="61"/>
  <c r="C51" i="59"/>
  <c r="E52" i="59"/>
  <c r="C52" i="150"/>
  <c r="E53" i="150"/>
  <c r="FL53" i="2"/>
  <c r="IV53" i="2"/>
  <c r="HZ53" i="2"/>
  <c r="BF53" i="2"/>
  <c r="HO53" i="2"/>
  <c r="I18" i="28"/>
  <c r="AJ54" i="1"/>
  <c r="I20" i="59"/>
  <c r="C51" i="38"/>
  <c r="E52" i="38"/>
  <c r="I16" i="95"/>
  <c r="E53" i="155"/>
  <c r="C52" i="155"/>
  <c r="CL52" i="2" s="1"/>
  <c r="C49" i="62"/>
  <c r="E50" i="62"/>
  <c r="I17" i="168"/>
  <c r="E48" i="157"/>
  <c r="C47" i="157"/>
  <c r="I19" i="48"/>
  <c r="I17" i="97"/>
  <c r="C52" i="3"/>
  <c r="E53" i="3"/>
  <c r="E51" i="126"/>
  <c r="C50" i="126"/>
  <c r="E52" i="13"/>
  <c r="C51" i="13"/>
  <c r="C49" i="84"/>
  <c r="E50" i="84"/>
  <c r="I16" i="65"/>
  <c r="C49" i="73"/>
  <c r="E50" i="73"/>
  <c r="I17" i="131"/>
  <c r="I17" i="153"/>
  <c r="I19" i="78"/>
  <c r="E51" i="135"/>
  <c r="C50" i="135"/>
  <c r="C51" i="95"/>
  <c r="E52" i="95"/>
  <c r="C52" i="90"/>
  <c r="E53" i="90"/>
  <c r="I16" i="141"/>
  <c r="C52" i="152"/>
  <c r="E53" i="152"/>
  <c r="I17" i="21"/>
  <c r="I16" i="143"/>
  <c r="C51" i="153"/>
  <c r="E52" i="153"/>
  <c r="I17" i="53"/>
  <c r="I19" i="142"/>
  <c r="C50" i="64"/>
  <c r="E51" i="64"/>
  <c r="I18" i="93"/>
  <c r="I16" i="110"/>
  <c r="E52" i="88"/>
  <c r="C51" i="88"/>
  <c r="I17" i="106"/>
  <c r="I17" i="57"/>
  <c r="E51" i="65"/>
  <c r="C50" i="65"/>
  <c r="E52" i="44"/>
  <c r="C51" i="44"/>
  <c r="C50" i="25"/>
  <c r="E51" i="25"/>
  <c r="I17" i="67"/>
  <c r="I16" i="105"/>
  <c r="E52" i="132"/>
  <c r="C51" i="132"/>
  <c r="I17" i="52"/>
  <c r="I18" i="41"/>
  <c r="C51" i="169"/>
  <c r="E52" i="169"/>
  <c r="I20" i="14"/>
  <c r="C52" i="27"/>
  <c r="E53" i="27"/>
  <c r="E52" i="147"/>
  <c r="C51" i="147"/>
  <c r="I20" i="32"/>
  <c r="I16" i="96"/>
  <c r="I21" i="74"/>
  <c r="E53" i="49"/>
  <c r="C52" i="49"/>
  <c r="N54" i="1"/>
  <c r="E51" i="118"/>
  <c r="C50" i="118"/>
  <c r="I16" i="163"/>
  <c r="CL53" i="2"/>
  <c r="I17" i="5"/>
  <c r="DT52" i="2"/>
  <c r="HD54" i="2"/>
  <c r="CB54" i="1"/>
  <c r="AU54" i="2"/>
  <c r="Y54" i="2"/>
  <c r="AU54" i="1"/>
  <c r="I17" i="154"/>
  <c r="I17" i="144"/>
  <c r="I20" i="71"/>
  <c r="I16" i="125"/>
  <c r="E52" i="63"/>
  <c r="C51" i="63"/>
  <c r="I20" i="22"/>
  <c r="C52" i="50"/>
  <c r="E53" i="50"/>
  <c r="AT53" i="2"/>
  <c r="I16" i="148"/>
  <c r="AT53" i="1"/>
  <c r="E53" i="7"/>
  <c r="C52" i="7"/>
  <c r="E51" i="57"/>
  <c r="C50" i="57"/>
  <c r="C51" i="41"/>
  <c r="E52" i="41"/>
  <c r="E50" i="115"/>
  <c r="C49" i="115"/>
  <c r="E53" i="12"/>
  <c r="C52" i="12"/>
  <c r="M53" i="1"/>
  <c r="X53" i="2"/>
  <c r="I18" i="23"/>
  <c r="E52" i="48"/>
  <c r="C51" i="48"/>
  <c r="I19" i="117"/>
  <c r="C45" i="82"/>
  <c r="E46" i="82"/>
  <c r="I18" i="159"/>
  <c r="I19" i="172"/>
  <c r="C48" i="111"/>
  <c r="E49" i="111"/>
  <c r="E52" i="89"/>
  <c r="C51" i="89"/>
  <c r="E52" i="101"/>
  <c r="C51" i="101"/>
  <c r="E51" i="110"/>
  <c r="C50" i="110"/>
  <c r="I19" i="29"/>
  <c r="E53" i="8"/>
  <c r="C52" i="8"/>
  <c r="BP53" i="1"/>
  <c r="HC53" i="2"/>
  <c r="I19" i="51"/>
  <c r="I16" i="34"/>
  <c r="I18" i="83"/>
  <c r="I16" i="90"/>
  <c r="I17" i="104"/>
  <c r="I17" i="56"/>
  <c r="I18" i="158"/>
  <c r="I19" i="135"/>
  <c r="I17" i="87"/>
  <c r="I17" i="162"/>
  <c r="E51" i="68"/>
  <c r="C50" i="68"/>
  <c r="E48" i="87"/>
  <c r="C47" i="87"/>
  <c r="I18" i="66"/>
  <c r="I18" i="173"/>
  <c r="C50" i="9"/>
  <c r="E51" i="9"/>
  <c r="FW54" i="2"/>
  <c r="E49" i="165"/>
  <c r="C48" i="165"/>
  <c r="E51" i="104"/>
  <c r="C50" i="104"/>
  <c r="I18" i="44"/>
  <c r="E50" i="123"/>
  <c r="C49" i="123"/>
  <c r="C50" i="144"/>
  <c r="E51" i="144"/>
  <c r="IJ53" i="2"/>
  <c r="I18" i="92"/>
  <c r="FA53" i="2"/>
  <c r="C52" i="158"/>
  <c r="E53" i="158"/>
  <c r="I21" i="7"/>
  <c r="I17" i="80"/>
  <c r="C51" i="154"/>
  <c r="E52" i="154"/>
  <c r="IJ52" i="2"/>
  <c r="E50" i="72"/>
  <c r="C49" i="72"/>
  <c r="E49" i="34"/>
  <c r="C48" i="34"/>
  <c r="I18" i="115"/>
  <c r="C51" i="71"/>
  <c r="E52" i="71"/>
  <c r="I17" i="84"/>
  <c r="I17" i="155"/>
  <c r="E50" i="26"/>
  <c r="C49" i="26"/>
  <c r="E52" i="134"/>
  <c r="C51" i="134"/>
  <c r="EZ52" i="2"/>
  <c r="C51" i="119"/>
  <c r="E52" i="119"/>
  <c r="C49" i="120"/>
  <c r="E50" i="120"/>
  <c r="E53" i="42"/>
  <c r="C52" i="42"/>
  <c r="FV53" i="2"/>
  <c r="I16" i="174"/>
  <c r="I17" i="161"/>
  <c r="I18" i="25"/>
  <c r="E51" i="66"/>
  <c r="C50" i="66"/>
  <c r="E51" i="94"/>
  <c r="C50" i="94"/>
  <c r="E52" i="151"/>
  <c r="C51" i="151"/>
  <c r="C50" i="103"/>
  <c r="E51" i="103"/>
  <c r="E51" i="67"/>
  <c r="C50" i="67"/>
  <c r="E51" i="137"/>
  <c r="C50" i="137"/>
  <c r="E52" i="114"/>
  <c r="C51" i="114"/>
  <c r="C52" i="93"/>
  <c r="E53" i="93"/>
  <c r="E49" i="131"/>
  <c r="C48" i="131"/>
  <c r="E52" i="76"/>
  <c r="C51" i="76"/>
  <c r="E53" i="92"/>
  <c r="C52" i="92"/>
  <c r="C51" i="80"/>
  <c r="E52" i="80"/>
  <c r="E50" i="124"/>
  <c r="C49" i="124"/>
  <c r="I20" i="27"/>
  <c r="E53" i="14"/>
  <c r="C52" i="14"/>
  <c r="GR52" i="2" s="1"/>
  <c r="GR53" i="2"/>
  <c r="C52" i="121"/>
  <c r="E53" i="121"/>
  <c r="I18" i="167"/>
  <c r="AI53" i="2"/>
  <c r="I16" i="109"/>
  <c r="I21" i="46"/>
  <c r="C51" i="20"/>
  <c r="E52" i="20"/>
  <c r="E50" i="37"/>
  <c r="C49" i="37"/>
  <c r="I17" i="170"/>
  <c r="I16" i="40"/>
  <c r="DI53" i="2"/>
  <c r="I21" i="133"/>
  <c r="I17" i="126"/>
  <c r="BF54" i="2"/>
  <c r="I20" i="94"/>
  <c r="E51" i="60"/>
  <c r="C50" i="60"/>
  <c r="I18" i="149"/>
  <c r="I19" i="101"/>
  <c r="I18" i="18"/>
  <c r="I16" i="8"/>
  <c r="I18" i="10"/>
  <c r="E51" i="99"/>
  <c r="C50" i="99"/>
  <c r="C51" i="133"/>
  <c r="E52" i="133"/>
  <c r="DH52" i="2"/>
  <c r="C50" i="17"/>
  <c r="E51" i="17"/>
  <c r="E50" i="39"/>
  <c r="C49" i="39"/>
  <c r="I17" i="138"/>
  <c r="I19" i="122"/>
  <c r="I17" i="33"/>
  <c r="M53" i="2"/>
  <c r="E51" i="113"/>
  <c r="C50" i="113"/>
  <c r="C51" i="108"/>
  <c r="E52" i="108"/>
  <c r="E53" i="46"/>
  <c r="C52" i="46"/>
  <c r="C51" i="140"/>
  <c r="E52" i="140"/>
  <c r="I17" i="111"/>
  <c r="E52" i="33"/>
  <c r="C51" i="33"/>
  <c r="E50" i="163"/>
  <c r="C49" i="163"/>
  <c r="C52" i="58"/>
  <c r="E53" i="58"/>
  <c r="I21" i="145"/>
  <c r="C52" i="174"/>
  <c r="E53" i="174"/>
  <c r="E51" i="54"/>
  <c r="C50" i="54"/>
  <c r="I17" i="85"/>
  <c r="CA53" i="2"/>
  <c r="C51" i="142"/>
  <c r="E52" i="142"/>
  <c r="C47" i="146"/>
  <c r="E48" i="146"/>
  <c r="E49" i="105"/>
  <c r="C48" i="105"/>
  <c r="I19" i="152"/>
  <c r="E50" i="47"/>
  <c r="C49" i="47"/>
  <c r="C51" i="10"/>
  <c r="E52" i="10"/>
  <c r="C51" i="31"/>
  <c r="E52" i="31"/>
  <c r="E51" i="22"/>
  <c r="C50" i="22"/>
  <c r="I19" i="127"/>
  <c r="E48" i="30"/>
  <c r="C47" i="30"/>
  <c r="I17" i="116"/>
  <c r="I17" i="70"/>
  <c r="I16" i="146"/>
  <c r="I17" i="88"/>
  <c r="C52" i="52"/>
  <c r="E53" i="52"/>
  <c r="BP53" i="2"/>
  <c r="I19" i="13"/>
  <c r="I16" i="55"/>
  <c r="I16" i="36"/>
  <c r="I16" i="43"/>
  <c r="E53" i="107"/>
  <c r="C52" i="107"/>
  <c r="C51" i="125"/>
  <c r="E52" i="125"/>
  <c r="E51" i="83"/>
  <c r="C50" i="83"/>
  <c r="E52" i="23"/>
  <c r="C51" i="23"/>
  <c r="Y54" i="1"/>
  <c r="I16" i="130"/>
  <c r="I16" i="140"/>
  <c r="I20" i="79"/>
  <c r="C47" i="138"/>
  <c r="E48" i="138"/>
  <c r="I19" i="132"/>
  <c r="E52" i="97"/>
  <c r="C51" i="97"/>
  <c r="EO52" i="2"/>
  <c r="I17" i="19"/>
  <c r="E52" i="96"/>
  <c r="C51" i="96"/>
  <c r="I18" i="30"/>
  <c r="C52" i="29"/>
  <c r="E53" i="29"/>
  <c r="E50" i="159"/>
  <c r="C49" i="159"/>
  <c r="I18" i="157"/>
  <c r="I18" i="99"/>
  <c r="I16" i="58"/>
  <c r="E50" i="85"/>
  <c r="C49" i="85"/>
  <c r="E52" i="15"/>
  <c r="C51" i="15"/>
  <c r="BQ54" i="1"/>
  <c r="I18" i="68"/>
  <c r="CX52" i="2"/>
  <c r="C50" i="116"/>
  <c r="E51" i="116"/>
  <c r="I16" i="45"/>
  <c r="E49" i="160"/>
  <c r="C48" i="160"/>
  <c r="C49" i="69"/>
  <c r="E50" i="69"/>
  <c r="E50" i="127"/>
  <c r="C49" i="127"/>
  <c r="I21" i="61"/>
  <c r="I17" i="123"/>
  <c r="I17" i="73"/>
  <c r="I17" i="20"/>
  <c r="C52" i="55"/>
  <c r="FK52" i="2" s="1"/>
  <c r="E53" i="55"/>
  <c r="I21" i="15"/>
  <c r="C49" i="173"/>
  <c r="E50" i="173"/>
  <c r="C51" i="77"/>
  <c r="E52" i="77"/>
  <c r="E52" i="35"/>
  <c r="C51" i="35"/>
  <c r="C51" i="145"/>
  <c r="E52" i="145"/>
  <c r="I17" i="4"/>
  <c r="C52" i="143"/>
  <c r="E53" i="143"/>
  <c r="E53" i="6"/>
  <c r="C52" i="6"/>
  <c r="CA53" i="1"/>
  <c r="E51" i="129"/>
  <c r="C50" i="129"/>
  <c r="DS51" i="2"/>
  <c r="E50" i="171"/>
  <c r="C49" i="171"/>
  <c r="E51" i="19"/>
  <c r="C50" i="19"/>
  <c r="E52" i="36"/>
  <c r="C51" i="36"/>
  <c r="E52" i="70"/>
  <c r="C51" i="70"/>
  <c r="E52" i="79"/>
  <c r="C51" i="79"/>
  <c r="I16" i="100"/>
  <c r="CX53" i="2"/>
  <c r="BQ54" i="2"/>
  <c r="I17" i="137"/>
  <c r="I19" i="107"/>
  <c r="E52" i="21"/>
  <c r="C51" i="21"/>
  <c r="E53" i="91"/>
  <c r="C52" i="91"/>
  <c r="I17" i="86"/>
  <c r="E51" i="16"/>
  <c r="C50" i="16"/>
  <c r="I19" i="98"/>
  <c r="I16" i="160"/>
  <c r="I18" i="165"/>
  <c r="I18" i="129"/>
  <c r="I17" i="108"/>
  <c r="I16" i="112"/>
  <c r="E50" i="106"/>
  <c r="C49" i="106"/>
  <c r="I19" i="136"/>
  <c r="I16" i="47"/>
  <c r="E50" i="168"/>
  <c r="C49" i="168"/>
  <c r="I17" i="169"/>
  <c r="E53" i="100"/>
  <c r="C52" i="100"/>
  <c r="I18" i="37"/>
  <c r="I16" i="11"/>
  <c r="I17" i="121"/>
  <c r="E48" i="32"/>
  <c r="C47" i="32"/>
  <c r="C50" i="112"/>
  <c r="E51" i="112"/>
  <c r="C48" i="45"/>
  <c r="E49" i="45"/>
  <c r="E53" i="172"/>
  <c r="C52" i="172"/>
  <c r="I18" i="63"/>
  <c r="I19" i="128"/>
  <c r="EE54" i="2"/>
  <c r="E51" i="18"/>
  <c r="C50" i="18"/>
  <c r="I19" i="89"/>
  <c r="I17" i="54"/>
  <c r="I20" i="24"/>
  <c r="I20" i="42"/>
  <c r="E53" i="109"/>
  <c r="C52" i="109"/>
  <c r="ED53" i="2"/>
  <c r="I16" i="166"/>
  <c r="C50" i="139"/>
  <c r="E51" i="139"/>
  <c r="I19" i="9"/>
  <c r="I16" i="17"/>
  <c r="I21" i="75"/>
  <c r="I19" i="26"/>
  <c r="I16" i="35"/>
  <c r="I18" i="113"/>
  <c r="E53" i="136"/>
  <c r="C52" i="136"/>
  <c r="I35" i="150"/>
  <c r="E53" i="56"/>
  <c r="C52" i="56"/>
  <c r="I17" i="151"/>
  <c r="I21" i="12"/>
  <c r="I16" i="102"/>
  <c r="I18" i="139"/>
  <c r="I17" i="3"/>
  <c r="I18" i="118"/>
  <c r="I16" i="64"/>
  <c r="C51" i="117"/>
  <c r="E52" i="117"/>
  <c r="I17" i="50"/>
  <c r="E52" i="122"/>
  <c r="C51" i="122"/>
  <c r="E51" i="128"/>
  <c r="C50" i="128"/>
  <c r="E52" i="78"/>
  <c r="C51" i="78"/>
  <c r="E52" i="164"/>
  <c r="C51" i="164"/>
  <c r="I17" i="119"/>
  <c r="E49" i="102"/>
  <c r="C48" i="102"/>
  <c r="E53" i="53"/>
  <c r="C52" i="53"/>
  <c r="C50" i="75"/>
  <c r="E51" i="75"/>
  <c r="AJ54" i="2"/>
  <c r="I19" i="156"/>
  <c r="I17" i="49"/>
  <c r="E51" i="81"/>
  <c r="C50" i="81"/>
  <c r="E50" i="86"/>
  <c r="C49" i="86"/>
  <c r="I17" i="103"/>
  <c r="I19" i="16"/>
  <c r="E52" i="162"/>
  <c r="C51" i="162"/>
  <c r="I17" i="76"/>
  <c r="I20" i="82"/>
  <c r="IU52" i="2"/>
  <c r="EP53" i="2"/>
  <c r="I18" i="124"/>
  <c r="I16" i="81"/>
  <c r="C48" i="43"/>
  <c r="E49" i="43"/>
  <c r="I21" i="134"/>
  <c r="I17" i="39"/>
  <c r="I16" i="147"/>
  <c r="E50" i="51"/>
  <c r="C49" i="51"/>
  <c r="I16" i="69"/>
  <c r="E51" i="4"/>
  <c r="C50" i="4"/>
  <c r="I18" i="60"/>
  <c r="I17" i="31"/>
  <c r="E48" i="166"/>
  <c r="C47" i="166"/>
  <c r="I16" i="38"/>
  <c r="AI53" i="1"/>
  <c r="I16" i="171"/>
  <c r="I16" i="91"/>
  <c r="E53" i="170"/>
  <c r="C52" i="170"/>
  <c r="I19" i="164"/>
  <c r="I17" i="114"/>
  <c r="I19" i="62"/>
  <c r="E51" i="11"/>
  <c r="C50" i="11"/>
  <c r="I19" i="77"/>
  <c r="C49" i="40"/>
  <c r="E50" i="40"/>
  <c r="I16" i="120"/>
  <c r="E51" i="161"/>
  <c r="C50" i="161"/>
  <c r="C52" i="28"/>
  <c r="E53" i="28"/>
  <c r="E51" i="167"/>
  <c r="C50" i="167"/>
  <c r="I18" i="72"/>
  <c r="E50" i="141"/>
  <c r="C49" i="141"/>
  <c r="C50" i="5"/>
  <c r="E51" i="5"/>
  <c r="E51" i="148"/>
  <c r="C50" i="148"/>
  <c r="X53" i="1"/>
  <c r="E52" i="156" l="1"/>
  <c r="C51" i="156"/>
  <c r="C50" i="149"/>
  <c r="E51" i="149"/>
  <c r="C51" i="130"/>
  <c r="E52" i="130"/>
  <c r="C46" i="98"/>
  <c r="E47" i="98"/>
  <c r="C51" i="74"/>
  <c r="E52" i="74"/>
  <c r="E51" i="61"/>
  <c r="C50" i="61"/>
  <c r="C50" i="59"/>
  <c r="E51" i="59"/>
  <c r="C51" i="150"/>
  <c r="E52" i="150"/>
  <c r="CM52" i="2"/>
  <c r="GS52" i="2"/>
  <c r="FL52" i="2"/>
  <c r="I18" i="49"/>
  <c r="I17" i="69"/>
  <c r="I19" i="118"/>
  <c r="E50" i="129"/>
  <c r="C49" i="129"/>
  <c r="DS50" i="2"/>
  <c r="I19" i="30"/>
  <c r="C49" i="60"/>
  <c r="E50" i="60"/>
  <c r="CM53" i="2"/>
  <c r="E52" i="152"/>
  <c r="C51" i="152"/>
  <c r="M51" i="2" s="1"/>
  <c r="C49" i="81"/>
  <c r="E50" i="81"/>
  <c r="I17" i="166"/>
  <c r="I18" i="121"/>
  <c r="I20" i="152"/>
  <c r="E52" i="46"/>
  <c r="C51" i="46"/>
  <c r="I17" i="11"/>
  <c r="E49" i="69"/>
  <c r="C48" i="69"/>
  <c r="E51" i="96"/>
  <c r="C50" i="96"/>
  <c r="I17" i="36"/>
  <c r="I21" i="27"/>
  <c r="I17" i="174"/>
  <c r="I18" i="162"/>
  <c r="AU53" i="2"/>
  <c r="I17" i="163"/>
  <c r="I18" i="67"/>
  <c r="C46" i="157"/>
  <c r="E47" i="157"/>
  <c r="EE53" i="2"/>
  <c r="I18" i="86"/>
  <c r="CB53" i="1"/>
  <c r="C47" i="105"/>
  <c r="E48" i="105"/>
  <c r="I21" i="94"/>
  <c r="C48" i="124"/>
  <c r="E49" i="124"/>
  <c r="FW53" i="2"/>
  <c r="E52" i="158"/>
  <c r="C51" i="158"/>
  <c r="I17" i="141"/>
  <c r="I18" i="3"/>
  <c r="E52" i="109"/>
  <c r="C51" i="109"/>
  <c r="ED52" i="2"/>
  <c r="C51" i="6"/>
  <c r="IU51" i="2" s="1"/>
  <c r="E52" i="6"/>
  <c r="CA52" i="1"/>
  <c r="C47" i="160"/>
  <c r="E48" i="160"/>
  <c r="I17" i="55"/>
  <c r="E51" i="108"/>
  <c r="C50" i="108"/>
  <c r="E52" i="42"/>
  <c r="C51" i="42"/>
  <c r="FV52" i="2"/>
  <c r="I18" i="87"/>
  <c r="E52" i="50"/>
  <c r="C51" i="50"/>
  <c r="AT52" i="2"/>
  <c r="E50" i="118"/>
  <c r="C49" i="118"/>
  <c r="C49" i="25"/>
  <c r="E50" i="25"/>
  <c r="I18" i="19"/>
  <c r="E50" i="113"/>
  <c r="C49" i="113"/>
  <c r="E48" i="111"/>
  <c r="C47" i="111"/>
  <c r="E51" i="44"/>
  <c r="C50" i="44"/>
  <c r="E52" i="90"/>
  <c r="C51" i="90"/>
  <c r="I18" i="168"/>
  <c r="E52" i="91"/>
  <c r="C51" i="91"/>
  <c r="EP52" i="2"/>
  <c r="I20" i="13"/>
  <c r="E47" i="146"/>
  <c r="C46" i="146"/>
  <c r="C50" i="80"/>
  <c r="E51" i="80"/>
  <c r="I20" i="135"/>
  <c r="I17" i="102"/>
  <c r="I19" i="37"/>
  <c r="C51" i="143"/>
  <c r="E52" i="143"/>
  <c r="I17" i="45"/>
  <c r="E51" i="97"/>
  <c r="C50" i="97"/>
  <c r="BQ53" i="2"/>
  <c r="N53" i="2"/>
  <c r="E52" i="92"/>
  <c r="C51" i="92"/>
  <c r="C48" i="120"/>
  <c r="E49" i="120"/>
  <c r="I19" i="92"/>
  <c r="I19" i="158"/>
  <c r="I20" i="172"/>
  <c r="I21" i="22"/>
  <c r="C49" i="65"/>
  <c r="E50" i="65"/>
  <c r="E51" i="95"/>
  <c r="C50" i="95"/>
  <c r="C48" i="62"/>
  <c r="E49" i="62"/>
  <c r="E52" i="100"/>
  <c r="C51" i="100"/>
  <c r="E51" i="21"/>
  <c r="C50" i="21"/>
  <c r="E51" i="142"/>
  <c r="C50" i="142"/>
  <c r="I18" i="33"/>
  <c r="I18" i="126"/>
  <c r="IK53" i="2"/>
  <c r="I19" i="159"/>
  <c r="E52" i="49"/>
  <c r="C51" i="49"/>
  <c r="E50" i="135"/>
  <c r="C49" i="135"/>
  <c r="I19" i="139"/>
  <c r="E50" i="11"/>
  <c r="C49" i="11"/>
  <c r="I20" i="156"/>
  <c r="I20" i="62"/>
  <c r="I18" i="4"/>
  <c r="E50" i="116"/>
  <c r="C49" i="116"/>
  <c r="I20" i="132"/>
  <c r="E52" i="52"/>
  <c r="C51" i="52"/>
  <c r="BP52" i="2"/>
  <c r="I22" i="133"/>
  <c r="C50" i="76"/>
  <c r="E51" i="76"/>
  <c r="E51" i="119"/>
  <c r="C50" i="119"/>
  <c r="E51" i="63"/>
  <c r="C50" i="63"/>
  <c r="CL51" i="2"/>
  <c r="I18" i="57"/>
  <c r="I22" i="134"/>
  <c r="E50" i="75"/>
  <c r="C49" i="75"/>
  <c r="I22" i="12"/>
  <c r="FA52" i="2"/>
  <c r="C49" i="144"/>
  <c r="E50" i="144"/>
  <c r="I18" i="56"/>
  <c r="I22" i="74"/>
  <c r="E52" i="155"/>
  <c r="C51" i="155"/>
  <c r="I18" i="114"/>
  <c r="C51" i="53"/>
  <c r="E52" i="53"/>
  <c r="I18" i="54"/>
  <c r="I18" i="169"/>
  <c r="I20" i="107"/>
  <c r="C50" i="145"/>
  <c r="E51" i="145"/>
  <c r="I18" i="88"/>
  <c r="I20" i="122"/>
  <c r="C47" i="131"/>
  <c r="E48" i="131"/>
  <c r="E51" i="134"/>
  <c r="C50" i="134"/>
  <c r="EZ51" i="2"/>
  <c r="E49" i="123"/>
  <c r="C48" i="123"/>
  <c r="I18" i="104"/>
  <c r="C44" i="82"/>
  <c r="E45" i="82"/>
  <c r="I18" i="106"/>
  <c r="I20" i="78"/>
  <c r="I18" i="151"/>
  <c r="E49" i="168"/>
  <c r="C48" i="168"/>
  <c r="E51" i="35"/>
  <c r="C50" i="35"/>
  <c r="CB53" i="2"/>
  <c r="I18" i="138"/>
  <c r="I20" i="117"/>
  <c r="I17" i="125"/>
  <c r="I18" i="153"/>
  <c r="I19" i="68"/>
  <c r="C46" i="138"/>
  <c r="E47" i="138"/>
  <c r="I17" i="146"/>
  <c r="I17" i="40"/>
  <c r="E49" i="26"/>
  <c r="C48" i="26"/>
  <c r="I17" i="90"/>
  <c r="I21" i="71"/>
  <c r="I17" i="96"/>
  <c r="I17" i="95"/>
  <c r="E48" i="102"/>
  <c r="C47" i="102"/>
  <c r="Y53" i="1"/>
  <c r="I18" i="85"/>
  <c r="E49" i="39"/>
  <c r="C48" i="39"/>
  <c r="C51" i="93"/>
  <c r="E52" i="93"/>
  <c r="I19" i="44"/>
  <c r="E51" i="48"/>
  <c r="C50" i="48"/>
  <c r="I21" i="32"/>
  <c r="C50" i="88"/>
  <c r="E51" i="88"/>
  <c r="I18" i="131"/>
  <c r="I17" i="81"/>
  <c r="I19" i="124"/>
  <c r="I18" i="70"/>
  <c r="I18" i="170"/>
  <c r="E51" i="114"/>
  <c r="C50" i="114"/>
  <c r="I18" i="155"/>
  <c r="C49" i="104"/>
  <c r="E50" i="104"/>
  <c r="I19" i="83"/>
  <c r="E51" i="38"/>
  <c r="C50" i="38"/>
  <c r="E51" i="77"/>
  <c r="C50" i="77"/>
  <c r="I21" i="79"/>
  <c r="C49" i="54"/>
  <c r="E50" i="54"/>
  <c r="I18" i="119"/>
  <c r="I36" i="150"/>
  <c r="C50" i="15"/>
  <c r="E51" i="15"/>
  <c r="I17" i="140"/>
  <c r="I18" i="144"/>
  <c r="E51" i="147"/>
  <c r="C50" i="147"/>
  <c r="I20" i="164"/>
  <c r="C51" i="170"/>
  <c r="E52" i="170"/>
  <c r="I17" i="91"/>
  <c r="E51" i="164"/>
  <c r="C50" i="164"/>
  <c r="E52" i="136"/>
  <c r="C51" i="136"/>
  <c r="I20" i="136"/>
  <c r="I18" i="116"/>
  <c r="E50" i="17"/>
  <c r="C49" i="17"/>
  <c r="C48" i="37"/>
  <c r="E49" i="37"/>
  <c r="C49" i="137"/>
  <c r="E50" i="137"/>
  <c r="I18" i="84"/>
  <c r="I17" i="34"/>
  <c r="I19" i="23"/>
  <c r="I17" i="110"/>
  <c r="E49" i="73"/>
  <c r="C48" i="73"/>
  <c r="I21" i="59"/>
  <c r="I20" i="77"/>
  <c r="I21" i="42"/>
  <c r="C48" i="106"/>
  <c r="E49" i="106"/>
  <c r="I17" i="100"/>
  <c r="E49" i="173"/>
  <c r="C48" i="173"/>
  <c r="C48" i="85"/>
  <c r="E49" i="85"/>
  <c r="C51" i="174"/>
  <c r="E52" i="174"/>
  <c r="DI52" i="2"/>
  <c r="Y53" i="2"/>
  <c r="I18" i="154"/>
  <c r="C48" i="40"/>
  <c r="E49" i="40"/>
  <c r="I18" i="39"/>
  <c r="I17" i="130"/>
  <c r="I22" i="145"/>
  <c r="E50" i="67"/>
  <c r="C49" i="67"/>
  <c r="E48" i="165"/>
  <c r="C47" i="165"/>
  <c r="I20" i="51"/>
  <c r="N53" i="1"/>
  <c r="E52" i="27"/>
  <c r="C51" i="27"/>
  <c r="I19" i="93"/>
  <c r="I17" i="65"/>
  <c r="E48" i="43"/>
  <c r="C47" i="43"/>
  <c r="C50" i="79"/>
  <c r="E51" i="79"/>
  <c r="I22" i="15"/>
  <c r="I17" i="58"/>
  <c r="E47" i="30"/>
  <c r="C46" i="30"/>
  <c r="C50" i="133"/>
  <c r="E51" i="133"/>
  <c r="DH51" i="2"/>
  <c r="E51" i="20"/>
  <c r="C50" i="20"/>
  <c r="E51" i="71"/>
  <c r="C50" i="71"/>
  <c r="E52" i="12"/>
  <c r="C51" i="12"/>
  <c r="M52" i="1"/>
  <c r="X52" i="2"/>
  <c r="I21" i="14"/>
  <c r="I19" i="28"/>
  <c r="E49" i="51"/>
  <c r="C48" i="51"/>
  <c r="I17" i="47"/>
  <c r="E50" i="99"/>
  <c r="C49" i="99"/>
  <c r="I22" i="46"/>
  <c r="HD53" i="2"/>
  <c r="C49" i="64"/>
  <c r="E50" i="64"/>
  <c r="E49" i="84"/>
  <c r="C48" i="84"/>
  <c r="I17" i="147"/>
  <c r="IV52" i="2"/>
  <c r="C50" i="78"/>
  <c r="E51" i="78"/>
  <c r="I19" i="113"/>
  <c r="E49" i="141"/>
  <c r="C48" i="141"/>
  <c r="I17" i="35"/>
  <c r="I19" i="63"/>
  <c r="E51" i="70"/>
  <c r="C50" i="70"/>
  <c r="E52" i="55"/>
  <c r="C51" i="55"/>
  <c r="FK51" i="2" s="1"/>
  <c r="I19" i="99"/>
  <c r="C50" i="23"/>
  <c r="E51" i="23"/>
  <c r="E52" i="58"/>
  <c r="C51" i="58"/>
  <c r="C49" i="103"/>
  <c r="E50" i="103"/>
  <c r="I19" i="115"/>
  <c r="BQ53" i="1"/>
  <c r="C48" i="115"/>
  <c r="E49" i="115"/>
  <c r="HY52" i="2"/>
  <c r="I20" i="142"/>
  <c r="C50" i="13"/>
  <c r="E51" i="13"/>
  <c r="I18" i="108"/>
  <c r="I20" i="127"/>
  <c r="E49" i="163"/>
  <c r="C48" i="163"/>
  <c r="I17" i="109"/>
  <c r="C50" i="151"/>
  <c r="E51" i="151"/>
  <c r="C47" i="34"/>
  <c r="E48" i="34"/>
  <c r="E52" i="8"/>
  <c r="C51" i="8"/>
  <c r="BP52" i="1"/>
  <c r="HC52" i="2"/>
  <c r="I19" i="157"/>
  <c r="C49" i="22"/>
  <c r="E50" i="22"/>
  <c r="I19" i="10"/>
  <c r="C49" i="9"/>
  <c r="E50" i="9"/>
  <c r="BE52" i="2"/>
  <c r="E51" i="169"/>
  <c r="C50" i="169"/>
  <c r="HY51" i="2"/>
  <c r="C49" i="126"/>
  <c r="E50" i="126"/>
  <c r="E52" i="56"/>
  <c r="C51" i="56"/>
  <c r="I17" i="171"/>
  <c r="C46" i="166"/>
  <c r="E47" i="166"/>
  <c r="I18" i="76"/>
  <c r="E51" i="122"/>
  <c r="C50" i="122"/>
  <c r="E52" i="172"/>
  <c r="C51" i="172"/>
  <c r="CA51" i="2" s="1"/>
  <c r="I18" i="31"/>
  <c r="I19" i="129"/>
  <c r="C49" i="83"/>
  <c r="E50" i="83"/>
  <c r="M52" i="2"/>
  <c r="I17" i="8"/>
  <c r="AJ53" i="2"/>
  <c r="C49" i="94"/>
  <c r="E50" i="94"/>
  <c r="E49" i="72"/>
  <c r="C48" i="72"/>
  <c r="I18" i="53"/>
  <c r="E50" i="167"/>
  <c r="C49" i="167"/>
  <c r="C50" i="162"/>
  <c r="E51" i="162"/>
  <c r="I20" i="26"/>
  <c r="I20" i="16"/>
  <c r="I22" i="75"/>
  <c r="E48" i="45"/>
  <c r="C47" i="45"/>
  <c r="E51" i="36"/>
  <c r="C50" i="36"/>
  <c r="I18" i="73"/>
  <c r="CA52" i="2"/>
  <c r="E51" i="33"/>
  <c r="C50" i="33"/>
  <c r="I19" i="173"/>
  <c r="I20" i="29"/>
  <c r="C50" i="41"/>
  <c r="E51" i="41"/>
  <c r="I19" i="41"/>
  <c r="I19" i="72"/>
  <c r="I19" i="165"/>
  <c r="I18" i="123"/>
  <c r="C48" i="159"/>
  <c r="E49" i="159"/>
  <c r="I19" i="167"/>
  <c r="E50" i="66"/>
  <c r="C49" i="66"/>
  <c r="IK52" i="2"/>
  <c r="I19" i="66"/>
  <c r="C49" i="110"/>
  <c r="E50" i="110"/>
  <c r="E50" i="57"/>
  <c r="C49" i="57"/>
  <c r="I18" i="52"/>
  <c r="E51" i="153"/>
  <c r="C50" i="153"/>
  <c r="E52" i="3"/>
  <c r="C51" i="3"/>
  <c r="AJ53" i="1"/>
  <c r="I21" i="82"/>
  <c r="I18" i="20"/>
  <c r="C51" i="28"/>
  <c r="E52" i="28"/>
  <c r="CW51" i="2"/>
  <c r="I19" i="60"/>
  <c r="I18" i="103"/>
  <c r="I18" i="50"/>
  <c r="I17" i="17"/>
  <c r="E50" i="19"/>
  <c r="C49" i="19"/>
  <c r="E51" i="125"/>
  <c r="C50" i="125"/>
  <c r="E51" i="31"/>
  <c r="C50" i="31"/>
  <c r="I19" i="18"/>
  <c r="I17" i="143"/>
  <c r="I20" i="89"/>
  <c r="I20" i="128"/>
  <c r="C49" i="161"/>
  <c r="E50" i="161"/>
  <c r="C51" i="107"/>
  <c r="E52" i="107"/>
  <c r="I18" i="111"/>
  <c r="E52" i="121"/>
  <c r="C51" i="121"/>
  <c r="E51" i="154"/>
  <c r="C50" i="154"/>
  <c r="IJ51" i="2"/>
  <c r="C46" i="87"/>
  <c r="E47" i="87"/>
  <c r="E51" i="101"/>
  <c r="C50" i="101"/>
  <c r="E52" i="7"/>
  <c r="C51" i="7"/>
  <c r="EO51" i="2" s="1"/>
  <c r="AT52" i="1"/>
  <c r="C50" i="132"/>
  <c r="E51" i="132"/>
  <c r="I18" i="137"/>
  <c r="C49" i="148"/>
  <c r="E50" i="148"/>
  <c r="C49" i="18"/>
  <c r="E50" i="18"/>
  <c r="E50" i="128"/>
  <c r="C49" i="128"/>
  <c r="I17" i="160"/>
  <c r="E51" i="117"/>
  <c r="C50" i="117"/>
  <c r="I20" i="9"/>
  <c r="C46" i="32"/>
  <c r="E47" i="32"/>
  <c r="E49" i="171"/>
  <c r="C48" i="171"/>
  <c r="I22" i="61"/>
  <c r="E51" i="10"/>
  <c r="C50" i="10"/>
  <c r="AI52" i="2"/>
  <c r="I20" i="101"/>
  <c r="GS53" i="2"/>
  <c r="I19" i="25"/>
  <c r="I18" i="80"/>
  <c r="I21" i="24"/>
  <c r="I17" i="112"/>
  <c r="I17" i="38"/>
  <c r="X52" i="1"/>
  <c r="C49" i="4"/>
  <c r="E50" i="4"/>
  <c r="AI52" i="1"/>
  <c r="C48" i="86"/>
  <c r="E49" i="86"/>
  <c r="I17" i="64"/>
  <c r="I20" i="98"/>
  <c r="E49" i="127"/>
  <c r="C48" i="127"/>
  <c r="C51" i="29"/>
  <c r="E52" i="29"/>
  <c r="C48" i="47"/>
  <c r="E49" i="47"/>
  <c r="C51" i="14"/>
  <c r="E52" i="14"/>
  <c r="C49" i="68"/>
  <c r="E50" i="68"/>
  <c r="HN52" i="2"/>
  <c r="AU53" i="1"/>
  <c r="I18" i="21"/>
  <c r="I18" i="97"/>
  <c r="E50" i="5"/>
  <c r="C49" i="5"/>
  <c r="E50" i="112"/>
  <c r="C49" i="112"/>
  <c r="CW50" i="2"/>
  <c r="I17" i="120"/>
  <c r="C49" i="139"/>
  <c r="E50" i="139"/>
  <c r="E50" i="16"/>
  <c r="C49" i="16"/>
  <c r="DT51" i="2"/>
  <c r="I17" i="43"/>
  <c r="E51" i="140"/>
  <c r="C50" i="140"/>
  <c r="I19" i="149"/>
  <c r="I18" i="161"/>
  <c r="I22" i="7"/>
  <c r="E51" i="89"/>
  <c r="C50" i="89"/>
  <c r="HN51" i="2"/>
  <c r="I17" i="148"/>
  <c r="I18" i="5"/>
  <c r="I17" i="105"/>
  <c r="I20" i="48"/>
  <c r="E51" i="156" l="1"/>
  <c r="C50" i="156"/>
  <c r="C49" i="149"/>
  <c r="E50" i="149"/>
  <c r="E51" i="130"/>
  <c r="C50" i="130"/>
  <c r="BE51" i="2"/>
  <c r="C45" i="98"/>
  <c r="E46" i="98"/>
  <c r="E51" i="74"/>
  <c r="C50" i="74"/>
  <c r="E50" i="61"/>
  <c r="C49" i="61"/>
  <c r="E50" i="59"/>
  <c r="C49" i="59"/>
  <c r="C50" i="150"/>
  <c r="E51" i="150"/>
  <c r="CB51" i="2"/>
  <c r="EP51" i="2"/>
  <c r="BF51" i="2"/>
  <c r="FL51" i="2"/>
  <c r="E48" i="171"/>
  <c r="C47" i="171"/>
  <c r="I19" i="123"/>
  <c r="I18" i="171"/>
  <c r="I21" i="127"/>
  <c r="C49" i="20"/>
  <c r="E50" i="20"/>
  <c r="I20" i="124"/>
  <c r="E48" i="26"/>
  <c r="C47" i="26"/>
  <c r="E44" i="82"/>
  <c r="C43" i="82"/>
  <c r="I19" i="4"/>
  <c r="I19" i="87"/>
  <c r="I22" i="94"/>
  <c r="E51" i="28"/>
  <c r="C50" i="28"/>
  <c r="I20" i="165"/>
  <c r="E51" i="56"/>
  <c r="C50" i="56"/>
  <c r="I20" i="113"/>
  <c r="I18" i="110"/>
  <c r="I19" i="104"/>
  <c r="E49" i="144"/>
  <c r="C48" i="144"/>
  <c r="E50" i="80"/>
  <c r="C49" i="80"/>
  <c r="FW52" i="2"/>
  <c r="I21" i="152"/>
  <c r="I19" i="144"/>
  <c r="I18" i="81"/>
  <c r="I21" i="62"/>
  <c r="C48" i="65"/>
  <c r="E49" i="65"/>
  <c r="C45" i="146"/>
  <c r="E46" i="146"/>
  <c r="E51" i="42"/>
  <c r="C50" i="42"/>
  <c r="FV51" i="2"/>
  <c r="E47" i="105"/>
  <c r="C46" i="105"/>
  <c r="I19" i="131"/>
  <c r="I18" i="40"/>
  <c r="C47" i="123"/>
  <c r="E48" i="123"/>
  <c r="I21" i="98"/>
  <c r="C49" i="133"/>
  <c r="E50" i="133"/>
  <c r="DH50" i="2"/>
  <c r="I19" i="39"/>
  <c r="I18" i="140"/>
  <c r="I21" i="156"/>
  <c r="I22" i="22"/>
  <c r="E50" i="108"/>
  <c r="C49" i="108"/>
  <c r="I19" i="121"/>
  <c r="E49" i="126"/>
  <c r="C48" i="126"/>
  <c r="E50" i="13"/>
  <c r="C49" i="13"/>
  <c r="I18" i="146"/>
  <c r="E49" i="11"/>
  <c r="C48" i="11"/>
  <c r="I21" i="172"/>
  <c r="I21" i="13"/>
  <c r="E46" i="30"/>
  <c r="C45" i="30"/>
  <c r="FA51" i="2"/>
  <c r="C47" i="86"/>
  <c r="E48" i="86"/>
  <c r="E50" i="117"/>
  <c r="C49" i="117"/>
  <c r="I20" i="41"/>
  <c r="I19" i="53"/>
  <c r="C49" i="169"/>
  <c r="E50" i="169"/>
  <c r="HY50" i="2"/>
  <c r="I21" i="142"/>
  <c r="I18" i="34"/>
  <c r="E50" i="15"/>
  <c r="C49" i="15"/>
  <c r="C49" i="134"/>
  <c r="E50" i="134"/>
  <c r="EZ50" i="2"/>
  <c r="I19" i="86"/>
  <c r="I18" i="166"/>
  <c r="C48" i="16"/>
  <c r="E49" i="16"/>
  <c r="E51" i="107"/>
  <c r="C50" i="107"/>
  <c r="I20" i="72"/>
  <c r="I21" i="9"/>
  <c r="I22" i="82"/>
  <c r="AJ52" i="1"/>
  <c r="C47" i="72"/>
  <c r="E48" i="72"/>
  <c r="I18" i="147"/>
  <c r="E48" i="40"/>
  <c r="C47" i="40"/>
  <c r="C49" i="88"/>
  <c r="E50" i="88"/>
  <c r="I18" i="55"/>
  <c r="HZ51" i="2"/>
  <c r="E49" i="139"/>
  <c r="C48" i="139"/>
  <c r="E49" i="161"/>
  <c r="C48" i="161"/>
  <c r="HZ52" i="2"/>
  <c r="I18" i="120"/>
  <c r="I21" i="128"/>
  <c r="BF52" i="2"/>
  <c r="E48" i="84"/>
  <c r="C47" i="84"/>
  <c r="I18" i="58"/>
  <c r="I19" i="154"/>
  <c r="I37" i="150"/>
  <c r="C45" i="138"/>
  <c r="E46" i="138"/>
  <c r="I23" i="12"/>
  <c r="I20" i="139"/>
  <c r="I20" i="158"/>
  <c r="E51" i="91"/>
  <c r="C50" i="91"/>
  <c r="C48" i="81"/>
  <c r="E49" i="81"/>
  <c r="I18" i="160"/>
  <c r="C50" i="3"/>
  <c r="E51" i="3"/>
  <c r="E50" i="41"/>
  <c r="C49" i="41"/>
  <c r="E48" i="115"/>
  <c r="C47" i="115"/>
  <c r="I23" i="15"/>
  <c r="I19" i="84"/>
  <c r="I19" i="119"/>
  <c r="I22" i="32"/>
  <c r="I20" i="68"/>
  <c r="E47" i="131"/>
  <c r="C46" i="131"/>
  <c r="C48" i="75"/>
  <c r="E49" i="75"/>
  <c r="E51" i="152"/>
  <c r="C50" i="152"/>
  <c r="I18" i="64"/>
  <c r="C49" i="48"/>
  <c r="E50" i="48"/>
  <c r="I20" i="92"/>
  <c r="I19" i="168"/>
  <c r="C46" i="160"/>
  <c r="E47" i="160"/>
  <c r="C45" i="157"/>
  <c r="E46" i="157"/>
  <c r="E49" i="128"/>
  <c r="C48" i="128"/>
  <c r="C48" i="94"/>
  <c r="E49" i="94"/>
  <c r="E49" i="9"/>
  <c r="C48" i="9"/>
  <c r="E49" i="112"/>
  <c r="C48" i="112"/>
  <c r="Y52" i="1"/>
  <c r="I21" i="89"/>
  <c r="I21" i="122"/>
  <c r="I23" i="134"/>
  <c r="E49" i="135"/>
  <c r="C48" i="135"/>
  <c r="CB52" i="1"/>
  <c r="I19" i="67"/>
  <c r="CX50" i="2"/>
  <c r="C48" i="4"/>
  <c r="E49" i="4"/>
  <c r="I21" i="29"/>
  <c r="E49" i="64"/>
  <c r="C48" i="64"/>
  <c r="I21" i="48"/>
  <c r="E50" i="153"/>
  <c r="C49" i="153"/>
  <c r="I20" i="10"/>
  <c r="I20" i="115"/>
  <c r="E50" i="79"/>
  <c r="C49" i="79"/>
  <c r="E49" i="137"/>
  <c r="C48" i="137"/>
  <c r="E49" i="54"/>
  <c r="C48" i="54"/>
  <c r="I20" i="44"/>
  <c r="I19" i="153"/>
  <c r="E48" i="120"/>
  <c r="C47" i="120"/>
  <c r="E51" i="90"/>
  <c r="C50" i="90"/>
  <c r="I18" i="43"/>
  <c r="E49" i="5"/>
  <c r="C48" i="5"/>
  <c r="I18" i="38"/>
  <c r="I18" i="143"/>
  <c r="I20" i="173"/>
  <c r="E47" i="43"/>
  <c r="C46" i="43"/>
  <c r="I18" i="125"/>
  <c r="I19" i="88"/>
  <c r="E51" i="49"/>
  <c r="C50" i="49"/>
  <c r="E51" i="92"/>
  <c r="C50" i="92"/>
  <c r="C50" i="6"/>
  <c r="E51" i="6"/>
  <c r="CA51" i="1"/>
  <c r="I18" i="163"/>
  <c r="N51" i="2"/>
  <c r="I18" i="8"/>
  <c r="C48" i="22"/>
  <c r="E49" i="22"/>
  <c r="I23" i="46"/>
  <c r="C47" i="37"/>
  <c r="E48" i="37"/>
  <c r="I22" i="79"/>
  <c r="I19" i="57"/>
  <c r="C49" i="44"/>
  <c r="E50" i="44"/>
  <c r="E49" i="60"/>
  <c r="C48" i="60"/>
  <c r="I19" i="52"/>
  <c r="C49" i="33"/>
  <c r="E50" i="33"/>
  <c r="M50" i="2"/>
  <c r="N52" i="2"/>
  <c r="C48" i="103"/>
  <c r="E49" i="103"/>
  <c r="C50" i="174"/>
  <c r="E51" i="174"/>
  <c r="E49" i="17"/>
  <c r="C48" i="17"/>
  <c r="E50" i="77"/>
  <c r="C49" i="77"/>
  <c r="E51" i="93"/>
  <c r="C50" i="93"/>
  <c r="E50" i="145"/>
  <c r="C49" i="145"/>
  <c r="CM51" i="2"/>
  <c r="E49" i="167"/>
  <c r="C48" i="167"/>
  <c r="I19" i="5"/>
  <c r="I19" i="97"/>
  <c r="E49" i="148"/>
  <c r="C48" i="148"/>
  <c r="C48" i="57"/>
  <c r="E49" i="57"/>
  <c r="I20" i="157"/>
  <c r="E51" i="58"/>
  <c r="C50" i="58"/>
  <c r="C48" i="99"/>
  <c r="E49" i="99"/>
  <c r="I18" i="65"/>
  <c r="E48" i="39"/>
  <c r="C47" i="39"/>
  <c r="I21" i="117"/>
  <c r="I21" i="107"/>
  <c r="E50" i="63"/>
  <c r="C49" i="63"/>
  <c r="I20" i="159"/>
  <c r="E47" i="111"/>
  <c r="C46" i="111"/>
  <c r="EE52" i="2"/>
  <c r="I20" i="30"/>
  <c r="I19" i="111"/>
  <c r="DI51" i="2"/>
  <c r="E46" i="32"/>
  <c r="C45" i="32"/>
  <c r="CB52" i="2"/>
  <c r="I20" i="93"/>
  <c r="C47" i="85"/>
  <c r="E48" i="85"/>
  <c r="I19" i="116"/>
  <c r="E50" i="38"/>
  <c r="C49" i="38"/>
  <c r="E51" i="109"/>
  <c r="C50" i="109"/>
  <c r="ED51" i="2"/>
  <c r="I19" i="162"/>
  <c r="DT50" i="2"/>
  <c r="C48" i="83"/>
  <c r="E49" i="83"/>
  <c r="I19" i="85"/>
  <c r="I19" i="138"/>
  <c r="I19" i="169"/>
  <c r="E50" i="119"/>
  <c r="C49" i="119"/>
  <c r="E49" i="113"/>
  <c r="C48" i="113"/>
  <c r="E49" i="129"/>
  <c r="C48" i="129"/>
  <c r="DS49" i="2"/>
  <c r="I19" i="21"/>
  <c r="IV51" i="2"/>
  <c r="I19" i="137"/>
  <c r="I18" i="148"/>
  <c r="E50" i="125"/>
  <c r="C49" i="125"/>
  <c r="C48" i="110"/>
  <c r="E49" i="110"/>
  <c r="I20" i="129"/>
  <c r="HD52" i="2"/>
  <c r="E50" i="23"/>
  <c r="C49" i="23"/>
  <c r="I18" i="47"/>
  <c r="C50" i="27"/>
  <c r="E51" i="27"/>
  <c r="C47" i="173"/>
  <c r="E48" i="173"/>
  <c r="I21" i="136"/>
  <c r="I19" i="3"/>
  <c r="C49" i="132"/>
  <c r="E50" i="132"/>
  <c r="I19" i="73"/>
  <c r="BQ52" i="1"/>
  <c r="C47" i="51"/>
  <c r="E48" i="51"/>
  <c r="I20" i="83"/>
  <c r="I19" i="54"/>
  <c r="I19" i="126"/>
  <c r="E50" i="97"/>
  <c r="C49" i="97"/>
  <c r="I19" i="19"/>
  <c r="I18" i="174"/>
  <c r="I20" i="118"/>
  <c r="E48" i="127"/>
  <c r="C47" i="127"/>
  <c r="I20" i="18"/>
  <c r="I18" i="112"/>
  <c r="E50" i="31"/>
  <c r="C49" i="31"/>
  <c r="CA50" i="2"/>
  <c r="E50" i="89"/>
  <c r="C49" i="89"/>
  <c r="HN50" i="2"/>
  <c r="AU52" i="1"/>
  <c r="E49" i="19"/>
  <c r="C48" i="19"/>
  <c r="I20" i="66"/>
  <c r="C49" i="36"/>
  <c r="CW49" i="2" s="1"/>
  <c r="E50" i="36"/>
  <c r="E51" i="8"/>
  <c r="C50" i="8"/>
  <c r="HC51" i="2"/>
  <c r="BP51" i="1"/>
  <c r="I20" i="99"/>
  <c r="I18" i="100"/>
  <c r="E51" i="136"/>
  <c r="C50" i="136"/>
  <c r="E50" i="35"/>
  <c r="C49" i="35"/>
  <c r="E50" i="76"/>
  <c r="C49" i="76"/>
  <c r="I20" i="23"/>
  <c r="C48" i="18"/>
  <c r="E49" i="18"/>
  <c r="E49" i="104"/>
  <c r="C48" i="104"/>
  <c r="C46" i="102"/>
  <c r="E47" i="102"/>
  <c r="I19" i="33"/>
  <c r="I18" i="45"/>
  <c r="I18" i="141"/>
  <c r="I22" i="27"/>
  <c r="I18" i="130"/>
  <c r="I19" i="20"/>
  <c r="C46" i="45"/>
  <c r="E47" i="45"/>
  <c r="C50" i="172"/>
  <c r="E51" i="172"/>
  <c r="I20" i="28"/>
  <c r="C49" i="164"/>
  <c r="E50" i="164"/>
  <c r="E48" i="168"/>
  <c r="C47" i="168"/>
  <c r="C50" i="53"/>
  <c r="E51" i="53"/>
  <c r="I23" i="133"/>
  <c r="E50" i="142"/>
  <c r="C49" i="142"/>
  <c r="I18" i="69"/>
  <c r="I18" i="17"/>
  <c r="C49" i="70"/>
  <c r="E50" i="70"/>
  <c r="I22" i="14"/>
  <c r="I21" i="51"/>
  <c r="C47" i="106"/>
  <c r="E48" i="106"/>
  <c r="I19" i="155"/>
  <c r="I18" i="95"/>
  <c r="I19" i="114"/>
  <c r="BQ52" i="2"/>
  <c r="I18" i="36"/>
  <c r="I18" i="105"/>
  <c r="I22" i="24"/>
  <c r="HO51" i="2"/>
  <c r="I19" i="80"/>
  <c r="HO52" i="2"/>
  <c r="I20" i="25"/>
  <c r="E51" i="7"/>
  <c r="C50" i="7"/>
  <c r="AT51" i="1"/>
  <c r="E49" i="66"/>
  <c r="C48" i="66"/>
  <c r="I19" i="50"/>
  <c r="I23" i="75"/>
  <c r="E50" i="122"/>
  <c r="C49" i="122"/>
  <c r="C46" i="165"/>
  <c r="E47" i="165"/>
  <c r="I22" i="42"/>
  <c r="E50" i="114"/>
  <c r="C49" i="114"/>
  <c r="I19" i="151"/>
  <c r="E51" i="52"/>
  <c r="C50" i="52"/>
  <c r="BP51" i="2"/>
  <c r="C49" i="21"/>
  <c r="E50" i="21"/>
  <c r="E51" i="143"/>
  <c r="C50" i="143"/>
  <c r="E49" i="25"/>
  <c r="C48" i="25"/>
  <c r="E51" i="158"/>
  <c r="C50" i="158"/>
  <c r="GR50" i="2" s="1"/>
  <c r="E50" i="96"/>
  <c r="C49" i="96"/>
  <c r="I19" i="49"/>
  <c r="C49" i="162"/>
  <c r="E50" i="162"/>
  <c r="I19" i="161"/>
  <c r="E51" i="14"/>
  <c r="C50" i="14"/>
  <c r="GR51" i="2"/>
  <c r="E50" i="151"/>
  <c r="C49" i="151"/>
  <c r="Y52" i="2"/>
  <c r="I18" i="91"/>
  <c r="E51" i="155"/>
  <c r="C50" i="155"/>
  <c r="C48" i="118"/>
  <c r="E49" i="118"/>
  <c r="I23" i="7"/>
  <c r="E50" i="101"/>
  <c r="C49" i="101"/>
  <c r="E47" i="34"/>
  <c r="C46" i="34"/>
  <c r="I21" i="101"/>
  <c r="I20" i="149"/>
  <c r="AJ52" i="2"/>
  <c r="E46" i="87"/>
  <c r="C45" i="87"/>
  <c r="I19" i="103"/>
  <c r="I20" i="167"/>
  <c r="I19" i="76"/>
  <c r="I18" i="109"/>
  <c r="I20" i="63"/>
  <c r="N52" i="1"/>
  <c r="E49" i="67"/>
  <c r="C48" i="67"/>
  <c r="I19" i="170"/>
  <c r="I18" i="96"/>
  <c r="C50" i="100"/>
  <c r="E51" i="100"/>
  <c r="I20" i="37"/>
  <c r="E48" i="69"/>
  <c r="C47" i="69"/>
  <c r="C49" i="78"/>
  <c r="E50" i="78"/>
  <c r="I19" i="31"/>
  <c r="E51" i="55"/>
  <c r="C50" i="55"/>
  <c r="FK50" i="2" s="1"/>
  <c r="C48" i="68"/>
  <c r="E49" i="68"/>
  <c r="I18" i="35"/>
  <c r="E51" i="12"/>
  <c r="C50" i="12"/>
  <c r="X51" i="2"/>
  <c r="M51" i="1"/>
  <c r="I21" i="77"/>
  <c r="E51" i="170"/>
  <c r="C50" i="170"/>
  <c r="AI50" i="2" s="1"/>
  <c r="I22" i="71"/>
  <c r="I21" i="78"/>
  <c r="I23" i="74"/>
  <c r="I21" i="132"/>
  <c r="AU52" i="2"/>
  <c r="E48" i="47"/>
  <c r="C47" i="47"/>
  <c r="E50" i="10"/>
  <c r="C49" i="10"/>
  <c r="IK51" i="2"/>
  <c r="AI51" i="2"/>
  <c r="I21" i="16"/>
  <c r="E48" i="163"/>
  <c r="C47" i="163"/>
  <c r="E49" i="116"/>
  <c r="C48" i="116"/>
  <c r="I18" i="102"/>
  <c r="E51" i="50"/>
  <c r="C50" i="50"/>
  <c r="AT51" i="2"/>
  <c r="I19" i="108"/>
  <c r="E50" i="154"/>
  <c r="C49" i="154"/>
  <c r="IJ50" i="2"/>
  <c r="C49" i="140"/>
  <c r="E50" i="140"/>
  <c r="E51" i="29"/>
  <c r="C50" i="29"/>
  <c r="X51" i="1"/>
  <c r="I20" i="60"/>
  <c r="E48" i="159"/>
  <c r="C47" i="159"/>
  <c r="E46" i="166"/>
  <c r="C45" i="166"/>
  <c r="C47" i="141"/>
  <c r="E48" i="141"/>
  <c r="E50" i="71"/>
  <c r="C49" i="71"/>
  <c r="I23" i="145"/>
  <c r="I22" i="59"/>
  <c r="I21" i="164"/>
  <c r="I19" i="70"/>
  <c r="I19" i="106"/>
  <c r="C47" i="62"/>
  <c r="E48" i="62"/>
  <c r="C47" i="124"/>
  <c r="E48" i="124"/>
  <c r="I18" i="11"/>
  <c r="I23" i="61"/>
  <c r="E51" i="121"/>
  <c r="C50" i="121"/>
  <c r="CX51" i="2"/>
  <c r="I21" i="26"/>
  <c r="C47" i="73"/>
  <c r="E48" i="73"/>
  <c r="C49" i="147"/>
  <c r="E50" i="147"/>
  <c r="I18" i="90"/>
  <c r="I19" i="56"/>
  <c r="C49" i="95"/>
  <c r="E50" i="95"/>
  <c r="I21" i="135"/>
  <c r="E51" i="46"/>
  <c r="C50" i="46"/>
  <c r="AI51" i="1"/>
  <c r="C49" i="156" l="1"/>
  <c r="E50" i="156"/>
  <c r="E49" i="149"/>
  <c r="C48" i="149"/>
  <c r="E50" i="130"/>
  <c r="C49" i="130"/>
  <c r="E45" i="98"/>
  <c r="C44" i="98"/>
  <c r="C49" i="74"/>
  <c r="E50" i="74"/>
  <c r="E49" i="61"/>
  <c r="C48" i="61"/>
  <c r="C48" i="59"/>
  <c r="E49" i="59"/>
  <c r="E50" i="150"/>
  <c r="C49" i="150"/>
  <c r="GS50" i="2"/>
  <c r="CX49" i="2"/>
  <c r="FL50" i="2"/>
  <c r="AJ50" i="2"/>
  <c r="GS51" i="2"/>
  <c r="I20" i="155"/>
  <c r="C49" i="8"/>
  <c r="E50" i="8"/>
  <c r="HC50" i="2"/>
  <c r="BP50" i="1"/>
  <c r="I20" i="126"/>
  <c r="C48" i="125"/>
  <c r="E49" i="125"/>
  <c r="E49" i="134"/>
  <c r="C48" i="134"/>
  <c r="EZ49" i="2"/>
  <c r="I23" i="94"/>
  <c r="EE51" i="2"/>
  <c r="I20" i="106"/>
  <c r="C49" i="50"/>
  <c r="E50" i="50"/>
  <c r="AT50" i="2"/>
  <c r="Y51" i="2"/>
  <c r="I20" i="54"/>
  <c r="C49" i="109"/>
  <c r="E50" i="109"/>
  <c r="ED50" i="2"/>
  <c r="I22" i="117"/>
  <c r="I19" i="163"/>
  <c r="I21" i="44"/>
  <c r="I24" i="134"/>
  <c r="I21" i="158"/>
  <c r="E49" i="15"/>
  <c r="C48" i="15"/>
  <c r="C48" i="13"/>
  <c r="E49" i="13"/>
  <c r="I19" i="130"/>
  <c r="C49" i="14"/>
  <c r="E50" i="14"/>
  <c r="I24" i="75"/>
  <c r="I23" i="27"/>
  <c r="C49" i="12"/>
  <c r="E50" i="12"/>
  <c r="M50" i="1"/>
  <c r="X50" i="2"/>
  <c r="E47" i="106"/>
  <c r="C46" i="106"/>
  <c r="I19" i="148"/>
  <c r="C46" i="39"/>
  <c r="E47" i="39"/>
  <c r="C49" i="174"/>
  <c r="E50" i="174"/>
  <c r="CB51" i="1"/>
  <c r="C47" i="54"/>
  <c r="E48" i="54"/>
  <c r="I22" i="122"/>
  <c r="I19" i="55"/>
  <c r="E45" i="146"/>
  <c r="C44" i="146"/>
  <c r="I20" i="87"/>
  <c r="C48" i="38"/>
  <c r="E49" i="38"/>
  <c r="C47" i="75"/>
  <c r="E48" i="75"/>
  <c r="I21" i="139"/>
  <c r="C47" i="126"/>
  <c r="E48" i="126"/>
  <c r="I20" i="161"/>
  <c r="I21" i="66"/>
  <c r="I21" i="83"/>
  <c r="I20" i="137"/>
  <c r="I19" i="65"/>
  <c r="E48" i="103"/>
  <c r="C47" i="103"/>
  <c r="C49" i="6"/>
  <c r="IU49" i="2" s="1"/>
  <c r="E50" i="6"/>
  <c r="CA50" i="1"/>
  <c r="IU50" i="2"/>
  <c r="E48" i="137"/>
  <c r="C47" i="137"/>
  <c r="I22" i="89"/>
  <c r="E46" i="131"/>
  <c r="C45" i="131"/>
  <c r="I19" i="34"/>
  <c r="E48" i="65"/>
  <c r="C47" i="65"/>
  <c r="I20" i="4"/>
  <c r="E48" i="66"/>
  <c r="C47" i="66"/>
  <c r="I22" i="51"/>
  <c r="I22" i="164"/>
  <c r="C47" i="116"/>
  <c r="E48" i="116"/>
  <c r="I19" i="35"/>
  <c r="E50" i="92"/>
  <c r="C49" i="92"/>
  <c r="I24" i="12"/>
  <c r="E43" i="82"/>
  <c r="C42" i="82"/>
  <c r="I21" i="167"/>
  <c r="I23" i="59"/>
  <c r="E49" i="162"/>
  <c r="C48" i="162"/>
  <c r="AU51" i="1"/>
  <c r="I23" i="14"/>
  <c r="E48" i="19"/>
  <c r="C47" i="19"/>
  <c r="C46" i="51"/>
  <c r="E47" i="51"/>
  <c r="I20" i="116"/>
  <c r="E49" i="79"/>
  <c r="C48" i="79"/>
  <c r="I21" i="68"/>
  <c r="E49" i="88"/>
  <c r="C48" i="88"/>
  <c r="I22" i="142"/>
  <c r="I20" i="121"/>
  <c r="I22" i="62"/>
  <c r="E50" i="7"/>
  <c r="C49" i="7"/>
  <c r="AT50" i="1"/>
  <c r="C47" i="99"/>
  <c r="E48" i="99"/>
  <c r="N50" i="2"/>
  <c r="C49" i="49"/>
  <c r="E50" i="49"/>
  <c r="HZ50" i="2"/>
  <c r="E49" i="108"/>
  <c r="C48" i="108"/>
  <c r="I19" i="81"/>
  <c r="E47" i="26"/>
  <c r="C46" i="26"/>
  <c r="C49" i="55"/>
  <c r="E50" i="55"/>
  <c r="E45" i="87"/>
  <c r="C44" i="87"/>
  <c r="I20" i="49"/>
  <c r="E49" i="70"/>
  <c r="C48" i="70"/>
  <c r="I19" i="45"/>
  <c r="E47" i="85"/>
  <c r="C46" i="85"/>
  <c r="C49" i="58"/>
  <c r="CA49" i="2" s="1"/>
  <c r="E50" i="58"/>
  <c r="C44" i="138"/>
  <c r="E45" i="138"/>
  <c r="E47" i="40"/>
  <c r="C46" i="40"/>
  <c r="AJ51" i="1"/>
  <c r="I20" i="50"/>
  <c r="I19" i="141"/>
  <c r="E49" i="36"/>
  <c r="C48" i="36"/>
  <c r="E50" i="46"/>
  <c r="C49" i="46"/>
  <c r="C48" i="96"/>
  <c r="E49" i="96"/>
  <c r="I19" i="17"/>
  <c r="I20" i="21"/>
  <c r="C48" i="33"/>
  <c r="E49" i="33"/>
  <c r="I20" i="88"/>
  <c r="I21" i="115"/>
  <c r="C47" i="112"/>
  <c r="E48" i="112"/>
  <c r="I23" i="32"/>
  <c r="E49" i="169"/>
  <c r="C48" i="169"/>
  <c r="HY49" i="2"/>
  <c r="C46" i="163"/>
  <c r="E47" i="163"/>
  <c r="I20" i="73"/>
  <c r="DT49" i="2"/>
  <c r="I21" i="93"/>
  <c r="I20" i="52"/>
  <c r="I20" i="119"/>
  <c r="I38" i="150"/>
  <c r="I23" i="22"/>
  <c r="I20" i="144"/>
  <c r="I21" i="124"/>
  <c r="I21" i="157"/>
  <c r="I21" i="10"/>
  <c r="E48" i="9"/>
  <c r="C47" i="9"/>
  <c r="I19" i="147"/>
  <c r="I20" i="53"/>
  <c r="I22" i="156"/>
  <c r="I20" i="76"/>
  <c r="E46" i="102"/>
  <c r="C45" i="102"/>
  <c r="E48" i="60"/>
  <c r="C47" i="60"/>
  <c r="I19" i="125"/>
  <c r="E49" i="153"/>
  <c r="C48" i="153"/>
  <c r="I22" i="152"/>
  <c r="N51" i="1"/>
  <c r="I19" i="102"/>
  <c r="C47" i="129"/>
  <c r="E48" i="129"/>
  <c r="DS48" i="2"/>
  <c r="I21" i="149"/>
  <c r="I20" i="80"/>
  <c r="E46" i="43"/>
  <c r="C45" i="43"/>
  <c r="I20" i="84"/>
  <c r="E47" i="72"/>
  <c r="C46" i="72"/>
  <c r="I21" i="41"/>
  <c r="AJ51" i="2"/>
  <c r="E49" i="132"/>
  <c r="C48" i="132"/>
  <c r="E49" i="31"/>
  <c r="C48" i="31"/>
  <c r="I20" i="3"/>
  <c r="C47" i="57"/>
  <c r="E48" i="57"/>
  <c r="E48" i="94"/>
  <c r="C47" i="94"/>
  <c r="I20" i="154"/>
  <c r="E49" i="117"/>
  <c r="C48" i="117"/>
  <c r="I19" i="140"/>
  <c r="C48" i="20"/>
  <c r="E49" i="20"/>
  <c r="E48" i="68"/>
  <c r="C47" i="68"/>
  <c r="E48" i="25"/>
  <c r="C47" i="25"/>
  <c r="C44" i="32"/>
  <c r="E45" i="32"/>
  <c r="C46" i="69"/>
  <c r="E47" i="69"/>
  <c r="I22" i="101"/>
  <c r="E49" i="147"/>
  <c r="C48" i="147"/>
  <c r="C49" i="143"/>
  <c r="E50" i="143"/>
  <c r="I24" i="133"/>
  <c r="I22" i="136"/>
  <c r="E49" i="119"/>
  <c r="C48" i="119"/>
  <c r="E48" i="148"/>
  <c r="C47" i="148"/>
  <c r="E48" i="128"/>
  <c r="C47" i="128"/>
  <c r="I24" i="15"/>
  <c r="I19" i="58"/>
  <c r="C48" i="80"/>
  <c r="E49" i="80"/>
  <c r="I22" i="127"/>
  <c r="E49" i="142"/>
  <c r="C48" i="142"/>
  <c r="CB50" i="2"/>
  <c r="C48" i="10"/>
  <c r="E49" i="10"/>
  <c r="C46" i="47"/>
  <c r="E47" i="47"/>
  <c r="C45" i="34"/>
  <c r="E46" i="34"/>
  <c r="I19" i="112"/>
  <c r="I21" i="173"/>
  <c r="I22" i="48"/>
  <c r="E47" i="115"/>
  <c r="C46" i="115"/>
  <c r="I20" i="39"/>
  <c r="I20" i="56"/>
  <c r="E49" i="78"/>
  <c r="C48" i="78"/>
  <c r="E48" i="104"/>
  <c r="C47" i="104"/>
  <c r="E48" i="113"/>
  <c r="C47" i="113"/>
  <c r="C44" i="166"/>
  <c r="E45" i="166"/>
  <c r="C46" i="73"/>
  <c r="E47" i="73"/>
  <c r="C46" i="159"/>
  <c r="E47" i="159"/>
  <c r="I21" i="37"/>
  <c r="I23" i="24"/>
  <c r="C47" i="18"/>
  <c r="E48" i="18"/>
  <c r="I20" i="97"/>
  <c r="C48" i="44"/>
  <c r="E49" i="44"/>
  <c r="E48" i="64"/>
  <c r="C47" i="64"/>
  <c r="E47" i="84"/>
  <c r="C46" i="84"/>
  <c r="I23" i="82"/>
  <c r="E47" i="86"/>
  <c r="C46" i="86"/>
  <c r="DI50" i="2"/>
  <c r="E48" i="144"/>
  <c r="C47" i="144"/>
  <c r="I19" i="171"/>
  <c r="I19" i="90"/>
  <c r="C48" i="21"/>
  <c r="E49" i="21"/>
  <c r="E50" i="53"/>
  <c r="C49" i="53"/>
  <c r="I20" i="169"/>
  <c r="I20" i="111"/>
  <c r="I19" i="143"/>
  <c r="C44" i="157"/>
  <c r="E45" i="157"/>
  <c r="BE50" i="2"/>
  <c r="I22" i="9"/>
  <c r="I22" i="135"/>
  <c r="I22" i="16"/>
  <c r="E47" i="141"/>
  <c r="C46" i="141"/>
  <c r="I21" i="23"/>
  <c r="I21" i="18"/>
  <c r="E47" i="173"/>
  <c r="C46" i="173"/>
  <c r="I20" i="138"/>
  <c r="I20" i="5"/>
  <c r="I20" i="57"/>
  <c r="I19" i="38"/>
  <c r="I22" i="29"/>
  <c r="C48" i="41"/>
  <c r="E49" i="41"/>
  <c r="E49" i="133"/>
  <c r="C48" i="133"/>
  <c r="DH49" i="2"/>
  <c r="I20" i="123"/>
  <c r="I21" i="25"/>
  <c r="I24" i="7"/>
  <c r="I19" i="105"/>
  <c r="E49" i="76"/>
  <c r="C48" i="76"/>
  <c r="C46" i="127"/>
  <c r="E47" i="127"/>
  <c r="I21" i="30"/>
  <c r="I21" i="72"/>
  <c r="E45" i="30"/>
  <c r="C44" i="30"/>
  <c r="I20" i="104"/>
  <c r="I19" i="69"/>
  <c r="I21" i="60"/>
  <c r="C49" i="27"/>
  <c r="E50" i="27"/>
  <c r="C47" i="167"/>
  <c r="E48" i="167"/>
  <c r="I23" i="79"/>
  <c r="C45" i="160"/>
  <c r="E46" i="160"/>
  <c r="I22" i="128"/>
  <c r="I22" i="98"/>
  <c r="I19" i="110"/>
  <c r="C46" i="171"/>
  <c r="E47" i="171"/>
  <c r="C49" i="100"/>
  <c r="E50" i="100"/>
  <c r="Y51" i="1"/>
  <c r="I19" i="96"/>
  <c r="C49" i="29"/>
  <c r="E50" i="29"/>
  <c r="X50" i="1"/>
  <c r="C48" i="35"/>
  <c r="E49" i="35"/>
  <c r="I20" i="85"/>
  <c r="E48" i="5"/>
  <c r="C47" i="5"/>
  <c r="E50" i="107"/>
  <c r="C49" i="107"/>
  <c r="C49" i="52"/>
  <c r="E50" i="52"/>
  <c r="BP50" i="2"/>
  <c r="E50" i="121"/>
  <c r="C49" i="121"/>
  <c r="E49" i="164"/>
  <c r="C48" i="164"/>
  <c r="I24" i="74"/>
  <c r="I20" i="170"/>
  <c r="C47" i="118"/>
  <c r="E48" i="118"/>
  <c r="I20" i="151"/>
  <c r="I21" i="118"/>
  <c r="I19" i="47"/>
  <c r="C45" i="111"/>
  <c r="E46" i="111"/>
  <c r="C46" i="37"/>
  <c r="E47" i="37"/>
  <c r="E48" i="4"/>
  <c r="C47" i="4"/>
  <c r="I20" i="168"/>
  <c r="I19" i="120"/>
  <c r="I22" i="13"/>
  <c r="E47" i="123"/>
  <c r="C46" i="123"/>
  <c r="E49" i="95"/>
  <c r="C48" i="95"/>
  <c r="HO50" i="2"/>
  <c r="I19" i="36"/>
  <c r="E50" i="155"/>
  <c r="C49" i="155"/>
  <c r="C48" i="114"/>
  <c r="E49" i="114"/>
  <c r="I21" i="28"/>
  <c r="E49" i="23"/>
  <c r="C48" i="23"/>
  <c r="I19" i="43"/>
  <c r="I21" i="92"/>
  <c r="C49" i="3"/>
  <c r="E50" i="3"/>
  <c r="I21" i="113"/>
  <c r="C49" i="158"/>
  <c r="E50" i="158"/>
  <c r="BQ51" i="2"/>
  <c r="C46" i="168"/>
  <c r="E47" i="168"/>
  <c r="I22" i="132"/>
  <c r="E48" i="67"/>
  <c r="C47" i="67"/>
  <c r="C49" i="136"/>
  <c r="E50" i="136"/>
  <c r="I24" i="61"/>
  <c r="I22" i="78"/>
  <c r="I19" i="174"/>
  <c r="I21" i="159"/>
  <c r="E49" i="145"/>
  <c r="C48" i="145"/>
  <c r="CW48" i="2" s="1"/>
  <c r="I24" i="46"/>
  <c r="I19" i="160"/>
  <c r="E48" i="16"/>
  <c r="C47" i="16"/>
  <c r="I22" i="172"/>
  <c r="I19" i="40"/>
  <c r="E50" i="56"/>
  <c r="C49" i="56"/>
  <c r="AI50" i="1"/>
  <c r="I24" i="145"/>
  <c r="I20" i="31"/>
  <c r="C48" i="101"/>
  <c r="E49" i="101"/>
  <c r="I22" i="26"/>
  <c r="I19" i="91"/>
  <c r="C49" i="172"/>
  <c r="E50" i="172"/>
  <c r="E50" i="90"/>
  <c r="C49" i="90"/>
  <c r="CL49" i="2" s="1"/>
  <c r="I20" i="67"/>
  <c r="I19" i="166"/>
  <c r="E48" i="11"/>
  <c r="C47" i="11"/>
  <c r="I20" i="131"/>
  <c r="C48" i="89"/>
  <c r="E49" i="89"/>
  <c r="HN49" i="2"/>
  <c r="E49" i="140"/>
  <c r="C48" i="140"/>
  <c r="AI49" i="2"/>
  <c r="I19" i="11"/>
  <c r="IK50" i="2"/>
  <c r="I23" i="71"/>
  <c r="I23" i="42"/>
  <c r="I20" i="114"/>
  <c r="I19" i="100"/>
  <c r="I20" i="19"/>
  <c r="E48" i="83"/>
  <c r="C47" i="83"/>
  <c r="CL50" i="2"/>
  <c r="C49" i="93"/>
  <c r="E50" i="93"/>
  <c r="C47" i="22"/>
  <c r="E48" i="22"/>
  <c r="E49" i="48"/>
  <c r="C48" i="48"/>
  <c r="C48" i="154"/>
  <c r="E49" i="154"/>
  <c r="E50" i="170"/>
  <c r="C49" i="170"/>
  <c r="I21" i="63"/>
  <c r="E46" i="45"/>
  <c r="C45" i="45"/>
  <c r="I21" i="99"/>
  <c r="EO50" i="2"/>
  <c r="I21" i="129"/>
  <c r="C48" i="63"/>
  <c r="E49" i="63"/>
  <c r="I19" i="8"/>
  <c r="E47" i="120"/>
  <c r="C46" i="120"/>
  <c r="E48" i="81"/>
  <c r="C47" i="81"/>
  <c r="C47" i="161"/>
  <c r="E48" i="161"/>
  <c r="E46" i="105"/>
  <c r="C45" i="105"/>
  <c r="I21" i="165"/>
  <c r="I20" i="103"/>
  <c r="C48" i="71"/>
  <c r="E49" i="71"/>
  <c r="E47" i="124"/>
  <c r="C46" i="124"/>
  <c r="E46" i="165"/>
  <c r="C45" i="165"/>
  <c r="I20" i="20"/>
  <c r="E49" i="97"/>
  <c r="C48" i="97"/>
  <c r="EO49" i="2"/>
  <c r="E49" i="77"/>
  <c r="C48" i="77"/>
  <c r="I19" i="64"/>
  <c r="I20" i="86"/>
  <c r="E50" i="28"/>
  <c r="C49" i="28"/>
  <c r="I20" i="33"/>
  <c r="I20" i="108"/>
  <c r="I22" i="77"/>
  <c r="E49" i="151"/>
  <c r="C48" i="151"/>
  <c r="E49" i="122"/>
  <c r="C48" i="122"/>
  <c r="I19" i="95"/>
  <c r="BQ51" i="1"/>
  <c r="E48" i="135"/>
  <c r="C47" i="135"/>
  <c r="E50" i="152"/>
  <c r="C49" i="152"/>
  <c r="C49" i="91"/>
  <c r="E50" i="91"/>
  <c r="E48" i="139"/>
  <c r="C47" i="139"/>
  <c r="FA50" i="2"/>
  <c r="FW51" i="2"/>
  <c r="AU51" i="2"/>
  <c r="I20" i="70"/>
  <c r="E47" i="62"/>
  <c r="C46" i="62"/>
  <c r="I19" i="109"/>
  <c r="HD51" i="2"/>
  <c r="E48" i="110"/>
  <c r="C47" i="110"/>
  <c r="I20" i="162"/>
  <c r="I22" i="107"/>
  <c r="C47" i="17"/>
  <c r="E48" i="17"/>
  <c r="I20" i="153"/>
  <c r="I19" i="146"/>
  <c r="C49" i="42"/>
  <c r="E50" i="42"/>
  <c r="FV50" i="2"/>
  <c r="C48" i="156" l="1"/>
  <c r="E49" i="156"/>
  <c r="E48" i="149"/>
  <c r="C47" i="149"/>
  <c r="C48" i="130"/>
  <c r="E49" i="130"/>
  <c r="BE49" i="2"/>
  <c r="X49" i="1"/>
  <c r="E44" i="98"/>
  <c r="C43" i="98"/>
  <c r="AI49" i="1"/>
  <c r="AJ49" i="1" s="1"/>
  <c r="E49" i="74"/>
  <c r="C48" i="74"/>
  <c r="C47" i="61"/>
  <c r="E48" i="61"/>
  <c r="C47" i="59"/>
  <c r="E48" i="59"/>
  <c r="C48" i="150"/>
  <c r="E49" i="150"/>
  <c r="CB49" i="2"/>
  <c r="BF49" i="2"/>
  <c r="CX48" i="2"/>
  <c r="Y49" i="1"/>
  <c r="CM49" i="2"/>
  <c r="E47" i="135"/>
  <c r="C46" i="135"/>
  <c r="I21" i="138"/>
  <c r="C45" i="141"/>
  <c r="E46" i="141"/>
  <c r="I24" i="82"/>
  <c r="E47" i="148"/>
  <c r="C46" i="148"/>
  <c r="C47" i="153"/>
  <c r="E48" i="153"/>
  <c r="I39" i="150"/>
  <c r="I20" i="17"/>
  <c r="E49" i="55"/>
  <c r="C48" i="55"/>
  <c r="I21" i="116"/>
  <c r="I22" i="139"/>
  <c r="I24" i="27"/>
  <c r="I21" i="123"/>
  <c r="I22" i="63"/>
  <c r="C48" i="155"/>
  <c r="E49" i="155"/>
  <c r="E47" i="118"/>
  <c r="C46" i="118"/>
  <c r="I20" i="105"/>
  <c r="C45" i="84"/>
  <c r="E46" i="84"/>
  <c r="I21" i="39"/>
  <c r="E47" i="57"/>
  <c r="C46" i="57"/>
  <c r="C45" i="26"/>
  <c r="E46" i="26"/>
  <c r="I21" i="106"/>
  <c r="C45" i="115"/>
  <c r="E46" i="115"/>
  <c r="C47" i="119"/>
  <c r="E48" i="119"/>
  <c r="E48" i="96"/>
  <c r="C47" i="96"/>
  <c r="C45" i="51"/>
  <c r="E46" i="51"/>
  <c r="I21" i="4"/>
  <c r="E47" i="75"/>
  <c r="C46" i="75"/>
  <c r="I25" i="75"/>
  <c r="I23" i="132"/>
  <c r="I25" i="145"/>
  <c r="I22" i="99"/>
  <c r="C46" i="81"/>
  <c r="E47" i="81"/>
  <c r="E46" i="171"/>
  <c r="C45" i="171"/>
  <c r="E46" i="62"/>
  <c r="C45" i="62"/>
  <c r="E49" i="28"/>
  <c r="C48" i="28"/>
  <c r="E46" i="120"/>
  <c r="C45" i="120"/>
  <c r="I21" i="19"/>
  <c r="I20" i="91"/>
  <c r="I25" i="61"/>
  <c r="I21" i="170"/>
  <c r="I20" i="110"/>
  <c r="I20" i="100"/>
  <c r="I23" i="16"/>
  <c r="E47" i="64"/>
  <c r="C46" i="64"/>
  <c r="I21" i="3"/>
  <c r="I20" i="125"/>
  <c r="I21" i="119"/>
  <c r="E49" i="46"/>
  <c r="C48" i="46"/>
  <c r="E47" i="19"/>
  <c r="C46" i="19"/>
  <c r="E47" i="65"/>
  <c r="C46" i="65"/>
  <c r="E48" i="95"/>
  <c r="C47" i="95"/>
  <c r="I20" i="146"/>
  <c r="E49" i="172"/>
  <c r="C48" i="172"/>
  <c r="I23" i="78"/>
  <c r="C47" i="114"/>
  <c r="E48" i="114"/>
  <c r="I21" i="70"/>
  <c r="I23" i="26"/>
  <c r="E49" i="136"/>
  <c r="C48" i="136"/>
  <c r="I20" i="36"/>
  <c r="I25" i="74"/>
  <c r="I23" i="98"/>
  <c r="I25" i="7"/>
  <c r="I23" i="136"/>
  <c r="C46" i="60"/>
  <c r="E47" i="60"/>
  <c r="I21" i="52"/>
  <c r="I20" i="81"/>
  <c r="E48" i="38"/>
  <c r="C47" i="38"/>
  <c r="E49" i="14"/>
  <c r="C48" i="14"/>
  <c r="EP49" i="2"/>
  <c r="E49" i="152"/>
  <c r="C48" i="152"/>
  <c r="M48" i="2" s="1"/>
  <c r="I21" i="20"/>
  <c r="C46" i="67"/>
  <c r="E47" i="67"/>
  <c r="I23" i="135"/>
  <c r="E48" i="31"/>
  <c r="C47" i="31"/>
  <c r="C47" i="36"/>
  <c r="E48" i="36"/>
  <c r="C47" i="108"/>
  <c r="E48" i="108"/>
  <c r="I24" i="14"/>
  <c r="I20" i="34"/>
  <c r="I20" i="130"/>
  <c r="I24" i="94"/>
  <c r="I20" i="64"/>
  <c r="I20" i="8"/>
  <c r="I23" i="48"/>
  <c r="I21" i="86"/>
  <c r="I21" i="114"/>
  <c r="E48" i="101"/>
  <c r="C47" i="101"/>
  <c r="E48" i="164"/>
  <c r="C47" i="164"/>
  <c r="I23" i="128"/>
  <c r="I22" i="25"/>
  <c r="I23" i="9"/>
  <c r="C47" i="44"/>
  <c r="E48" i="44"/>
  <c r="I22" i="173"/>
  <c r="C44" i="102"/>
  <c r="E45" i="102"/>
  <c r="I21" i="87"/>
  <c r="FA49" i="2"/>
  <c r="I21" i="97"/>
  <c r="I25" i="133"/>
  <c r="E48" i="132"/>
  <c r="C47" i="132"/>
  <c r="I22" i="93"/>
  <c r="C44" i="131"/>
  <c r="E45" i="131"/>
  <c r="E44" i="146"/>
  <c r="C43" i="146"/>
  <c r="IV49" i="2"/>
  <c r="C47" i="134"/>
  <c r="E48" i="134"/>
  <c r="EZ48" i="2"/>
  <c r="E49" i="121"/>
  <c r="C48" i="121"/>
  <c r="BF50" i="2"/>
  <c r="I21" i="76"/>
  <c r="I20" i="141"/>
  <c r="I20" i="112"/>
  <c r="C48" i="143"/>
  <c r="E49" i="143"/>
  <c r="I21" i="50"/>
  <c r="E48" i="162"/>
  <c r="C47" i="162"/>
  <c r="I20" i="55"/>
  <c r="E48" i="13"/>
  <c r="C47" i="13"/>
  <c r="I24" i="42"/>
  <c r="E44" i="157"/>
  <c r="C43" i="157"/>
  <c r="C47" i="147"/>
  <c r="E48" i="147"/>
  <c r="C48" i="49"/>
  <c r="E49" i="49"/>
  <c r="I23" i="89"/>
  <c r="C47" i="15"/>
  <c r="E48" i="15"/>
  <c r="E48" i="133"/>
  <c r="C47" i="133"/>
  <c r="DH48" i="2"/>
  <c r="E47" i="139"/>
  <c r="C46" i="139"/>
  <c r="EP50" i="2"/>
  <c r="AJ50" i="1"/>
  <c r="I23" i="13"/>
  <c r="I20" i="143"/>
  <c r="E47" i="18"/>
  <c r="C46" i="18"/>
  <c r="C44" i="34"/>
  <c r="E45" i="34"/>
  <c r="I22" i="41"/>
  <c r="I21" i="73"/>
  <c r="E47" i="137"/>
  <c r="C46" i="137"/>
  <c r="E49" i="56"/>
  <c r="C48" i="56"/>
  <c r="C48" i="52"/>
  <c r="E49" i="52"/>
  <c r="BP49" i="2"/>
  <c r="I24" i="79"/>
  <c r="I24" i="59"/>
  <c r="I23" i="122"/>
  <c r="I22" i="158"/>
  <c r="E48" i="125"/>
  <c r="C47" i="125"/>
  <c r="I20" i="11"/>
  <c r="I24" i="24"/>
  <c r="C45" i="47"/>
  <c r="E46" i="47"/>
  <c r="I23" i="101"/>
  <c r="C45" i="72"/>
  <c r="E46" i="72"/>
  <c r="I23" i="156"/>
  <c r="E46" i="163"/>
  <c r="C45" i="163"/>
  <c r="IV50" i="2"/>
  <c r="I21" i="126"/>
  <c r="C48" i="107"/>
  <c r="E49" i="107"/>
  <c r="FW50" i="2"/>
  <c r="C48" i="91"/>
  <c r="E49" i="91"/>
  <c r="E45" i="45"/>
  <c r="C44" i="45"/>
  <c r="C48" i="158"/>
  <c r="E49" i="158"/>
  <c r="I20" i="120"/>
  <c r="C46" i="167"/>
  <c r="E47" i="167"/>
  <c r="E48" i="41"/>
  <c r="C47" i="41"/>
  <c r="I21" i="111"/>
  <c r="HZ49" i="2"/>
  <c r="E46" i="40"/>
  <c r="C45" i="40"/>
  <c r="E47" i="99"/>
  <c r="C46" i="99"/>
  <c r="I22" i="167"/>
  <c r="CB50" i="1"/>
  <c r="C46" i="54"/>
  <c r="E47" i="54"/>
  <c r="AJ49" i="2"/>
  <c r="I20" i="40"/>
  <c r="I21" i="168"/>
  <c r="I23" i="29"/>
  <c r="I21" i="169"/>
  <c r="I22" i="37"/>
  <c r="E48" i="10"/>
  <c r="C47" i="10"/>
  <c r="E46" i="69"/>
  <c r="C45" i="69"/>
  <c r="I21" i="53"/>
  <c r="C47" i="169"/>
  <c r="E48" i="169"/>
  <c r="AU50" i="1"/>
  <c r="E42" i="82"/>
  <c r="C41" i="82"/>
  <c r="I25" i="134"/>
  <c r="BQ50" i="1"/>
  <c r="E48" i="97"/>
  <c r="C47" i="97"/>
  <c r="C48" i="42"/>
  <c r="E49" i="42"/>
  <c r="FV49" i="2"/>
  <c r="I22" i="113"/>
  <c r="C46" i="5"/>
  <c r="E47" i="5"/>
  <c r="E49" i="27"/>
  <c r="C48" i="27"/>
  <c r="I21" i="84"/>
  <c r="C48" i="7"/>
  <c r="EO48" i="2" s="1"/>
  <c r="E49" i="7"/>
  <c r="AT49" i="1"/>
  <c r="E49" i="6"/>
  <c r="CA49" i="1"/>
  <c r="C48" i="6"/>
  <c r="I22" i="44"/>
  <c r="HD50" i="2"/>
  <c r="I22" i="60"/>
  <c r="E49" i="53"/>
  <c r="C48" i="53"/>
  <c r="C43" i="32"/>
  <c r="E44" i="32"/>
  <c r="E45" i="43"/>
  <c r="C44" i="43"/>
  <c r="I20" i="147"/>
  <c r="E47" i="103"/>
  <c r="C46" i="103"/>
  <c r="HO49" i="2"/>
  <c r="C46" i="16"/>
  <c r="E47" i="16"/>
  <c r="C46" i="4"/>
  <c r="E47" i="4"/>
  <c r="I20" i="38"/>
  <c r="E46" i="159"/>
  <c r="C45" i="159"/>
  <c r="C47" i="142"/>
  <c r="E48" i="142"/>
  <c r="E47" i="25"/>
  <c r="C46" i="25"/>
  <c r="I24" i="32"/>
  <c r="C43" i="138"/>
  <c r="E44" i="138"/>
  <c r="I25" i="12"/>
  <c r="E49" i="174"/>
  <c r="C48" i="174"/>
  <c r="I20" i="163"/>
  <c r="C48" i="8"/>
  <c r="E49" i="8"/>
  <c r="HC49" i="2"/>
  <c r="BP49" i="1"/>
  <c r="I21" i="85"/>
  <c r="I21" i="57"/>
  <c r="I23" i="62"/>
  <c r="E49" i="92"/>
  <c r="C48" i="92"/>
  <c r="HN48" i="2" s="1"/>
  <c r="I20" i="65"/>
  <c r="E46" i="168"/>
  <c r="C45" i="168"/>
  <c r="I21" i="153"/>
  <c r="IJ49" i="2"/>
  <c r="E48" i="89"/>
  <c r="C47" i="89"/>
  <c r="E49" i="3"/>
  <c r="C48" i="3"/>
  <c r="I20" i="69"/>
  <c r="E48" i="21"/>
  <c r="C47" i="21"/>
  <c r="E46" i="73"/>
  <c r="C45" i="73"/>
  <c r="I23" i="127"/>
  <c r="E47" i="68"/>
  <c r="C46" i="68"/>
  <c r="I21" i="80"/>
  <c r="E47" i="9"/>
  <c r="C46" i="9"/>
  <c r="C48" i="58"/>
  <c r="E49" i="58"/>
  <c r="E46" i="39"/>
  <c r="C45" i="39"/>
  <c r="I21" i="155"/>
  <c r="C47" i="63"/>
  <c r="E48" i="63"/>
  <c r="DI49" i="2"/>
  <c r="I20" i="160"/>
  <c r="I22" i="92"/>
  <c r="C45" i="37"/>
  <c r="E46" i="37"/>
  <c r="E48" i="35"/>
  <c r="C47" i="35"/>
  <c r="I20" i="90"/>
  <c r="C46" i="112"/>
  <c r="E47" i="112"/>
  <c r="E46" i="85"/>
  <c r="C45" i="85"/>
  <c r="I21" i="121"/>
  <c r="I20" i="148"/>
  <c r="I23" i="117"/>
  <c r="E47" i="17"/>
  <c r="C46" i="17"/>
  <c r="I20" i="95"/>
  <c r="C47" i="71"/>
  <c r="E48" i="71"/>
  <c r="E48" i="154"/>
  <c r="C47" i="154"/>
  <c r="IJ48" i="2"/>
  <c r="I21" i="131"/>
  <c r="Y50" i="1"/>
  <c r="I21" i="104"/>
  <c r="I21" i="5"/>
  <c r="I22" i="149"/>
  <c r="I22" i="10"/>
  <c r="I21" i="137"/>
  <c r="EE50" i="2"/>
  <c r="C48" i="170"/>
  <c r="E49" i="170"/>
  <c r="E46" i="124"/>
  <c r="C45" i="124"/>
  <c r="C47" i="122"/>
  <c r="E48" i="122"/>
  <c r="C47" i="48"/>
  <c r="E48" i="48"/>
  <c r="E47" i="11"/>
  <c r="C46" i="11"/>
  <c r="C44" i="111"/>
  <c r="E45" i="111"/>
  <c r="E44" i="30"/>
  <c r="C43" i="30"/>
  <c r="E44" i="166"/>
  <c r="C43" i="166"/>
  <c r="E48" i="80"/>
  <c r="C47" i="80"/>
  <c r="C47" i="20"/>
  <c r="E48" i="20"/>
  <c r="DT48" i="2"/>
  <c r="I22" i="115"/>
  <c r="I23" i="142"/>
  <c r="C45" i="106"/>
  <c r="E46" i="106"/>
  <c r="C44" i="165"/>
  <c r="E45" i="165"/>
  <c r="I20" i="171"/>
  <c r="C46" i="113"/>
  <c r="E47" i="113"/>
  <c r="I21" i="88"/>
  <c r="I20" i="45"/>
  <c r="FK49" i="2"/>
  <c r="I20" i="35"/>
  <c r="I22" i="83"/>
  <c r="C48" i="109"/>
  <c r="E49" i="109"/>
  <c r="ED49" i="2"/>
  <c r="I24" i="71"/>
  <c r="C45" i="123"/>
  <c r="E46" i="123"/>
  <c r="E45" i="160"/>
  <c r="C44" i="160"/>
  <c r="I20" i="166"/>
  <c r="I20" i="96"/>
  <c r="I22" i="72"/>
  <c r="E47" i="144"/>
  <c r="C46" i="144"/>
  <c r="I20" i="58"/>
  <c r="I20" i="140"/>
  <c r="E47" i="129"/>
  <c r="C46" i="129"/>
  <c r="DS47" i="2"/>
  <c r="I22" i="157"/>
  <c r="C47" i="70"/>
  <c r="E48" i="70"/>
  <c r="E48" i="88"/>
  <c r="C47" i="88"/>
  <c r="FK48" i="2"/>
  <c r="I23" i="172"/>
  <c r="I22" i="165"/>
  <c r="E48" i="117"/>
  <c r="C47" i="117"/>
  <c r="I22" i="124"/>
  <c r="M49" i="2"/>
  <c r="C46" i="116"/>
  <c r="E47" i="116"/>
  <c r="I22" i="66"/>
  <c r="I21" i="54"/>
  <c r="BQ50" i="2"/>
  <c r="E46" i="173"/>
  <c r="C45" i="173"/>
  <c r="C46" i="104"/>
  <c r="E47" i="104"/>
  <c r="C46" i="110"/>
  <c r="E47" i="110"/>
  <c r="I25" i="15"/>
  <c r="I20" i="102"/>
  <c r="I21" i="49"/>
  <c r="I22" i="68"/>
  <c r="Y50" i="2"/>
  <c r="I22" i="129"/>
  <c r="E48" i="140"/>
  <c r="C47" i="140"/>
  <c r="AI48" i="2"/>
  <c r="E48" i="145"/>
  <c r="C47" i="145"/>
  <c r="C47" i="23"/>
  <c r="E48" i="23"/>
  <c r="C44" i="105"/>
  <c r="E45" i="105"/>
  <c r="I22" i="30"/>
  <c r="C47" i="78"/>
  <c r="E48" i="78"/>
  <c r="C46" i="128"/>
  <c r="E47" i="128"/>
  <c r="I21" i="154"/>
  <c r="I21" i="144"/>
  <c r="C47" i="33"/>
  <c r="E48" i="33"/>
  <c r="I23" i="164"/>
  <c r="I21" i="161"/>
  <c r="N50" i="1"/>
  <c r="E48" i="77"/>
  <c r="C47" i="77"/>
  <c r="I25" i="46"/>
  <c r="E47" i="22"/>
  <c r="C46" i="22"/>
  <c r="I21" i="67"/>
  <c r="I20" i="47"/>
  <c r="E49" i="90"/>
  <c r="C48" i="90"/>
  <c r="I22" i="118"/>
  <c r="I22" i="18"/>
  <c r="E46" i="86"/>
  <c r="C45" i="86"/>
  <c r="E44" i="87"/>
  <c r="C43" i="87"/>
  <c r="C47" i="79"/>
  <c r="E48" i="79"/>
  <c r="I23" i="51"/>
  <c r="AU50" i="2"/>
  <c r="I21" i="103"/>
  <c r="I20" i="43"/>
  <c r="E49" i="29"/>
  <c r="C48" i="29"/>
  <c r="X48" i="1" s="1"/>
  <c r="I21" i="162"/>
  <c r="E48" i="151"/>
  <c r="C47" i="151"/>
  <c r="I22" i="159"/>
  <c r="I23" i="77"/>
  <c r="E49" i="93"/>
  <c r="C48" i="93"/>
  <c r="GR49" i="2"/>
  <c r="I22" i="28"/>
  <c r="CM50" i="2"/>
  <c r="I20" i="174"/>
  <c r="E49" i="100"/>
  <c r="C48" i="100"/>
  <c r="C46" i="94"/>
  <c r="E47" i="94"/>
  <c r="I23" i="152"/>
  <c r="I21" i="21"/>
  <c r="E47" i="126"/>
  <c r="C46" i="126"/>
  <c r="C48" i="12"/>
  <c r="E49" i="12"/>
  <c r="M49" i="1"/>
  <c r="X49" i="2"/>
  <c r="I21" i="31"/>
  <c r="I23" i="107"/>
  <c r="I21" i="108"/>
  <c r="GR48" i="2"/>
  <c r="I21" i="151"/>
  <c r="E46" i="127"/>
  <c r="C45" i="127"/>
  <c r="I20" i="109"/>
  <c r="I21" i="33"/>
  <c r="C46" i="161"/>
  <c r="E47" i="161"/>
  <c r="E47" i="83"/>
  <c r="C46" i="83"/>
  <c r="C47" i="76"/>
  <c r="E48" i="76"/>
  <c r="I22" i="23"/>
  <c r="I21" i="56"/>
  <c r="I24" i="22"/>
  <c r="C46" i="66"/>
  <c r="E47" i="66"/>
  <c r="E49" i="50"/>
  <c r="C48" i="50"/>
  <c r="AT49" i="2"/>
  <c r="C47" i="156" l="1"/>
  <c r="E48" i="156"/>
  <c r="E47" i="149"/>
  <c r="C46" i="149"/>
  <c r="E48" i="130"/>
  <c r="C47" i="130"/>
  <c r="E43" i="98"/>
  <c r="C42" i="98"/>
  <c r="C47" i="74"/>
  <c r="E48" i="74"/>
  <c r="C46" i="61"/>
  <c r="E47" i="61"/>
  <c r="E47" i="59"/>
  <c r="C46" i="59"/>
  <c r="C47" i="150"/>
  <c r="E48" i="150"/>
  <c r="EP48" i="2"/>
  <c r="HO48" i="2"/>
  <c r="Y48" i="1"/>
  <c r="I22" i="31"/>
  <c r="C46" i="77"/>
  <c r="E47" i="77"/>
  <c r="I22" i="33"/>
  <c r="I21" i="174"/>
  <c r="E45" i="86"/>
  <c r="C44" i="86"/>
  <c r="E46" i="128"/>
  <c r="C45" i="128"/>
  <c r="I21" i="171"/>
  <c r="E45" i="85"/>
  <c r="C44" i="85"/>
  <c r="BQ49" i="1"/>
  <c r="E48" i="42"/>
  <c r="C47" i="42"/>
  <c r="FV48" i="2"/>
  <c r="E48" i="107"/>
  <c r="C47" i="107"/>
  <c r="BE47" i="2" s="1"/>
  <c r="C47" i="56"/>
  <c r="E48" i="56"/>
  <c r="FA48" i="2"/>
  <c r="I21" i="100"/>
  <c r="I22" i="4"/>
  <c r="I24" i="89"/>
  <c r="C46" i="164"/>
  <c r="E47" i="164"/>
  <c r="C45" i="67"/>
  <c r="E46" i="67"/>
  <c r="I21" i="110"/>
  <c r="I21" i="58"/>
  <c r="I24" i="127"/>
  <c r="HD49" i="2"/>
  <c r="I23" i="18"/>
  <c r="E47" i="78"/>
  <c r="C46" i="78"/>
  <c r="C45" i="144"/>
  <c r="E46" i="144"/>
  <c r="C43" i="165"/>
  <c r="E44" i="165"/>
  <c r="I22" i="137"/>
  <c r="CW47" i="2"/>
  <c r="C44" i="73"/>
  <c r="E45" i="73"/>
  <c r="I21" i="147"/>
  <c r="C46" i="97"/>
  <c r="E47" i="97"/>
  <c r="E46" i="54"/>
  <c r="C45" i="54"/>
  <c r="I22" i="126"/>
  <c r="E46" i="137"/>
  <c r="C45" i="137"/>
  <c r="E47" i="134"/>
  <c r="C46" i="134"/>
  <c r="EZ47" i="2"/>
  <c r="I24" i="26"/>
  <c r="E45" i="51"/>
  <c r="C44" i="51"/>
  <c r="I22" i="116"/>
  <c r="I21" i="109"/>
  <c r="I23" i="28"/>
  <c r="C47" i="8"/>
  <c r="HC48" i="2"/>
  <c r="E48" i="8"/>
  <c r="BP48" i="1"/>
  <c r="C43" i="43"/>
  <c r="E44" i="43"/>
  <c r="E48" i="49"/>
  <c r="C47" i="49"/>
  <c r="C46" i="101"/>
  <c r="E47" i="101"/>
  <c r="E47" i="96"/>
  <c r="C46" i="96"/>
  <c r="C47" i="55"/>
  <c r="E48" i="55"/>
  <c r="I22" i="54"/>
  <c r="C46" i="21"/>
  <c r="E47" i="21"/>
  <c r="I22" i="70"/>
  <c r="I22" i="170"/>
  <c r="C44" i="106"/>
  <c r="E45" i="106"/>
  <c r="C45" i="112"/>
  <c r="E46" i="112"/>
  <c r="GS49" i="2"/>
  <c r="I23" i="118"/>
  <c r="I23" i="72"/>
  <c r="I21" i="90"/>
  <c r="I21" i="163"/>
  <c r="I23" i="167"/>
  <c r="C44" i="163"/>
  <c r="E45" i="163"/>
  <c r="I22" i="73"/>
  <c r="C42" i="146"/>
  <c r="E43" i="146"/>
  <c r="I23" i="41"/>
  <c r="I22" i="114"/>
  <c r="I22" i="20"/>
  <c r="C46" i="114"/>
  <c r="E47" i="114"/>
  <c r="I26" i="61"/>
  <c r="E47" i="119"/>
  <c r="C46" i="119"/>
  <c r="I21" i="17"/>
  <c r="I21" i="96"/>
  <c r="I23" i="149"/>
  <c r="C46" i="147"/>
  <c r="E47" i="147"/>
  <c r="E48" i="152"/>
  <c r="C47" i="152"/>
  <c r="M47" i="2" s="1"/>
  <c r="I24" i="78"/>
  <c r="E48" i="174"/>
  <c r="C47" i="174"/>
  <c r="C42" i="32"/>
  <c r="E43" i="32"/>
  <c r="I22" i="151"/>
  <c r="E47" i="35"/>
  <c r="C46" i="35"/>
  <c r="I21" i="69"/>
  <c r="C47" i="53"/>
  <c r="E48" i="53"/>
  <c r="I26" i="134"/>
  <c r="C45" i="99"/>
  <c r="E46" i="99"/>
  <c r="GS48" i="2"/>
  <c r="I21" i="47"/>
  <c r="E47" i="23"/>
  <c r="C46" i="23"/>
  <c r="I23" i="66"/>
  <c r="I23" i="115"/>
  <c r="C47" i="3"/>
  <c r="E48" i="3"/>
  <c r="I26" i="12"/>
  <c r="E41" i="82"/>
  <c r="C40" i="82"/>
  <c r="I24" i="156"/>
  <c r="E43" i="157"/>
  <c r="C42" i="157"/>
  <c r="E44" i="131"/>
  <c r="C43" i="131"/>
  <c r="I22" i="86"/>
  <c r="I21" i="91"/>
  <c r="E45" i="115"/>
  <c r="C44" i="115"/>
  <c r="I40" i="150"/>
  <c r="I23" i="10"/>
  <c r="I24" i="77"/>
  <c r="C46" i="145"/>
  <c r="E47" i="145"/>
  <c r="I21" i="166"/>
  <c r="E44" i="34"/>
  <c r="C43" i="34"/>
  <c r="I24" i="48"/>
  <c r="E48" i="172"/>
  <c r="C47" i="172"/>
  <c r="I22" i="19"/>
  <c r="I22" i="5"/>
  <c r="E45" i="37"/>
  <c r="C44" i="37"/>
  <c r="I23" i="60"/>
  <c r="E45" i="40"/>
  <c r="C44" i="40"/>
  <c r="E45" i="72"/>
  <c r="C44" i="72"/>
  <c r="I23" i="93"/>
  <c r="I22" i="106"/>
  <c r="E47" i="153"/>
  <c r="C46" i="153"/>
  <c r="C45" i="116"/>
  <c r="E46" i="116"/>
  <c r="AU49" i="2"/>
  <c r="I22" i="67"/>
  <c r="AJ48" i="2"/>
  <c r="N49" i="2"/>
  <c r="I25" i="42"/>
  <c r="C46" i="132"/>
  <c r="E47" i="132"/>
  <c r="I21" i="8"/>
  <c r="C47" i="14"/>
  <c r="E48" i="14"/>
  <c r="I21" i="146"/>
  <c r="E45" i="120"/>
  <c r="C44" i="120"/>
  <c r="E46" i="148"/>
  <c r="C45" i="148"/>
  <c r="E48" i="93"/>
  <c r="C47" i="93"/>
  <c r="E48" i="90"/>
  <c r="C47" i="90"/>
  <c r="C43" i="105"/>
  <c r="E44" i="105"/>
  <c r="I24" i="142"/>
  <c r="I22" i="108"/>
  <c r="I23" i="159"/>
  <c r="E44" i="160"/>
  <c r="C43" i="160"/>
  <c r="C45" i="18"/>
  <c r="E46" i="18"/>
  <c r="E48" i="50"/>
  <c r="C47" i="50"/>
  <c r="AT48" i="2"/>
  <c r="C46" i="151"/>
  <c r="E47" i="151"/>
  <c r="C45" i="22"/>
  <c r="E46" i="22"/>
  <c r="E47" i="140"/>
  <c r="C46" i="140"/>
  <c r="I23" i="124"/>
  <c r="E47" i="20"/>
  <c r="C46" i="20"/>
  <c r="I22" i="104"/>
  <c r="I23" i="92"/>
  <c r="E43" i="138"/>
  <c r="C42" i="138"/>
  <c r="HY48" i="2"/>
  <c r="I24" i="101"/>
  <c r="E47" i="13"/>
  <c r="C46" i="13"/>
  <c r="E45" i="26"/>
  <c r="C44" i="26"/>
  <c r="I21" i="160"/>
  <c r="E47" i="89"/>
  <c r="C46" i="89"/>
  <c r="C46" i="38"/>
  <c r="E47" i="38"/>
  <c r="E47" i="95"/>
  <c r="C46" i="95"/>
  <c r="E48" i="28"/>
  <c r="C47" i="28"/>
  <c r="AI47" i="2" s="1"/>
  <c r="E46" i="57"/>
  <c r="C45" i="57"/>
  <c r="I25" i="82"/>
  <c r="C46" i="80"/>
  <c r="E47" i="80"/>
  <c r="I24" i="107"/>
  <c r="I26" i="46"/>
  <c r="E47" i="117"/>
  <c r="C46" i="117"/>
  <c r="E45" i="123"/>
  <c r="C44" i="123"/>
  <c r="I25" i="32"/>
  <c r="I23" i="44"/>
  <c r="C46" i="169"/>
  <c r="E47" i="169"/>
  <c r="I22" i="111"/>
  <c r="C44" i="47"/>
  <c r="E45" i="47"/>
  <c r="I21" i="143"/>
  <c r="I26" i="133"/>
  <c r="I21" i="64"/>
  <c r="C42" i="166"/>
  <c r="E43" i="166"/>
  <c r="IK49" i="2"/>
  <c r="E46" i="25"/>
  <c r="C45" i="25"/>
  <c r="CA48" i="1"/>
  <c r="C47" i="6"/>
  <c r="IU47" i="2" s="1"/>
  <c r="E48" i="6"/>
  <c r="IU48" i="2"/>
  <c r="I22" i="53"/>
  <c r="I24" i="13"/>
  <c r="I21" i="55"/>
  <c r="I25" i="94"/>
  <c r="I21" i="81"/>
  <c r="C45" i="65"/>
  <c r="E46" i="65"/>
  <c r="E45" i="62"/>
  <c r="C44" i="62"/>
  <c r="I22" i="39"/>
  <c r="C44" i="127"/>
  <c r="E45" i="127"/>
  <c r="I25" i="71"/>
  <c r="I22" i="131"/>
  <c r="I22" i="153"/>
  <c r="CB49" i="1"/>
  <c r="BE48" i="2"/>
  <c r="I25" i="24"/>
  <c r="E47" i="162"/>
  <c r="C46" i="162"/>
  <c r="I22" i="97"/>
  <c r="E45" i="141"/>
  <c r="C44" i="141"/>
  <c r="E45" i="69"/>
  <c r="C44" i="69"/>
  <c r="C46" i="41"/>
  <c r="E47" i="41"/>
  <c r="C45" i="19"/>
  <c r="E46" i="19"/>
  <c r="C44" i="171"/>
  <c r="E45" i="171"/>
  <c r="I22" i="138"/>
  <c r="I25" i="22"/>
  <c r="I23" i="165"/>
  <c r="EE49" i="2"/>
  <c r="N49" i="1"/>
  <c r="E47" i="154"/>
  <c r="C46" i="154"/>
  <c r="C44" i="168"/>
  <c r="E45" i="168"/>
  <c r="C46" i="142"/>
  <c r="E47" i="142"/>
  <c r="AU49" i="1"/>
  <c r="I21" i="11"/>
  <c r="I21" i="130"/>
  <c r="I22" i="52"/>
  <c r="C44" i="84"/>
  <c r="E45" i="84"/>
  <c r="I22" i="162"/>
  <c r="Y49" i="2"/>
  <c r="C42" i="30"/>
  <c r="E43" i="30"/>
  <c r="IK48" i="2"/>
  <c r="CL48" i="2"/>
  <c r="I23" i="68"/>
  <c r="I24" i="172"/>
  <c r="C47" i="109"/>
  <c r="E48" i="109"/>
  <c r="ED48" i="2"/>
  <c r="E47" i="63"/>
  <c r="C46" i="63"/>
  <c r="E47" i="10"/>
  <c r="C46" i="10"/>
  <c r="C46" i="125"/>
  <c r="E47" i="125"/>
  <c r="I22" i="50"/>
  <c r="E48" i="46"/>
  <c r="C47" i="46"/>
  <c r="AI48" i="1"/>
  <c r="C45" i="135"/>
  <c r="E46" i="135"/>
  <c r="C47" i="12"/>
  <c r="E48" i="12"/>
  <c r="X48" i="2"/>
  <c r="M48" i="1"/>
  <c r="E44" i="111"/>
  <c r="C43" i="111"/>
  <c r="I22" i="155"/>
  <c r="I21" i="65"/>
  <c r="E45" i="159"/>
  <c r="C44" i="159"/>
  <c r="E48" i="7"/>
  <c r="C47" i="7"/>
  <c r="AT48" i="1"/>
  <c r="C45" i="167"/>
  <c r="E46" i="167"/>
  <c r="I22" i="87"/>
  <c r="I21" i="34"/>
  <c r="C45" i="60"/>
  <c r="E46" i="60"/>
  <c r="E46" i="81"/>
  <c r="C45" i="81"/>
  <c r="I21" i="105"/>
  <c r="I22" i="56"/>
  <c r="FL48" i="2"/>
  <c r="E47" i="88"/>
  <c r="C46" i="88"/>
  <c r="C45" i="11"/>
  <c r="E46" i="11"/>
  <c r="E47" i="71"/>
  <c r="C46" i="71"/>
  <c r="I22" i="84"/>
  <c r="I23" i="37"/>
  <c r="C45" i="139"/>
  <c r="E46" i="139"/>
  <c r="E48" i="143"/>
  <c r="C47" i="143"/>
  <c r="I24" i="136"/>
  <c r="E46" i="118"/>
  <c r="C45" i="118"/>
  <c r="I21" i="95"/>
  <c r="E45" i="39"/>
  <c r="C44" i="39"/>
  <c r="E48" i="92"/>
  <c r="C47" i="92"/>
  <c r="I21" i="120"/>
  <c r="I23" i="158"/>
  <c r="E44" i="102"/>
  <c r="C43" i="102"/>
  <c r="I25" i="14"/>
  <c r="I22" i="119"/>
  <c r="I23" i="99"/>
  <c r="I22" i="21"/>
  <c r="I22" i="103"/>
  <c r="DI48" i="2"/>
  <c r="I21" i="112"/>
  <c r="I26" i="7"/>
  <c r="E46" i="126"/>
  <c r="C45" i="126"/>
  <c r="I23" i="23"/>
  <c r="I24" i="164"/>
  <c r="I21" i="102"/>
  <c r="I21" i="35"/>
  <c r="I21" i="38"/>
  <c r="C47" i="27"/>
  <c r="E48" i="27"/>
  <c r="N48" i="2"/>
  <c r="C46" i="70"/>
  <c r="E47" i="70"/>
  <c r="FL49" i="2"/>
  <c r="C46" i="48"/>
  <c r="E47" i="48"/>
  <c r="E46" i="17"/>
  <c r="C45" i="17"/>
  <c r="I22" i="169"/>
  <c r="C47" i="158"/>
  <c r="E48" i="158"/>
  <c r="I24" i="122"/>
  <c r="E47" i="133"/>
  <c r="C46" i="133"/>
  <c r="DH47" i="2"/>
  <c r="I21" i="141"/>
  <c r="I23" i="173"/>
  <c r="E47" i="108"/>
  <c r="C46" i="108"/>
  <c r="I21" i="125"/>
  <c r="I26" i="145"/>
  <c r="E48" i="155"/>
  <c r="C47" i="155"/>
  <c r="C45" i="66"/>
  <c r="E46" i="66"/>
  <c r="I23" i="129"/>
  <c r="E48" i="29"/>
  <c r="C47" i="29"/>
  <c r="I21" i="43"/>
  <c r="I26" i="15"/>
  <c r="I23" i="157"/>
  <c r="E48" i="58"/>
  <c r="C47" i="58"/>
  <c r="CA47" i="2" s="1"/>
  <c r="I24" i="62"/>
  <c r="X47" i="1"/>
  <c r="I24" i="29"/>
  <c r="E44" i="45"/>
  <c r="C43" i="45"/>
  <c r="I25" i="59"/>
  <c r="I24" i="98"/>
  <c r="I23" i="63"/>
  <c r="I22" i="49"/>
  <c r="E47" i="33"/>
  <c r="C46" i="33"/>
  <c r="E46" i="4"/>
  <c r="C45" i="4"/>
  <c r="I22" i="76"/>
  <c r="E47" i="44"/>
  <c r="C46" i="44"/>
  <c r="C46" i="36"/>
  <c r="CW46" i="2" s="1"/>
  <c r="E47" i="36"/>
  <c r="I22" i="3"/>
  <c r="I24" i="132"/>
  <c r="I22" i="161"/>
  <c r="I21" i="45"/>
  <c r="I24" i="117"/>
  <c r="E46" i="5"/>
  <c r="C45" i="5"/>
  <c r="I22" i="168"/>
  <c r="I25" i="79"/>
  <c r="CA48" i="2"/>
  <c r="I26" i="74"/>
  <c r="E46" i="64"/>
  <c r="C45" i="64"/>
  <c r="I26" i="75"/>
  <c r="C46" i="76"/>
  <c r="E47" i="76"/>
  <c r="I24" i="152"/>
  <c r="C46" i="122"/>
  <c r="E47" i="122"/>
  <c r="I24" i="51"/>
  <c r="E46" i="110"/>
  <c r="C45" i="110"/>
  <c r="DT47" i="2"/>
  <c r="I22" i="88"/>
  <c r="C44" i="124"/>
  <c r="E45" i="124"/>
  <c r="E46" i="94"/>
  <c r="C45" i="94"/>
  <c r="E46" i="129"/>
  <c r="C45" i="129"/>
  <c r="DS46" i="2"/>
  <c r="E46" i="16"/>
  <c r="C45" i="16"/>
  <c r="I23" i="113"/>
  <c r="E48" i="91"/>
  <c r="C47" i="91"/>
  <c r="I24" i="9"/>
  <c r="C46" i="31"/>
  <c r="E47" i="31"/>
  <c r="I22" i="123"/>
  <c r="I23" i="30"/>
  <c r="C45" i="9"/>
  <c r="E46" i="9"/>
  <c r="E46" i="83"/>
  <c r="C45" i="83"/>
  <c r="I22" i="144"/>
  <c r="E48" i="100"/>
  <c r="C47" i="100"/>
  <c r="E47" i="79"/>
  <c r="C46" i="79"/>
  <c r="I22" i="154"/>
  <c r="C45" i="104"/>
  <c r="E46" i="104"/>
  <c r="I21" i="148"/>
  <c r="I22" i="80"/>
  <c r="I22" i="57"/>
  <c r="BQ49" i="2"/>
  <c r="I21" i="36"/>
  <c r="C45" i="75"/>
  <c r="E46" i="75"/>
  <c r="I25" i="27"/>
  <c r="I23" i="83"/>
  <c r="I21" i="140"/>
  <c r="E46" i="113"/>
  <c r="C45" i="113"/>
  <c r="C47" i="170"/>
  <c r="E48" i="170"/>
  <c r="I22" i="121"/>
  <c r="C45" i="68"/>
  <c r="E46" i="68"/>
  <c r="FW49" i="2"/>
  <c r="I21" i="40"/>
  <c r="E48" i="121"/>
  <c r="C47" i="121"/>
  <c r="I23" i="25"/>
  <c r="I24" i="135"/>
  <c r="I24" i="16"/>
  <c r="E43" i="87"/>
  <c r="C42" i="87"/>
  <c r="E46" i="161"/>
  <c r="C45" i="161"/>
  <c r="C44" i="173"/>
  <c r="E45" i="173"/>
  <c r="I22" i="85"/>
  <c r="E46" i="103"/>
  <c r="C45" i="103"/>
  <c r="E48" i="52"/>
  <c r="C47" i="52"/>
  <c r="BP48" i="2"/>
  <c r="E47" i="15"/>
  <c r="C46" i="15"/>
  <c r="I24" i="128"/>
  <c r="E48" i="136"/>
  <c r="C47" i="136"/>
  <c r="I23" i="139"/>
  <c r="E47" i="156" l="1"/>
  <c r="C46" i="156"/>
  <c r="E46" i="149"/>
  <c r="C45" i="149"/>
  <c r="E47" i="130"/>
  <c r="C46" i="130"/>
  <c r="C41" i="98"/>
  <c r="E42" i="98"/>
  <c r="C46" i="74"/>
  <c r="E47" i="74"/>
  <c r="C45" i="61"/>
  <c r="E46" i="61"/>
  <c r="E46" i="59"/>
  <c r="C45" i="59"/>
  <c r="C46" i="150"/>
  <c r="E47" i="150"/>
  <c r="CB47" i="2"/>
  <c r="IV47" i="2"/>
  <c r="CX46" i="2"/>
  <c r="AJ47" i="2"/>
  <c r="E45" i="16"/>
  <c r="C44" i="16"/>
  <c r="C44" i="103"/>
  <c r="E45" i="103"/>
  <c r="I26" i="27"/>
  <c r="C44" i="4"/>
  <c r="E45" i="4"/>
  <c r="E47" i="12"/>
  <c r="C46" i="12"/>
  <c r="X47" i="2"/>
  <c r="M47" i="1"/>
  <c r="C43" i="171"/>
  <c r="E44" i="171"/>
  <c r="E45" i="65"/>
  <c r="C44" i="65"/>
  <c r="E43" i="160"/>
  <c r="C42" i="160"/>
  <c r="E46" i="147"/>
  <c r="C45" i="147"/>
  <c r="I24" i="72"/>
  <c r="C43" i="73"/>
  <c r="E44" i="73"/>
  <c r="E44" i="84"/>
  <c r="C43" i="84"/>
  <c r="I22" i="81"/>
  <c r="E46" i="169"/>
  <c r="C45" i="169"/>
  <c r="E43" i="34"/>
  <c r="C42" i="34"/>
  <c r="CX47" i="2"/>
  <c r="E47" i="56"/>
  <c r="C46" i="56"/>
  <c r="E45" i="75"/>
  <c r="C44" i="75"/>
  <c r="E46" i="31"/>
  <c r="C45" i="31"/>
  <c r="I24" i="129"/>
  <c r="E43" i="102"/>
  <c r="C42" i="102"/>
  <c r="E45" i="135"/>
  <c r="C44" i="135"/>
  <c r="E45" i="19"/>
  <c r="C44" i="19"/>
  <c r="E46" i="13"/>
  <c r="C45" i="13"/>
  <c r="I24" i="115"/>
  <c r="I24" i="149"/>
  <c r="I24" i="118"/>
  <c r="C42" i="43"/>
  <c r="E43" i="43"/>
  <c r="I23" i="137"/>
  <c r="E47" i="107"/>
  <c r="C46" i="107"/>
  <c r="AJ48" i="1"/>
  <c r="I23" i="52"/>
  <c r="BF47" i="2"/>
  <c r="I24" i="44"/>
  <c r="I24" i="159"/>
  <c r="I23" i="67"/>
  <c r="I24" i="66"/>
  <c r="BQ48" i="1"/>
  <c r="C44" i="66"/>
  <c r="E45" i="66"/>
  <c r="I23" i="56"/>
  <c r="E47" i="46"/>
  <c r="C46" i="46"/>
  <c r="I22" i="130"/>
  <c r="I26" i="94"/>
  <c r="I25" i="101"/>
  <c r="I22" i="166"/>
  <c r="I22" i="96"/>
  <c r="FW48" i="2"/>
  <c r="I27" i="75"/>
  <c r="C44" i="64"/>
  <c r="E45" i="64"/>
  <c r="E42" i="87"/>
  <c r="C41" i="87"/>
  <c r="N47" i="2"/>
  <c r="E47" i="155"/>
  <c r="C46" i="155"/>
  <c r="C46" i="27"/>
  <c r="E47" i="27"/>
  <c r="I24" i="158"/>
  <c r="I22" i="105"/>
  <c r="E46" i="41"/>
  <c r="C45" i="41"/>
  <c r="I26" i="32"/>
  <c r="I23" i="108"/>
  <c r="E46" i="23"/>
  <c r="C45" i="23"/>
  <c r="I22" i="17"/>
  <c r="HD48" i="2"/>
  <c r="C42" i="165"/>
  <c r="E43" i="165"/>
  <c r="E47" i="42"/>
  <c r="C46" i="42"/>
  <c r="FV47" i="2"/>
  <c r="C43" i="69"/>
  <c r="E44" i="69"/>
  <c r="I22" i="55"/>
  <c r="C43" i="123"/>
  <c r="E44" i="123"/>
  <c r="HZ48" i="2"/>
  <c r="C45" i="145"/>
  <c r="E46" i="145"/>
  <c r="HC47" i="2"/>
  <c r="C46" i="8"/>
  <c r="E47" i="8"/>
  <c r="BP47" i="1"/>
  <c r="E46" i="70"/>
  <c r="C45" i="70"/>
  <c r="I25" i="9"/>
  <c r="E45" i="81"/>
  <c r="C44" i="81"/>
  <c r="I23" i="50"/>
  <c r="I22" i="11"/>
  <c r="I25" i="142"/>
  <c r="I25" i="77"/>
  <c r="C45" i="119"/>
  <c r="E46" i="119"/>
  <c r="E45" i="112"/>
  <c r="C44" i="112"/>
  <c r="E45" i="144"/>
  <c r="C44" i="144"/>
  <c r="CB48" i="2"/>
  <c r="I23" i="49"/>
  <c r="I27" i="145"/>
  <c r="C46" i="92"/>
  <c r="E47" i="92"/>
  <c r="C43" i="141"/>
  <c r="E44" i="141"/>
  <c r="I25" i="13"/>
  <c r="E46" i="117"/>
  <c r="C45" i="117"/>
  <c r="C41" i="138"/>
  <c r="E42" i="138"/>
  <c r="I22" i="47"/>
  <c r="I24" i="28"/>
  <c r="E46" i="78"/>
  <c r="C45" i="78"/>
  <c r="I25" i="135"/>
  <c r="C44" i="116"/>
  <c r="E45" i="116"/>
  <c r="E44" i="85"/>
  <c r="C43" i="85"/>
  <c r="I27" i="74"/>
  <c r="I22" i="35"/>
  <c r="E46" i="125"/>
  <c r="C45" i="125"/>
  <c r="I23" i="53"/>
  <c r="I24" i="113"/>
  <c r="I26" i="79"/>
  <c r="I24" i="63"/>
  <c r="E44" i="39"/>
  <c r="C43" i="39"/>
  <c r="E45" i="60"/>
  <c r="C44" i="60"/>
  <c r="E46" i="10"/>
  <c r="C45" i="10"/>
  <c r="I27" i="46"/>
  <c r="I24" i="92"/>
  <c r="C45" i="153"/>
  <c r="E46" i="153"/>
  <c r="I24" i="10"/>
  <c r="I27" i="61"/>
  <c r="I22" i="109"/>
  <c r="I23" i="57"/>
  <c r="I22" i="38"/>
  <c r="C45" i="108"/>
  <c r="E46" i="108"/>
  <c r="I22" i="102"/>
  <c r="C45" i="142"/>
  <c r="E46" i="142"/>
  <c r="I23" i="97"/>
  <c r="IV48" i="2"/>
  <c r="E43" i="105"/>
  <c r="C42" i="105"/>
  <c r="I41" i="150"/>
  <c r="E44" i="106"/>
  <c r="C43" i="106"/>
  <c r="I24" i="18"/>
  <c r="I22" i="171"/>
  <c r="E47" i="91"/>
  <c r="C46" i="91"/>
  <c r="I23" i="168"/>
  <c r="I23" i="104"/>
  <c r="C46" i="90"/>
  <c r="E47" i="90"/>
  <c r="C44" i="99"/>
  <c r="E45" i="99"/>
  <c r="C45" i="114"/>
  <c r="E46" i="114"/>
  <c r="I23" i="116"/>
  <c r="E46" i="162"/>
  <c r="C45" i="162"/>
  <c r="E47" i="121"/>
  <c r="C46" i="121"/>
  <c r="DT46" i="2"/>
  <c r="I25" i="98"/>
  <c r="I24" i="173"/>
  <c r="I25" i="164"/>
  <c r="I23" i="87"/>
  <c r="CL47" i="2"/>
  <c r="E44" i="168"/>
  <c r="C43" i="168"/>
  <c r="CA47" i="1"/>
  <c r="E47" i="6"/>
  <c r="C46" i="6"/>
  <c r="I25" i="107"/>
  <c r="I23" i="106"/>
  <c r="E44" i="115"/>
  <c r="C43" i="115"/>
  <c r="I27" i="134"/>
  <c r="I23" i="20"/>
  <c r="I23" i="170"/>
  <c r="E44" i="51"/>
  <c r="C43" i="51"/>
  <c r="E45" i="128"/>
  <c r="C44" i="128"/>
  <c r="I22" i="125"/>
  <c r="I22" i="148"/>
  <c r="I22" i="95"/>
  <c r="I22" i="34"/>
  <c r="E45" i="129"/>
  <c r="C44" i="129"/>
  <c r="DS45" i="2"/>
  <c r="C45" i="63"/>
  <c r="E46" i="63"/>
  <c r="IJ47" i="2"/>
  <c r="CB48" i="1"/>
  <c r="E46" i="20"/>
  <c r="C45" i="20"/>
  <c r="E47" i="93"/>
  <c r="C46" i="93"/>
  <c r="E46" i="33"/>
  <c r="C45" i="33"/>
  <c r="C44" i="104"/>
  <c r="E45" i="104"/>
  <c r="C44" i="5"/>
  <c r="E45" i="5"/>
  <c r="C44" i="118"/>
  <c r="E45" i="118"/>
  <c r="I26" i="59"/>
  <c r="I22" i="141"/>
  <c r="I24" i="23"/>
  <c r="C45" i="154"/>
  <c r="E46" i="154"/>
  <c r="IJ46" i="2"/>
  <c r="I26" i="24"/>
  <c r="E45" i="25"/>
  <c r="C44" i="25"/>
  <c r="E46" i="80"/>
  <c r="C45" i="80"/>
  <c r="I24" i="93"/>
  <c r="I23" i="114"/>
  <c r="I23" i="70"/>
  <c r="I25" i="127"/>
  <c r="E44" i="86"/>
  <c r="C43" i="86"/>
  <c r="I23" i="154"/>
  <c r="C44" i="94"/>
  <c r="E45" i="94"/>
  <c r="E43" i="45"/>
  <c r="C42" i="45"/>
  <c r="C44" i="126"/>
  <c r="E45" i="126"/>
  <c r="C44" i="167"/>
  <c r="E45" i="167"/>
  <c r="EE48" i="2"/>
  <c r="BF48" i="2"/>
  <c r="I24" i="124"/>
  <c r="E45" i="148"/>
  <c r="C44" i="148"/>
  <c r="E44" i="72"/>
  <c r="C43" i="72"/>
  <c r="I22" i="91"/>
  <c r="E47" i="53"/>
  <c r="C46" i="53"/>
  <c r="I25" i="26"/>
  <c r="I22" i="58"/>
  <c r="E46" i="79"/>
  <c r="C45" i="79"/>
  <c r="I25" i="117"/>
  <c r="DI47" i="2"/>
  <c r="I25" i="136"/>
  <c r="AU48" i="1"/>
  <c r="I26" i="82"/>
  <c r="I23" i="86"/>
  <c r="FA47" i="2"/>
  <c r="I22" i="36"/>
  <c r="I22" i="120"/>
  <c r="I23" i="80"/>
  <c r="C46" i="136"/>
  <c r="E47" i="136"/>
  <c r="I22" i="45"/>
  <c r="C45" i="133"/>
  <c r="E46" i="133"/>
  <c r="DH46" i="2"/>
  <c r="E47" i="143"/>
  <c r="C46" i="143"/>
  <c r="C46" i="7"/>
  <c r="E47" i="7"/>
  <c r="AT47" i="1"/>
  <c r="E47" i="109"/>
  <c r="C46" i="109"/>
  <c r="ED47" i="2"/>
  <c r="C44" i="57"/>
  <c r="E45" i="57"/>
  <c r="C43" i="120"/>
  <c r="E44" i="120"/>
  <c r="I22" i="69"/>
  <c r="I24" i="41"/>
  <c r="E46" i="134"/>
  <c r="C45" i="134"/>
  <c r="EZ46" i="2"/>
  <c r="I22" i="174"/>
  <c r="I24" i="139"/>
  <c r="C46" i="100"/>
  <c r="E47" i="100"/>
  <c r="E44" i="124"/>
  <c r="C43" i="124"/>
  <c r="I25" i="29"/>
  <c r="I27" i="7"/>
  <c r="C45" i="140"/>
  <c r="E46" i="140"/>
  <c r="E44" i="40"/>
  <c r="C43" i="40"/>
  <c r="E43" i="131"/>
  <c r="C42" i="131"/>
  <c r="E46" i="35"/>
  <c r="C45" i="35"/>
  <c r="C45" i="21"/>
  <c r="E46" i="21"/>
  <c r="I22" i="110"/>
  <c r="Y47" i="1"/>
  <c r="I25" i="172"/>
  <c r="I23" i="153"/>
  <c r="E42" i="166"/>
  <c r="C41" i="166"/>
  <c r="C46" i="28"/>
  <c r="E47" i="28"/>
  <c r="C41" i="146"/>
  <c r="E42" i="146"/>
  <c r="E45" i="137"/>
  <c r="C44" i="137"/>
  <c r="I23" i="33"/>
  <c r="I23" i="161"/>
  <c r="I25" i="122"/>
  <c r="I25" i="128"/>
  <c r="I22" i="112"/>
  <c r="C44" i="139"/>
  <c r="E45" i="139"/>
  <c r="C43" i="159"/>
  <c r="E44" i="159"/>
  <c r="I23" i="131"/>
  <c r="I22" i="64"/>
  <c r="I22" i="146"/>
  <c r="C41" i="157"/>
  <c r="E42" i="157"/>
  <c r="I23" i="54"/>
  <c r="C44" i="67"/>
  <c r="E45" i="67"/>
  <c r="I25" i="16"/>
  <c r="I24" i="68"/>
  <c r="E46" i="95"/>
  <c r="C45" i="95"/>
  <c r="E45" i="22"/>
  <c r="C44" i="22"/>
  <c r="I24" i="60"/>
  <c r="I23" i="151"/>
  <c r="I23" i="73"/>
  <c r="I23" i="126"/>
  <c r="C45" i="77"/>
  <c r="E46" i="77"/>
  <c r="E47" i="158"/>
  <c r="C46" i="158"/>
  <c r="I24" i="37"/>
  <c r="CM48" i="2"/>
  <c r="C46" i="14"/>
  <c r="E47" i="14"/>
  <c r="GR47" i="2"/>
  <c r="E44" i="37"/>
  <c r="C43" i="37"/>
  <c r="C46" i="55"/>
  <c r="E47" i="55"/>
  <c r="E46" i="164"/>
  <c r="C45" i="164"/>
  <c r="I23" i="31"/>
  <c r="C45" i="76"/>
  <c r="E46" i="76"/>
  <c r="I26" i="14"/>
  <c r="E45" i="161"/>
  <c r="C44" i="161"/>
  <c r="I23" i="121"/>
  <c r="I25" i="132"/>
  <c r="BQ48" i="2"/>
  <c r="E46" i="151"/>
  <c r="C45" i="151"/>
  <c r="I25" i="156"/>
  <c r="E42" i="32"/>
  <c r="C41" i="32"/>
  <c r="C43" i="163"/>
  <c r="E44" i="163"/>
  <c r="E46" i="96"/>
  <c r="C45" i="96"/>
  <c r="E45" i="54"/>
  <c r="C44" i="54"/>
  <c r="C43" i="173"/>
  <c r="E44" i="173"/>
  <c r="E47" i="52"/>
  <c r="C46" i="52"/>
  <c r="BP47" i="2"/>
  <c r="I23" i="3"/>
  <c r="E46" i="38"/>
  <c r="C45" i="38"/>
  <c r="AU48" i="2"/>
  <c r="I22" i="8"/>
  <c r="C39" i="82"/>
  <c r="E40" i="82"/>
  <c r="E47" i="174"/>
  <c r="C46" i="174"/>
  <c r="I24" i="167"/>
  <c r="I25" i="89"/>
  <c r="I24" i="25"/>
  <c r="I22" i="40"/>
  <c r="E45" i="68"/>
  <c r="C44" i="68"/>
  <c r="I23" i="88"/>
  <c r="I23" i="144"/>
  <c r="E47" i="58"/>
  <c r="C46" i="58"/>
  <c r="CA46" i="2" s="1"/>
  <c r="I25" i="51"/>
  <c r="I24" i="157"/>
  <c r="C44" i="17"/>
  <c r="E45" i="17"/>
  <c r="C45" i="71"/>
  <c r="E46" i="71"/>
  <c r="I23" i="155"/>
  <c r="I24" i="165"/>
  <c r="E44" i="127"/>
  <c r="C43" i="127"/>
  <c r="I22" i="143"/>
  <c r="HN47" i="2"/>
  <c r="C46" i="50"/>
  <c r="E47" i="50"/>
  <c r="AT47" i="2"/>
  <c r="I23" i="5"/>
  <c r="EO47" i="2"/>
  <c r="I23" i="4"/>
  <c r="I26" i="71"/>
  <c r="I23" i="39"/>
  <c r="C45" i="89"/>
  <c r="E46" i="89"/>
  <c r="HN46" i="2"/>
  <c r="C45" i="132"/>
  <c r="E46" i="132"/>
  <c r="I25" i="78"/>
  <c r="I22" i="163"/>
  <c r="AI47" i="1"/>
  <c r="E45" i="113"/>
  <c r="C44" i="113"/>
  <c r="I23" i="169"/>
  <c r="I22" i="140"/>
  <c r="E43" i="111"/>
  <c r="C42" i="111"/>
  <c r="C41" i="30"/>
  <c r="E42" i="30"/>
  <c r="C45" i="44"/>
  <c r="E46" i="44"/>
  <c r="I27" i="15"/>
  <c r="I24" i="99"/>
  <c r="I26" i="22"/>
  <c r="C43" i="47"/>
  <c r="E44" i="47"/>
  <c r="I26" i="42"/>
  <c r="I23" i="19"/>
  <c r="I27" i="12"/>
  <c r="E46" i="97"/>
  <c r="C45" i="97"/>
  <c r="EO46" i="2"/>
  <c r="I22" i="100"/>
  <c r="E46" i="15"/>
  <c r="C45" i="15"/>
  <c r="I25" i="62"/>
  <c r="C46" i="170"/>
  <c r="AI46" i="2" s="1"/>
  <c r="E47" i="170"/>
  <c r="C44" i="83"/>
  <c r="E45" i="83"/>
  <c r="E45" i="110"/>
  <c r="C44" i="110"/>
  <c r="C45" i="122"/>
  <c r="E46" i="122"/>
  <c r="I23" i="138"/>
  <c r="E44" i="62"/>
  <c r="C43" i="62"/>
  <c r="E47" i="172"/>
  <c r="C46" i="172"/>
  <c r="C46" i="152"/>
  <c r="E47" i="152"/>
  <c r="I22" i="147"/>
  <c r="E46" i="48"/>
  <c r="C45" i="48"/>
  <c r="N48" i="1"/>
  <c r="I23" i="85"/>
  <c r="I24" i="83"/>
  <c r="I25" i="152"/>
  <c r="I22" i="43"/>
  <c r="I23" i="119"/>
  <c r="FK47" i="2"/>
  <c r="Y48" i="2"/>
  <c r="I23" i="162"/>
  <c r="I23" i="111"/>
  <c r="I22" i="160"/>
  <c r="E45" i="18"/>
  <c r="C44" i="18"/>
  <c r="I22" i="90"/>
  <c r="E46" i="101"/>
  <c r="C45" i="101"/>
  <c r="I23" i="103"/>
  <c r="I23" i="84"/>
  <c r="I22" i="65"/>
  <c r="I27" i="133"/>
  <c r="E45" i="9"/>
  <c r="C44" i="9"/>
  <c r="C45" i="36"/>
  <c r="CW45" i="2" s="1"/>
  <c r="E46" i="36"/>
  <c r="I23" i="21"/>
  <c r="I24" i="30"/>
  <c r="E45" i="11"/>
  <c r="C44" i="11"/>
  <c r="I23" i="123"/>
  <c r="I23" i="76"/>
  <c r="C46" i="29"/>
  <c r="E47" i="29"/>
  <c r="C45" i="88"/>
  <c r="E46" i="88"/>
  <c r="FK46" i="2"/>
  <c r="HY47" i="2"/>
  <c r="C43" i="26"/>
  <c r="E44" i="26"/>
  <c r="I25" i="48"/>
  <c r="E47" i="3"/>
  <c r="C46" i="3"/>
  <c r="C46" i="49"/>
  <c r="E47" i="49"/>
  <c r="E46" i="156" l="1"/>
  <c r="C45" i="156"/>
  <c r="E45" i="149"/>
  <c r="C44" i="149"/>
  <c r="E46" i="130"/>
  <c r="C45" i="130"/>
  <c r="E41" i="98"/>
  <c r="C40" i="98"/>
  <c r="E46" i="74"/>
  <c r="C45" i="74"/>
  <c r="C44" i="61"/>
  <c r="E45" i="61"/>
  <c r="C44" i="59"/>
  <c r="E45" i="59"/>
  <c r="C45" i="150"/>
  <c r="E46" i="150"/>
  <c r="AJ46" i="2"/>
  <c r="CB46" i="2"/>
  <c r="CX45" i="2"/>
  <c r="I24" i="119"/>
  <c r="E45" i="38"/>
  <c r="C44" i="38"/>
  <c r="I28" i="15"/>
  <c r="I24" i="123"/>
  <c r="E42" i="111"/>
  <c r="C41" i="111"/>
  <c r="E46" i="50"/>
  <c r="C45" i="50"/>
  <c r="AT46" i="2"/>
  <c r="C42" i="159"/>
  <c r="E43" i="159"/>
  <c r="I26" i="136"/>
  <c r="HD47" i="2"/>
  <c r="I26" i="152"/>
  <c r="I25" i="167"/>
  <c r="I24" i="126"/>
  <c r="C41" i="131"/>
  <c r="E42" i="131"/>
  <c r="I24" i="170"/>
  <c r="I24" i="116"/>
  <c r="E45" i="125"/>
  <c r="C44" i="125"/>
  <c r="E46" i="92"/>
  <c r="C45" i="92"/>
  <c r="HN45" i="2" s="1"/>
  <c r="E45" i="13"/>
  <c r="C44" i="13"/>
  <c r="I25" i="72"/>
  <c r="C45" i="152"/>
  <c r="M45" i="2" s="1"/>
  <c r="E46" i="152"/>
  <c r="C44" i="89"/>
  <c r="E45" i="89"/>
  <c r="E44" i="54"/>
  <c r="C43" i="54"/>
  <c r="E44" i="11"/>
  <c r="C43" i="11"/>
  <c r="C43" i="83"/>
  <c r="E44" i="83"/>
  <c r="HO47" i="2"/>
  <c r="FL47" i="2"/>
  <c r="I23" i="140"/>
  <c r="E46" i="174"/>
  <c r="C45" i="174"/>
  <c r="I24" i="73"/>
  <c r="E44" i="139"/>
  <c r="C43" i="139"/>
  <c r="EE47" i="2"/>
  <c r="C43" i="94"/>
  <c r="E44" i="94"/>
  <c r="E44" i="5"/>
  <c r="C43" i="5"/>
  <c r="C44" i="108"/>
  <c r="E45" i="108"/>
  <c r="E45" i="145"/>
  <c r="C44" i="145"/>
  <c r="E46" i="27"/>
  <c r="C45" i="27"/>
  <c r="I24" i="56"/>
  <c r="E45" i="147"/>
  <c r="C44" i="147"/>
  <c r="I26" i="132"/>
  <c r="E46" i="109"/>
  <c r="C45" i="109"/>
  <c r="ED46" i="2"/>
  <c r="I23" i="38"/>
  <c r="I23" i="35"/>
  <c r="I28" i="145"/>
  <c r="E46" i="155"/>
  <c r="C45" i="155"/>
  <c r="E44" i="19"/>
  <c r="C43" i="19"/>
  <c r="I24" i="151"/>
  <c r="I23" i="112"/>
  <c r="C42" i="40"/>
  <c r="E43" i="40"/>
  <c r="I26" i="117"/>
  <c r="I24" i="154"/>
  <c r="C43" i="104"/>
  <c r="E44" i="104"/>
  <c r="I24" i="20"/>
  <c r="E45" i="114"/>
  <c r="C44" i="114"/>
  <c r="I24" i="49"/>
  <c r="E44" i="66"/>
  <c r="C43" i="66"/>
  <c r="I26" i="62"/>
  <c r="E39" i="82"/>
  <c r="C38" i="82"/>
  <c r="I24" i="121"/>
  <c r="AU47" i="1"/>
  <c r="E45" i="79"/>
  <c r="C44" i="79"/>
  <c r="E43" i="86"/>
  <c r="C42" i="86"/>
  <c r="M46" i="2"/>
  <c r="I24" i="57"/>
  <c r="E44" i="135"/>
  <c r="C43" i="135"/>
  <c r="E42" i="160"/>
  <c r="C41" i="160"/>
  <c r="I24" i="21"/>
  <c r="I23" i="43"/>
  <c r="E45" i="15"/>
  <c r="C44" i="15"/>
  <c r="C43" i="113"/>
  <c r="E44" i="113"/>
  <c r="I25" i="165"/>
  <c r="I23" i="8"/>
  <c r="I26" i="128"/>
  <c r="E45" i="33"/>
  <c r="C44" i="33"/>
  <c r="I28" i="134"/>
  <c r="E44" i="99"/>
  <c r="C43" i="99"/>
  <c r="I28" i="74"/>
  <c r="E43" i="123"/>
  <c r="C42" i="123"/>
  <c r="E46" i="7"/>
  <c r="C45" i="7"/>
  <c r="AT46" i="1"/>
  <c r="I23" i="58"/>
  <c r="I26" i="127"/>
  <c r="C42" i="115"/>
  <c r="E43" i="115"/>
  <c r="E43" i="85"/>
  <c r="C42" i="85"/>
  <c r="C41" i="102"/>
  <c r="E42" i="102"/>
  <c r="E44" i="65"/>
  <c r="C43" i="65"/>
  <c r="E45" i="140"/>
  <c r="C44" i="140"/>
  <c r="E46" i="143"/>
  <c r="C45" i="143"/>
  <c r="C45" i="93"/>
  <c r="E46" i="93"/>
  <c r="C45" i="90"/>
  <c r="CL45" i="2" s="1"/>
  <c r="E46" i="90"/>
  <c r="I23" i="109"/>
  <c r="C43" i="144"/>
  <c r="E44" i="144"/>
  <c r="I23" i="55"/>
  <c r="I25" i="66"/>
  <c r="I26" i="26"/>
  <c r="I24" i="70"/>
  <c r="I24" i="106"/>
  <c r="C40" i="87"/>
  <c r="E41" i="87"/>
  <c r="E45" i="95"/>
  <c r="C44" i="95"/>
  <c r="I24" i="161"/>
  <c r="I28" i="7"/>
  <c r="DI46" i="2"/>
  <c r="C44" i="20"/>
  <c r="E45" i="20"/>
  <c r="I24" i="104"/>
  <c r="I28" i="61"/>
  <c r="E43" i="69"/>
  <c r="C42" i="69"/>
  <c r="I24" i="67"/>
  <c r="I25" i="129"/>
  <c r="C42" i="171"/>
  <c r="E43" i="171"/>
  <c r="E44" i="161"/>
  <c r="C43" i="161"/>
  <c r="C43" i="9"/>
  <c r="E44" i="9"/>
  <c r="C44" i="71"/>
  <c r="E45" i="71"/>
  <c r="I26" i="107"/>
  <c r="I25" i="10"/>
  <c r="E44" i="112"/>
  <c r="C43" i="112"/>
  <c r="FW47" i="2"/>
  <c r="AI46" i="1"/>
  <c r="N47" i="1"/>
  <c r="I23" i="163"/>
  <c r="I24" i="33"/>
  <c r="I26" i="29"/>
  <c r="E45" i="133"/>
  <c r="C44" i="133"/>
  <c r="DH45" i="2"/>
  <c r="I24" i="114"/>
  <c r="I24" i="168"/>
  <c r="E44" i="116"/>
  <c r="C43" i="116"/>
  <c r="C45" i="42"/>
  <c r="E46" i="42"/>
  <c r="FV46" i="2"/>
  <c r="C43" i="64"/>
  <c r="E44" i="64"/>
  <c r="I25" i="159"/>
  <c r="Y47" i="2"/>
  <c r="I25" i="68"/>
  <c r="C43" i="137"/>
  <c r="E44" i="137"/>
  <c r="C42" i="124"/>
  <c r="E43" i="124"/>
  <c r="I25" i="93"/>
  <c r="C45" i="6"/>
  <c r="IU45" i="2" s="1"/>
  <c r="E46" i="6"/>
  <c r="CA46" i="1"/>
  <c r="IU46" i="2"/>
  <c r="C45" i="91"/>
  <c r="E46" i="91"/>
  <c r="I26" i="135"/>
  <c r="I25" i="44"/>
  <c r="E45" i="31"/>
  <c r="C44" i="31"/>
  <c r="C45" i="12"/>
  <c r="E46" i="12"/>
  <c r="X46" i="2"/>
  <c r="M46" i="1"/>
  <c r="I28" i="133"/>
  <c r="E46" i="53"/>
  <c r="C45" i="53"/>
  <c r="I28" i="12"/>
  <c r="BQ47" i="2"/>
  <c r="I23" i="45"/>
  <c r="IK47" i="2"/>
  <c r="C44" i="153"/>
  <c r="E45" i="153"/>
  <c r="E45" i="119"/>
  <c r="C44" i="119"/>
  <c r="I23" i="143"/>
  <c r="C44" i="97"/>
  <c r="E45" i="97"/>
  <c r="EO45" i="2"/>
  <c r="C44" i="76"/>
  <c r="E45" i="76"/>
  <c r="E46" i="49"/>
  <c r="C45" i="49"/>
  <c r="E44" i="17"/>
  <c r="C43" i="17"/>
  <c r="I24" i="3"/>
  <c r="I24" i="84"/>
  <c r="C44" i="48"/>
  <c r="E45" i="48"/>
  <c r="I26" i="78"/>
  <c r="I25" i="157"/>
  <c r="C45" i="52"/>
  <c r="E46" i="52"/>
  <c r="BP46" i="2"/>
  <c r="E45" i="164"/>
  <c r="C44" i="164"/>
  <c r="I26" i="16"/>
  <c r="I23" i="91"/>
  <c r="CL46" i="2"/>
  <c r="CB47" i="1"/>
  <c r="E45" i="78"/>
  <c r="C44" i="78"/>
  <c r="I26" i="77"/>
  <c r="E42" i="165"/>
  <c r="C41" i="165"/>
  <c r="I28" i="75"/>
  <c r="E44" i="75"/>
  <c r="C43" i="75"/>
  <c r="I24" i="85"/>
  <c r="I24" i="31"/>
  <c r="I23" i="65"/>
  <c r="C44" i="80"/>
  <c r="E45" i="80"/>
  <c r="E46" i="3"/>
  <c r="C45" i="3"/>
  <c r="I24" i="19"/>
  <c r="E41" i="146"/>
  <c r="C40" i="146"/>
  <c r="E46" i="100"/>
  <c r="C45" i="100"/>
  <c r="E46" i="136"/>
  <c r="C45" i="136"/>
  <c r="C42" i="168"/>
  <c r="E43" i="168"/>
  <c r="I23" i="171"/>
  <c r="I25" i="92"/>
  <c r="E45" i="132"/>
  <c r="C44" i="132"/>
  <c r="I26" i="51"/>
  <c r="E44" i="67"/>
  <c r="C43" i="67"/>
  <c r="I24" i="80"/>
  <c r="E43" i="72"/>
  <c r="C42" i="72"/>
  <c r="C43" i="25"/>
  <c r="E44" i="25"/>
  <c r="C44" i="63"/>
  <c r="E45" i="63"/>
  <c r="I25" i="28"/>
  <c r="C45" i="56"/>
  <c r="E46" i="56"/>
  <c r="E44" i="4"/>
  <c r="C43" i="4"/>
  <c r="I25" i="60"/>
  <c r="E45" i="36"/>
  <c r="C44" i="36"/>
  <c r="CW44" i="2" s="1"/>
  <c r="I24" i="155"/>
  <c r="HO46" i="2"/>
  <c r="E46" i="58"/>
  <c r="C45" i="58"/>
  <c r="CA45" i="2" s="1"/>
  <c r="E46" i="55"/>
  <c r="C45" i="55"/>
  <c r="E46" i="28"/>
  <c r="C45" i="28"/>
  <c r="I25" i="139"/>
  <c r="DT45" i="2"/>
  <c r="CM47" i="2"/>
  <c r="I25" i="18"/>
  <c r="I28" i="46"/>
  <c r="I26" i="142"/>
  <c r="I24" i="52"/>
  <c r="I27" i="27"/>
  <c r="I24" i="169"/>
  <c r="E43" i="127"/>
  <c r="C42" i="127"/>
  <c r="I27" i="42"/>
  <c r="C44" i="101"/>
  <c r="E45" i="101"/>
  <c r="C42" i="173"/>
  <c r="E43" i="173"/>
  <c r="C42" i="37"/>
  <c r="E43" i="37"/>
  <c r="I24" i="54"/>
  <c r="E41" i="166"/>
  <c r="C40" i="166"/>
  <c r="C43" i="148"/>
  <c r="E44" i="148"/>
  <c r="C43" i="129"/>
  <c r="E44" i="129"/>
  <c r="DS44" i="2"/>
  <c r="I24" i="87"/>
  <c r="E43" i="106"/>
  <c r="C42" i="106"/>
  <c r="E45" i="10"/>
  <c r="C44" i="10"/>
  <c r="I23" i="17"/>
  <c r="I23" i="47"/>
  <c r="I23" i="11"/>
  <c r="C44" i="23"/>
  <c r="E45" i="23"/>
  <c r="I23" i="96"/>
  <c r="E44" i="22"/>
  <c r="C43" i="22"/>
  <c r="E46" i="172"/>
  <c r="C45" i="172"/>
  <c r="E43" i="47"/>
  <c r="C42" i="47"/>
  <c r="I24" i="144"/>
  <c r="C40" i="157"/>
  <c r="E41" i="157"/>
  <c r="FA46" i="2"/>
  <c r="I23" i="36"/>
  <c r="I25" i="124"/>
  <c r="IK46" i="2"/>
  <c r="I23" i="34"/>
  <c r="I26" i="164"/>
  <c r="C43" i="60"/>
  <c r="E44" i="60"/>
  <c r="I23" i="166"/>
  <c r="E46" i="107"/>
  <c r="C45" i="107"/>
  <c r="C41" i="34"/>
  <c r="E42" i="34"/>
  <c r="E44" i="103"/>
  <c r="C43" i="103"/>
  <c r="I27" i="14"/>
  <c r="I25" i="83"/>
  <c r="GS47" i="2"/>
  <c r="I24" i="153"/>
  <c r="E43" i="26"/>
  <c r="C42" i="26"/>
  <c r="I23" i="90"/>
  <c r="I24" i="39"/>
  <c r="E45" i="96"/>
  <c r="C44" i="96"/>
  <c r="C44" i="134"/>
  <c r="E45" i="134"/>
  <c r="EZ45" i="2"/>
  <c r="I42" i="150"/>
  <c r="I24" i="50"/>
  <c r="I24" i="108"/>
  <c r="C43" i="16"/>
  <c r="E44" i="16"/>
  <c r="E46" i="170"/>
  <c r="C45" i="170"/>
  <c r="I23" i="174"/>
  <c r="I27" i="24"/>
  <c r="HZ47" i="2"/>
  <c r="I27" i="22"/>
  <c r="I24" i="88"/>
  <c r="C45" i="14"/>
  <c r="E46" i="14"/>
  <c r="GR46" i="2"/>
  <c r="I23" i="146"/>
  <c r="E45" i="154"/>
  <c r="C44" i="154"/>
  <c r="IJ45" i="2"/>
  <c r="C41" i="105"/>
  <c r="E42" i="105"/>
  <c r="E43" i="39"/>
  <c r="C42" i="39"/>
  <c r="E44" i="81"/>
  <c r="C43" i="81"/>
  <c r="HY46" i="2"/>
  <c r="C42" i="62"/>
  <c r="E43" i="62"/>
  <c r="FL46" i="2"/>
  <c r="E44" i="18"/>
  <c r="C43" i="18"/>
  <c r="I25" i="99"/>
  <c r="I27" i="71"/>
  <c r="C43" i="68"/>
  <c r="E44" i="68"/>
  <c r="I26" i="172"/>
  <c r="I23" i="95"/>
  <c r="I25" i="173"/>
  <c r="I27" i="32"/>
  <c r="I24" i="137"/>
  <c r="E45" i="169"/>
  <c r="C44" i="169"/>
  <c r="HY45" i="2"/>
  <c r="I25" i="30"/>
  <c r="EP46" i="2"/>
  <c r="C42" i="163"/>
  <c r="E43" i="163"/>
  <c r="I23" i="64"/>
  <c r="I25" i="41"/>
  <c r="I25" i="23"/>
  <c r="C40" i="138"/>
  <c r="E41" i="138"/>
  <c r="I24" i="103"/>
  <c r="I26" i="48"/>
  <c r="I23" i="147"/>
  <c r="I23" i="69"/>
  <c r="I24" i="86"/>
  <c r="I23" i="148"/>
  <c r="I26" i="98"/>
  <c r="I25" i="63"/>
  <c r="C44" i="117"/>
  <c r="E45" i="117"/>
  <c r="I26" i="9"/>
  <c r="BE46" i="2"/>
  <c r="I26" i="101"/>
  <c r="E42" i="43"/>
  <c r="C41" i="43"/>
  <c r="I23" i="81"/>
  <c r="I26" i="122"/>
  <c r="C40" i="32"/>
  <c r="E41" i="32"/>
  <c r="EP47" i="2"/>
  <c r="I24" i="131"/>
  <c r="I23" i="141"/>
  <c r="C44" i="70"/>
  <c r="E45" i="70"/>
  <c r="C44" i="41"/>
  <c r="E45" i="41"/>
  <c r="I25" i="118"/>
  <c r="I23" i="120"/>
  <c r="I24" i="111"/>
  <c r="C44" i="122"/>
  <c r="E45" i="122"/>
  <c r="E46" i="158"/>
  <c r="C45" i="158"/>
  <c r="I27" i="82"/>
  <c r="E44" i="167"/>
  <c r="C43" i="167"/>
  <c r="I27" i="59"/>
  <c r="I23" i="125"/>
  <c r="I24" i="97"/>
  <c r="I27" i="79"/>
  <c r="I27" i="94"/>
  <c r="E43" i="84"/>
  <c r="C42" i="84"/>
  <c r="AJ47" i="1"/>
  <c r="C44" i="44"/>
  <c r="E45" i="44"/>
  <c r="I24" i="5"/>
  <c r="I25" i="25"/>
  <c r="I26" i="156"/>
  <c r="E43" i="120"/>
  <c r="C42" i="120"/>
  <c r="E44" i="128"/>
  <c r="C43" i="128"/>
  <c r="E46" i="121"/>
  <c r="C45" i="121"/>
  <c r="I25" i="113"/>
  <c r="I26" i="13"/>
  <c r="BQ47" i="1"/>
  <c r="I23" i="105"/>
  <c r="I23" i="130"/>
  <c r="I23" i="100"/>
  <c r="C44" i="88"/>
  <c r="E45" i="88"/>
  <c r="FK45" i="2"/>
  <c r="I24" i="138"/>
  <c r="I23" i="110"/>
  <c r="I26" i="89"/>
  <c r="E45" i="21"/>
  <c r="C44" i="21"/>
  <c r="E44" i="126"/>
  <c r="C43" i="126"/>
  <c r="E45" i="142"/>
  <c r="C44" i="142"/>
  <c r="I25" i="149"/>
  <c r="I24" i="4"/>
  <c r="I23" i="40"/>
  <c r="I23" i="160"/>
  <c r="I25" i="37"/>
  <c r="C45" i="29"/>
  <c r="E46" i="29"/>
  <c r="X46" i="1"/>
  <c r="I24" i="76"/>
  <c r="E44" i="110"/>
  <c r="C43" i="110"/>
  <c r="I24" i="162"/>
  <c r="AU47" i="2"/>
  <c r="E45" i="151"/>
  <c r="C44" i="151"/>
  <c r="E41" i="30"/>
  <c r="C40" i="30"/>
  <c r="E45" i="77"/>
  <c r="C44" i="77"/>
  <c r="E45" i="35"/>
  <c r="C44" i="35"/>
  <c r="E44" i="57"/>
  <c r="C43" i="57"/>
  <c r="C41" i="45"/>
  <c r="E42" i="45"/>
  <c r="E44" i="118"/>
  <c r="C43" i="118"/>
  <c r="E43" i="51"/>
  <c r="C42" i="51"/>
  <c r="C44" i="162"/>
  <c r="E45" i="162"/>
  <c r="I23" i="102"/>
  <c r="I24" i="53"/>
  <c r="C42" i="141"/>
  <c r="E43" i="141"/>
  <c r="HC46" i="2"/>
  <c r="E46" i="8"/>
  <c r="C45" i="8"/>
  <c r="BP46" i="1"/>
  <c r="I25" i="158"/>
  <c r="E46" i="46"/>
  <c r="C45" i="46"/>
  <c r="I25" i="115"/>
  <c r="E43" i="73"/>
  <c r="C42" i="73"/>
  <c r="E45" i="156" l="1"/>
  <c r="C44" i="156"/>
  <c r="C43" i="149"/>
  <c r="E44" i="149"/>
  <c r="E45" i="130"/>
  <c r="C44" i="130"/>
  <c r="X45" i="1"/>
  <c r="C39" i="98"/>
  <c r="E40" i="98"/>
  <c r="C44" i="74"/>
  <c r="E45" i="74"/>
  <c r="C43" i="61"/>
  <c r="E44" i="61"/>
  <c r="E44" i="59"/>
  <c r="C43" i="59"/>
  <c r="C44" i="150"/>
  <c r="E45" i="150"/>
  <c r="CX44" i="2"/>
  <c r="HO45" i="2"/>
  <c r="Y45" i="1"/>
  <c r="CB45" i="2"/>
  <c r="E45" i="8"/>
  <c r="BP45" i="1"/>
  <c r="C44" i="8"/>
  <c r="HC45" i="2"/>
  <c r="I24" i="130"/>
  <c r="Y46" i="1"/>
  <c r="I26" i="37"/>
  <c r="C42" i="167"/>
  <c r="E43" i="167"/>
  <c r="I24" i="81"/>
  <c r="I26" i="41"/>
  <c r="I26" i="113"/>
  <c r="BF46" i="2"/>
  <c r="I26" i="149"/>
  <c r="I27" i="9"/>
  <c r="I43" i="150"/>
  <c r="I28" i="27"/>
  <c r="I24" i="45"/>
  <c r="C42" i="65"/>
  <c r="E43" i="65"/>
  <c r="I27" i="152"/>
  <c r="I26" i="30"/>
  <c r="E42" i="39"/>
  <c r="C41" i="39"/>
  <c r="FA45" i="2"/>
  <c r="E45" i="56"/>
  <c r="C44" i="56"/>
  <c r="E45" i="3"/>
  <c r="C44" i="3"/>
  <c r="BQ46" i="2"/>
  <c r="E43" i="137"/>
  <c r="C42" i="137"/>
  <c r="I26" i="165"/>
  <c r="I25" i="49"/>
  <c r="I27" i="132"/>
  <c r="E43" i="83"/>
  <c r="C42" i="83"/>
  <c r="C40" i="45"/>
  <c r="E41" i="45"/>
  <c r="E44" i="142"/>
  <c r="C43" i="142"/>
  <c r="C43" i="122"/>
  <c r="E44" i="122"/>
  <c r="C43" i="117"/>
  <c r="E44" i="117"/>
  <c r="HZ45" i="2"/>
  <c r="E43" i="60"/>
  <c r="C42" i="60"/>
  <c r="I24" i="17"/>
  <c r="I25" i="52"/>
  <c r="E43" i="112"/>
  <c r="C42" i="112"/>
  <c r="I29" i="7"/>
  <c r="E44" i="114"/>
  <c r="C43" i="114"/>
  <c r="C43" i="147"/>
  <c r="E44" i="147"/>
  <c r="E43" i="11"/>
  <c r="C42" i="11"/>
  <c r="E44" i="169"/>
  <c r="C43" i="169"/>
  <c r="E44" i="134"/>
  <c r="C43" i="134"/>
  <c r="EZ44" i="2"/>
  <c r="I27" i="164"/>
  <c r="E44" i="10"/>
  <c r="C43" i="10"/>
  <c r="I26" i="28"/>
  <c r="E45" i="52"/>
  <c r="C44" i="52"/>
  <c r="BP45" i="2"/>
  <c r="I26" i="68"/>
  <c r="C40" i="102"/>
  <c r="E41" i="102"/>
  <c r="E43" i="113"/>
  <c r="C42" i="113"/>
  <c r="C42" i="126"/>
  <c r="E43" i="126"/>
  <c r="I25" i="111"/>
  <c r="I26" i="63"/>
  <c r="I27" i="142"/>
  <c r="CM45" i="2"/>
  <c r="I26" i="157"/>
  <c r="I29" i="12"/>
  <c r="I25" i="161"/>
  <c r="E44" i="15"/>
  <c r="C43" i="15"/>
  <c r="E43" i="54"/>
  <c r="C42" i="54"/>
  <c r="I27" i="136"/>
  <c r="C40" i="105"/>
  <c r="E41" i="105"/>
  <c r="E44" i="96"/>
  <c r="C43" i="96"/>
  <c r="C43" i="35"/>
  <c r="E44" i="35"/>
  <c r="I26" i="25"/>
  <c r="I27" i="98"/>
  <c r="IK45" i="2"/>
  <c r="E42" i="106"/>
  <c r="C41" i="106"/>
  <c r="I29" i="46"/>
  <c r="C44" i="53"/>
  <c r="E45" i="53"/>
  <c r="I26" i="10"/>
  <c r="C43" i="95"/>
  <c r="E44" i="95"/>
  <c r="I25" i="20"/>
  <c r="I25" i="56"/>
  <c r="C43" i="154"/>
  <c r="E44" i="154"/>
  <c r="IJ44" i="2"/>
  <c r="I24" i="34"/>
  <c r="E44" i="63"/>
  <c r="C43" i="63"/>
  <c r="C43" i="80"/>
  <c r="E44" i="80"/>
  <c r="I27" i="78"/>
  <c r="I26" i="159"/>
  <c r="I27" i="107"/>
  <c r="C41" i="85"/>
  <c r="E42" i="85"/>
  <c r="C44" i="27"/>
  <c r="E45" i="27"/>
  <c r="I24" i="120"/>
  <c r="I25" i="137"/>
  <c r="C43" i="77"/>
  <c r="E44" i="77"/>
  <c r="I24" i="148"/>
  <c r="I25" i="39"/>
  <c r="I24" i="43"/>
  <c r="C42" i="104"/>
  <c r="E43" i="104"/>
  <c r="E43" i="57"/>
  <c r="C42" i="57"/>
  <c r="I27" i="156"/>
  <c r="E44" i="21"/>
  <c r="C43" i="21"/>
  <c r="I25" i="5"/>
  <c r="I26" i="118"/>
  <c r="I28" i="32"/>
  <c r="I25" i="87"/>
  <c r="I26" i="18"/>
  <c r="E43" i="25"/>
  <c r="C42" i="25"/>
  <c r="I24" i="65"/>
  <c r="I29" i="133"/>
  <c r="C39" i="87"/>
  <c r="E40" i="87"/>
  <c r="I25" i="21"/>
  <c r="I25" i="154"/>
  <c r="E44" i="145"/>
  <c r="C43" i="145"/>
  <c r="C43" i="89"/>
  <c r="E44" i="89"/>
  <c r="I27" i="89"/>
  <c r="BE45" i="2"/>
  <c r="I24" i="146"/>
  <c r="I24" i="90"/>
  <c r="DT44" i="2"/>
  <c r="E42" i="72"/>
  <c r="C41" i="72"/>
  <c r="E44" i="48"/>
  <c r="C43" i="48"/>
  <c r="N46" i="1"/>
  <c r="E43" i="64"/>
  <c r="C42" i="64"/>
  <c r="E44" i="71"/>
  <c r="C43" i="71"/>
  <c r="I25" i="106"/>
  <c r="E42" i="115"/>
  <c r="C41" i="115"/>
  <c r="E42" i="73"/>
  <c r="C41" i="73"/>
  <c r="C43" i="44"/>
  <c r="E44" i="44"/>
  <c r="I25" i="86"/>
  <c r="I26" i="173"/>
  <c r="GS46" i="2"/>
  <c r="E42" i="26"/>
  <c r="C41" i="26"/>
  <c r="I26" i="124"/>
  <c r="I25" i="31"/>
  <c r="Y46" i="2"/>
  <c r="FW46" i="2"/>
  <c r="I27" i="117"/>
  <c r="E45" i="152"/>
  <c r="C44" i="152"/>
  <c r="C41" i="159"/>
  <c r="E42" i="159"/>
  <c r="E42" i="120"/>
  <c r="C41" i="120"/>
  <c r="E43" i="129"/>
  <c r="C42" i="129"/>
  <c r="DS43" i="2"/>
  <c r="I25" i="85"/>
  <c r="I25" i="84"/>
  <c r="E43" i="9"/>
  <c r="C42" i="9"/>
  <c r="I25" i="70"/>
  <c r="I27" i="127"/>
  <c r="E41" i="160"/>
  <c r="C40" i="160"/>
  <c r="E44" i="108"/>
  <c r="C43" i="108"/>
  <c r="AU46" i="2"/>
  <c r="E44" i="151"/>
  <c r="C43" i="151"/>
  <c r="I24" i="110"/>
  <c r="E44" i="41"/>
  <c r="C43" i="41"/>
  <c r="I25" i="138"/>
  <c r="I24" i="36"/>
  <c r="I25" i="80"/>
  <c r="E45" i="12"/>
  <c r="C44" i="12"/>
  <c r="X45" i="2"/>
  <c r="M45" i="1"/>
  <c r="E45" i="42"/>
  <c r="C44" i="42"/>
  <c r="FV45" i="2"/>
  <c r="E45" i="50"/>
  <c r="C44" i="50"/>
  <c r="AT45" i="2"/>
  <c r="E40" i="30"/>
  <c r="C39" i="30"/>
  <c r="I26" i="115"/>
  <c r="I24" i="69"/>
  <c r="I24" i="95"/>
  <c r="C44" i="14"/>
  <c r="E45" i="14"/>
  <c r="GR45" i="2"/>
  <c r="I25" i="153"/>
  <c r="E45" i="46"/>
  <c r="C44" i="46"/>
  <c r="E42" i="84"/>
  <c r="C41" i="84"/>
  <c r="E44" i="70"/>
  <c r="C43" i="70"/>
  <c r="I27" i="172"/>
  <c r="E43" i="148"/>
  <c r="C42" i="148"/>
  <c r="I26" i="139"/>
  <c r="E43" i="67"/>
  <c r="C42" i="67"/>
  <c r="AI45" i="1"/>
  <c r="I25" i="3"/>
  <c r="C42" i="116"/>
  <c r="E43" i="116"/>
  <c r="E43" i="161"/>
  <c r="C42" i="161"/>
  <c r="I24" i="58"/>
  <c r="E43" i="135"/>
  <c r="C42" i="135"/>
  <c r="C42" i="5"/>
  <c r="E43" i="5"/>
  <c r="I26" i="72"/>
  <c r="I25" i="88"/>
  <c r="E40" i="166"/>
  <c r="C39" i="166"/>
  <c r="C42" i="75"/>
  <c r="E43" i="75"/>
  <c r="E43" i="17"/>
  <c r="C42" i="17"/>
  <c r="E44" i="31"/>
  <c r="C43" i="31"/>
  <c r="I27" i="26"/>
  <c r="AU46" i="1"/>
  <c r="E42" i="40"/>
  <c r="C41" i="40"/>
  <c r="E41" i="111"/>
  <c r="C40" i="111"/>
  <c r="I26" i="158"/>
  <c r="I25" i="162"/>
  <c r="I24" i="141"/>
  <c r="I27" i="48"/>
  <c r="I28" i="22"/>
  <c r="E45" i="28"/>
  <c r="C44" i="28"/>
  <c r="I26" i="66"/>
  <c r="E45" i="7"/>
  <c r="C44" i="7"/>
  <c r="AT45" i="1"/>
  <c r="IV45" i="2"/>
  <c r="C42" i="68"/>
  <c r="E43" i="68"/>
  <c r="E40" i="157"/>
  <c r="C39" i="157"/>
  <c r="I27" i="51"/>
  <c r="C44" i="49"/>
  <c r="E45" i="49"/>
  <c r="I25" i="168"/>
  <c r="E42" i="171"/>
  <c r="C41" i="171"/>
  <c r="I25" i="57"/>
  <c r="I24" i="112"/>
  <c r="C42" i="94"/>
  <c r="E43" i="94"/>
  <c r="E44" i="13"/>
  <c r="C43" i="13"/>
  <c r="FL45" i="2"/>
  <c r="I25" i="54"/>
  <c r="C44" i="55"/>
  <c r="E45" i="55"/>
  <c r="E44" i="132"/>
  <c r="C43" i="132"/>
  <c r="I29" i="75"/>
  <c r="I26" i="44"/>
  <c r="I24" i="55"/>
  <c r="C41" i="123"/>
  <c r="E42" i="123"/>
  <c r="N46" i="2"/>
  <c r="I25" i="123"/>
  <c r="E44" i="88"/>
  <c r="C43" i="88"/>
  <c r="FK44" i="2"/>
  <c r="I25" i="131"/>
  <c r="I28" i="79"/>
  <c r="I28" i="71"/>
  <c r="I25" i="144"/>
  <c r="C40" i="165"/>
  <c r="E41" i="165"/>
  <c r="I25" i="114"/>
  <c r="I26" i="129"/>
  <c r="E42" i="86"/>
  <c r="C41" i="86"/>
  <c r="I25" i="151"/>
  <c r="E45" i="92"/>
  <c r="C44" i="92"/>
  <c r="HN44" i="2" s="1"/>
  <c r="E42" i="47"/>
  <c r="C41" i="47"/>
  <c r="E42" i="37"/>
  <c r="C41" i="37"/>
  <c r="E45" i="58"/>
  <c r="C44" i="58"/>
  <c r="I26" i="92"/>
  <c r="E44" i="76"/>
  <c r="C43" i="76"/>
  <c r="DI45" i="2"/>
  <c r="I25" i="67"/>
  <c r="C42" i="19"/>
  <c r="E43" i="19"/>
  <c r="E43" i="139"/>
  <c r="C42" i="139"/>
  <c r="I29" i="15"/>
  <c r="I25" i="76"/>
  <c r="I26" i="83"/>
  <c r="EP45" i="2"/>
  <c r="E44" i="133"/>
  <c r="C43" i="133"/>
  <c r="DH44" i="2"/>
  <c r="C42" i="144"/>
  <c r="E43" i="144"/>
  <c r="I29" i="74"/>
  <c r="E44" i="79"/>
  <c r="C43" i="79"/>
  <c r="E44" i="125"/>
  <c r="C43" i="125"/>
  <c r="C43" i="38"/>
  <c r="E44" i="38"/>
  <c r="C44" i="172"/>
  <c r="E45" i="172"/>
  <c r="I24" i="171"/>
  <c r="I27" i="77"/>
  <c r="I27" i="135"/>
  <c r="C41" i="69"/>
  <c r="E42" i="69"/>
  <c r="I24" i="109"/>
  <c r="E43" i="99"/>
  <c r="C42" i="99"/>
  <c r="E45" i="155"/>
  <c r="C44" i="155"/>
  <c r="BQ46" i="1"/>
  <c r="I24" i="105"/>
  <c r="I26" i="23"/>
  <c r="E43" i="18"/>
  <c r="C42" i="18"/>
  <c r="I24" i="174"/>
  <c r="E42" i="173"/>
  <c r="C41" i="173"/>
  <c r="C43" i="78"/>
  <c r="E44" i="78"/>
  <c r="E44" i="97"/>
  <c r="C43" i="97"/>
  <c r="EO44" i="2"/>
  <c r="I25" i="73"/>
  <c r="I25" i="116"/>
  <c r="I25" i="119"/>
  <c r="I27" i="122"/>
  <c r="C42" i="103"/>
  <c r="E43" i="103"/>
  <c r="E43" i="22"/>
  <c r="C42" i="22"/>
  <c r="E45" i="91"/>
  <c r="C44" i="91"/>
  <c r="I27" i="29"/>
  <c r="I29" i="134"/>
  <c r="E45" i="174"/>
  <c r="C44" i="174"/>
  <c r="C44" i="170"/>
  <c r="E45" i="170"/>
  <c r="I28" i="59"/>
  <c r="E44" i="101"/>
  <c r="C43" i="101"/>
  <c r="I25" i="155"/>
  <c r="E42" i="168"/>
  <c r="C41" i="168"/>
  <c r="I24" i="143"/>
  <c r="IV46" i="2"/>
  <c r="E45" i="90"/>
  <c r="C44" i="90"/>
  <c r="AI44" i="1" s="1"/>
  <c r="I29" i="145"/>
  <c r="E40" i="32"/>
  <c r="C39" i="32"/>
  <c r="C43" i="36"/>
  <c r="E44" i="36"/>
  <c r="E45" i="136"/>
  <c r="C44" i="136"/>
  <c r="E44" i="119"/>
  <c r="C43" i="119"/>
  <c r="CB46" i="1"/>
  <c r="I25" i="33"/>
  <c r="I29" i="61"/>
  <c r="N45" i="2"/>
  <c r="I25" i="121"/>
  <c r="I24" i="35"/>
  <c r="I25" i="170"/>
  <c r="E40" i="138"/>
  <c r="C39" i="138"/>
  <c r="I27" i="13"/>
  <c r="E43" i="16"/>
  <c r="C42" i="16"/>
  <c r="C40" i="34"/>
  <c r="E41" i="34"/>
  <c r="I24" i="96"/>
  <c r="I28" i="42"/>
  <c r="CM46" i="2"/>
  <c r="I24" i="163"/>
  <c r="E45" i="93"/>
  <c r="C44" i="93"/>
  <c r="E44" i="33"/>
  <c r="C43" i="33"/>
  <c r="C37" i="82"/>
  <c r="E38" i="82"/>
  <c r="I24" i="140"/>
  <c r="I24" i="102"/>
  <c r="C41" i="62"/>
  <c r="E42" i="62"/>
  <c r="E45" i="107"/>
  <c r="C44" i="107"/>
  <c r="E42" i="127"/>
  <c r="C41" i="127"/>
  <c r="I26" i="60"/>
  <c r="E45" i="100"/>
  <c r="C44" i="100"/>
  <c r="E45" i="6"/>
  <c r="C44" i="6"/>
  <c r="CA45" i="1"/>
  <c r="I25" i="104"/>
  <c r="E45" i="143"/>
  <c r="C44" i="143"/>
  <c r="E41" i="131"/>
  <c r="C40" i="131"/>
  <c r="I24" i="147"/>
  <c r="I26" i="99"/>
  <c r="C43" i="162"/>
  <c r="E44" i="162"/>
  <c r="I28" i="82"/>
  <c r="I27" i="101"/>
  <c r="HZ46" i="2"/>
  <c r="I25" i="108"/>
  <c r="E44" i="23"/>
  <c r="C43" i="23"/>
  <c r="I24" i="91"/>
  <c r="C43" i="153"/>
  <c r="E44" i="153"/>
  <c r="I24" i="38"/>
  <c r="I28" i="94"/>
  <c r="I28" i="14"/>
  <c r="E42" i="141"/>
  <c r="C41" i="141"/>
  <c r="I25" i="53"/>
  <c r="C44" i="29"/>
  <c r="E45" i="29"/>
  <c r="C41" i="51"/>
  <c r="E42" i="51"/>
  <c r="I24" i="40"/>
  <c r="E45" i="121"/>
  <c r="C44" i="121"/>
  <c r="E42" i="163"/>
  <c r="C41" i="163"/>
  <c r="I25" i="50"/>
  <c r="I24" i="11"/>
  <c r="C39" i="146"/>
  <c r="E40" i="146"/>
  <c r="I27" i="16"/>
  <c r="I26" i="93"/>
  <c r="AI45" i="2"/>
  <c r="I27" i="128"/>
  <c r="I27" i="62"/>
  <c r="EE46" i="2"/>
  <c r="I25" i="126"/>
  <c r="E43" i="110"/>
  <c r="C42" i="110"/>
  <c r="I25" i="103"/>
  <c r="HD46" i="2"/>
  <c r="I25" i="97"/>
  <c r="E41" i="43"/>
  <c r="C40" i="43"/>
  <c r="I25" i="169"/>
  <c r="C42" i="4"/>
  <c r="E43" i="4"/>
  <c r="AJ46" i="1"/>
  <c r="E44" i="20"/>
  <c r="C43" i="20"/>
  <c r="C43" i="140"/>
  <c r="E44" i="140"/>
  <c r="E43" i="66"/>
  <c r="C42" i="66"/>
  <c r="E45" i="109"/>
  <c r="C44" i="109"/>
  <c r="ED45" i="2"/>
  <c r="I26" i="167"/>
  <c r="I24" i="100"/>
  <c r="I28" i="24"/>
  <c r="I24" i="125"/>
  <c r="I24" i="64"/>
  <c r="I24" i="160"/>
  <c r="I24" i="166"/>
  <c r="C42" i="118"/>
  <c r="E43" i="118"/>
  <c r="I25" i="4"/>
  <c r="E43" i="128"/>
  <c r="C42" i="128"/>
  <c r="E45" i="158"/>
  <c r="C44" i="158"/>
  <c r="E43" i="81"/>
  <c r="C42" i="81"/>
  <c r="I24" i="47"/>
  <c r="I25" i="19"/>
  <c r="E44" i="164"/>
  <c r="C43" i="164"/>
  <c r="E42" i="124"/>
  <c r="C41" i="124"/>
  <c r="I24" i="8"/>
  <c r="GR44" i="2"/>
  <c r="E44" i="156" l="1"/>
  <c r="C43" i="156"/>
  <c r="C42" i="149"/>
  <c r="E43" i="149"/>
  <c r="C43" i="130"/>
  <c r="E44" i="130"/>
  <c r="C38" i="98"/>
  <c r="E39" i="98"/>
  <c r="CL44" i="2"/>
  <c r="C43" i="74"/>
  <c r="E44" i="74"/>
  <c r="C42" i="61"/>
  <c r="E43" i="61"/>
  <c r="E43" i="59"/>
  <c r="C42" i="59"/>
  <c r="AI44" i="2"/>
  <c r="C43" i="150"/>
  <c r="E44" i="150"/>
  <c r="HO44" i="2"/>
  <c r="CM44" i="2"/>
  <c r="AJ44" i="2"/>
  <c r="I30" i="46"/>
  <c r="I28" i="142"/>
  <c r="C42" i="114"/>
  <c r="E43" i="114"/>
  <c r="C41" i="137"/>
  <c r="E42" i="137"/>
  <c r="I29" i="42"/>
  <c r="E43" i="36"/>
  <c r="C42" i="36"/>
  <c r="E42" i="99"/>
  <c r="C41" i="99"/>
  <c r="I26" i="114"/>
  <c r="I26" i="88"/>
  <c r="E41" i="106"/>
  <c r="C40" i="106"/>
  <c r="I27" i="63"/>
  <c r="I27" i="66"/>
  <c r="E39" i="32"/>
  <c r="C38" i="32"/>
  <c r="I30" i="15"/>
  <c r="C43" i="28"/>
  <c r="E44" i="28"/>
  <c r="I27" i="72"/>
  <c r="I26" i="153"/>
  <c r="I25" i="110"/>
  <c r="I27" i="18"/>
  <c r="E44" i="27"/>
  <c r="C43" i="27"/>
  <c r="I30" i="7"/>
  <c r="E42" i="110"/>
  <c r="C41" i="110"/>
  <c r="I26" i="104"/>
  <c r="C41" i="103"/>
  <c r="E42" i="103"/>
  <c r="I25" i="109"/>
  <c r="C39" i="165"/>
  <c r="E40" i="165"/>
  <c r="GS45" i="2"/>
  <c r="E43" i="151"/>
  <c r="C42" i="151"/>
  <c r="I28" i="117"/>
  <c r="E43" i="48"/>
  <c r="C42" i="48"/>
  <c r="I26" i="87"/>
  <c r="I26" i="111"/>
  <c r="I28" i="122"/>
  <c r="E42" i="139"/>
  <c r="C41" i="139"/>
  <c r="E41" i="85"/>
  <c r="C40" i="85"/>
  <c r="CW43" i="2"/>
  <c r="C43" i="3"/>
  <c r="E44" i="3"/>
  <c r="I27" i="113"/>
  <c r="I29" i="24"/>
  <c r="C40" i="141"/>
  <c r="E41" i="141"/>
  <c r="I26" i="144"/>
  <c r="I29" i="22"/>
  <c r="C43" i="14"/>
  <c r="E44" i="14"/>
  <c r="C40" i="72"/>
  <c r="E41" i="72"/>
  <c r="I28" i="107"/>
  <c r="E42" i="112"/>
  <c r="C41" i="112"/>
  <c r="I25" i="96"/>
  <c r="I25" i="8"/>
  <c r="I25" i="100"/>
  <c r="I29" i="14"/>
  <c r="CB45" i="1"/>
  <c r="E41" i="124"/>
  <c r="C40" i="124"/>
  <c r="E44" i="6"/>
  <c r="C43" i="6"/>
  <c r="IU43" i="2" s="1"/>
  <c r="CA44" i="1"/>
  <c r="C39" i="34"/>
  <c r="E40" i="34"/>
  <c r="C43" i="90"/>
  <c r="E44" i="90"/>
  <c r="E41" i="69"/>
  <c r="C40" i="69"/>
  <c r="IU44" i="2"/>
  <c r="I28" i="48"/>
  <c r="C41" i="5"/>
  <c r="E42" i="5"/>
  <c r="I29" i="32"/>
  <c r="I28" i="98"/>
  <c r="E42" i="126"/>
  <c r="C41" i="126"/>
  <c r="I25" i="125"/>
  <c r="I30" i="145"/>
  <c r="I27" i="167"/>
  <c r="E42" i="19"/>
  <c r="C41" i="19"/>
  <c r="I29" i="71"/>
  <c r="E43" i="13"/>
  <c r="C42" i="13"/>
  <c r="C41" i="135"/>
  <c r="E42" i="135"/>
  <c r="I25" i="95"/>
  <c r="E42" i="113"/>
  <c r="C41" i="113"/>
  <c r="I27" i="41"/>
  <c r="C41" i="16"/>
  <c r="E42" i="16"/>
  <c r="I26" i="119"/>
  <c r="C42" i="164"/>
  <c r="E43" i="164"/>
  <c r="EE45" i="2"/>
  <c r="I28" i="62"/>
  <c r="I29" i="94"/>
  <c r="E44" i="100"/>
  <c r="C43" i="100"/>
  <c r="I26" i="116"/>
  <c r="I28" i="135"/>
  <c r="I26" i="67"/>
  <c r="I27" i="118"/>
  <c r="I27" i="159"/>
  <c r="I27" i="25"/>
  <c r="I26" i="52"/>
  <c r="E44" i="56"/>
  <c r="C43" i="56"/>
  <c r="GS44" i="2"/>
  <c r="I29" i="79"/>
  <c r="I25" i="141"/>
  <c r="I25" i="69"/>
  <c r="C42" i="108"/>
  <c r="E43" i="108"/>
  <c r="I26" i="31"/>
  <c r="I25" i="90"/>
  <c r="I28" i="78"/>
  <c r="I25" i="17"/>
  <c r="I25" i="81"/>
  <c r="I26" i="53"/>
  <c r="I28" i="13"/>
  <c r="I28" i="77"/>
  <c r="C41" i="94"/>
  <c r="E42" i="94"/>
  <c r="I25" i="58"/>
  <c r="I26" i="5"/>
  <c r="C42" i="35"/>
  <c r="E43" i="35"/>
  <c r="C39" i="102"/>
  <c r="E40" i="102"/>
  <c r="E44" i="143"/>
  <c r="C43" i="143"/>
  <c r="I26" i="19"/>
  <c r="E42" i="66"/>
  <c r="C41" i="66"/>
  <c r="AJ45" i="2"/>
  <c r="I27" i="60"/>
  <c r="I25" i="143"/>
  <c r="I26" i="73"/>
  <c r="I25" i="171"/>
  <c r="I26" i="131"/>
  <c r="I25" i="112"/>
  <c r="I26" i="162"/>
  <c r="I27" i="115"/>
  <c r="I25" i="146"/>
  <c r="E43" i="21"/>
  <c r="C42" i="21"/>
  <c r="C42" i="96"/>
  <c r="E43" i="96"/>
  <c r="E42" i="60"/>
  <c r="C41" i="60"/>
  <c r="E42" i="167"/>
  <c r="C41" i="167"/>
  <c r="I26" i="126"/>
  <c r="E44" i="109"/>
  <c r="C43" i="109"/>
  <c r="ED44" i="2"/>
  <c r="I28" i="128"/>
  <c r="I25" i="38"/>
  <c r="E43" i="153"/>
  <c r="C42" i="153"/>
  <c r="C40" i="127"/>
  <c r="E41" i="127"/>
  <c r="E39" i="138"/>
  <c r="C38" i="138"/>
  <c r="FL44" i="2"/>
  <c r="C41" i="161"/>
  <c r="E42" i="161"/>
  <c r="E39" i="30"/>
  <c r="C38" i="30"/>
  <c r="C39" i="160"/>
  <c r="E40" i="160"/>
  <c r="I27" i="124"/>
  <c r="E43" i="80"/>
  <c r="C42" i="80"/>
  <c r="I27" i="68"/>
  <c r="E41" i="39"/>
  <c r="C40" i="39"/>
  <c r="I27" i="37"/>
  <c r="E44" i="29"/>
  <c r="C43" i="29"/>
  <c r="C41" i="22"/>
  <c r="E42" i="22"/>
  <c r="E41" i="168"/>
  <c r="C40" i="168"/>
  <c r="EP44" i="2"/>
  <c r="I25" i="47"/>
  <c r="I27" i="93"/>
  <c r="I25" i="91"/>
  <c r="E43" i="97"/>
  <c r="C42" i="97"/>
  <c r="EO43" i="2"/>
  <c r="E43" i="88"/>
  <c r="C42" i="88"/>
  <c r="I27" i="158"/>
  <c r="E41" i="26"/>
  <c r="C40" i="26"/>
  <c r="BF45" i="2"/>
  <c r="BQ45" i="2"/>
  <c r="E44" i="107"/>
  <c r="C43" i="107"/>
  <c r="I26" i="170"/>
  <c r="E44" i="172"/>
  <c r="C43" i="172"/>
  <c r="C42" i="76"/>
  <c r="E43" i="76"/>
  <c r="I26" i="57"/>
  <c r="C39" i="111"/>
  <c r="E40" i="111"/>
  <c r="AU45" i="2"/>
  <c r="I28" i="89"/>
  <c r="I28" i="156"/>
  <c r="C42" i="63"/>
  <c r="E43" i="63"/>
  <c r="E40" i="105"/>
  <c r="C39" i="105"/>
  <c r="C43" i="52"/>
  <c r="E44" i="52"/>
  <c r="BP44" i="2"/>
  <c r="I26" i="155"/>
  <c r="C40" i="171"/>
  <c r="E41" i="171"/>
  <c r="E42" i="116"/>
  <c r="C41" i="116"/>
  <c r="C43" i="50"/>
  <c r="E44" i="50"/>
  <c r="AT44" i="2"/>
  <c r="I28" i="127"/>
  <c r="C41" i="57"/>
  <c r="E42" i="57"/>
  <c r="I27" i="30"/>
  <c r="I26" i="123"/>
  <c r="I25" i="34"/>
  <c r="I28" i="136"/>
  <c r="C42" i="117"/>
  <c r="E43" i="117"/>
  <c r="C40" i="62"/>
  <c r="E41" i="62"/>
  <c r="C42" i="125"/>
  <c r="E43" i="125"/>
  <c r="I27" i="92"/>
  <c r="E41" i="40"/>
  <c r="C40" i="40"/>
  <c r="I26" i="3"/>
  <c r="FW45" i="2"/>
  <c r="I26" i="70"/>
  <c r="E42" i="54"/>
  <c r="C41" i="54"/>
  <c r="I27" i="28"/>
  <c r="I28" i="152"/>
  <c r="I25" i="130"/>
  <c r="E43" i="78"/>
  <c r="C42" i="78"/>
  <c r="C43" i="58"/>
  <c r="E44" i="58"/>
  <c r="I26" i="168"/>
  <c r="AJ45" i="1"/>
  <c r="C43" i="42"/>
  <c r="E44" i="42"/>
  <c r="FV44" i="2"/>
  <c r="C41" i="9"/>
  <c r="E42" i="9"/>
  <c r="I27" i="173"/>
  <c r="E43" i="89"/>
  <c r="C42" i="89"/>
  <c r="IK44" i="2"/>
  <c r="C42" i="10"/>
  <c r="E43" i="10"/>
  <c r="E43" i="122"/>
  <c r="C42" i="122"/>
  <c r="HD45" i="2"/>
  <c r="E42" i="67"/>
  <c r="C41" i="67"/>
  <c r="E43" i="145"/>
  <c r="C42" i="145"/>
  <c r="E43" i="15"/>
  <c r="C42" i="15"/>
  <c r="E43" i="142"/>
  <c r="C42" i="142"/>
  <c r="E42" i="65"/>
  <c r="C41" i="65"/>
  <c r="BP44" i="1"/>
  <c r="E44" i="8"/>
  <c r="C43" i="8"/>
  <c r="HC44" i="2"/>
  <c r="E44" i="158"/>
  <c r="C43" i="158"/>
  <c r="E41" i="37"/>
  <c r="C40" i="37"/>
  <c r="E41" i="123"/>
  <c r="C40" i="123"/>
  <c r="E44" i="49"/>
  <c r="C43" i="49"/>
  <c r="N45" i="1"/>
  <c r="I26" i="86"/>
  <c r="E42" i="104"/>
  <c r="C41" i="104"/>
  <c r="E43" i="154"/>
  <c r="C42" i="154"/>
  <c r="IJ43" i="2"/>
  <c r="BQ45" i="1"/>
  <c r="E43" i="20"/>
  <c r="C42" i="20"/>
  <c r="I25" i="35"/>
  <c r="E44" i="170"/>
  <c r="C43" i="170"/>
  <c r="I25" i="174"/>
  <c r="I25" i="55"/>
  <c r="Y45" i="2"/>
  <c r="I26" i="84"/>
  <c r="I25" i="43"/>
  <c r="I26" i="56"/>
  <c r="I28" i="164"/>
  <c r="I25" i="45"/>
  <c r="I28" i="101"/>
  <c r="C43" i="174"/>
  <c r="E44" i="174"/>
  <c r="I30" i="74"/>
  <c r="C40" i="47"/>
  <c r="E41" i="47"/>
  <c r="I28" i="51"/>
  <c r="I28" i="26"/>
  <c r="I27" i="139"/>
  <c r="E44" i="12"/>
  <c r="X44" i="2"/>
  <c r="C43" i="12"/>
  <c r="M44" i="1"/>
  <c r="I26" i="85"/>
  <c r="C42" i="44"/>
  <c r="E43" i="44"/>
  <c r="I26" i="154"/>
  <c r="FA44" i="2"/>
  <c r="E40" i="45"/>
  <c r="C39" i="45"/>
  <c r="I29" i="27"/>
  <c r="I26" i="76"/>
  <c r="I26" i="54"/>
  <c r="AJ44" i="1"/>
  <c r="I26" i="108"/>
  <c r="I25" i="102"/>
  <c r="I29" i="59"/>
  <c r="C40" i="173"/>
  <c r="E41" i="173"/>
  <c r="I25" i="11"/>
  <c r="I26" i="4"/>
  <c r="I26" i="169"/>
  <c r="E41" i="163"/>
  <c r="C40" i="163"/>
  <c r="E37" i="82"/>
  <c r="C36" i="82"/>
  <c r="I30" i="61"/>
  <c r="E42" i="18"/>
  <c r="C41" i="18"/>
  <c r="I27" i="44"/>
  <c r="C38" i="157"/>
  <c r="E39" i="157"/>
  <c r="CA44" i="2"/>
  <c r="C41" i="148"/>
  <c r="E42" i="148"/>
  <c r="C40" i="73"/>
  <c r="E41" i="73"/>
  <c r="I26" i="39"/>
  <c r="I26" i="20"/>
  <c r="C42" i="134"/>
  <c r="E43" i="134"/>
  <c r="EZ43" i="2"/>
  <c r="GR43" i="2"/>
  <c r="X44" i="1"/>
  <c r="I28" i="16"/>
  <c r="E43" i="23"/>
  <c r="C42" i="23"/>
  <c r="E42" i="144"/>
  <c r="C41" i="144"/>
  <c r="E44" i="92"/>
  <c r="C43" i="92"/>
  <c r="E43" i="31"/>
  <c r="C42" i="31"/>
  <c r="DT43" i="2"/>
  <c r="I26" i="21"/>
  <c r="I26" i="161"/>
  <c r="E42" i="83"/>
  <c r="C41" i="83"/>
  <c r="I26" i="103"/>
  <c r="DI44" i="2"/>
  <c r="I28" i="172"/>
  <c r="I26" i="80"/>
  <c r="C41" i="129"/>
  <c r="E42" i="129"/>
  <c r="DS42" i="2"/>
  <c r="C40" i="115"/>
  <c r="E41" i="115"/>
  <c r="HY44" i="2"/>
  <c r="I44" i="150"/>
  <c r="J43" i="150"/>
  <c r="C42" i="101"/>
  <c r="E43" i="101"/>
  <c r="I27" i="23"/>
  <c r="E43" i="133"/>
  <c r="C42" i="133"/>
  <c r="DH43" i="2"/>
  <c r="I30" i="75"/>
  <c r="E42" i="68"/>
  <c r="C41" i="68"/>
  <c r="E42" i="17"/>
  <c r="C41" i="17"/>
  <c r="I25" i="36"/>
  <c r="E39" i="87"/>
  <c r="C38" i="87"/>
  <c r="I25" i="148"/>
  <c r="E43" i="95"/>
  <c r="C42" i="95"/>
  <c r="I30" i="12"/>
  <c r="C42" i="169"/>
  <c r="E43" i="169"/>
  <c r="HY43" i="2"/>
  <c r="C42" i="38"/>
  <c r="E43" i="38"/>
  <c r="E43" i="79"/>
  <c r="C42" i="79"/>
  <c r="I26" i="151"/>
  <c r="E43" i="132"/>
  <c r="C42" i="132"/>
  <c r="C42" i="70"/>
  <c r="E43" i="70"/>
  <c r="E41" i="120"/>
  <c r="C40" i="120"/>
  <c r="I26" i="106"/>
  <c r="I27" i="10"/>
  <c r="I28" i="132"/>
  <c r="I28" i="9"/>
  <c r="C41" i="81"/>
  <c r="E42" i="81"/>
  <c r="I26" i="121"/>
  <c r="I25" i="140"/>
  <c r="E42" i="4"/>
  <c r="C41" i="4"/>
  <c r="I25" i="40"/>
  <c r="E43" i="119"/>
  <c r="C42" i="119"/>
  <c r="I25" i="105"/>
  <c r="C40" i="86"/>
  <c r="E41" i="86"/>
  <c r="I26" i="138"/>
  <c r="I30" i="133"/>
  <c r="E43" i="77"/>
  <c r="C42" i="77"/>
  <c r="I27" i="157"/>
  <c r="E42" i="11"/>
  <c r="C41" i="11"/>
  <c r="E39" i="146"/>
  <c r="C38" i="146"/>
  <c r="I26" i="50"/>
  <c r="I27" i="99"/>
  <c r="I25" i="147"/>
  <c r="I28" i="29"/>
  <c r="AU45" i="1"/>
  <c r="C42" i="71"/>
  <c r="E43" i="71"/>
  <c r="I26" i="49"/>
  <c r="I27" i="149"/>
  <c r="C43" i="152"/>
  <c r="E44" i="152"/>
  <c r="C41" i="128"/>
  <c r="E42" i="128"/>
  <c r="M44" i="2"/>
  <c r="I30" i="134"/>
  <c r="E40" i="43"/>
  <c r="C39" i="43"/>
  <c r="E44" i="121"/>
  <c r="C43" i="121"/>
  <c r="C42" i="33"/>
  <c r="E43" i="33"/>
  <c r="I25" i="166"/>
  <c r="E43" i="162"/>
  <c r="C42" i="162"/>
  <c r="I26" i="97"/>
  <c r="C43" i="93"/>
  <c r="E44" i="93"/>
  <c r="I25" i="160"/>
  <c r="E42" i="75"/>
  <c r="C41" i="75"/>
  <c r="E41" i="84"/>
  <c r="C40" i="84"/>
  <c r="C40" i="51"/>
  <c r="E41" i="51"/>
  <c r="I25" i="163"/>
  <c r="C43" i="136"/>
  <c r="E44" i="136"/>
  <c r="C43" i="91"/>
  <c r="E44" i="91"/>
  <c r="I27" i="129"/>
  <c r="E44" i="55"/>
  <c r="C43" i="55"/>
  <c r="FK43" i="2" s="1"/>
  <c r="E44" i="7"/>
  <c r="C43" i="7"/>
  <c r="AT44" i="1"/>
  <c r="C38" i="166"/>
  <c r="E39" i="166"/>
  <c r="BE44" i="2"/>
  <c r="I25" i="65"/>
  <c r="I26" i="137"/>
  <c r="E44" i="53"/>
  <c r="C43" i="53"/>
  <c r="E43" i="140"/>
  <c r="C42" i="140"/>
  <c r="AI43" i="2"/>
  <c r="I29" i="82"/>
  <c r="I26" i="33"/>
  <c r="E42" i="118"/>
  <c r="C41" i="118"/>
  <c r="I25" i="64"/>
  <c r="C39" i="131"/>
  <c r="E40" i="131"/>
  <c r="E44" i="155"/>
  <c r="C43" i="155"/>
  <c r="I27" i="83"/>
  <c r="E44" i="46"/>
  <c r="C43" i="46"/>
  <c r="C42" i="41"/>
  <c r="E43" i="41"/>
  <c r="E41" i="159"/>
  <c r="C40" i="159"/>
  <c r="C41" i="64"/>
  <c r="E42" i="64"/>
  <c r="C41" i="25"/>
  <c r="E42" i="25"/>
  <c r="I25" i="120"/>
  <c r="C42" i="147"/>
  <c r="E43" i="147"/>
  <c r="I27" i="165"/>
  <c r="E43" i="156" l="1"/>
  <c r="C42" i="156"/>
  <c r="E42" i="149"/>
  <c r="C41" i="149"/>
  <c r="C42" i="130"/>
  <c r="E43" i="130"/>
  <c r="E38" i="98"/>
  <c r="C37" i="98"/>
  <c r="CL43" i="2"/>
  <c r="E43" i="74"/>
  <c r="C42" i="74"/>
  <c r="C41" i="61"/>
  <c r="E42" i="61"/>
  <c r="C41" i="59"/>
  <c r="E42" i="59"/>
  <c r="C42" i="150"/>
  <c r="E43" i="150"/>
  <c r="FL43" i="2"/>
  <c r="CM43" i="2"/>
  <c r="E42" i="70"/>
  <c r="C41" i="70"/>
  <c r="E40" i="123"/>
  <c r="C39" i="123"/>
  <c r="I28" i="173"/>
  <c r="E43" i="52"/>
  <c r="C42" i="52"/>
  <c r="BP43" i="2"/>
  <c r="E42" i="21"/>
  <c r="C41" i="21"/>
  <c r="C42" i="56"/>
  <c r="E43" i="56"/>
  <c r="E40" i="69"/>
  <c r="C39" i="69"/>
  <c r="I27" i="144"/>
  <c r="I28" i="66"/>
  <c r="E43" i="136"/>
  <c r="C42" i="136"/>
  <c r="E43" i="152"/>
  <c r="C42" i="152"/>
  <c r="I26" i="105"/>
  <c r="I31" i="134"/>
  <c r="E42" i="132"/>
  <c r="C41" i="132"/>
  <c r="E43" i="92"/>
  <c r="C42" i="92"/>
  <c r="I28" i="92"/>
  <c r="C38" i="105"/>
  <c r="E39" i="105"/>
  <c r="E42" i="88"/>
  <c r="C41" i="88"/>
  <c r="I27" i="5"/>
  <c r="I28" i="41"/>
  <c r="I28" i="23"/>
  <c r="E36" i="82"/>
  <c r="C35" i="82"/>
  <c r="I28" i="129"/>
  <c r="N44" i="2"/>
  <c r="C39" i="163"/>
  <c r="E40" i="163"/>
  <c r="I27" i="56"/>
  <c r="E40" i="37"/>
  <c r="C39" i="37"/>
  <c r="C40" i="9"/>
  <c r="E41" i="9"/>
  <c r="E39" i="160"/>
  <c r="C38" i="160"/>
  <c r="C40" i="113"/>
  <c r="E41" i="113"/>
  <c r="C38" i="165"/>
  <c r="E39" i="165"/>
  <c r="E43" i="46"/>
  <c r="C42" i="46"/>
  <c r="AI43" i="1"/>
  <c r="I31" i="133"/>
  <c r="I28" i="83"/>
  <c r="I27" i="138"/>
  <c r="I27" i="151"/>
  <c r="C40" i="144"/>
  <c r="E41" i="144"/>
  <c r="FW44" i="2"/>
  <c r="EP43" i="2"/>
  <c r="C37" i="30"/>
  <c r="E38" i="30"/>
  <c r="I26" i="146"/>
  <c r="I26" i="58"/>
  <c r="I27" i="52"/>
  <c r="E43" i="90"/>
  <c r="C42" i="90"/>
  <c r="E40" i="141"/>
  <c r="C39" i="141"/>
  <c r="I28" i="63"/>
  <c r="E43" i="155"/>
  <c r="C42" i="155"/>
  <c r="E43" i="91"/>
  <c r="C42" i="91"/>
  <c r="E41" i="128"/>
  <c r="C40" i="128"/>
  <c r="E42" i="101"/>
  <c r="C41" i="101"/>
  <c r="I27" i="154"/>
  <c r="I26" i="43"/>
  <c r="E43" i="158"/>
  <c r="C42" i="158"/>
  <c r="E42" i="125"/>
  <c r="C41" i="125"/>
  <c r="E42" i="97"/>
  <c r="C41" i="97"/>
  <c r="I26" i="109"/>
  <c r="C39" i="106"/>
  <c r="E40" i="106"/>
  <c r="C39" i="86"/>
  <c r="E40" i="86"/>
  <c r="C41" i="79"/>
  <c r="E42" i="79"/>
  <c r="E42" i="23"/>
  <c r="C41" i="23"/>
  <c r="I27" i="169"/>
  <c r="C42" i="42"/>
  <c r="E43" i="42"/>
  <c r="FV43" i="2"/>
  <c r="C41" i="63"/>
  <c r="E42" i="63"/>
  <c r="CL42" i="2"/>
  <c r="I28" i="115"/>
  <c r="C40" i="94"/>
  <c r="E41" i="94"/>
  <c r="I28" i="25"/>
  <c r="I26" i="95"/>
  <c r="E39" i="34"/>
  <c r="C38" i="34"/>
  <c r="I30" i="24"/>
  <c r="J44" i="150"/>
  <c r="I45" i="150"/>
  <c r="E42" i="44"/>
  <c r="C41" i="44"/>
  <c r="I27" i="84"/>
  <c r="HD44" i="2"/>
  <c r="E40" i="62"/>
  <c r="C39" i="62"/>
  <c r="I29" i="156"/>
  <c r="I27" i="162"/>
  <c r="CB44" i="1"/>
  <c r="E41" i="103"/>
  <c r="C40" i="103"/>
  <c r="I27" i="88"/>
  <c r="I27" i="4"/>
  <c r="BP43" i="1"/>
  <c r="C42" i="8"/>
  <c r="HC43" i="2"/>
  <c r="E43" i="8"/>
  <c r="I26" i="91"/>
  <c r="C40" i="161"/>
  <c r="E41" i="161"/>
  <c r="I29" i="77"/>
  <c r="I28" i="159"/>
  <c r="C40" i="135"/>
  <c r="E41" i="135"/>
  <c r="E43" i="6"/>
  <c r="C42" i="6"/>
  <c r="CA43" i="1"/>
  <c r="I28" i="113"/>
  <c r="I26" i="64"/>
  <c r="C41" i="119"/>
  <c r="E42" i="119"/>
  <c r="C41" i="38"/>
  <c r="E42" i="38"/>
  <c r="I29" i="16"/>
  <c r="I27" i="85"/>
  <c r="E42" i="117"/>
  <c r="C41" i="117"/>
  <c r="I29" i="13"/>
  <c r="E42" i="13"/>
  <c r="C41" i="13"/>
  <c r="I27" i="104"/>
  <c r="N44" i="1"/>
  <c r="BQ44" i="1"/>
  <c r="I27" i="168"/>
  <c r="I29" i="136"/>
  <c r="I29" i="89"/>
  <c r="I28" i="93"/>
  <c r="I26" i="112"/>
  <c r="I28" i="118"/>
  <c r="E40" i="124"/>
  <c r="C39" i="124"/>
  <c r="C40" i="110"/>
  <c r="E41" i="110"/>
  <c r="I27" i="114"/>
  <c r="Y44" i="1"/>
  <c r="E41" i="118"/>
  <c r="C40" i="118"/>
  <c r="E40" i="51"/>
  <c r="C39" i="51"/>
  <c r="I27" i="49"/>
  <c r="DT42" i="2"/>
  <c r="GS43" i="2"/>
  <c r="C42" i="12"/>
  <c r="E43" i="12"/>
  <c r="X43" i="2"/>
  <c r="M43" i="1"/>
  <c r="I26" i="55"/>
  <c r="E41" i="65"/>
  <c r="C40" i="65"/>
  <c r="I26" i="47"/>
  <c r="I27" i="131"/>
  <c r="I30" i="71"/>
  <c r="E41" i="99"/>
  <c r="C40" i="99"/>
  <c r="I26" i="40"/>
  <c r="E42" i="169"/>
  <c r="C41" i="169"/>
  <c r="FA43" i="2"/>
  <c r="E43" i="58"/>
  <c r="C42" i="58"/>
  <c r="C37" i="138"/>
  <c r="E38" i="138"/>
  <c r="I27" i="53"/>
  <c r="E43" i="3"/>
  <c r="C42" i="3"/>
  <c r="E40" i="115"/>
  <c r="C39" i="115"/>
  <c r="I26" i="11"/>
  <c r="I27" i="33"/>
  <c r="C40" i="129"/>
  <c r="E41" i="129"/>
  <c r="DS41" i="2"/>
  <c r="I26" i="174"/>
  <c r="E42" i="142"/>
  <c r="C41" i="142"/>
  <c r="C41" i="78"/>
  <c r="E42" i="78"/>
  <c r="I26" i="34"/>
  <c r="E41" i="19"/>
  <c r="C40" i="19"/>
  <c r="CX43" i="2"/>
  <c r="I31" i="7"/>
  <c r="C41" i="36"/>
  <c r="E42" i="36"/>
  <c r="Y44" i="2"/>
  <c r="E42" i="71"/>
  <c r="C41" i="71"/>
  <c r="E41" i="4"/>
  <c r="C40" i="4"/>
  <c r="C40" i="75"/>
  <c r="E41" i="75"/>
  <c r="I31" i="12"/>
  <c r="E42" i="134"/>
  <c r="C41" i="134"/>
  <c r="EZ42" i="2"/>
  <c r="E40" i="173"/>
  <c r="C39" i="173"/>
  <c r="C42" i="170"/>
  <c r="E43" i="170"/>
  <c r="E39" i="111"/>
  <c r="C38" i="111"/>
  <c r="I26" i="171"/>
  <c r="I26" i="81"/>
  <c r="I27" i="67"/>
  <c r="I30" i="14"/>
  <c r="E40" i="85"/>
  <c r="C39" i="85"/>
  <c r="E43" i="27"/>
  <c r="C42" i="27"/>
  <c r="HZ43" i="2"/>
  <c r="I30" i="82"/>
  <c r="C41" i="95"/>
  <c r="E42" i="95"/>
  <c r="I27" i="80"/>
  <c r="I28" i="139"/>
  <c r="C41" i="15"/>
  <c r="E42" i="15"/>
  <c r="I26" i="130"/>
  <c r="I27" i="123"/>
  <c r="E40" i="127"/>
  <c r="C39" i="127"/>
  <c r="I30" i="42"/>
  <c r="C39" i="84"/>
  <c r="E40" i="84"/>
  <c r="I26" i="160"/>
  <c r="I29" i="172"/>
  <c r="I27" i="20"/>
  <c r="I30" i="59"/>
  <c r="I26" i="35"/>
  <c r="I28" i="30"/>
  <c r="I27" i="57"/>
  <c r="C41" i="153"/>
  <c r="E42" i="153"/>
  <c r="I27" i="73"/>
  <c r="I26" i="17"/>
  <c r="I29" i="135"/>
  <c r="I28" i="167"/>
  <c r="E41" i="139"/>
  <c r="C40" i="139"/>
  <c r="C39" i="168"/>
  <c r="E40" i="168"/>
  <c r="I26" i="143"/>
  <c r="I27" i="116"/>
  <c r="I31" i="145"/>
  <c r="I26" i="100"/>
  <c r="I28" i="18"/>
  <c r="I26" i="102"/>
  <c r="I29" i="51"/>
  <c r="C41" i="20"/>
  <c r="E42" i="20"/>
  <c r="I29" i="152"/>
  <c r="E42" i="76"/>
  <c r="C41" i="76"/>
  <c r="I26" i="38"/>
  <c r="I29" i="78"/>
  <c r="I29" i="122"/>
  <c r="E41" i="137"/>
  <c r="C40" i="137"/>
  <c r="E42" i="145"/>
  <c r="C41" i="145"/>
  <c r="CW41" i="2" s="1"/>
  <c r="I28" i="165"/>
  <c r="E42" i="140"/>
  <c r="C41" i="140"/>
  <c r="C42" i="93"/>
  <c r="E43" i="93"/>
  <c r="E38" i="87"/>
  <c r="C37" i="87"/>
  <c r="C40" i="67"/>
  <c r="E41" i="67"/>
  <c r="E41" i="57"/>
  <c r="C40" i="57"/>
  <c r="C42" i="172"/>
  <c r="E43" i="172"/>
  <c r="I28" i="60"/>
  <c r="C42" i="100"/>
  <c r="E43" i="100"/>
  <c r="I26" i="8"/>
  <c r="I26" i="110"/>
  <c r="I29" i="29"/>
  <c r="I28" i="28"/>
  <c r="E41" i="22"/>
  <c r="C40" i="22"/>
  <c r="I26" i="90"/>
  <c r="I26" i="125"/>
  <c r="I26" i="96"/>
  <c r="C41" i="114"/>
  <c r="E42" i="114"/>
  <c r="I29" i="26"/>
  <c r="E40" i="47"/>
  <c r="C39" i="47"/>
  <c r="C40" i="54"/>
  <c r="E41" i="54"/>
  <c r="E43" i="29"/>
  <c r="C42" i="29"/>
  <c r="I29" i="128"/>
  <c r="I30" i="94"/>
  <c r="C40" i="126"/>
  <c r="E41" i="126"/>
  <c r="I27" i="153"/>
  <c r="E42" i="162"/>
  <c r="C41" i="162"/>
  <c r="I28" i="99"/>
  <c r="I31" i="74"/>
  <c r="IK43" i="2"/>
  <c r="AU44" i="2"/>
  <c r="I27" i="170"/>
  <c r="EE44" i="2"/>
  <c r="I27" i="31"/>
  <c r="CW42" i="2"/>
  <c r="I27" i="111"/>
  <c r="I29" i="142"/>
  <c r="I27" i="137"/>
  <c r="I29" i="9"/>
  <c r="I26" i="36"/>
  <c r="C40" i="148"/>
  <c r="E41" i="148"/>
  <c r="E41" i="17"/>
  <c r="C40" i="17"/>
  <c r="E41" i="83"/>
  <c r="C40" i="83"/>
  <c r="CB44" i="2"/>
  <c r="E42" i="154"/>
  <c r="C41" i="154"/>
  <c r="IJ42" i="2"/>
  <c r="C41" i="122"/>
  <c r="E42" i="122"/>
  <c r="C42" i="107"/>
  <c r="BE42" i="2" s="1"/>
  <c r="E43" i="107"/>
  <c r="I28" i="37"/>
  <c r="C42" i="109"/>
  <c r="E43" i="109"/>
  <c r="ED43" i="2"/>
  <c r="E41" i="66"/>
  <c r="C40" i="66"/>
  <c r="C40" i="112"/>
  <c r="E41" i="112"/>
  <c r="I28" i="72"/>
  <c r="I31" i="46"/>
  <c r="I29" i="127"/>
  <c r="E43" i="50"/>
  <c r="C42" i="50"/>
  <c r="AT43" i="2"/>
  <c r="E42" i="108"/>
  <c r="C41" i="108"/>
  <c r="I29" i="62"/>
  <c r="I29" i="98"/>
  <c r="I27" i="87"/>
  <c r="I27" i="108"/>
  <c r="E38" i="146"/>
  <c r="C37" i="146"/>
  <c r="E38" i="157"/>
  <c r="C37" i="157"/>
  <c r="I27" i="54"/>
  <c r="E43" i="174"/>
  <c r="C42" i="174"/>
  <c r="E41" i="104"/>
  <c r="C40" i="104"/>
  <c r="I27" i="70"/>
  <c r="C40" i="116"/>
  <c r="E41" i="116"/>
  <c r="C39" i="39"/>
  <c r="E40" i="39"/>
  <c r="I26" i="69"/>
  <c r="E43" i="28"/>
  <c r="C42" i="28"/>
  <c r="AI42" i="2" s="1"/>
  <c r="C40" i="64"/>
  <c r="E41" i="64"/>
  <c r="M43" i="2"/>
  <c r="I27" i="161"/>
  <c r="I28" i="44"/>
  <c r="I29" i="101"/>
  <c r="E42" i="10"/>
  <c r="C41" i="10"/>
  <c r="I27" i="126"/>
  <c r="I27" i="19"/>
  <c r="I30" i="32"/>
  <c r="I29" i="107"/>
  <c r="C41" i="48"/>
  <c r="E42" i="48"/>
  <c r="I26" i="163"/>
  <c r="HZ44" i="2"/>
  <c r="I26" i="120"/>
  <c r="C40" i="25"/>
  <c r="E41" i="25"/>
  <c r="I27" i="50"/>
  <c r="BF44" i="2"/>
  <c r="C40" i="11"/>
  <c r="E41" i="11"/>
  <c r="I28" i="10"/>
  <c r="C40" i="167"/>
  <c r="E41" i="167"/>
  <c r="C42" i="143"/>
  <c r="E43" i="143"/>
  <c r="I26" i="141"/>
  <c r="X43" i="1"/>
  <c r="I27" i="121"/>
  <c r="I26" i="148"/>
  <c r="C41" i="147"/>
  <c r="E42" i="147"/>
  <c r="C42" i="53"/>
  <c r="E43" i="53"/>
  <c r="I27" i="97"/>
  <c r="I26" i="147"/>
  <c r="E40" i="73"/>
  <c r="C39" i="73"/>
  <c r="I27" i="103"/>
  <c r="E42" i="33"/>
  <c r="C41" i="33"/>
  <c r="M42" i="2"/>
  <c r="I27" i="21"/>
  <c r="I26" i="45"/>
  <c r="I27" i="86"/>
  <c r="I28" i="68"/>
  <c r="E42" i="164"/>
  <c r="C41" i="164"/>
  <c r="E40" i="72"/>
  <c r="C39" i="72"/>
  <c r="I29" i="117"/>
  <c r="I26" i="140"/>
  <c r="E41" i="81"/>
  <c r="C40" i="81"/>
  <c r="E40" i="171"/>
  <c r="C39" i="171"/>
  <c r="AU44" i="1"/>
  <c r="E43" i="121"/>
  <c r="C42" i="121"/>
  <c r="I27" i="106"/>
  <c r="DI43" i="2"/>
  <c r="C40" i="18"/>
  <c r="E41" i="18"/>
  <c r="IV43" i="2"/>
  <c r="HN43" i="2"/>
  <c r="I27" i="3"/>
  <c r="C39" i="26"/>
  <c r="E40" i="26"/>
  <c r="E42" i="80"/>
  <c r="C41" i="80"/>
  <c r="E41" i="60"/>
  <c r="C40" i="60"/>
  <c r="I30" i="79"/>
  <c r="I27" i="119"/>
  <c r="C40" i="5"/>
  <c r="E41" i="5"/>
  <c r="E39" i="131"/>
  <c r="C38" i="131"/>
  <c r="I28" i="149"/>
  <c r="AJ43" i="2"/>
  <c r="I27" i="39"/>
  <c r="I29" i="132"/>
  <c r="E40" i="159"/>
  <c r="C39" i="159"/>
  <c r="E38" i="166"/>
  <c r="C37" i="166"/>
  <c r="BE43" i="2"/>
  <c r="C42" i="7"/>
  <c r="EO42" i="2" s="1"/>
  <c r="E43" i="7"/>
  <c r="AT43" i="1"/>
  <c r="I28" i="157"/>
  <c r="E40" i="120"/>
  <c r="C39" i="120"/>
  <c r="E42" i="133"/>
  <c r="C41" i="133"/>
  <c r="DH42" i="2"/>
  <c r="C41" i="89"/>
  <c r="E42" i="89"/>
  <c r="HN42" i="2"/>
  <c r="I27" i="155"/>
  <c r="C38" i="102"/>
  <c r="E39" i="102"/>
  <c r="E43" i="14"/>
  <c r="C42" i="14"/>
  <c r="C41" i="151"/>
  <c r="E42" i="151"/>
  <c r="I31" i="15"/>
  <c r="I26" i="65"/>
  <c r="I26" i="166"/>
  <c r="E41" i="68"/>
  <c r="C40" i="68"/>
  <c r="I31" i="75"/>
  <c r="I27" i="76"/>
  <c r="C38" i="43"/>
  <c r="E39" i="43"/>
  <c r="C41" i="77"/>
  <c r="E42" i="77"/>
  <c r="CA43" i="2"/>
  <c r="I30" i="27"/>
  <c r="I29" i="164"/>
  <c r="E43" i="49"/>
  <c r="C42" i="49"/>
  <c r="BQ44" i="2"/>
  <c r="I29" i="48"/>
  <c r="C37" i="32"/>
  <c r="E38" i="32"/>
  <c r="C41" i="41"/>
  <c r="E42" i="41"/>
  <c r="E43" i="55"/>
  <c r="C42" i="55"/>
  <c r="C41" i="31"/>
  <c r="E42" i="31"/>
  <c r="CA42" i="2"/>
  <c r="I31" i="61"/>
  <c r="E39" i="45"/>
  <c r="C38" i="45"/>
  <c r="E40" i="40"/>
  <c r="C39" i="40"/>
  <c r="I28" i="158"/>
  <c r="I28" i="124"/>
  <c r="C41" i="96"/>
  <c r="E42" i="96"/>
  <c r="E42" i="35"/>
  <c r="C41" i="35"/>
  <c r="C40" i="16"/>
  <c r="E41" i="16"/>
  <c r="IV44" i="2"/>
  <c r="I30" i="22"/>
  <c r="E42" i="156" l="1"/>
  <c r="C41" i="156"/>
  <c r="E41" i="149"/>
  <c r="C40" i="149"/>
  <c r="E42" i="130"/>
  <c r="C41" i="130"/>
  <c r="E37" i="98"/>
  <c r="C36" i="98"/>
  <c r="C41" i="74"/>
  <c r="E42" i="74"/>
  <c r="E41" i="61"/>
  <c r="C40" i="61"/>
  <c r="C40" i="59"/>
  <c r="E41" i="59"/>
  <c r="J42" i="150"/>
  <c r="K42" i="150" s="1"/>
  <c r="C41" i="150"/>
  <c r="E42" i="150"/>
  <c r="EP42" i="2"/>
  <c r="CX41" i="2"/>
  <c r="AJ42" i="2"/>
  <c r="I30" i="127"/>
  <c r="E40" i="126"/>
  <c r="C39" i="126"/>
  <c r="I27" i="8"/>
  <c r="I28" i="57"/>
  <c r="I31" i="82"/>
  <c r="E39" i="115"/>
  <c r="C38" i="115"/>
  <c r="E40" i="135"/>
  <c r="C39" i="135"/>
  <c r="E41" i="44"/>
  <c r="C40" i="44"/>
  <c r="E39" i="106"/>
  <c r="C38" i="106"/>
  <c r="I27" i="146"/>
  <c r="I28" i="56"/>
  <c r="I27" i="65"/>
  <c r="E40" i="75"/>
  <c r="C39" i="75"/>
  <c r="I27" i="55"/>
  <c r="I30" i="136"/>
  <c r="I27" i="105"/>
  <c r="E42" i="121"/>
  <c r="C41" i="121"/>
  <c r="I27" i="147"/>
  <c r="E39" i="39"/>
  <c r="C38" i="39"/>
  <c r="I27" i="36"/>
  <c r="I31" i="94"/>
  <c r="E42" i="100"/>
  <c r="C41" i="100"/>
  <c r="N43" i="1"/>
  <c r="I29" i="159"/>
  <c r="I46" i="150"/>
  <c r="J45" i="150"/>
  <c r="I27" i="109"/>
  <c r="E42" i="152"/>
  <c r="C41" i="152"/>
  <c r="M41" i="2" s="1"/>
  <c r="C38" i="73"/>
  <c r="E39" i="73"/>
  <c r="I28" i="97"/>
  <c r="I27" i="120"/>
  <c r="I32" i="46"/>
  <c r="E41" i="20"/>
  <c r="C40" i="20"/>
  <c r="I29" i="30"/>
  <c r="E40" i="4"/>
  <c r="C39" i="4"/>
  <c r="Y43" i="2"/>
  <c r="I28" i="168"/>
  <c r="I30" i="77"/>
  <c r="K44" i="150"/>
  <c r="E37" i="30"/>
  <c r="C36" i="30"/>
  <c r="C38" i="163"/>
  <c r="E39" i="163"/>
  <c r="E40" i="25"/>
  <c r="C39" i="25"/>
  <c r="E40" i="148"/>
  <c r="C39" i="148"/>
  <c r="E41" i="151"/>
  <c r="C40" i="151"/>
  <c r="I30" i="51"/>
  <c r="E42" i="3"/>
  <c r="C41" i="3"/>
  <c r="E41" i="97"/>
  <c r="C40" i="97"/>
  <c r="E42" i="136"/>
  <c r="C41" i="136"/>
  <c r="I32" i="15"/>
  <c r="I30" i="152"/>
  <c r="BF42" i="2"/>
  <c r="I29" i="60"/>
  <c r="E41" i="41"/>
  <c r="C40" i="41"/>
  <c r="E42" i="14"/>
  <c r="C41" i="14"/>
  <c r="GR42" i="2"/>
  <c r="I29" i="149"/>
  <c r="C38" i="171"/>
  <c r="E39" i="171"/>
  <c r="E42" i="29"/>
  <c r="C41" i="29"/>
  <c r="I27" i="35"/>
  <c r="E41" i="71"/>
  <c r="C40" i="71"/>
  <c r="E42" i="12"/>
  <c r="X42" i="2"/>
  <c r="C41" i="12"/>
  <c r="M42" i="1"/>
  <c r="I31" i="24"/>
  <c r="E41" i="31"/>
  <c r="C40" i="31"/>
  <c r="I28" i="39"/>
  <c r="I28" i="106"/>
  <c r="C41" i="55"/>
  <c r="E42" i="55"/>
  <c r="C39" i="116"/>
  <c r="E40" i="116"/>
  <c r="I29" i="72"/>
  <c r="I30" i="9"/>
  <c r="I30" i="128"/>
  <c r="C37" i="131"/>
  <c r="E38" i="131"/>
  <c r="E42" i="53"/>
  <c r="C41" i="53"/>
  <c r="I27" i="163"/>
  <c r="I28" i="70"/>
  <c r="I28" i="137"/>
  <c r="E42" i="172"/>
  <c r="C41" i="172"/>
  <c r="I27" i="102"/>
  <c r="E42" i="27"/>
  <c r="C41" i="27"/>
  <c r="E38" i="34"/>
  <c r="C37" i="34"/>
  <c r="E41" i="125"/>
  <c r="C40" i="125"/>
  <c r="I30" i="132"/>
  <c r="E40" i="81"/>
  <c r="C39" i="81"/>
  <c r="E40" i="57"/>
  <c r="C39" i="57"/>
  <c r="I31" i="59"/>
  <c r="I28" i="53"/>
  <c r="C39" i="161"/>
  <c r="E40" i="161"/>
  <c r="I29" i="66"/>
  <c r="I29" i="157"/>
  <c r="E40" i="104"/>
  <c r="C39" i="104"/>
  <c r="E38" i="102"/>
  <c r="C37" i="102"/>
  <c r="E41" i="147"/>
  <c r="C40" i="147"/>
  <c r="C39" i="112"/>
  <c r="E40" i="112"/>
  <c r="E40" i="54"/>
  <c r="C39" i="54"/>
  <c r="I28" i="20"/>
  <c r="C38" i="85"/>
  <c r="E39" i="85"/>
  <c r="I27" i="95"/>
  <c r="C41" i="158"/>
  <c r="E42" i="158"/>
  <c r="I28" i="50"/>
  <c r="E37" i="32"/>
  <c r="C36" i="32"/>
  <c r="I31" i="22"/>
  <c r="I30" i="48"/>
  <c r="I28" i="155"/>
  <c r="C40" i="48"/>
  <c r="E41" i="48"/>
  <c r="C41" i="174"/>
  <c r="E42" i="174"/>
  <c r="C39" i="66"/>
  <c r="E40" i="66"/>
  <c r="I30" i="142"/>
  <c r="E39" i="47"/>
  <c r="C38" i="47"/>
  <c r="I29" i="18"/>
  <c r="I28" i="104"/>
  <c r="I27" i="91"/>
  <c r="E40" i="144"/>
  <c r="C39" i="144"/>
  <c r="I28" i="144"/>
  <c r="E40" i="5"/>
  <c r="C39" i="5"/>
  <c r="I27" i="140"/>
  <c r="I30" i="107"/>
  <c r="E40" i="67"/>
  <c r="C39" i="67"/>
  <c r="I31" i="14"/>
  <c r="E41" i="36"/>
  <c r="C40" i="36"/>
  <c r="C36" i="138"/>
  <c r="E37" i="138"/>
  <c r="I28" i="49"/>
  <c r="E41" i="13"/>
  <c r="C40" i="13"/>
  <c r="I29" i="129"/>
  <c r="C38" i="69"/>
  <c r="E39" i="69"/>
  <c r="I27" i="148"/>
  <c r="HO42" i="2"/>
  <c r="I28" i="121"/>
  <c r="EE43" i="2"/>
  <c r="I28" i="111"/>
  <c r="E37" i="87"/>
  <c r="C36" i="87"/>
  <c r="I27" i="100"/>
  <c r="I30" i="172"/>
  <c r="E42" i="58"/>
  <c r="C41" i="58"/>
  <c r="HD43" i="2"/>
  <c r="I29" i="25"/>
  <c r="I27" i="43"/>
  <c r="I28" i="151"/>
  <c r="C34" i="82"/>
  <c r="E35" i="82"/>
  <c r="CX42" i="2"/>
  <c r="I30" i="26"/>
  <c r="I32" i="7"/>
  <c r="E39" i="51"/>
  <c r="C38" i="51"/>
  <c r="I30" i="13"/>
  <c r="E42" i="8"/>
  <c r="C41" i="8"/>
  <c r="HC42" i="2"/>
  <c r="BP42" i="1"/>
  <c r="I31" i="32"/>
  <c r="I28" i="54"/>
  <c r="C38" i="72"/>
  <c r="E39" i="72"/>
  <c r="Y43" i="1"/>
  <c r="E37" i="157"/>
  <c r="C36" i="157"/>
  <c r="E42" i="109"/>
  <c r="C41" i="109"/>
  <c r="ED42" i="2"/>
  <c r="I28" i="31"/>
  <c r="I32" i="145"/>
  <c r="I27" i="160"/>
  <c r="I28" i="67"/>
  <c r="BQ43" i="1"/>
  <c r="E40" i="94"/>
  <c r="C39" i="94"/>
  <c r="I28" i="154"/>
  <c r="I28" i="138"/>
  <c r="I29" i="23"/>
  <c r="E42" i="56"/>
  <c r="C41" i="56"/>
  <c r="I30" i="117"/>
  <c r="DI42" i="2"/>
  <c r="I28" i="19"/>
  <c r="I29" i="37"/>
  <c r="E41" i="114"/>
  <c r="C40" i="114"/>
  <c r="C41" i="93"/>
  <c r="E42" i="93"/>
  <c r="I27" i="81"/>
  <c r="E40" i="118"/>
  <c r="C39" i="118"/>
  <c r="E41" i="117"/>
  <c r="C40" i="117"/>
  <c r="I28" i="4"/>
  <c r="C40" i="101"/>
  <c r="E41" i="101"/>
  <c r="I29" i="83"/>
  <c r="E41" i="21"/>
  <c r="C40" i="21"/>
  <c r="E37" i="146"/>
  <c r="C36" i="146"/>
  <c r="I28" i="116"/>
  <c r="C38" i="84"/>
  <c r="E39" i="84"/>
  <c r="E40" i="19"/>
  <c r="C39" i="19"/>
  <c r="HY42" i="2"/>
  <c r="I29" i="115"/>
  <c r="I29" i="41"/>
  <c r="E40" i="16"/>
  <c r="C39" i="16"/>
  <c r="C40" i="133"/>
  <c r="E41" i="133"/>
  <c r="DH41" i="2"/>
  <c r="C39" i="60"/>
  <c r="E40" i="60"/>
  <c r="C40" i="164"/>
  <c r="E41" i="164"/>
  <c r="I28" i="126"/>
  <c r="C40" i="140"/>
  <c r="E41" i="140"/>
  <c r="I27" i="171"/>
  <c r="C40" i="169"/>
  <c r="E41" i="169"/>
  <c r="HY41" i="2"/>
  <c r="I28" i="85"/>
  <c r="I28" i="88"/>
  <c r="CM42" i="2"/>
  <c r="C39" i="128"/>
  <c r="E40" i="128"/>
  <c r="I32" i="133"/>
  <c r="BQ43" i="2"/>
  <c r="E41" i="89"/>
  <c r="C40" i="89"/>
  <c r="C40" i="35"/>
  <c r="E41" i="35"/>
  <c r="I31" i="27"/>
  <c r="C38" i="120"/>
  <c r="E39" i="120"/>
  <c r="E41" i="80"/>
  <c r="C40" i="80"/>
  <c r="I29" i="68"/>
  <c r="X42" i="1"/>
  <c r="E42" i="107"/>
  <c r="C41" i="107"/>
  <c r="BE41" i="2" s="1"/>
  <c r="I28" i="170"/>
  <c r="I27" i="143"/>
  <c r="I31" i="42"/>
  <c r="E42" i="52"/>
  <c r="C41" i="52"/>
  <c r="BP42" i="2"/>
  <c r="I28" i="119"/>
  <c r="I31" i="79"/>
  <c r="I30" i="164"/>
  <c r="E41" i="96"/>
  <c r="C40" i="96"/>
  <c r="CB43" i="2"/>
  <c r="C40" i="10"/>
  <c r="E41" i="10"/>
  <c r="I28" i="108"/>
  <c r="I27" i="96"/>
  <c r="I29" i="165"/>
  <c r="C38" i="127"/>
  <c r="E39" i="127"/>
  <c r="I27" i="34"/>
  <c r="I27" i="40"/>
  <c r="E40" i="103"/>
  <c r="C39" i="103"/>
  <c r="E41" i="63"/>
  <c r="C40" i="63"/>
  <c r="C41" i="91"/>
  <c r="E42" i="91"/>
  <c r="AJ43" i="1"/>
  <c r="I28" i="5"/>
  <c r="C40" i="122"/>
  <c r="E41" i="122"/>
  <c r="E39" i="168"/>
  <c r="C38" i="168"/>
  <c r="I28" i="114"/>
  <c r="I30" i="16"/>
  <c r="FW43" i="2"/>
  <c r="E42" i="46"/>
  <c r="C41" i="46"/>
  <c r="FK42" i="2"/>
  <c r="I27" i="141"/>
  <c r="I29" i="124"/>
  <c r="C40" i="77"/>
  <c r="E41" i="77"/>
  <c r="C38" i="26"/>
  <c r="E39" i="26"/>
  <c r="I28" i="86"/>
  <c r="I28" i="87"/>
  <c r="IK42" i="2"/>
  <c r="I27" i="125"/>
  <c r="C40" i="145"/>
  <c r="E41" i="145"/>
  <c r="C39" i="139"/>
  <c r="E40" i="139"/>
  <c r="I28" i="123"/>
  <c r="E38" i="111"/>
  <c r="C37" i="111"/>
  <c r="E41" i="78"/>
  <c r="C40" i="78"/>
  <c r="E40" i="99"/>
  <c r="C39" i="99"/>
  <c r="E42" i="155"/>
  <c r="C41" i="155"/>
  <c r="E41" i="88"/>
  <c r="C40" i="88"/>
  <c r="FK41" i="2"/>
  <c r="I29" i="173"/>
  <c r="C40" i="142"/>
  <c r="E41" i="142"/>
  <c r="E40" i="110"/>
  <c r="C39" i="110"/>
  <c r="E41" i="38"/>
  <c r="C40" i="38"/>
  <c r="E42" i="42"/>
  <c r="C41" i="42"/>
  <c r="FV42" i="2"/>
  <c r="C38" i="123"/>
  <c r="E39" i="123"/>
  <c r="E42" i="143"/>
  <c r="C41" i="143"/>
  <c r="C40" i="154"/>
  <c r="E41" i="154"/>
  <c r="IJ41" i="2"/>
  <c r="I29" i="158"/>
  <c r="E38" i="43"/>
  <c r="C37" i="43"/>
  <c r="I27" i="45"/>
  <c r="I29" i="44"/>
  <c r="I30" i="98"/>
  <c r="I27" i="90"/>
  <c r="E40" i="137"/>
  <c r="C39" i="137"/>
  <c r="I29" i="167"/>
  <c r="C38" i="124"/>
  <c r="E39" i="124"/>
  <c r="I28" i="162"/>
  <c r="I28" i="169"/>
  <c r="I29" i="63"/>
  <c r="E38" i="165"/>
  <c r="C37" i="165"/>
  <c r="I30" i="101"/>
  <c r="I28" i="76"/>
  <c r="E42" i="7"/>
  <c r="C41" i="7"/>
  <c r="EO41" i="2" s="1"/>
  <c r="AT42" i="1"/>
  <c r="HO43" i="2"/>
  <c r="C39" i="167"/>
  <c r="E40" i="167"/>
  <c r="I30" i="62"/>
  <c r="E40" i="22"/>
  <c r="C39" i="22"/>
  <c r="I27" i="130"/>
  <c r="C41" i="170"/>
  <c r="E42" i="170"/>
  <c r="I31" i="71"/>
  <c r="E41" i="119"/>
  <c r="C40" i="119"/>
  <c r="E38" i="105"/>
  <c r="C37" i="105"/>
  <c r="E39" i="40"/>
  <c r="C38" i="40"/>
  <c r="I28" i="161"/>
  <c r="I32" i="74"/>
  <c r="I30" i="135"/>
  <c r="I27" i="174"/>
  <c r="E41" i="23"/>
  <c r="C40" i="23"/>
  <c r="E39" i="141"/>
  <c r="C38" i="141"/>
  <c r="E40" i="113"/>
  <c r="C39" i="113"/>
  <c r="I28" i="21"/>
  <c r="I29" i="10"/>
  <c r="E37" i="166"/>
  <c r="C36" i="166"/>
  <c r="C40" i="108"/>
  <c r="E41" i="108"/>
  <c r="I30" i="122"/>
  <c r="E41" i="15"/>
  <c r="C40" i="15"/>
  <c r="C38" i="173"/>
  <c r="E39" i="173"/>
  <c r="DT41" i="2"/>
  <c r="I29" i="118"/>
  <c r="I27" i="64"/>
  <c r="I30" i="156"/>
  <c r="I29" i="92"/>
  <c r="C40" i="70"/>
  <c r="E41" i="70"/>
  <c r="I28" i="3"/>
  <c r="I32" i="75"/>
  <c r="N43" i="2"/>
  <c r="I29" i="99"/>
  <c r="I29" i="28"/>
  <c r="I27" i="17"/>
  <c r="I27" i="112"/>
  <c r="E39" i="62"/>
  <c r="C38" i="62"/>
  <c r="K43" i="150"/>
  <c r="E42" i="90"/>
  <c r="C41" i="90"/>
  <c r="E38" i="160"/>
  <c r="C37" i="160"/>
  <c r="C41" i="92"/>
  <c r="E42" i="92"/>
  <c r="E41" i="33"/>
  <c r="C40" i="33"/>
  <c r="FA42" i="2"/>
  <c r="I28" i="131"/>
  <c r="I29" i="113"/>
  <c r="E42" i="49"/>
  <c r="C41" i="49"/>
  <c r="AU43" i="1"/>
  <c r="BF43" i="2"/>
  <c r="E38" i="45"/>
  <c r="C37" i="45"/>
  <c r="N42" i="2"/>
  <c r="C39" i="68"/>
  <c r="E40" i="68"/>
  <c r="E40" i="11"/>
  <c r="C39" i="11"/>
  <c r="AU43" i="2"/>
  <c r="C40" i="162"/>
  <c r="E41" i="162"/>
  <c r="I30" i="78"/>
  <c r="I29" i="139"/>
  <c r="E40" i="129"/>
  <c r="C39" i="129"/>
  <c r="DS40" i="2"/>
  <c r="I32" i="61"/>
  <c r="E39" i="159"/>
  <c r="C38" i="159"/>
  <c r="E40" i="18"/>
  <c r="C39" i="18"/>
  <c r="C39" i="64"/>
  <c r="E40" i="64"/>
  <c r="C41" i="50"/>
  <c r="E42" i="50"/>
  <c r="AT42" i="2"/>
  <c r="E40" i="83"/>
  <c r="C39" i="83"/>
  <c r="I30" i="29"/>
  <c r="E41" i="134"/>
  <c r="C40" i="134"/>
  <c r="EZ41" i="2"/>
  <c r="I28" i="33"/>
  <c r="I27" i="47"/>
  <c r="I29" i="93"/>
  <c r="CB43" i="1"/>
  <c r="E41" i="79"/>
  <c r="C40" i="79"/>
  <c r="E41" i="132"/>
  <c r="C40" i="132"/>
  <c r="I27" i="166"/>
  <c r="E42" i="28"/>
  <c r="C41" i="28"/>
  <c r="AI41" i="2" s="1"/>
  <c r="I27" i="38"/>
  <c r="I28" i="73"/>
  <c r="I28" i="80"/>
  <c r="E42" i="6"/>
  <c r="C41" i="6"/>
  <c r="CA42" i="1"/>
  <c r="IU42" i="2"/>
  <c r="I28" i="52"/>
  <c r="E40" i="9"/>
  <c r="C39" i="9"/>
  <c r="AI42" i="1"/>
  <c r="CB42" i="2"/>
  <c r="I28" i="103"/>
  <c r="E40" i="17"/>
  <c r="C39" i="17"/>
  <c r="I28" i="153"/>
  <c r="I27" i="110"/>
  <c r="E41" i="76"/>
  <c r="C40" i="76"/>
  <c r="I32" i="12"/>
  <c r="C39" i="65"/>
  <c r="E40" i="65"/>
  <c r="I30" i="89"/>
  <c r="I28" i="84"/>
  <c r="C38" i="86"/>
  <c r="E39" i="86"/>
  <c r="I27" i="58"/>
  <c r="C38" i="37"/>
  <c r="E39" i="37"/>
  <c r="I32" i="134"/>
  <c r="I27" i="69"/>
  <c r="C40" i="153"/>
  <c r="E41" i="153"/>
  <c r="E41" i="95"/>
  <c r="C40" i="95"/>
  <c r="I27" i="11"/>
  <c r="E41" i="156" l="1"/>
  <c r="C40" i="156"/>
  <c r="C39" i="149"/>
  <c r="E40" i="149"/>
  <c r="C40" i="130"/>
  <c r="E41" i="130"/>
  <c r="E36" i="98"/>
  <c r="C35" i="98"/>
  <c r="CL41" i="2"/>
  <c r="C40" i="74"/>
  <c r="E41" i="74"/>
  <c r="E40" i="61"/>
  <c r="C39" i="61"/>
  <c r="E40" i="59"/>
  <c r="C39" i="59"/>
  <c r="J41" i="150"/>
  <c r="K41" i="150" s="1"/>
  <c r="E41" i="150"/>
  <c r="C40" i="150"/>
  <c r="EP41" i="2"/>
  <c r="CM41" i="2"/>
  <c r="BF41" i="2"/>
  <c r="AJ41" i="2"/>
  <c r="C39" i="76"/>
  <c r="E40" i="76"/>
  <c r="DT40" i="2"/>
  <c r="I28" i="64"/>
  <c r="I28" i="174"/>
  <c r="E40" i="122"/>
  <c r="C39" i="122"/>
  <c r="I30" i="41"/>
  <c r="C40" i="29"/>
  <c r="E41" i="29"/>
  <c r="X41" i="1"/>
  <c r="I28" i="65"/>
  <c r="FA41" i="2"/>
  <c r="C38" i="18"/>
  <c r="E39" i="18"/>
  <c r="C39" i="79"/>
  <c r="E40" i="79"/>
  <c r="C38" i="129"/>
  <c r="E39" i="129"/>
  <c r="DS39" i="2"/>
  <c r="I28" i="110"/>
  <c r="C39" i="154"/>
  <c r="E40" i="154"/>
  <c r="C39" i="145"/>
  <c r="E40" i="145"/>
  <c r="I31" i="164"/>
  <c r="I30" i="37"/>
  <c r="C40" i="58"/>
  <c r="E41" i="58"/>
  <c r="I29" i="155"/>
  <c r="E37" i="131"/>
  <c r="C36" i="131"/>
  <c r="E39" i="148"/>
  <c r="C38" i="148"/>
  <c r="I28" i="109"/>
  <c r="I32" i="14"/>
  <c r="I31" i="48"/>
  <c r="I33" i="133"/>
  <c r="I30" i="118"/>
  <c r="I33" i="74"/>
  <c r="I31" i="101"/>
  <c r="HZ42" i="2"/>
  <c r="I29" i="19"/>
  <c r="C38" i="67"/>
  <c r="E39" i="67"/>
  <c r="C38" i="161"/>
  <c r="E39" i="161"/>
  <c r="I31" i="128"/>
  <c r="E38" i="171"/>
  <c r="C37" i="171"/>
  <c r="E39" i="25"/>
  <c r="C38" i="25"/>
  <c r="K45" i="150"/>
  <c r="I29" i="56"/>
  <c r="I32" i="79"/>
  <c r="E39" i="19"/>
  <c r="C38" i="19"/>
  <c r="E38" i="72"/>
  <c r="C37" i="72"/>
  <c r="I31" i="172"/>
  <c r="I29" i="53"/>
  <c r="J46" i="150"/>
  <c r="I47" i="150"/>
  <c r="E37" i="165"/>
  <c r="C36" i="165"/>
  <c r="E38" i="123"/>
  <c r="C37" i="123"/>
  <c r="E39" i="128"/>
  <c r="C38" i="128"/>
  <c r="I29" i="54"/>
  <c r="I28" i="100"/>
  <c r="I32" i="22"/>
  <c r="I31" i="9"/>
  <c r="I30" i="149"/>
  <c r="I29" i="103"/>
  <c r="I28" i="47"/>
  <c r="C39" i="162"/>
  <c r="E40" i="162"/>
  <c r="I29" i="161"/>
  <c r="FW42" i="2"/>
  <c r="E41" i="91"/>
  <c r="C40" i="91"/>
  <c r="I29" i="119"/>
  <c r="I31" i="107"/>
  <c r="C35" i="32"/>
  <c r="E36" i="32"/>
  <c r="GS42" i="2"/>
  <c r="C37" i="163"/>
  <c r="E38" i="163"/>
  <c r="I30" i="159"/>
  <c r="I28" i="146"/>
  <c r="I28" i="11"/>
  <c r="C40" i="42"/>
  <c r="E41" i="42"/>
  <c r="FV41" i="2"/>
  <c r="I29" i="87"/>
  <c r="BQ42" i="2"/>
  <c r="C37" i="84"/>
  <c r="E38" i="84"/>
  <c r="I31" i="117"/>
  <c r="E36" i="87"/>
  <c r="C35" i="87"/>
  <c r="I28" i="140"/>
  <c r="I32" i="59"/>
  <c r="I30" i="72"/>
  <c r="C40" i="14"/>
  <c r="E41" i="14"/>
  <c r="GR41" i="2"/>
  <c r="C35" i="30"/>
  <c r="E36" i="30"/>
  <c r="C37" i="106"/>
  <c r="E38" i="106"/>
  <c r="E41" i="90"/>
  <c r="C40" i="90"/>
  <c r="E40" i="95"/>
  <c r="C39" i="95"/>
  <c r="I29" i="33"/>
  <c r="C37" i="40"/>
  <c r="E38" i="40"/>
  <c r="I30" i="63"/>
  <c r="I29" i="86"/>
  <c r="E40" i="63"/>
  <c r="C39" i="63"/>
  <c r="E41" i="52"/>
  <c r="C40" i="52"/>
  <c r="BP41" i="2"/>
  <c r="E41" i="56"/>
  <c r="C40" i="56"/>
  <c r="I32" i="32"/>
  <c r="I29" i="50"/>
  <c r="E39" i="57"/>
  <c r="C38" i="57"/>
  <c r="E40" i="38"/>
  <c r="C39" i="38"/>
  <c r="I29" i="88"/>
  <c r="I29" i="116"/>
  <c r="BQ42" i="1"/>
  <c r="E39" i="116"/>
  <c r="C38" i="116"/>
  <c r="E40" i="44"/>
  <c r="C39" i="44"/>
  <c r="C38" i="103"/>
  <c r="E39" i="103"/>
  <c r="I32" i="42"/>
  <c r="HD42" i="2"/>
  <c r="I29" i="111"/>
  <c r="E39" i="5"/>
  <c r="C38" i="5"/>
  <c r="E39" i="81"/>
  <c r="C38" i="81"/>
  <c r="C39" i="41"/>
  <c r="E40" i="41"/>
  <c r="I31" i="77"/>
  <c r="I28" i="112"/>
  <c r="E40" i="15"/>
  <c r="C39" i="15"/>
  <c r="C38" i="110"/>
  <c r="E39" i="110"/>
  <c r="E38" i="26"/>
  <c r="C37" i="26"/>
  <c r="I29" i="85"/>
  <c r="I30" i="23"/>
  <c r="C40" i="8"/>
  <c r="E41" i="8"/>
  <c r="BP41" i="1"/>
  <c r="HC41" i="2"/>
  <c r="E41" i="158"/>
  <c r="C40" i="158"/>
  <c r="C40" i="55"/>
  <c r="E41" i="55"/>
  <c r="C40" i="100"/>
  <c r="E41" i="100"/>
  <c r="E39" i="135"/>
  <c r="C38" i="135"/>
  <c r="E38" i="62"/>
  <c r="C37" i="62"/>
  <c r="E40" i="119"/>
  <c r="C39" i="119"/>
  <c r="I29" i="162"/>
  <c r="I28" i="40"/>
  <c r="HZ41" i="2"/>
  <c r="C35" i="146"/>
  <c r="E36" i="146"/>
  <c r="I29" i="138"/>
  <c r="I31" i="132"/>
  <c r="I29" i="106"/>
  <c r="I28" i="125"/>
  <c r="E39" i="11"/>
  <c r="C38" i="11"/>
  <c r="I28" i="69"/>
  <c r="I29" i="52"/>
  <c r="I31" i="29"/>
  <c r="I31" i="122"/>
  <c r="E40" i="77"/>
  <c r="C39" i="77"/>
  <c r="I28" i="143"/>
  <c r="I31" i="13"/>
  <c r="I29" i="144"/>
  <c r="I28" i="95"/>
  <c r="I30" i="60"/>
  <c r="I29" i="168"/>
  <c r="I32" i="94"/>
  <c r="C37" i="115"/>
  <c r="E38" i="115"/>
  <c r="I29" i="5"/>
  <c r="I29" i="153"/>
  <c r="E39" i="68"/>
  <c r="C38" i="68"/>
  <c r="I28" i="17"/>
  <c r="C37" i="124"/>
  <c r="E38" i="124"/>
  <c r="E40" i="142"/>
  <c r="C39" i="142"/>
  <c r="I30" i="124"/>
  <c r="E40" i="169"/>
  <c r="C39" i="169"/>
  <c r="E40" i="21"/>
  <c r="C39" i="21"/>
  <c r="I29" i="154"/>
  <c r="I29" i="121"/>
  <c r="E39" i="144"/>
  <c r="C38" i="144"/>
  <c r="C39" i="125"/>
  <c r="E40" i="125"/>
  <c r="I30" i="139"/>
  <c r="I33" i="134"/>
  <c r="I32" i="71"/>
  <c r="I28" i="34"/>
  <c r="I29" i="170"/>
  <c r="E38" i="51"/>
  <c r="C37" i="51"/>
  <c r="E38" i="85"/>
  <c r="C37" i="85"/>
  <c r="I29" i="39"/>
  <c r="I32" i="82"/>
  <c r="C40" i="143"/>
  <c r="E41" i="143"/>
  <c r="I30" i="93"/>
  <c r="I30" i="167"/>
  <c r="I30" i="173"/>
  <c r="C40" i="107"/>
  <c r="E41" i="107"/>
  <c r="I28" i="171"/>
  <c r="I30" i="83"/>
  <c r="E39" i="94"/>
  <c r="C38" i="94"/>
  <c r="I28" i="91"/>
  <c r="E37" i="34"/>
  <c r="C36" i="34"/>
  <c r="CA41" i="2"/>
  <c r="E39" i="4"/>
  <c r="C38" i="4"/>
  <c r="I28" i="36"/>
  <c r="I31" i="135"/>
  <c r="C38" i="17"/>
  <c r="E39" i="17"/>
  <c r="AJ42" i="1"/>
  <c r="E37" i="105"/>
  <c r="C36" i="105"/>
  <c r="C40" i="170"/>
  <c r="E41" i="170"/>
  <c r="E39" i="137"/>
  <c r="C38" i="137"/>
  <c r="FL41" i="2"/>
  <c r="I28" i="141"/>
  <c r="E38" i="127"/>
  <c r="C37" i="127"/>
  <c r="I28" i="148"/>
  <c r="I29" i="20"/>
  <c r="E40" i="31"/>
  <c r="C39" i="31"/>
  <c r="CA40" i="2"/>
  <c r="I31" i="152"/>
  <c r="E38" i="39"/>
  <c r="C37" i="39"/>
  <c r="C37" i="37"/>
  <c r="E38" i="37"/>
  <c r="C35" i="166"/>
  <c r="E36" i="166"/>
  <c r="I30" i="99"/>
  <c r="FL42" i="2"/>
  <c r="Y42" i="1"/>
  <c r="I33" i="7"/>
  <c r="I29" i="104"/>
  <c r="C38" i="54"/>
  <c r="E39" i="54"/>
  <c r="E41" i="27"/>
  <c r="C40" i="27"/>
  <c r="I33" i="15"/>
  <c r="I29" i="57"/>
  <c r="E40" i="134"/>
  <c r="C39" i="134"/>
  <c r="EZ40" i="2"/>
  <c r="E37" i="45"/>
  <c r="C36" i="45"/>
  <c r="I30" i="28"/>
  <c r="C39" i="88"/>
  <c r="E40" i="88"/>
  <c r="I30" i="165"/>
  <c r="I28" i="58"/>
  <c r="I29" i="80"/>
  <c r="E41" i="50"/>
  <c r="C40" i="50"/>
  <c r="AT41" i="2"/>
  <c r="I28" i="130"/>
  <c r="I28" i="90"/>
  <c r="C40" i="46"/>
  <c r="AI40" i="1" s="1"/>
  <c r="E41" i="46"/>
  <c r="I30" i="68"/>
  <c r="E40" i="140"/>
  <c r="C39" i="140"/>
  <c r="C39" i="101"/>
  <c r="E40" i="101"/>
  <c r="I28" i="147"/>
  <c r="I28" i="8"/>
  <c r="C39" i="108"/>
  <c r="E40" i="108"/>
  <c r="I30" i="10"/>
  <c r="E39" i="22"/>
  <c r="C38" i="22"/>
  <c r="E41" i="155"/>
  <c r="C40" i="155"/>
  <c r="CL40" i="2" s="1"/>
  <c r="I29" i="126"/>
  <c r="I29" i="4"/>
  <c r="I31" i="26"/>
  <c r="C37" i="69"/>
  <c r="E38" i="69"/>
  <c r="CW40" i="2"/>
  <c r="I28" i="102"/>
  <c r="E41" i="136"/>
  <c r="C40" i="136"/>
  <c r="I30" i="30"/>
  <c r="C37" i="173"/>
  <c r="E38" i="173"/>
  <c r="C40" i="6"/>
  <c r="E41" i="6"/>
  <c r="CA41" i="1"/>
  <c r="AU42" i="2"/>
  <c r="E38" i="86"/>
  <c r="C37" i="86"/>
  <c r="I29" i="73"/>
  <c r="E39" i="64"/>
  <c r="C38" i="64"/>
  <c r="I31" i="98"/>
  <c r="I28" i="96"/>
  <c r="E40" i="80"/>
  <c r="C39" i="80"/>
  <c r="I29" i="67"/>
  <c r="I30" i="18"/>
  <c r="C39" i="20"/>
  <c r="E40" i="20"/>
  <c r="C40" i="121"/>
  <c r="AI40" i="2" s="1"/>
  <c r="E41" i="121"/>
  <c r="C38" i="126"/>
  <c r="E39" i="126"/>
  <c r="E41" i="92"/>
  <c r="C40" i="92"/>
  <c r="I33" i="75"/>
  <c r="I29" i="21"/>
  <c r="C38" i="99"/>
  <c r="E39" i="99"/>
  <c r="E40" i="117"/>
  <c r="C39" i="117"/>
  <c r="I28" i="160"/>
  <c r="I30" i="129"/>
  <c r="C37" i="47"/>
  <c r="E38" i="47"/>
  <c r="E39" i="112"/>
  <c r="C38" i="112"/>
  <c r="C40" i="172"/>
  <c r="E41" i="172"/>
  <c r="I29" i="108"/>
  <c r="E40" i="164"/>
  <c r="C39" i="164"/>
  <c r="IU41" i="2"/>
  <c r="E40" i="147"/>
  <c r="C39" i="147"/>
  <c r="I32" i="24"/>
  <c r="E40" i="97"/>
  <c r="C39" i="97"/>
  <c r="EO40" i="2"/>
  <c r="I30" i="115"/>
  <c r="E39" i="83"/>
  <c r="C38" i="83"/>
  <c r="I28" i="38"/>
  <c r="I30" i="113"/>
  <c r="I29" i="3"/>
  <c r="I31" i="62"/>
  <c r="I30" i="44"/>
  <c r="E40" i="78"/>
  <c r="C39" i="78"/>
  <c r="I31" i="16"/>
  <c r="E38" i="120"/>
  <c r="C37" i="120"/>
  <c r="C38" i="118"/>
  <c r="E39" i="118"/>
  <c r="E34" i="82"/>
  <c r="C33" i="82"/>
  <c r="E40" i="13"/>
  <c r="C39" i="13"/>
  <c r="I31" i="142"/>
  <c r="N42" i="1"/>
  <c r="I33" i="46"/>
  <c r="I28" i="105"/>
  <c r="I31" i="127"/>
  <c r="I29" i="114"/>
  <c r="E40" i="10"/>
  <c r="C39" i="10"/>
  <c r="E39" i="60"/>
  <c r="C38" i="60"/>
  <c r="I33" i="145"/>
  <c r="E37" i="102"/>
  <c r="C36" i="102"/>
  <c r="I29" i="137"/>
  <c r="C40" i="12"/>
  <c r="E41" i="12"/>
  <c r="M41" i="1"/>
  <c r="X41" i="2"/>
  <c r="I31" i="89"/>
  <c r="C40" i="28"/>
  <c r="E41" i="28"/>
  <c r="E39" i="113"/>
  <c r="C38" i="113"/>
  <c r="C37" i="159"/>
  <c r="E38" i="159"/>
  <c r="E40" i="70"/>
  <c r="C39" i="70"/>
  <c r="I28" i="45"/>
  <c r="C36" i="111"/>
  <c r="E37" i="111"/>
  <c r="I32" i="27"/>
  <c r="DI41" i="2"/>
  <c r="I28" i="81"/>
  <c r="I29" i="151"/>
  <c r="Y42" i="2"/>
  <c r="I28" i="120"/>
  <c r="I31" i="136"/>
  <c r="C36" i="160"/>
  <c r="E37" i="160"/>
  <c r="C39" i="153"/>
  <c r="E40" i="153"/>
  <c r="E39" i="9"/>
  <c r="C38" i="9"/>
  <c r="IV42" i="2"/>
  <c r="C40" i="49"/>
  <c r="E41" i="49"/>
  <c r="I29" i="131"/>
  <c r="C37" i="141"/>
  <c r="E38" i="141"/>
  <c r="C38" i="167"/>
  <c r="E39" i="167"/>
  <c r="C36" i="43"/>
  <c r="E37" i="43"/>
  <c r="I29" i="31"/>
  <c r="I29" i="49"/>
  <c r="E39" i="66"/>
  <c r="C38" i="66"/>
  <c r="C38" i="104"/>
  <c r="E39" i="104"/>
  <c r="I29" i="70"/>
  <c r="E41" i="3"/>
  <c r="C40" i="3"/>
  <c r="I29" i="97"/>
  <c r="AI41" i="1"/>
  <c r="I29" i="84"/>
  <c r="I28" i="166"/>
  <c r="I30" i="92"/>
  <c r="I29" i="123"/>
  <c r="C39" i="96"/>
  <c r="E40" i="96"/>
  <c r="E40" i="35"/>
  <c r="C39" i="35"/>
  <c r="E40" i="133"/>
  <c r="C39" i="133"/>
  <c r="DH40" i="2"/>
  <c r="EE42" i="2"/>
  <c r="I28" i="43"/>
  <c r="I28" i="163"/>
  <c r="E40" i="71"/>
  <c r="C39" i="71"/>
  <c r="I28" i="55"/>
  <c r="C39" i="23"/>
  <c r="E40" i="23"/>
  <c r="C37" i="168"/>
  <c r="E38" i="168"/>
  <c r="HN41" i="2"/>
  <c r="E39" i="16"/>
  <c r="C38" i="16"/>
  <c r="C40" i="93"/>
  <c r="E41" i="93"/>
  <c r="E41" i="109"/>
  <c r="C40" i="109"/>
  <c r="ED41" i="2"/>
  <c r="E41" i="174"/>
  <c r="C40" i="174"/>
  <c r="E39" i="75"/>
  <c r="C38" i="75"/>
  <c r="CB42" i="1"/>
  <c r="E39" i="65"/>
  <c r="C38" i="65"/>
  <c r="I33" i="61"/>
  <c r="I33" i="12"/>
  <c r="E40" i="132"/>
  <c r="C39" i="132"/>
  <c r="N41" i="2"/>
  <c r="AU42" i="1"/>
  <c r="I30" i="158"/>
  <c r="C39" i="89"/>
  <c r="E40" i="89"/>
  <c r="C39" i="114"/>
  <c r="E40" i="114"/>
  <c r="I30" i="25"/>
  <c r="C35" i="138"/>
  <c r="E36" i="138"/>
  <c r="I30" i="157"/>
  <c r="C40" i="53"/>
  <c r="E41" i="53"/>
  <c r="I28" i="35"/>
  <c r="I31" i="51"/>
  <c r="E38" i="73"/>
  <c r="C37" i="73"/>
  <c r="I29" i="76"/>
  <c r="I31" i="78"/>
  <c r="I29" i="169"/>
  <c r="E40" i="33"/>
  <c r="C39" i="33"/>
  <c r="I31" i="156"/>
  <c r="C40" i="7"/>
  <c r="E41" i="7"/>
  <c r="AT41" i="1"/>
  <c r="IK41" i="2"/>
  <c r="C38" i="139"/>
  <c r="E39" i="139"/>
  <c r="E36" i="157"/>
  <c r="C35" i="157"/>
  <c r="E40" i="36"/>
  <c r="C39" i="36"/>
  <c r="CW39" i="2" s="1"/>
  <c r="E40" i="48"/>
  <c r="C39" i="48"/>
  <c r="I30" i="66"/>
  <c r="C39" i="151"/>
  <c r="E40" i="151"/>
  <c r="C40" i="152"/>
  <c r="M40" i="2" s="1"/>
  <c r="E41" i="152"/>
  <c r="C39" i="156" l="1"/>
  <c r="E40" i="156"/>
  <c r="E39" i="149"/>
  <c r="C38" i="149"/>
  <c r="E40" i="130"/>
  <c r="C39" i="130"/>
  <c r="C34" i="98"/>
  <c r="E35" i="98"/>
  <c r="E40" i="74"/>
  <c r="C39" i="74"/>
  <c r="E39" i="61"/>
  <c r="C38" i="61"/>
  <c r="E39" i="59"/>
  <c r="C38" i="59"/>
  <c r="C39" i="150"/>
  <c r="E40" i="150"/>
  <c r="J40" i="150"/>
  <c r="K40" i="150" s="1"/>
  <c r="AJ40" i="1"/>
  <c r="CX39" i="2"/>
  <c r="N40" i="2"/>
  <c r="AJ40" i="2"/>
  <c r="CM40" i="2"/>
  <c r="C39" i="7"/>
  <c r="E40" i="7"/>
  <c r="AT40" i="1"/>
  <c r="E36" i="160"/>
  <c r="C35" i="160"/>
  <c r="I32" i="16"/>
  <c r="E40" i="172"/>
  <c r="C39" i="172"/>
  <c r="I32" i="26"/>
  <c r="E40" i="50"/>
  <c r="C39" i="50"/>
  <c r="AT40" i="2"/>
  <c r="I33" i="82"/>
  <c r="I32" i="122"/>
  <c r="E40" i="100"/>
  <c r="C39" i="100"/>
  <c r="C39" i="52"/>
  <c r="E40" i="52"/>
  <c r="BP40" i="2"/>
  <c r="I30" i="161"/>
  <c r="E37" i="72"/>
  <c r="C36" i="72"/>
  <c r="C35" i="43"/>
  <c r="E36" i="43"/>
  <c r="C38" i="23"/>
  <c r="E39" i="23"/>
  <c r="C39" i="3"/>
  <c r="E40" i="3"/>
  <c r="E40" i="12"/>
  <c r="C39" i="12"/>
  <c r="X40" i="2"/>
  <c r="M40" i="1"/>
  <c r="I30" i="67"/>
  <c r="E39" i="142"/>
  <c r="C38" i="142"/>
  <c r="I32" i="29"/>
  <c r="I32" i="117"/>
  <c r="I32" i="48"/>
  <c r="I32" i="156"/>
  <c r="I29" i="55"/>
  <c r="I32" i="136"/>
  <c r="I30" i="137"/>
  <c r="C38" i="78"/>
  <c r="E39" i="78"/>
  <c r="C37" i="112"/>
  <c r="E38" i="112"/>
  <c r="I30" i="39"/>
  <c r="C39" i="55"/>
  <c r="E40" i="55"/>
  <c r="E38" i="19"/>
  <c r="C37" i="19"/>
  <c r="C37" i="18"/>
  <c r="E38" i="18"/>
  <c r="E39" i="89"/>
  <c r="C38" i="89"/>
  <c r="C38" i="80"/>
  <c r="E39" i="80"/>
  <c r="I30" i="4"/>
  <c r="I30" i="80"/>
  <c r="I31" i="99"/>
  <c r="E38" i="17"/>
  <c r="C37" i="17"/>
  <c r="E40" i="158"/>
  <c r="C39" i="158"/>
  <c r="E39" i="63"/>
  <c r="C38" i="63"/>
  <c r="E39" i="162"/>
  <c r="C38" i="162"/>
  <c r="I33" i="14"/>
  <c r="I29" i="58"/>
  <c r="I32" i="135"/>
  <c r="E37" i="85"/>
  <c r="C36" i="85"/>
  <c r="E37" i="124"/>
  <c r="C36" i="124"/>
  <c r="I30" i="52"/>
  <c r="E37" i="84"/>
  <c r="C36" i="84"/>
  <c r="I29" i="47"/>
  <c r="I30" i="70"/>
  <c r="E37" i="47"/>
  <c r="C36" i="47"/>
  <c r="I30" i="126"/>
  <c r="E35" i="166"/>
  <c r="C34" i="166"/>
  <c r="I29" i="17"/>
  <c r="HD41" i="2"/>
  <c r="I33" i="42"/>
  <c r="I30" i="86"/>
  <c r="I33" i="79"/>
  <c r="I31" i="44"/>
  <c r="E37" i="51"/>
  <c r="C36" i="51"/>
  <c r="I29" i="69"/>
  <c r="BQ41" i="1"/>
  <c r="I30" i="103"/>
  <c r="I29" i="65"/>
  <c r="I29" i="96"/>
  <c r="C37" i="68"/>
  <c r="E38" i="68"/>
  <c r="C37" i="11"/>
  <c r="E38" i="11"/>
  <c r="I30" i="56"/>
  <c r="I29" i="109"/>
  <c r="Y41" i="1"/>
  <c r="C38" i="36"/>
  <c r="CW38" i="2" s="1"/>
  <c r="E39" i="36"/>
  <c r="I31" i="158"/>
  <c r="E36" i="102"/>
  <c r="C35" i="102"/>
  <c r="I34" i="145"/>
  <c r="I32" i="62"/>
  <c r="I31" i="129"/>
  <c r="E37" i="37"/>
  <c r="C36" i="37"/>
  <c r="I29" i="36"/>
  <c r="I30" i="169"/>
  <c r="C38" i="132"/>
  <c r="E39" i="132"/>
  <c r="I29" i="43"/>
  <c r="C37" i="66"/>
  <c r="E38" i="66"/>
  <c r="C37" i="60"/>
  <c r="E38" i="60"/>
  <c r="I32" i="98"/>
  <c r="E38" i="22"/>
  <c r="C37" i="22"/>
  <c r="FK40" i="2"/>
  <c r="E37" i="39"/>
  <c r="C36" i="39"/>
  <c r="I30" i="170"/>
  <c r="C39" i="8"/>
  <c r="E40" i="8"/>
  <c r="HC40" i="2"/>
  <c r="BP40" i="1"/>
  <c r="C37" i="103"/>
  <c r="E38" i="103"/>
  <c r="I31" i="63"/>
  <c r="I30" i="87"/>
  <c r="C37" i="148"/>
  <c r="E38" i="148"/>
  <c r="E39" i="71"/>
  <c r="C38" i="71"/>
  <c r="I29" i="120"/>
  <c r="C39" i="155"/>
  <c r="E40" i="155"/>
  <c r="I31" i="165"/>
  <c r="E38" i="104"/>
  <c r="C37" i="104"/>
  <c r="I30" i="151"/>
  <c r="I30" i="3"/>
  <c r="C37" i="4"/>
  <c r="E38" i="4"/>
  <c r="I29" i="125"/>
  <c r="E39" i="44"/>
  <c r="C38" i="44"/>
  <c r="FW41" i="2"/>
  <c r="C37" i="25"/>
  <c r="E38" i="25"/>
  <c r="C39" i="29"/>
  <c r="E40" i="29"/>
  <c r="E39" i="33"/>
  <c r="C38" i="33"/>
  <c r="I29" i="163"/>
  <c r="I29" i="160"/>
  <c r="C37" i="64"/>
  <c r="E38" i="64"/>
  <c r="I32" i="78"/>
  <c r="I30" i="49"/>
  <c r="I29" i="81"/>
  <c r="E39" i="10"/>
  <c r="C38" i="10"/>
  <c r="E39" i="117"/>
  <c r="C38" i="117"/>
  <c r="C38" i="88"/>
  <c r="E39" i="88"/>
  <c r="FK39" i="2"/>
  <c r="I30" i="153"/>
  <c r="I31" i="23"/>
  <c r="E36" i="131"/>
  <c r="C35" i="131"/>
  <c r="I31" i="41"/>
  <c r="I34" i="12"/>
  <c r="I31" i="113"/>
  <c r="I31" i="10"/>
  <c r="I31" i="28"/>
  <c r="CB41" i="2"/>
  <c r="I29" i="34"/>
  <c r="I30" i="106"/>
  <c r="E37" i="40"/>
  <c r="C36" i="40"/>
  <c r="E40" i="42"/>
  <c r="C39" i="42"/>
  <c r="FV40" i="2"/>
  <c r="I31" i="149"/>
  <c r="C36" i="171"/>
  <c r="E37" i="171"/>
  <c r="C38" i="48"/>
  <c r="E39" i="48"/>
  <c r="E40" i="152"/>
  <c r="C39" i="152"/>
  <c r="M39" i="2" s="1"/>
  <c r="I30" i="76"/>
  <c r="DI40" i="2"/>
  <c r="I29" i="38"/>
  <c r="I30" i="73"/>
  <c r="I32" i="152"/>
  <c r="E36" i="34"/>
  <c r="C35" i="34"/>
  <c r="I33" i="71"/>
  <c r="I30" i="5"/>
  <c r="I30" i="85"/>
  <c r="I29" i="11"/>
  <c r="C38" i="122"/>
  <c r="E39" i="122"/>
  <c r="I34" i="61"/>
  <c r="C38" i="133"/>
  <c r="E39" i="133"/>
  <c r="DH39" i="2"/>
  <c r="I30" i="31"/>
  <c r="I33" i="27"/>
  <c r="I30" i="114"/>
  <c r="C37" i="99"/>
  <c r="E38" i="99"/>
  <c r="C36" i="86"/>
  <c r="E37" i="86"/>
  <c r="E39" i="108"/>
  <c r="C38" i="108"/>
  <c r="C35" i="45"/>
  <c r="E36" i="45"/>
  <c r="CB40" i="2"/>
  <c r="C36" i="26"/>
  <c r="E37" i="26"/>
  <c r="E38" i="116"/>
  <c r="C37" i="116"/>
  <c r="I30" i="33"/>
  <c r="I32" i="9"/>
  <c r="I30" i="155"/>
  <c r="I29" i="35"/>
  <c r="E39" i="151"/>
  <c r="C38" i="151"/>
  <c r="C36" i="73"/>
  <c r="E37" i="73"/>
  <c r="C37" i="65"/>
  <c r="E38" i="65"/>
  <c r="E39" i="31"/>
  <c r="C38" i="31"/>
  <c r="CA39" i="2"/>
  <c r="I29" i="91"/>
  <c r="I34" i="134"/>
  <c r="C36" i="115"/>
  <c r="E37" i="115"/>
  <c r="I32" i="132"/>
  <c r="C38" i="95"/>
  <c r="E39" i="95"/>
  <c r="I29" i="146"/>
  <c r="I32" i="128"/>
  <c r="I29" i="174"/>
  <c r="I32" i="127"/>
  <c r="C37" i="83"/>
  <c r="E38" i="83"/>
  <c r="I29" i="8"/>
  <c r="FA40" i="2"/>
  <c r="I33" i="22"/>
  <c r="E40" i="58"/>
  <c r="C39" i="58"/>
  <c r="E36" i="111"/>
  <c r="C35" i="111"/>
  <c r="I29" i="105"/>
  <c r="I30" i="21"/>
  <c r="I29" i="147"/>
  <c r="C38" i="134"/>
  <c r="E39" i="134"/>
  <c r="EZ39" i="2"/>
  <c r="I30" i="20"/>
  <c r="C37" i="94"/>
  <c r="E38" i="94"/>
  <c r="I33" i="94"/>
  <c r="I30" i="138"/>
  <c r="E38" i="110"/>
  <c r="C37" i="110"/>
  <c r="C39" i="90"/>
  <c r="E40" i="90"/>
  <c r="I31" i="159"/>
  <c r="I29" i="64"/>
  <c r="I32" i="51"/>
  <c r="C37" i="167"/>
  <c r="E38" i="167"/>
  <c r="I29" i="45"/>
  <c r="I31" i="115"/>
  <c r="CB41" i="1"/>
  <c r="I31" i="139"/>
  <c r="I30" i="168"/>
  <c r="E39" i="15"/>
  <c r="C38" i="15"/>
  <c r="I29" i="100"/>
  <c r="C37" i="161"/>
  <c r="E38" i="161"/>
  <c r="I31" i="37"/>
  <c r="C37" i="75"/>
  <c r="E38" i="75"/>
  <c r="E39" i="96"/>
  <c r="C38" i="96"/>
  <c r="I34" i="46"/>
  <c r="C34" i="146"/>
  <c r="E35" i="146"/>
  <c r="I30" i="116"/>
  <c r="I30" i="54"/>
  <c r="I32" i="164"/>
  <c r="E39" i="70"/>
  <c r="C38" i="70"/>
  <c r="EP40" i="2"/>
  <c r="I34" i="75"/>
  <c r="E40" i="6"/>
  <c r="C39" i="6"/>
  <c r="CA40" i="1"/>
  <c r="IU40" i="2"/>
  <c r="E39" i="101"/>
  <c r="C38" i="101"/>
  <c r="I30" i="57"/>
  <c r="I29" i="148"/>
  <c r="I31" i="83"/>
  <c r="E39" i="125"/>
  <c r="C38" i="125"/>
  <c r="E37" i="106"/>
  <c r="C36" i="106"/>
  <c r="E37" i="163"/>
  <c r="C36" i="163"/>
  <c r="C37" i="67"/>
  <c r="E38" i="67"/>
  <c r="E40" i="174"/>
  <c r="C39" i="174"/>
  <c r="C36" i="127"/>
  <c r="E37" i="127"/>
  <c r="C37" i="144"/>
  <c r="E38" i="144"/>
  <c r="I31" i="60"/>
  <c r="I29" i="112"/>
  <c r="I30" i="88"/>
  <c r="E38" i="128"/>
  <c r="C37" i="128"/>
  <c r="I30" i="19"/>
  <c r="E40" i="53"/>
  <c r="C39" i="53"/>
  <c r="I29" i="171"/>
  <c r="E39" i="38"/>
  <c r="C38" i="38"/>
  <c r="E35" i="30"/>
  <c r="C34" i="30"/>
  <c r="E39" i="145"/>
  <c r="C38" i="145"/>
  <c r="E39" i="76"/>
  <c r="C38" i="76"/>
  <c r="C34" i="157"/>
  <c r="E35" i="157"/>
  <c r="I30" i="131"/>
  <c r="C38" i="140"/>
  <c r="E39" i="140"/>
  <c r="I34" i="15"/>
  <c r="I31" i="157"/>
  <c r="EE41" i="2"/>
  <c r="I30" i="123"/>
  <c r="C36" i="173"/>
  <c r="E37" i="173"/>
  <c r="C39" i="27"/>
  <c r="E40" i="27"/>
  <c r="I29" i="141"/>
  <c r="I29" i="95"/>
  <c r="I29" i="40"/>
  <c r="I32" i="77"/>
  <c r="GS41" i="2"/>
  <c r="E37" i="123"/>
  <c r="C36" i="123"/>
  <c r="IJ40" i="2"/>
  <c r="C38" i="97"/>
  <c r="E39" i="97"/>
  <c r="EO39" i="2"/>
  <c r="C39" i="92"/>
  <c r="HN39" i="2" s="1"/>
  <c r="E40" i="92"/>
  <c r="C39" i="109"/>
  <c r="E40" i="109"/>
  <c r="ED40" i="2"/>
  <c r="E40" i="49"/>
  <c r="C39" i="49"/>
  <c r="C36" i="159"/>
  <c r="E37" i="159"/>
  <c r="I32" i="142"/>
  <c r="I33" i="24"/>
  <c r="E38" i="126"/>
  <c r="C37" i="126"/>
  <c r="I31" i="30"/>
  <c r="C39" i="107"/>
  <c r="BE39" i="2" s="1"/>
  <c r="E40" i="107"/>
  <c r="I30" i="121"/>
  <c r="I30" i="144"/>
  <c r="I30" i="162"/>
  <c r="BE40" i="2"/>
  <c r="C37" i="57"/>
  <c r="E38" i="57"/>
  <c r="E35" i="32"/>
  <c r="C34" i="32"/>
  <c r="I31" i="68"/>
  <c r="I31" i="173"/>
  <c r="I30" i="154"/>
  <c r="E40" i="14"/>
  <c r="C39" i="14"/>
  <c r="I32" i="107"/>
  <c r="E36" i="165"/>
  <c r="C35" i="165"/>
  <c r="I32" i="101"/>
  <c r="E39" i="154"/>
  <c r="C38" i="154"/>
  <c r="IJ39" i="2"/>
  <c r="GR40" i="2"/>
  <c r="E39" i="119"/>
  <c r="C38" i="119"/>
  <c r="E39" i="41"/>
  <c r="C38" i="41"/>
  <c r="I31" i="72"/>
  <c r="IV41" i="2"/>
  <c r="C39" i="46"/>
  <c r="E40" i="46"/>
  <c r="C37" i="137"/>
  <c r="E38" i="137"/>
  <c r="I31" i="167"/>
  <c r="E39" i="21"/>
  <c r="C38" i="21"/>
  <c r="I32" i="13"/>
  <c r="E38" i="81"/>
  <c r="C37" i="81"/>
  <c r="I30" i="50"/>
  <c r="I30" i="119"/>
  <c r="I48" i="150"/>
  <c r="J47" i="150"/>
  <c r="I29" i="110"/>
  <c r="E40" i="93"/>
  <c r="C39" i="93"/>
  <c r="E39" i="164"/>
  <c r="C38" i="164"/>
  <c r="E39" i="20"/>
  <c r="C38" i="20"/>
  <c r="I29" i="90"/>
  <c r="I30" i="104"/>
  <c r="C36" i="62"/>
  <c r="E37" i="62"/>
  <c r="I33" i="59"/>
  <c r="K46" i="150"/>
  <c r="I34" i="74"/>
  <c r="DT39" i="2"/>
  <c r="E39" i="13"/>
  <c r="C38" i="13"/>
  <c r="IU39" i="2"/>
  <c r="I29" i="166"/>
  <c r="E40" i="28"/>
  <c r="C39" i="28"/>
  <c r="I29" i="102"/>
  <c r="I34" i="7"/>
  <c r="I31" i="93"/>
  <c r="HY40" i="2"/>
  <c r="I29" i="143"/>
  <c r="C37" i="5"/>
  <c r="E38" i="5"/>
  <c r="I33" i="32"/>
  <c r="C39" i="91"/>
  <c r="E40" i="91"/>
  <c r="I30" i="53"/>
  <c r="I31" i="118"/>
  <c r="I31" i="92"/>
  <c r="C38" i="147"/>
  <c r="E39" i="147"/>
  <c r="E40" i="121"/>
  <c r="C39" i="121"/>
  <c r="E38" i="16"/>
  <c r="C37" i="16"/>
  <c r="I31" i="25"/>
  <c r="CX40" i="2"/>
  <c r="E40" i="170"/>
  <c r="C39" i="170"/>
  <c r="C38" i="169"/>
  <c r="E39" i="169"/>
  <c r="HY39" i="2"/>
  <c r="E39" i="77"/>
  <c r="C38" i="77"/>
  <c r="C37" i="135"/>
  <c r="E38" i="135"/>
  <c r="C39" i="56"/>
  <c r="E40" i="56"/>
  <c r="C37" i="129"/>
  <c r="E38" i="129"/>
  <c r="DS38" i="2"/>
  <c r="X40" i="1"/>
  <c r="I31" i="66"/>
  <c r="E39" i="35"/>
  <c r="C38" i="35"/>
  <c r="E38" i="113"/>
  <c r="C37" i="113"/>
  <c r="E35" i="138"/>
  <c r="C34" i="138"/>
  <c r="I30" i="84"/>
  <c r="HO41" i="2"/>
  <c r="AJ41" i="1"/>
  <c r="C38" i="153"/>
  <c r="E39" i="153"/>
  <c r="I32" i="89"/>
  <c r="E38" i="118"/>
  <c r="C37" i="118"/>
  <c r="I30" i="108"/>
  <c r="I29" i="130"/>
  <c r="E39" i="114"/>
  <c r="C38" i="114"/>
  <c r="Y41" i="2"/>
  <c r="C36" i="120"/>
  <c r="E37" i="120"/>
  <c r="E36" i="105"/>
  <c r="C35" i="105"/>
  <c r="I29" i="140"/>
  <c r="I34" i="133"/>
  <c r="E37" i="141"/>
  <c r="C36" i="141"/>
  <c r="E40" i="136"/>
  <c r="C39" i="136"/>
  <c r="C37" i="54"/>
  <c r="E38" i="54"/>
  <c r="E38" i="9"/>
  <c r="C37" i="9"/>
  <c r="E33" i="82"/>
  <c r="C32" i="82"/>
  <c r="J32" i="82" s="1"/>
  <c r="C37" i="139"/>
  <c r="E38" i="139"/>
  <c r="AU41" i="1"/>
  <c r="HN40" i="2"/>
  <c r="E37" i="168"/>
  <c r="C36" i="168"/>
  <c r="I30" i="97"/>
  <c r="N41" i="1"/>
  <c r="I31" i="18"/>
  <c r="C36" i="69"/>
  <c r="E37" i="69"/>
  <c r="AU41" i="2"/>
  <c r="E40" i="143"/>
  <c r="C39" i="143"/>
  <c r="I31" i="124"/>
  <c r="I30" i="111"/>
  <c r="BQ41" i="2"/>
  <c r="C34" i="87"/>
  <c r="E35" i="87"/>
  <c r="I32" i="172"/>
  <c r="E39" i="79"/>
  <c r="C38" i="79"/>
  <c r="E39" i="156" l="1"/>
  <c r="C38" i="156"/>
  <c r="E38" i="149"/>
  <c r="C37" i="149"/>
  <c r="E39" i="130"/>
  <c r="C38" i="130"/>
  <c r="E34" i="98"/>
  <c r="C33" i="98"/>
  <c r="E39" i="74"/>
  <c r="C38" i="74"/>
  <c r="E38" i="61"/>
  <c r="C37" i="61"/>
  <c r="C37" i="59"/>
  <c r="E38" i="59"/>
  <c r="E39" i="150"/>
  <c r="J39" i="150"/>
  <c r="K39" i="150" s="1"/>
  <c r="C38" i="150"/>
  <c r="CX38" i="2"/>
  <c r="BF39" i="2"/>
  <c r="HO39" i="2"/>
  <c r="E38" i="38"/>
  <c r="C37" i="38"/>
  <c r="I30" i="148"/>
  <c r="I34" i="94"/>
  <c r="I33" i="128"/>
  <c r="E37" i="116"/>
  <c r="C36" i="116"/>
  <c r="I33" i="78"/>
  <c r="E37" i="66"/>
  <c r="C36" i="66"/>
  <c r="E37" i="11"/>
  <c r="C36" i="11"/>
  <c r="I32" i="99"/>
  <c r="I30" i="146"/>
  <c r="I30" i="34"/>
  <c r="E39" i="155"/>
  <c r="C38" i="155"/>
  <c r="I33" i="122"/>
  <c r="C36" i="161"/>
  <c r="E37" i="161"/>
  <c r="E37" i="94"/>
  <c r="C36" i="94"/>
  <c r="I31" i="5"/>
  <c r="I30" i="43"/>
  <c r="E37" i="68"/>
  <c r="C36" i="68"/>
  <c r="I31" i="70"/>
  <c r="I31" i="80"/>
  <c r="I33" i="48"/>
  <c r="C37" i="119"/>
  <c r="E38" i="119"/>
  <c r="E39" i="107"/>
  <c r="C38" i="107"/>
  <c r="BE38" i="2" s="1"/>
  <c r="I30" i="95"/>
  <c r="I30" i="171"/>
  <c r="I31" i="57"/>
  <c r="E36" i="26"/>
  <c r="C35" i="26"/>
  <c r="E37" i="64"/>
  <c r="C36" i="64"/>
  <c r="I30" i="120"/>
  <c r="I33" i="117"/>
  <c r="I34" i="82"/>
  <c r="J33" i="82"/>
  <c r="K32" i="82" s="1"/>
  <c r="HZ40" i="2"/>
  <c r="C36" i="118"/>
  <c r="E37" i="118"/>
  <c r="HZ39" i="2"/>
  <c r="I32" i="93"/>
  <c r="E39" i="53"/>
  <c r="C38" i="53"/>
  <c r="C37" i="101"/>
  <c r="E38" i="101"/>
  <c r="I30" i="100"/>
  <c r="I31" i="20"/>
  <c r="E38" i="95"/>
  <c r="C37" i="95"/>
  <c r="I34" i="71"/>
  <c r="C37" i="71"/>
  <c r="E38" i="71"/>
  <c r="E38" i="132"/>
  <c r="C37" i="132"/>
  <c r="I30" i="96"/>
  <c r="AU40" i="2"/>
  <c r="C35" i="168"/>
  <c r="E36" i="168"/>
  <c r="E37" i="135"/>
  <c r="C36" i="135"/>
  <c r="I35" i="7"/>
  <c r="GS40" i="2"/>
  <c r="I32" i="30"/>
  <c r="I30" i="141"/>
  <c r="C37" i="15"/>
  <c r="E38" i="15"/>
  <c r="FA39" i="2"/>
  <c r="C34" i="34"/>
  <c r="E35" i="34"/>
  <c r="I30" i="160"/>
  <c r="I30" i="65"/>
  <c r="I31" i="4"/>
  <c r="E39" i="50"/>
  <c r="C38" i="50"/>
  <c r="AT39" i="2"/>
  <c r="C37" i="169"/>
  <c r="E38" i="169"/>
  <c r="I30" i="110"/>
  <c r="IK39" i="2"/>
  <c r="E37" i="126"/>
  <c r="C36" i="126"/>
  <c r="IV40" i="2"/>
  <c r="I33" i="132"/>
  <c r="I32" i="28"/>
  <c r="I31" i="169"/>
  <c r="I30" i="47"/>
  <c r="I33" i="29"/>
  <c r="E32" i="82"/>
  <c r="C31" i="82"/>
  <c r="C38" i="170"/>
  <c r="E39" i="170"/>
  <c r="I30" i="102"/>
  <c r="C37" i="154"/>
  <c r="E38" i="154"/>
  <c r="IJ38" i="2"/>
  <c r="E39" i="27"/>
  <c r="C38" i="27"/>
  <c r="I31" i="19"/>
  <c r="CB40" i="1"/>
  <c r="E38" i="134"/>
  <c r="C37" i="134"/>
  <c r="EZ38" i="2"/>
  <c r="E35" i="45"/>
  <c r="C34" i="45"/>
  <c r="I33" i="152"/>
  <c r="I30" i="163"/>
  <c r="E37" i="148"/>
  <c r="C36" i="148"/>
  <c r="I31" i="103"/>
  <c r="E36" i="84"/>
  <c r="C35" i="84"/>
  <c r="C37" i="80"/>
  <c r="E38" i="80"/>
  <c r="E38" i="142"/>
  <c r="C37" i="142"/>
  <c r="E37" i="128"/>
  <c r="C36" i="128"/>
  <c r="C38" i="6"/>
  <c r="E39" i="6"/>
  <c r="CA39" i="1"/>
  <c r="I31" i="168"/>
  <c r="E36" i="115"/>
  <c r="C35" i="115"/>
  <c r="E38" i="108"/>
  <c r="C37" i="108"/>
  <c r="I32" i="10"/>
  <c r="N39" i="2"/>
  <c r="I30" i="36"/>
  <c r="I33" i="26"/>
  <c r="C36" i="9"/>
  <c r="E37" i="9"/>
  <c r="E39" i="28"/>
  <c r="C38" i="28"/>
  <c r="I31" i="119"/>
  <c r="I33" i="101"/>
  <c r="I34" i="24"/>
  <c r="I32" i="139"/>
  <c r="I30" i="147"/>
  <c r="I35" i="134"/>
  <c r="E38" i="33"/>
  <c r="C37" i="33"/>
  <c r="E36" i="37"/>
  <c r="C35" i="37"/>
  <c r="C37" i="89"/>
  <c r="E38" i="89"/>
  <c r="I31" i="67"/>
  <c r="E39" i="172"/>
  <c r="C38" i="172"/>
  <c r="C35" i="173"/>
  <c r="E36" i="173"/>
  <c r="I31" i="21"/>
  <c r="I31" i="73"/>
  <c r="I32" i="113"/>
  <c r="I31" i="87"/>
  <c r="I31" i="52"/>
  <c r="I30" i="143"/>
  <c r="J48" i="150"/>
  <c r="K47" i="150" s="1"/>
  <c r="I49" i="150"/>
  <c r="C34" i="165"/>
  <c r="E35" i="165"/>
  <c r="I31" i="123"/>
  <c r="I31" i="88"/>
  <c r="I35" i="75"/>
  <c r="E36" i="86"/>
  <c r="C35" i="86"/>
  <c r="C35" i="124"/>
  <c r="E36" i="124"/>
  <c r="N40" i="1"/>
  <c r="I32" i="25"/>
  <c r="C36" i="54"/>
  <c r="E37" i="54"/>
  <c r="I30" i="166"/>
  <c r="I31" i="50"/>
  <c r="I30" i="112"/>
  <c r="I30" i="91"/>
  <c r="I30" i="38"/>
  <c r="I35" i="12"/>
  <c r="C38" i="29"/>
  <c r="E39" i="29"/>
  <c r="I32" i="63"/>
  <c r="I32" i="129"/>
  <c r="I30" i="69"/>
  <c r="Y40" i="2"/>
  <c r="I33" i="16"/>
  <c r="E39" i="136"/>
  <c r="C38" i="136"/>
  <c r="IV39" i="2"/>
  <c r="C36" i="81"/>
  <c r="E37" i="81"/>
  <c r="I30" i="105"/>
  <c r="CB39" i="2"/>
  <c r="C36" i="99"/>
  <c r="E37" i="99"/>
  <c r="E36" i="51"/>
  <c r="C35" i="51"/>
  <c r="E36" i="85"/>
  <c r="C35" i="85"/>
  <c r="E37" i="18"/>
  <c r="C36" i="18"/>
  <c r="C38" i="12"/>
  <c r="E39" i="12"/>
  <c r="X39" i="2"/>
  <c r="M39" i="1"/>
  <c r="I33" i="89"/>
  <c r="I33" i="107"/>
  <c r="C35" i="159"/>
  <c r="E36" i="159"/>
  <c r="I32" i="60"/>
  <c r="C37" i="70"/>
  <c r="E38" i="70"/>
  <c r="I32" i="115"/>
  <c r="C34" i="111"/>
  <c r="E35" i="111"/>
  <c r="E38" i="31"/>
  <c r="C37" i="31"/>
  <c r="I32" i="41"/>
  <c r="C36" i="25"/>
  <c r="E37" i="25"/>
  <c r="I33" i="62"/>
  <c r="C36" i="19"/>
  <c r="E37" i="19"/>
  <c r="E35" i="160"/>
  <c r="C34" i="160"/>
  <c r="C36" i="16"/>
  <c r="E37" i="16"/>
  <c r="E39" i="121"/>
  <c r="C38" i="121"/>
  <c r="I33" i="13"/>
  <c r="E39" i="14"/>
  <c r="C38" i="14"/>
  <c r="E39" i="49"/>
  <c r="C38" i="49"/>
  <c r="AI38" i="2" s="1"/>
  <c r="I32" i="157"/>
  <c r="I31" i="114"/>
  <c r="E35" i="131"/>
  <c r="C34" i="131"/>
  <c r="E37" i="103"/>
  <c r="C36" i="103"/>
  <c r="I33" i="135"/>
  <c r="I30" i="45"/>
  <c r="E39" i="58"/>
  <c r="C38" i="58"/>
  <c r="I34" i="27"/>
  <c r="I31" i="76"/>
  <c r="BQ40" i="1"/>
  <c r="I35" i="145"/>
  <c r="I32" i="44"/>
  <c r="AU40" i="1"/>
  <c r="I30" i="130"/>
  <c r="E39" i="93"/>
  <c r="C38" i="93"/>
  <c r="I31" i="121"/>
  <c r="I31" i="111"/>
  <c r="I35" i="133"/>
  <c r="E34" i="138"/>
  <c r="C33" i="138"/>
  <c r="E38" i="21"/>
  <c r="C37" i="21"/>
  <c r="EE40" i="2"/>
  <c r="I35" i="15"/>
  <c r="C36" i="144"/>
  <c r="E37" i="144"/>
  <c r="I33" i="164"/>
  <c r="C38" i="152"/>
  <c r="M38" i="2" s="1"/>
  <c r="E39" i="152"/>
  <c r="I32" i="23"/>
  <c r="E38" i="44"/>
  <c r="C37" i="44"/>
  <c r="HD40" i="2"/>
  <c r="E39" i="55"/>
  <c r="C38" i="55"/>
  <c r="I31" i="154"/>
  <c r="I31" i="54"/>
  <c r="E37" i="167"/>
  <c r="C36" i="167"/>
  <c r="I34" i="22"/>
  <c r="I34" i="79"/>
  <c r="I30" i="58"/>
  <c r="E39" i="3"/>
  <c r="C38" i="3"/>
  <c r="E39" i="7"/>
  <c r="C38" i="7"/>
  <c r="AT39" i="1"/>
  <c r="I33" i="142"/>
  <c r="E34" i="87"/>
  <c r="C33" i="87"/>
  <c r="I31" i="84"/>
  <c r="C36" i="65"/>
  <c r="E37" i="65"/>
  <c r="I31" i="31"/>
  <c r="I31" i="153"/>
  <c r="C38" i="8"/>
  <c r="E39" i="8"/>
  <c r="HC39" i="2"/>
  <c r="BP39" i="1"/>
  <c r="E35" i="102"/>
  <c r="C34" i="102"/>
  <c r="I31" i="39"/>
  <c r="I31" i="108"/>
  <c r="I33" i="172"/>
  <c r="I33" i="51"/>
  <c r="DI39" i="2"/>
  <c r="E38" i="48"/>
  <c r="C37" i="48"/>
  <c r="I30" i="125"/>
  <c r="I31" i="86"/>
  <c r="I34" i="14"/>
  <c r="E38" i="23"/>
  <c r="C37" i="23"/>
  <c r="E38" i="79"/>
  <c r="C37" i="79"/>
  <c r="I30" i="140"/>
  <c r="AI39" i="2"/>
  <c r="C34" i="105"/>
  <c r="E35" i="105"/>
  <c r="C37" i="35"/>
  <c r="E38" i="35"/>
  <c r="I34" i="59"/>
  <c r="E36" i="73"/>
  <c r="C35" i="73"/>
  <c r="FL39" i="2"/>
  <c r="I31" i="170"/>
  <c r="I32" i="158"/>
  <c r="I34" i="42"/>
  <c r="C37" i="162"/>
  <c r="E38" i="162"/>
  <c r="GR39" i="2"/>
  <c r="C37" i="13"/>
  <c r="E38" i="13"/>
  <c r="IU38" i="2"/>
  <c r="E39" i="92"/>
  <c r="C38" i="92"/>
  <c r="C37" i="140"/>
  <c r="E38" i="140"/>
  <c r="I31" i="116"/>
  <c r="I31" i="131"/>
  <c r="I30" i="64"/>
  <c r="E38" i="151"/>
  <c r="C37" i="151"/>
  <c r="E38" i="133"/>
  <c r="C37" i="133"/>
  <c r="DH38" i="2"/>
  <c r="E36" i="171"/>
  <c r="C35" i="171"/>
  <c r="C35" i="39"/>
  <c r="E36" i="39"/>
  <c r="C36" i="112"/>
  <c r="E37" i="112"/>
  <c r="E35" i="43"/>
  <c r="C34" i="43"/>
  <c r="C37" i="77"/>
  <c r="E38" i="77"/>
  <c r="E38" i="153"/>
  <c r="C37" i="153"/>
  <c r="I32" i="124"/>
  <c r="E36" i="127"/>
  <c r="C35" i="127"/>
  <c r="E39" i="143"/>
  <c r="C38" i="143"/>
  <c r="I32" i="118"/>
  <c r="C36" i="137"/>
  <c r="E37" i="137"/>
  <c r="I32" i="68"/>
  <c r="EP39" i="2"/>
  <c r="C33" i="32"/>
  <c r="E34" i="32"/>
  <c r="C36" i="67"/>
  <c r="E37" i="67"/>
  <c r="E34" i="146"/>
  <c r="C33" i="146"/>
  <c r="I30" i="8"/>
  <c r="I35" i="61"/>
  <c r="I32" i="149"/>
  <c r="E38" i="88"/>
  <c r="C37" i="88"/>
  <c r="FK38" i="2"/>
  <c r="E37" i="4"/>
  <c r="C36" i="4"/>
  <c r="CL39" i="2"/>
  <c r="C35" i="72"/>
  <c r="E36" i="72"/>
  <c r="I32" i="66"/>
  <c r="E36" i="163"/>
  <c r="C35" i="163"/>
  <c r="I32" i="159"/>
  <c r="I30" i="35"/>
  <c r="E38" i="117"/>
  <c r="C37" i="117"/>
  <c r="FL40" i="2"/>
  <c r="E38" i="36"/>
  <c r="C37" i="36"/>
  <c r="E38" i="63"/>
  <c r="C37" i="63"/>
  <c r="C37" i="78"/>
  <c r="E38" i="78"/>
  <c r="C36" i="139"/>
  <c r="E37" i="139"/>
  <c r="C35" i="141"/>
  <c r="E36" i="141"/>
  <c r="E36" i="62"/>
  <c r="C35" i="62"/>
  <c r="FW40" i="2"/>
  <c r="I31" i="3"/>
  <c r="E37" i="22"/>
  <c r="C36" i="22"/>
  <c r="I31" i="161"/>
  <c r="I31" i="53"/>
  <c r="C35" i="69"/>
  <c r="E36" i="69"/>
  <c r="I31" i="104"/>
  <c r="DT38" i="2"/>
  <c r="E39" i="91"/>
  <c r="C38" i="91"/>
  <c r="C36" i="57"/>
  <c r="E37" i="57"/>
  <c r="E36" i="123"/>
  <c r="C35" i="123"/>
  <c r="E38" i="76"/>
  <c r="C37" i="76"/>
  <c r="E36" i="106"/>
  <c r="C35" i="106"/>
  <c r="E38" i="96"/>
  <c r="C37" i="96"/>
  <c r="E39" i="90"/>
  <c r="C38" i="90"/>
  <c r="E37" i="83"/>
  <c r="C36" i="83"/>
  <c r="I31" i="155"/>
  <c r="E38" i="122"/>
  <c r="C37" i="122"/>
  <c r="E39" i="42"/>
  <c r="C38" i="42"/>
  <c r="FV39" i="2"/>
  <c r="E38" i="10"/>
  <c r="C37" i="10"/>
  <c r="I31" i="151"/>
  <c r="I30" i="17"/>
  <c r="I31" i="137"/>
  <c r="I32" i="167"/>
  <c r="E39" i="46"/>
  <c r="C38" i="46"/>
  <c r="IK40" i="2"/>
  <c r="E36" i="120"/>
  <c r="C35" i="120"/>
  <c r="I30" i="90"/>
  <c r="BF40" i="2"/>
  <c r="E37" i="110"/>
  <c r="C36" i="110"/>
  <c r="I33" i="98"/>
  <c r="E34" i="166"/>
  <c r="C33" i="166"/>
  <c r="BQ40" i="2"/>
  <c r="I32" i="92"/>
  <c r="I35" i="46"/>
  <c r="I32" i="18"/>
  <c r="I30" i="11"/>
  <c r="C36" i="104"/>
  <c r="E37" i="104"/>
  <c r="I30" i="109"/>
  <c r="C38" i="158"/>
  <c r="E39" i="158"/>
  <c r="I33" i="136"/>
  <c r="E38" i="147"/>
  <c r="C37" i="147"/>
  <c r="C33" i="157"/>
  <c r="E34" i="157"/>
  <c r="E37" i="129"/>
  <c r="C36" i="129"/>
  <c r="DS37" i="2"/>
  <c r="I34" i="32"/>
  <c r="J33" i="32"/>
  <c r="C37" i="145"/>
  <c r="CW37" i="2" s="1"/>
  <c r="E38" i="145"/>
  <c r="C37" i="125"/>
  <c r="E38" i="125"/>
  <c r="I33" i="127"/>
  <c r="I33" i="9"/>
  <c r="E38" i="20"/>
  <c r="C37" i="20"/>
  <c r="I31" i="162"/>
  <c r="E37" i="75"/>
  <c r="C36" i="75"/>
  <c r="I31" i="138"/>
  <c r="E36" i="40"/>
  <c r="C35" i="40"/>
  <c r="I30" i="81"/>
  <c r="I31" i="126"/>
  <c r="C38" i="52"/>
  <c r="E39" i="52"/>
  <c r="BP39" i="2"/>
  <c r="AI39" i="1"/>
  <c r="I32" i="173"/>
  <c r="E39" i="174"/>
  <c r="C38" i="174"/>
  <c r="E38" i="97"/>
  <c r="C37" i="97"/>
  <c r="EO38" i="2"/>
  <c r="Y40" i="1"/>
  <c r="C37" i="114"/>
  <c r="E38" i="114"/>
  <c r="C38" i="56"/>
  <c r="E39" i="56"/>
  <c r="E34" i="30"/>
  <c r="C33" i="30"/>
  <c r="I30" i="174"/>
  <c r="I31" i="33"/>
  <c r="E37" i="60"/>
  <c r="C36" i="60"/>
  <c r="I31" i="56"/>
  <c r="C36" i="17"/>
  <c r="E37" i="17"/>
  <c r="I30" i="55"/>
  <c r="C38" i="100"/>
  <c r="E39" i="100"/>
  <c r="E38" i="41"/>
  <c r="C37" i="41"/>
  <c r="I30" i="40"/>
  <c r="HO40" i="2"/>
  <c r="E37" i="113"/>
  <c r="C36" i="113"/>
  <c r="I35" i="74"/>
  <c r="E39" i="109"/>
  <c r="C38" i="109"/>
  <c r="ED39" i="2"/>
  <c r="I31" i="97"/>
  <c r="X39" i="1"/>
  <c r="C36" i="5"/>
  <c r="E37" i="5"/>
  <c r="C37" i="164"/>
  <c r="E38" i="164"/>
  <c r="I32" i="72"/>
  <c r="I31" i="144"/>
  <c r="I33" i="77"/>
  <c r="I32" i="83"/>
  <c r="I32" i="37"/>
  <c r="I31" i="85"/>
  <c r="I31" i="106"/>
  <c r="I31" i="49"/>
  <c r="I32" i="165"/>
  <c r="C35" i="47"/>
  <c r="E36" i="47"/>
  <c r="I33" i="156"/>
  <c r="C37" i="156" l="1"/>
  <c r="E38" i="156"/>
  <c r="E37" i="149"/>
  <c r="C36" i="149"/>
  <c r="E38" i="130"/>
  <c r="C37" i="130"/>
  <c r="E33" i="98"/>
  <c r="C32" i="98"/>
  <c r="E38" i="74"/>
  <c r="C37" i="74"/>
  <c r="C36" i="61"/>
  <c r="E37" i="61"/>
  <c r="E37" i="59"/>
  <c r="C36" i="59"/>
  <c r="C37" i="150"/>
  <c r="J38" i="150"/>
  <c r="K38" i="150" s="1"/>
  <c r="E38" i="150"/>
  <c r="N38" i="2"/>
  <c r="CX37" i="2"/>
  <c r="I34" i="156"/>
  <c r="I32" i="97"/>
  <c r="C37" i="56"/>
  <c r="E38" i="56"/>
  <c r="E35" i="69"/>
  <c r="C34" i="69"/>
  <c r="I33" i="159"/>
  <c r="I31" i="130"/>
  <c r="I34" i="13"/>
  <c r="I33" i="129"/>
  <c r="I32" i="88"/>
  <c r="I32" i="168"/>
  <c r="IK38" i="2"/>
  <c r="C37" i="50"/>
  <c r="E38" i="50"/>
  <c r="AT38" i="2"/>
  <c r="C36" i="132"/>
  <c r="E37" i="132"/>
  <c r="C35" i="64"/>
  <c r="E36" i="64"/>
  <c r="I34" i="122"/>
  <c r="I32" i="3"/>
  <c r="IV38" i="2"/>
  <c r="I34" i="142"/>
  <c r="EE39" i="2"/>
  <c r="C36" i="10"/>
  <c r="E37" i="10"/>
  <c r="C34" i="163"/>
  <c r="E35" i="163"/>
  <c r="E37" i="79"/>
  <c r="C36" i="79"/>
  <c r="E38" i="121"/>
  <c r="C37" i="121"/>
  <c r="I34" i="89"/>
  <c r="I32" i="123"/>
  <c r="C37" i="155"/>
  <c r="E38" i="155"/>
  <c r="C36" i="114"/>
  <c r="E37" i="114"/>
  <c r="I36" i="46"/>
  <c r="I32" i="53"/>
  <c r="C35" i="137"/>
  <c r="E36" i="137"/>
  <c r="I32" i="116"/>
  <c r="E36" i="65"/>
  <c r="C35" i="65"/>
  <c r="E37" i="44"/>
  <c r="C36" i="44"/>
  <c r="C36" i="33"/>
  <c r="E37" i="33"/>
  <c r="CB39" i="1"/>
  <c r="E37" i="154"/>
  <c r="C36" i="154"/>
  <c r="E35" i="26"/>
  <c r="C34" i="26"/>
  <c r="C36" i="20"/>
  <c r="E37" i="20"/>
  <c r="FW39" i="2"/>
  <c r="I33" i="66"/>
  <c r="AJ38" i="2"/>
  <c r="E37" i="23"/>
  <c r="C36" i="23"/>
  <c r="I33" i="44"/>
  <c r="N39" i="1"/>
  <c r="I33" i="63"/>
  <c r="I32" i="4"/>
  <c r="C36" i="71"/>
  <c r="E37" i="71"/>
  <c r="I31" i="34"/>
  <c r="E38" i="42"/>
  <c r="C37" i="42"/>
  <c r="FV38" i="2"/>
  <c r="I32" i="161"/>
  <c r="I33" i="118"/>
  <c r="I32" i="84"/>
  <c r="C35" i="16"/>
  <c r="E36" i="16"/>
  <c r="Y39" i="2"/>
  <c r="C33" i="165"/>
  <c r="E34" i="165"/>
  <c r="I36" i="134"/>
  <c r="E38" i="6"/>
  <c r="C37" i="6"/>
  <c r="CA38" i="1"/>
  <c r="I32" i="57"/>
  <c r="EP38" i="2"/>
  <c r="I34" i="9"/>
  <c r="C35" i="22"/>
  <c r="E36" i="22"/>
  <c r="C37" i="143"/>
  <c r="E38" i="143"/>
  <c r="C36" i="140"/>
  <c r="E37" i="140"/>
  <c r="I35" i="14"/>
  <c r="E33" i="87"/>
  <c r="C32" i="87"/>
  <c r="I33" i="23"/>
  <c r="E38" i="29"/>
  <c r="C37" i="29"/>
  <c r="X38" i="1"/>
  <c r="I50" i="150"/>
  <c r="J49" i="150"/>
  <c r="K48" i="150" s="1"/>
  <c r="E36" i="128"/>
  <c r="C35" i="128"/>
  <c r="I31" i="102"/>
  <c r="I31" i="65"/>
  <c r="I35" i="71"/>
  <c r="C35" i="113"/>
  <c r="E36" i="113"/>
  <c r="E37" i="122"/>
  <c r="C36" i="122"/>
  <c r="E38" i="92"/>
  <c r="C37" i="92"/>
  <c r="I36" i="145"/>
  <c r="C33" i="160"/>
  <c r="E34" i="160"/>
  <c r="E38" i="12"/>
  <c r="C37" i="12"/>
  <c r="M38" i="1"/>
  <c r="X38" i="2"/>
  <c r="I36" i="12"/>
  <c r="C36" i="95"/>
  <c r="E37" i="95"/>
  <c r="I31" i="171"/>
  <c r="I31" i="146"/>
  <c r="E35" i="47"/>
  <c r="C34" i="47"/>
  <c r="E37" i="97"/>
  <c r="C36" i="97"/>
  <c r="I34" i="127"/>
  <c r="C34" i="127"/>
  <c r="E35" i="127"/>
  <c r="I32" i="86"/>
  <c r="E38" i="152"/>
  <c r="C37" i="152"/>
  <c r="M37" i="2" s="1"/>
  <c r="I31" i="147"/>
  <c r="E37" i="142"/>
  <c r="C36" i="142"/>
  <c r="C37" i="170"/>
  <c r="E38" i="170"/>
  <c r="I31" i="160"/>
  <c r="I33" i="99"/>
  <c r="C35" i="18"/>
  <c r="E36" i="18"/>
  <c r="I31" i="38"/>
  <c r="I31" i="143"/>
  <c r="C30" i="82"/>
  <c r="E31" i="82"/>
  <c r="J31" i="82"/>
  <c r="K31" i="82" s="1"/>
  <c r="I31" i="95"/>
  <c r="E35" i="72"/>
  <c r="C34" i="72"/>
  <c r="I33" i="124"/>
  <c r="E36" i="19"/>
  <c r="C35" i="19"/>
  <c r="I33" i="139"/>
  <c r="C33" i="34"/>
  <c r="E34" i="34"/>
  <c r="I32" i="20"/>
  <c r="C35" i="11"/>
  <c r="E36" i="11"/>
  <c r="I31" i="125"/>
  <c r="AU39" i="1"/>
  <c r="I32" i="49"/>
  <c r="CM39" i="2"/>
  <c r="E37" i="13"/>
  <c r="C36" i="13"/>
  <c r="E38" i="7"/>
  <c r="C37" i="7"/>
  <c r="AT38" i="1"/>
  <c r="I34" i="164"/>
  <c r="I32" i="76"/>
  <c r="E35" i="85"/>
  <c r="C34" i="85"/>
  <c r="I31" i="91"/>
  <c r="I32" i="52"/>
  <c r="E37" i="80"/>
  <c r="C36" i="80"/>
  <c r="I31" i="100"/>
  <c r="E38" i="107"/>
  <c r="C37" i="107"/>
  <c r="I32" i="155"/>
  <c r="E36" i="83"/>
  <c r="C35" i="83"/>
  <c r="E35" i="62"/>
  <c r="C34" i="62"/>
  <c r="C36" i="153"/>
  <c r="E37" i="153"/>
  <c r="GS39" i="2"/>
  <c r="C36" i="48"/>
  <c r="E37" i="48"/>
  <c r="I34" i="62"/>
  <c r="I35" i="24"/>
  <c r="E35" i="84"/>
  <c r="C34" i="84"/>
  <c r="I34" i="29"/>
  <c r="E36" i="66"/>
  <c r="C35" i="66"/>
  <c r="I33" i="173"/>
  <c r="I34" i="98"/>
  <c r="J33" i="98"/>
  <c r="E36" i="4"/>
  <c r="C35" i="4"/>
  <c r="I35" i="27"/>
  <c r="C34" i="51"/>
  <c r="E35" i="51"/>
  <c r="I32" i="87"/>
  <c r="I35" i="32"/>
  <c r="J34" i="32"/>
  <c r="C35" i="110"/>
  <c r="E36" i="110"/>
  <c r="E38" i="90"/>
  <c r="C37" i="90"/>
  <c r="E37" i="162"/>
  <c r="C36" i="162"/>
  <c r="E38" i="3"/>
  <c r="C37" i="3"/>
  <c r="C35" i="144"/>
  <c r="E36" i="144"/>
  <c r="C37" i="58"/>
  <c r="E38" i="58"/>
  <c r="E36" i="25"/>
  <c r="C35" i="25"/>
  <c r="I31" i="112"/>
  <c r="I33" i="113"/>
  <c r="I34" i="101"/>
  <c r="I32" i="103"/>
  <c r="I31" i="47"/>
  <c r="E37" i="15"/>
  <c r="C36" i="15"/>
  <c r="E37" i="101"/>
  <c r="C36" i="101"/>
  <c r="E37" i="119"/>
  <c r="C36" i="119"/>
  <c r="I34" i="78"/>
  <c r="FL38" i="2"/>
  <c r="I33" i="41"/>
  <c r="E38" i="53"/>
  <c r="C37" i="53"/>
  <c r="I32" i="106"/>
  <c r="I32" i="85"/>
  <c r="E38" i="52"/>
  <c r="C37" i="52"/>
  <c r="BP38" i="2"/>
  <c r="C35" i="129"/>
  <c r="E36" i="129"/>
  <c r="DS36" i="2"/>
  <c r="C36" i="96"/>
  <c r="E37" i="96"/>
  <c r="E37" i="88"/>
  <c r="C36" i="88"/>
  <c r="C33" i="43"/>
  <c r="E34" i="43"/>
  <c r="I35" i="42"/>
  <c r="I36" i="15"/>
  <c r="E36" i="99"/>
  <c r="C35" i="99"/>
  <c r="I32" i="50"/>
  <c r="I32" i="73"/>
  <c r="I32" i="119"/>
  <c r="E36" i="148"/>
  <c r="C35" i="148"/>
  <c r="I32" i="169"/>
  <c r="I31" i="141"/>
  <c r="I34" i="48"/>
  <c r="E36" i="116"/>
  <c r="C35" i="116"/>
  <c r="C36" i="41"/>
  <c r="E37" i="41"/>
  <c r="DT37" i="2"/>
  <c r="C37" i="100"/>
  <c r="E38" i="100"/>
  <c r="E36" i="139"/>
  <c r="C35" i="139"/>
  <c r="I33" i="158"/>
  <c r="I34" i="51"/>
  <c r="I31" i="58"/>
  <c r="I31" i="45"/>
  <c r="CA38" i="2"/>
  <c r="E38" i="28"/>
  <c r="C37" i="28"/>
  <c r="I33" i="28"/>
  <c r="I33" i="165"/>
  <c r="I33" i="37"/>
  <c r="C34" i="106"/>
  <c r="E35" i="106"/>
  <c r="I34" i="135"/>
  <c r="C36" i="31"/>
  <c r="E37" i="31"/>
  <c r="CA37" i="2"/>
  <c r="I32" i="21"/>
  <c r="I33" i="30"/>
  <c r="I32" i="80"/>
  <c r="I32" i="126"/>
  <c r="C36" i="78"/>
  <c r="E37" i="78"/>
  <c r="I33" i="149"/>
  <c r="I34" i="172"/>
  <c r="I35" i="79"/>
  <c r="E37" i="21"/>
  <c r="C36" i="21"/>
  <c r="I31" i="166"/>
  <c r="I31" i="163"/>
  <c r="I34" i="132"/>
  <c r="I33" i="93"/>
  <c r="I32" i="70"/>
  <c r="I34" i="128"/>
  <c r="I31" i="90"/>
  <c r="I34" i="77"/>
  <c r="I31" i="81"/>
  <c r="C36" i="147"/>
  <c r="E37" i="147"/>
  <c r="E35" i="120"/>
  <c r="C34" i="120"/>
  <c r="E37" i="76"/>
  <c r="C36" i="76"/>
  <c r="CL38" i="2"/>
  <c r="E36" i="112"/>
  <c r="C35" i="112"/>
  <c r="I32" i="170"/>
  <c r="C35" i="103"/>
  <c r="E36" i="103"/>
  <c r="I31" i="105"/>
  <c r="E36" i="9"/>
  <c r="C35" i="9"/>
  <c r="I34" i="152"/>
  <c r="I32" i="108"/>
  <c r="E34" i="111"/>
  <c r="C33" i="111"/>
  <c r="C35" i="54"/>
  <c r="E36" i="54"/>
  <c r="I34" i="26"/>
  <c r="I36" i="7"/>
  <c r="E36" i="68"/>
  <c r="C35" i="68"/>
  <c r="I35" i="94"/>
  <c r="I33" i="92"/>
  <c r="E36" i="17"/>
  <c r="C35" i="17"/>
  <c r="E36" i="81"/>
  <c r="C35" i="81"/>
  <c r="E35" i="173"/>
  <c r="C34" i="173"/>
  <c r="E34" i="45"/>
  <c r="C33" i="45"/>
  <c r="I31" i="148"/>
  <c r="I36" i="74"/>
  <c r="I34" i="136"/>
  <c r="E35" i="73"/>
  <c r="C34" i="73"/>
  <c r="I32" i="39"/>
  <c r="E36" i="167"/>
  <c r="C35" i="167"/>
  <c r="I33" i="115"/>
  <c r="I33" i="25"/>
  <c r="C37" i="172"/>
  <c r="E38" i="172"/>
  <c r="E36" i="126"/>
  <c r="C35" i="126"/>
  <c r="E36" i="135"/>
  <c r="C35" i="135"/>
  <c r="I31" i="43"/>
  <c r="E38" i="109"/>
  <c r="C37" i="109"/>
  <c r="ED38" i="2"/>
  <c r="E35" i="141"/>
  <c r="C34" i="141"/>
  <c r="E37" i="63"/>
  <c r="C36" i="63"/>
  <c r="I36" i="61"/>
  <c r="I35" i="22"/>
  <c r="E34" i="131"/>
  <c r="C33" i="131"/>
  <c r="E36" i="60"/>
  <c r="C35" i="60"/>
  <c r="E38" i="46"/>
  <c r="C37" i="46"/>
  <c r="AI38" i="1"/>
  <c r="C32" i="146"/>
  <c r="E33" i="146"/>
  <c r="E34" i="102"/>
  <c r="C33" i="102"/>
  <c r="I32" i="114"/>
  <c r="I31" i="36"/>
  <c r="FA38" i="2"/>
  <c r="C35" i="118"/>
  <c r="E36" i="118"/>
  <c r="C36" i="38"/>
  <c r="E37" i="38"/>
  <c r="C36" i="77"/>
  <c r="E37" i="77"/>
  <c r="I31" i="8"/>
  <c r="E38" i="158"/>
  <c r="C37" i="158"/>
  <c r="C36" i="134"/>
  <c r="E37" i="134"/>
  <c r="EZ37" i="2"/>
  <c r="I31" i="40"/>
  <c r="I31" i="55"/>
  <c r="I33" i="83"/>
  <c r="E35" i="171"/>
  <c r="C34" i="171"/>
  <c r="C37" i="136"/>
  <c r="E38" i="136"/>
  <c r="I31" i="109"/>
  <c r="C37" i="91"/>
  <c r="E38" i="91"/>
  <c r="C36" i="133"/>
  <c r="E37" i="133"/>
  <c r="DH37" i="2"/>
  <c r="I35" i="59"/>
  <c r="BQ39" i="1"/>
  <c r="I32" i="111"/>
  <c r="I32" i="67"/>
  <c r="C34" i="168"/>
  <c r="E35" i="168"/>
  <c r="I32" i="5"/>
  <c r="E37" i="125"/>
  <c r="C36" i="125"/>
  <c r="AJ39" i="1"/>
  <c r="C32" i="157"/>
  <c r="E33" i="157"/>
  <c r="I32" i="144"/>
  <c r="I32" i="56"/>
  <c r="I36" i="133"/>
  <c r="E37" i="70"/>
  <c r="C36" i="70"/>
  <c r="I32" i="33"/>
  <c r="I32" i="138"/>
  <c r="I31" i="110"/>
  <c r="E36" i="94"/>
  <c r="C35" i="94"/>
  <c r="E38" i="174"/>
  <c r="C37" i="174"/>
  <c r="BF38" i="2"/>
  <c r="C34" i="40"/>
  <c r="E35" i="40"/>
  <c r="E35" i="123"/>
  <c r="C34" i="123"/>
  <c r="C34" i="39"/>
  <c r="E35" i="39"/>
  <c r="E33" i="138"/>
  <c r="C32" i="138"/>
  <c r="I33" i="157"/>
  <c r="E35" i="124"/>
  <c r="C34" i="124"/>
  <c r="C34" i="86"/>
  <c r="E35" i="86"/>
  <c r="I33" i="10"/>
  <c r="C32" i="166"/>
  <c r="E33" i="166"/>
  <c r="BQ39" i="2"/>
  <c r="I33" i="72"/>
  <c r="E37" i="35"/>
  <c r="C36" i="35"/>
  <c r="I35" i="82"/>
  <c r="J34" i="82"/>
  <c r="E36" i="104"/>
  <c r="C35" i="104"/>
  <c r="E33" i="32"/>
  <c r="C32" i="32"/>
  <c r="BP38" i="1"/>
  <c r="E38" i="8"/>
  <c r="C37" i="8"/>
  <c r="HC38" i="2"/>
  <c r="E38" i="55"/>
  <c r="C37" i="55"/>
  <c r="I32" i="121"/>
  <c r="E37" i="89"/>
  <c r="C36" i="89"/>
  <c r="HN37" i="2"/>
  <c r="E37" i="108"/>
  <c r="C36" i="108"/>
  <c r="HY38" i="2"/>
  <c r="I34" i="117"/>
  <c r="DI38" i="2"/>
  <c r="I33" i="60"/>
  <c r="HN38" i="2"/>
  <c r="C35" i="75"/>
  <c r="E36" i="75"/>
  <c r="I32" i="137"/>
  <c r="E37" i="151"/>
  <c r="C36" i="151"/>
  <c r="C37" i="49"/>
  <c r="E38" i="49"/>
  <c r="I31" i="174"/>
  <c r="I31" i="11"/>
  <c r="I32" i="104"/>
  <c r="I31" i="64"/>
  <c r="E34" i="105"/>
  <c r="C33" i="105"/>
  <c r="C37" i="93"/>
  <c r="E38" i="93"/>
  <c r="E38" i="14"/>
  <c r="C37" i="14"/>
  <c r="E35" i="159"/>
  <c r="C34" i="159"/>
  <c r="I36" i="75"/>
  <c r="J35" i="75"/>
  <c r="E35" i="37"/>
  <c r="C34" i="37"/>
  <c r="I32" i="19"/>
  <c r="C36" i="145"/>
  <c r="E37" i="145"/>
  <c r="C36" i="36"/>
  <c r="E37" i="36"/>
  <c r="I32" i="54"/>
  <c r="I33" i="167"/>
  <c r="C36" i="164"/>
  <c r="E37" i="164"/>
  <c r="I32" i="154"/>
  <c r="I31" i="35"/>
  <c r="E36" i="5"/>
  <c r="C35" i="5"/>
  <c r="C32" i="30"/>
  <c r="E33" i="30"/>
  <c r="I32" i="162"/>
  <c r="I31" i="17"/>
  <c r="GR38" i="2"/>
  <c r="AJ39" i="2"/>
  <c r="I32" i="153"/>
  <c r="E35" i="115"/>
  <c r="C34" i="115"/>
  <c r="E38" i="27"/>
  <c r="C37" i="27"/>
  <c r="IJ37" i="2" s="1"/>
  <c r="E37" i="169"/>
  <c r="C36" i="169"/>
  <c r="HY37" i="2"/>
  <c r="C35" i="161"/>
  <c r="E36" i="161"/>
  <c r="E36" i="57"/>
  <c r="C35" i="57"/>
  <c r="C36" i="117"/>
  <c r="E37" i="117"/>
  <c r="E36" i="67"/>
  <c r="C35" i="67"/>
  <c r="HD39" i="2"/>
  <c r="I34" i="16"/>
  <c r="Y39" i="1"/>
  <c r="I33" i="18"/>
  <c r="I32" i="151"/>
  <c r="I33" i="68"/>
  <c r="I32" i="131"/>
  <c r="I31" i="140"/>
  <c r="I32" i="31"/>
  <c r="I34" i="107"/>
  <c r="I31" i="69"/>
  <c r="AU39" i="2"/>
  <c r="I31" i="96"/>
  <c r="I31" i="120"/>
  <c r="E37" i="156" l="1"/>
  <c r="C36" i="156"/>
  <c r="E36" i="149"/>
  <c r="C35" i="149"/>
  <c r="C36" i="130"/>
  <c r="E37" i="130"/>
  <c r="E32" i="98"/>
  <c r="C31" i="98"/>
  <c r="J32" i="98"/>
  <c r="C36" i="74"/>
  <c r="E37" i="74"/>
  <c r="C35" i="61"/>
  <c r="E36" i="61"/>
  <c r="C35" i="59"/>
  <c r="E36" i="59"/>
  <c r="J37" i="150"/>
  <c r="K37" i="150" s="1"/>
  <c r="E37" i="150"/>
  <c r="C36" i="150"/>
  <c r="N37" i="2"/>
  <c r="IK37" i="2"/>
  <c r="E36" i="169"/>
  <c r="C35" i="169"/>
  <c r="E36" i="36"/>
  <c r="C35" i="36"/>
  <c r="HO38" i="2"/>
  <c r="E36" i="70"/>
  <c r="C35" i="70"/>
  <c r="I34" i="68"/>
  <c r="I33" i="162"/>
  <c r="E37" i="93"/>
  <c r="C36" i="93"/>
  <c r="E36" i="89"/>
  <c r="C35" i="89"/>
  <c r="E32" i="157"/>
  <c r="C31" i="157"/>
  <c r="E33" i="131"/>
  <c r="C32" i="131"/>
  <c r="I35" i="152"/>
  <c r="I35" i="132"/>
  <c r="I33" i="169"/>
  <c r="I33" i="106"/>
  <c r="I35" i="164"/>
  <c r="C29" i="82"/>
  <c r="E30" i="82"/>
  <c r="J30" i="82"/>
  <c r="K30" i="82" s="1"/>
  <c r="E34" i="47"/>
  <c r="C33" i="47"/>
  <c r="I37" i="134"/>
  <c r="J36" i="134"/>
  <c r="E37" i="155"/>
  <c r="C36" i="155"/>
  <c r="AU38" i="2"/>
  <c r="E32" i="32"/>
  <c r="C31" i="32"/>
  <c r="J32" i="32"/>
  <c r="K32" i="32" s="1"/>
  <c r="C31" i="138"/>
  <c r="E32" i="138"/>
  <c r="I32" i="40"/>
  <c r="I35" i="136"/>
  <c r="C34" i="9"/>
  <c r="E35" i="9"/>
  <c r="J33" i="165"/>
  <c r="I34" i="165"/>
  <c r="E37" i="3"/>
  <c r="C36" i="3"/>
  <c r="I36" i="24"/>
  <c r="AU38" i="1"/>
  <c r="I32" i="143"/>
  <c r="E34" i="37"/>
  <c r="C33" i="37"/>
  <c r="E34" i="171"/>
  <c r="C33" i="171"/>
  <c r="E32" i="30"/>
  <c r="C31" i="30"/>
  <c r="FA37" i="2"/>
  <c r="I36" i="22"/>
  <c r="J35" i="22"/>
  <c r="I32" i="163"/>
  <c r="C34" i="148"/>
  <c r="E35" i="148"/>
  <c r="C36" i="53"/>
  <c r="E37" i="53"/>
  <c r="AT37" i="1"/>
  <c r="C36" i="7"/>
  <c r="E37" i="7"/>
  <c r="I32" i="146"/>
  <c r="I32" i="102"/>
  <c r="I34" i="66"/>
  <c r="I33" i="123"/>
  <c r="C36" i="50"/>
  <c r="E37" i="50"/>
  <c r="AT37" i="2"/>
  <c r="C35" i="164"/>
  <c r="E36" i="164"/>
  <c r="E34" i="115"/>
  <c r="C33" i="115"/>
  <c r="J36" i="74"/>
  <c r="I37" i="74"/>
  <c r="I35" i="62"/>
  <c r="J34" i="62"/>
  <c r="I32" i="38"/>
  <c r="E35" i="128"/>
  <c r="C34" i="128"/>
  <c r="E33" i="165"/>
  <c r="C32" i="165"/>
  <c r="J36" i="7"/>
  <c r="I37" i="7"/>
  <c r="I33" i="121"/>
  <c r="C35" i="125"/>
  <c r="E36" i="125"/>
  <c r="C34" i="5"/>
  <c r="E35" i="5"/>
  <c r="I32" i="64"/>
  <c r="E37" i="55"/>
  <c r="C36" i="55"/>
  <c r="C33" i="39"/>
  <c r="E34" i="39"/>
  <c r="E36" i="134"/>
  <c r="C35" i="134"/>
  <c r="EZ36" i="2"/>
  <c r="J36" i="61"/>
  <c r="I37" i="61"/>
  <c r="I32" i="105"/>
  <c r="I32" i="166"/>
  <c r="I33" i="119"/>
  <c r="C35" i="162"/>
  <c r="E36" i="162"/>
  <c r="E36" i="13"/>
  <c r="C35" i="13"/>
  <c r="I35" i="89"/>
  <c r="E37" i="46"/>
  <c r="C36" i="46"/>
  <c r="AI37" i="1"/>
  <c r="C33" i="159"/>
  <c r="E34" i="159"/>
  <c r="E33" i="105"/>
  <c r="C32" i="105"/>
  <c r="I35" i="16"/>
  <c r="C34" i="67"/>
  <c r="E35" i="67"/>
  <c r="C33" i="123"/>
  <c r="E34" i="123"/>
  <c r="E37" i="158"/>
  <c r="C36" i="158"/>
  <c r="I32" i="148"/>
  <c r="E36" i="21"/>
  <c r="C35" i="21"/>
  <c r="I34" i="28"/>
  <c r="I34" i="41"/>
  <c r="C35" i="48"/>
  <c r="E36" i="48"/>
  <c r="I32" i="171"/>
  <c r="C36" i="121"/>
  <c r="E37" i="121"/>
  <c r="I33" i="168"/>
  <c r="I32" i="35"/>
  <c r="I33" i="104"/>
  <c r="HD38" i="2"/>
  <c r="I33" i="5"/>
  <c r="CL37" i="2"/>
  <c r="E33" i="45"/>
  <c r="C32" i="45"/>
  <c r="E35" i="103"/>
  <c r="C34" i="103"/>
  <c r="E37" i="28"/>
  <c r="C36" i="28"/>
  <c r="C36" i="90"/>
  <c r="E37" i="90"/>
  <c r="J50" i="150"/>
  <c r="K49" i="150" s="1"/>
  <c r="I51" i="150"/>
  <c r="C35" i="20"/>
  <c r="E36" i="20"/>
  <c r="J35" i="79"/>
  <c r="I36" i="79"/>
  <c r="I33" i="73"/>
  <c r="E35" i="18"/>
  <c r="C34" i="18"/>
  <c r="E36" i="95"/>
  <c r="C35" i="95"/>
  <c r="Y38" i="1"/>
  <c r="E35" i="16"/>
  <c r="C34" i="16"/>
  <c r="E34" i="26"/>
  <c r="C33" i="26"/>
  <c r="C35" i="79"/>
  <c r="E36" i="79"/>
  <c r="CB38" i="2"/>
  <c r="I34" i="99"/>
  <c r="E37" i="29"/>
  <c r="C36" i="29"/>
  <c r="X37" i="1"/>
  <c r="I33" i="170"/>
  <c r="I32" i="120"/>
  <c r="E35" i="57"/>
  <c r="C34" i="57"/>
  <c r="I33" i="154"/>
  <c r="I32" i="174"/>
  <c r="BQ38" i="1"/>
  <c r="E34" i="40"/>
  <c r="C33" i="40"/>
  <c r="I33" i="67"/>
  <c r="E34" i="141"/>
  <c r="C33" i="141"/>
  <c r="E34" i="173"/>
  <c r="C33" i="173"/>
  <c r="CW36" i="2"/>
  <c r="I35" i="172"/>
  <c r="I32" i="45"/>
  <c r="I33" i="50"/>
  <c r="I35" i="78"/>
  <c r="C34" i="110"/>
  <c r="E35" i="110"/>
  <c r="C35" i="153"/>
  <c r="E36" i="153"/>
  <c r="I33" i="49"/>
  <c r="I33" i="84"/>
  <c r="C34" i="112"/>
  <c r="E35" i="112"/>
  <c r="CW35" i="2"/>
  <c r="E35" i="99"/>
  <c r="C34" i="99"/>
  <c r="C35" i="119"/>
  <c r="E36" i="119"/>
  <c r="C33" i="62"/>
  <c r="E34" i="62"/>
  <c r="I32" i="160"/>
  <c r="I37" i="12"/>
  <c r="I34" i="118"/>
  <c r="E36" i="154"/>
  <c r="C35" i="154"/>
  <c r="E34" i="163"/>
  <c r="C33" i="163"/>
  <c r="I33" i="88"/>
  <c r="C36" i="8"/>
  <c r="E37" i="8"/>
  <c r="BP37" i="1"/>
  <c r="HC37" i="2"/>
  <c r="EE38" i="2"/>
  <c r="E35" i="81"/>
  <c r="C34" i="81"/>
  <c r="I34" i="149"/>
  <c r="I36" i="32"/>
  <c r="J35" i="32"/>
  <c r="K34" i="32" s="1"/>
  <c r="Y38" i="2"/>
  <c r="I34" i="23"/>
  <c r="E36" i="63"/>
  <c r="C35" i="63"/>
  <c r="CL36" i="2"/>
  <c r="I33" i="111"/>
  <c r="C35" i="38"/>
  <c r="E36" i="38"/>
  <c r="E37" i="109"/>
  <c r="C36" i="109"/>
  <c r="ED37" i="2"/>
  <c r="C35" i="101"/>
  <c r="E36" i="101"/>
  <c r="N38" i="1"/>
  <c r="E32" i="87"/>
  <c r="C31" i="87"/>
  <c r="C35" i="10"/>
  <c r="E36" i="10"/>
  <c r="I34" i="129"/>
  <c r="E37" i="49"/>
  <c r="C36" i="49"/>
  <c r="E35" i="104"/>
  <c r="C34" i="104"/>
  <c r="C36" i="174"/>
  <c r="E37" i="174"/>
  <c r="CM38" i="2"/>
  <c r="I32" i="58"/>
  <c r="C34" i="161"/>
  <c r="E35" i="161"/>
  <c r="I34" i="167"/>
  <c r="E36" i="151"/>
  <c r="C35" i="151"/>
  <c r="C34" i="17"/>
  <c r="E35" i="17"/>
  <c r="C35" i="76"/>
  <c r="E36" i="76"/>
  <c r="I37" i="15"/>
  <c r="J36" i="15"/>
  <c r="I33" i="87"/>
  <c r="J32" i="87"/>
  <c r="E35" i="83"/>
  <c r="C34" i="83"/>
  <c r="I32" i="125"/>
  <c r="E37" i="170"/>
  <c r="C36" i="170"/>
  <c r="C36" i="12"/>
  <c r="J36" i="12" s="1"/>
  <c r="E37" i="12"/>
  <c r="X37" i="2"/>
  <c r="M37" i="1"/>
  <c r="I33" i="161"/>
  <c r="I35" i="13"/>
  <c r="HZ37" i="2"/>
  <c r="E35" i="94"/>
  <c r="C34" i="94"/>
  <c r="E35" i="118"/>
  <c r="C34" i="118"/>
  <c r="E36" i="78"/>
  <c r="C35" i="78"/>
  <c r="J34" i="51"/>
  <c r="I35" i="51"/>
  <c r="I36" i="42"/>
  <c r="E36" i="15"/>
  <c r="C35" i="15"/>
  <c r="C35" i="142"/>
  <c r="E36" i="142"/>
  <c r="FW38" i="2"/>
  <c r="I33" i="137"/>
  <c r="I36" i="82"/>
  <c r="J35" i="82"/>
  <c r="K34" i="82" s="1"/>
  <c r="I36" i="59"/>
  <c r="J35" i="59"/>
  <c r="I32" i="43"/>
  <c r="I34" i="92"/>
  <c r="C33" i="120"/>
  <c r="E34" i="120"/>
  <c r="E34" i="51"/>
  <c r="C33" i="51"/>
  <c r="I33" i="155"/>
  <c r="E35" i="11"/>
  <c r="C34" i="11"/>
  <c r="I36" i="14"/>
  <c r="C36" i="42"/>
  <c r="E37" i="42"/>
  <c r="FV37" i="2"/>
  <c r="I32" i="130"/>
  <c r="I32" i="96"/>
  <c r="I32" i="69"/>
  <c r="E36" i="35"/>
  <c r="C35" i="35"/>
  <c r="K33" i="82"/>
  <c r="C34" i="135"/>
  <c r="J34" i="135" s="1"/>
  <c r="E35" i="135"/>
  <c r="I33" i="126"/>
  <c r="I34" i="158"/>
  <c r="AI37" i="2"/>
  <c r="E36" i="33"/>
  <c r="C35" i="33"/>
  <c r="M36" i="2"/>
  <c r="I32" i="11"/>
  <c r="DI37" i="2"/>
  <c r="J35" i="94"/>
  <c r="I36" i="94"/>
  <c r="E33" i="43"/>
  <c r="C32" i="43"/>
  <c r="I36" i="27"/>
  <c r="C36" i="107"/>
  <c r="BE36" i="2" s="1"/>
  <c r="E37" i="107"/>
  <c r="I33" i="20"/>
  <c r="I32" i="147"/>
  <c r="E33" i="160"/>
  <c r="C32" i="160"/>
  <c r="E36" i="44"/>
  <c r="C35" i="44"/>
  <c r="I32" i="36"/>
  <c r="C34" i="139"/>
  <c r="E35" i="139"/>
  <c r="I32" i="47"/>
  <c r="I35" i="107"/>
  <c r="C34" i="75"/>
  <c r="E35" i="75"/>
  <c r="I34" i="72"/>
  <c r="I32" i="110"/>
  <c r="E35" i="126"/>
  <c r="C34" i="126"/>
  <c r="C35" i="147"/>
  <c r="E36" i="147"/>
  <c r="I33" i="80"/>
  <c r="FK37" i="2"/>
  <c r="I33" i="103"/>
  <c r="C35" i="140"/>
  <c r="E36" i="140"/>
  <c r="AI36" i="2"/>
  <c r="I32" i="34"/>
  <c r="I34" i="159"/>
  <c r="J33" i="159"/>
  <c r="E36" i="145"/>
  <c r="C35" i="145"/>
  <c r="E36" i="133"/>
  <c r="C35" i="133"/>
  <c r="DH36" i="2"/>
  <c r="C34" i="68"/>
  <c r="E35" i="68"/>
  <c r="I32" i="81"/>
  <c r="J32" i="30"/>
  <c r="E36" i="88"/>
  <c r="C35" i="88"/>
  <c r="FK36" i="2"/>
  <c r="C34" i="4"/>
  <c r="E35" i="4"/>
  <c r="I32" i="100"/>
  <c r="E33" i="34"/>
  <c r="C32" i="34"/>
  <c r="E37" i="152"/>
  <c r="C36" i="152"/>
  <c r="J36" i="145"/>
  <c r="I37" i="145"/>
  <c r="C34" i="65"/>
  <c r="E35" i="65"/>
  <c r="E34" i="69"/>
  <c r="C33" i="69"/>
  <c r="E36" i="77"/>
  <c r="C35" i="77"/>
  <c r="I34" i="60"/>
  <c r="I33" i="138"/>
  <c r="J32" i="138"/>
  <c r="I33" i="114"/>
  <c r="I34" i="30"/>
  <c r="J33" i="30"/>
  <c r="E37" i="100"/>
  <c r="C36" i="100"/>
  <c r="E37" i="92"/>
  <c r="C36" i="92"/>
  <c r="C36" i="143"/>
  <c r="E37" i="143"/>
  <c r="C35" i="71"/>
  <c r="E36" i="71"/>
  <c r="I33" i="19"/>
  <c r="E37" i="91"/>
  <c r="C36" i="91"/>
  <c r="E33" i="102"/>
  <c r="C32" i="102"/>
  <c r="E37" i="172"/>
  <c r="C36" i="172"/>
  <c r="I35" i="101"/>
  <c r="E36" i="80"/>
  <c r="C35" i="80"/>
  <c r="I34" i="139"/>
  <c r="I33" i="4"/>
  <c r="I35" i="142"/>
  <c r="E36" i="117"/>
  <c r="C35" i="117"/>
  <c r="I33" i="21"/>
  <c r="E36" i="96"/>
  <c r="C35" i="96"/>
  <c r="I34" i="113"/>
  <c r="I35" i="98"/>
  <c r="J34" i="98"/>
  <c r="C34" i="19"/>
  <c r="E35" i="19"/>
  <c r="I33" i="86"/>
  <c r="E35" i="22"/>
  <c r="C34" i="22"/>
  <c r="I33" i="116"/>
  <c r="E37" i="56"/>
  <c r="C36" i="56"/>
  <c r="I32" i="8"/>
  <c r="CB37" i="2"/>
  <c r="BE37" i="2"/>
  <c r="DT36" i="2"/>
  <c r="K33" i="32"/>
  <c r="I33" i="97"/>
  <c r="I35" i="77"/>
  <c r="I35" i="117"/>
  <c r="E32" i="146"/>
  <c r="C31" i="146"/>
  <c r="J31" i="146" s="1"/>
  <c r="J34" i="26"/>
  <c r="I35" i="26"/>
  <c r="I32" i="90"/>
  <c r="I34" i="173"/>
  <c r="J33" i="173"/>
  <c r="I33" i="52"/>
  <c r="E34" i="127"/>
  <c r="C33" i="127"/>
  <c r="J34" i="9"/>
  <c r="I35" i="9"/>
  <c r="I34" i="63"/>
  <c r="C34" i="137"/>
  <c r="E35" i="137"/>
  <c r="I33" i="54"/>
  <c r="I33" i="31"/>
  <c r="I32" i="140"/>
  <c r="I34" i="25"/>
  <c r="I33" i="131"/>
  <c r="J32" i="131"/>
  <c r="I33" i="153"/>
  <c r="I37" i="75"/>
  <c r="J36" i="75"/>
  <c r="K35" i="75" s="1"/>
  <c r="I34" i="10"/>
  <c r="E37" i="136"/>
  <c r="C36" i="136"/>
  <c r="AJ38" i="1"/>
  <c r="I34" i="115"/>
  <c r="J33" i="115"/>
  <c r="C35" i="31"/>
  <c r="E36" i="31"/>
  <c r="C35" i="41"/>
  <c r="E36" i="41"/>
  <c r="E35" i="129"/>
  <c r="C34" i="129"/>
  <c r="DS35" i="2"/>
  <c r="I32" i="112"/>
  <c r="I32" i="91"/>
  <c r="I34" i="124"/>
  <c r="E36" i="122"/>
  <c r="C35" i="122"/>
  <c r="I33" i="53"/>
  <c r="I33" i="3"/>
  <c r="I35" i="156"/>
  <c r="E37" i="27"/>
  <c r="C36" i="27"/>
  <c r="IJ36" i="2" s="1"/>
  <c r="I33" i="33"/>
  <c r="E35" i="167"/>
  <c r="C34" i="167"/>
  <c r="E35" i="54"/>
  <c r="C34" i="54"/>
  <c r="I35" i="128"/>
  <c r="J34" i="128"/>
  <c r="C34" i="116"/>
  <c r="E35" i="116"/>
  <c r="BQ38" i="2"/>
  <c r="C34" i="25"/>
  <c r="E35" i="25"/>
  <c r="E35" i="66"/>
  <c r="C34" i="66"/>
  <c r="E34" i="72"/>
  <c r="C33" i="72"/>
  <c r="J33" i="72" s="1"/>
  <c r="I32" i="109"/>
  <c r="E33" i="111"/>
  <c r="C32" i="111"/>
  <c r="J32" i="111" s="1"/>
  <c r="I35" i="135"/>
  <c r="C36" i="52"/>
  <c r="E37" i="52"/>
  <c r="BP37" i="2"/>
  <c r="E34" i="85"/>
  <c r="C33" i="85"/>
  <c r="I33" i="57"/>
  <c r="I35" i="122"/>
  <c r="E32" i="166"/>
  <c r="C31" i="166"/>
  <c r="GS38" i="2"/>
  <c r="I33" i="70"/>
  <c r="I35" i="48"/>
  <c r="I35" i="29"/>
  <c r="I32" i="95"/>
  <c r="J34" i="127"/>
  <c r="I35" i="127"/>
  <c r="C34" i="113"/>
  <c r="E35" i="113"/>
  <c r="I34" i="44"/>
  <c r="J36" i="46"/>
  <c r="I37" i="46"/>
  <c r="E34" i="168"/>
  <c r="C33" i="168"/>
  <c r="C33" i="86"/>
  <c r="E34" i="86"/>
  <c r="I33" i="56"/>
  <c r="I34" i="83"/>
  <c r="I34" i="18"/>
  <c r="I32" i="17"/>
  <c r="I33" i="39"/>
  <c r="I33" i="108"/>
  <c r="C33" i="106"/>
  <c r="E34" i="106"/>
  <c r="C36" i="58"/>
  <c r="E37" i="58"/>
  <c r="EO37" i="2"/>
  <c r="CB38" i="1"/>
  <c r="E36" i="23"/>
  <c r="C35" i="23"/>
  <c r="E35" i="64"/>
  <c r="C34" i="64"/>
  <c r="J36" i="133"/>
  <c r="I37" i="133"/>
  <c r="E34" i="124"/>
  <c r="C33" i="124"/>
  <c r="E37" i="14"/>
  <c r="C36" i="14"/>
  <c r="I33" i="144"/>
  <c r="J33" i="157"/>
  <c r="I34" i="157"/>
  <c r="E35" i="60"/>
  <c r="C34" i="60"/>
  <c r="C33" i="73"/>
  <c r="E34" i="73"/>
  <c r="I34" i="93"/>
  <c r="I32" i="141"/>
  <c r="I33" i="85"/>
  <c r="E34" i="84"/>
  <c r="C33" i="84"/>
  <c r="I33" i="76"/>
  <c r="C35" i="97"/>
  <c r="E36" i="97"/>
  <c r="EO36" i="2"/>
  <c r="I36" i="71"/>
  <c r="C36" i="6"/>
  <c r="E37" i="6"/>
  <c r="CA37" i="1"/>
  <c r="IU37" i="2"/>
  <c r="E36" i="114"/>
  <c r="C35" i="114"/>
  <c r="I33" i="151"/>
  <c r="HZ38" i="2"/>
  <c r="C35" i="108"/>
  <c r="E36" i="108"/>
  <c r="HO37" i="2"/>
  <c r="J32" i="157"/>
  <c r="I32" i="55"/>
  <c r="I34" i="37"/>
  <c r="J33" i="37"/>
  <c r="K32" i="98"/>
  <c r="C34" i="144"/>
  <c r="E35" i="144"/>
  <c r="I32" i="65"/>
  <c r="C35" i="132"/>
  <c r="E36" i="132"/>
  <c r="GR37" i="2"/>
  <c r="E36" i="156" l="1"/>
  <c r="C35" i="156"/>
  <c r="K32" i="157"/>
  <c r="E35" i="149"/>
  <c r="C34" i="149"/>
  <c r="E36" i="130"/>
  <c r="C35" i="130"/>
  <c r="E31" i="98"/>
  <c r="J31" i="98"/>
  <c r="K31" i="98" s="1"/>
  <c r="C30" i="98"/>
  <c r="E36" i="74"/>
  <c r="C35" i="74"/>
  <c r="J35" i="61"/>
  <c r="K35" i="61" s="1"/>
  <c r="E35" i="61"/>
  <c r="C34" i="61"/>
  <c r="E35" i="59"/>
  <c r="C34" i="59"/>
  <c r="C35" i="150"/>
  <c r="J36" i="150"/>
  <c r="K36" i="150" s="1"/>
  <c r="E36" i="150"/>
  <c r="IK36" i="2"/>
  <c r="I38" i="133"/>
  <c r="J37" i="133"/>
  <c r="I33" i="109"/>
  <c r="E34" i="144"/>
  <c r="C33" i="144"/>
  <c r="I33" i="141"/>
  <c r="I34" i="108"/>
  <c r="J35" i="128"/>
  <c r="K34" i="128" s="1"/>
  <c r="I36" i="128"/>
  <c r="I34" i="52"/>
  <c r="E34" i="22"/>
  <c r="C33" i="22"/>
  <c r="J34" i="22"/>
  <c r="K34" i="22" s="1"/>
  <c r="I33" i="100"/>
  <c r="E32" i="43"/>
  <c r="C31" i="43"/>
  <c r="I37" i="14"/>
  <c r="J36" i="14"/>
  <c r="I36" i="51"/>
  <c r="J35" i="51"/>
  <c r="K34" i="51" s="1"/>
  <c r="I38" i="12"/>
  <c r="J37" i="12"/>
  <c r="K36" i="12" s="1"/>
  <c r="E33" i="173"/>
  <c r="C32" i="173"/>
  <c r="E33" i="26"/>
  <c r="C32" i="26"/>
  <c r="J33" i="26"/>
  <c r="K33" i="26" s="1"/>
  <c r="I34" i="104"/>
  <c r="C33" i="5"/>
  <c r="E34" i="5"/>
  <c r="C35" i="3"/>
  <c r="E36" i="3"/>
  <c r="I33" i="17"/>
  <c r="E33" i="86"/>
  <c r="C32" i="86"/>
  <c r="C34" i="35"/>
  <c r="E35" i="35"/>
  <c r="E35" i="97"/>
  <c r="C34" i="97"/>
  <c r="I34" i="39"/>
  <c r="J33" i="39"/>
  <c r="E34" i="17"/>
  <c r="C33" i="17"/>
  <c r="E35" i="38"/>
  <c r="C34" i="38"/>
  <c r="I34" i="169"/>
  <c r="E34" i="54"/>
  <c r="C33" i="54"/>
  <c r="E35" i="31"/>
  <c r="C34" i="31"/>
  <c r="I35" i="37"/>
  <c r="J34" i="37"/>
  <c r="I35" i="93"/>
  <c r="J33" i="86"/>
  <c r="I34" i="86"/>
  <c r="J33" i="19"/>
  <c r="I34" i="19"/>
  <c r="E35" i="147"/>
  <c r="C34" i="147"/>
  <c r="I37" i="94"/>
  <c r="J36" i="94"/>
  <c r="C33" i="11"/>
  <c r="E34" i="11"/>
  <c r="E35" i="78"/>
  <c r="C34" i="78"/>
  <c r="E35" i="151"/>
  <c r="C34" i="151"/>
  <c r="C32" i="141"/>
  <c r="J32" i="141" s="1"/>
  <c r="E33" i="141"/>
  <c r="E34" i="16"/>
  <c r="C33" i="16"/>
  <c r="E33" i="159"/>
  <c r="C32" i="159"/>
  <c r="E35" i="125"/>
  <c r="C34" i="125"/>
  <c r="J32" i="102"/>
  <c r="I33" i="102"/>
  <c r="J35" i="132"/>
  <c r="I36" i="132"/>
  <c r="I33" i="43"/>
  <c r="J32" i="43"/>
  <c r="C35" i="6"/>
  <c r="IU35" i="2" s="1"/>
  <c r="E36" i="6"/>
  <c r="CA36" i="1"/>
  <c r="E31" i="166"/>
  <c r="C30" i="166"/>
  <c r="C33" i="167"/>
  <c r="E34" i="167"/>
  <c r="J34" i="115"/>
  <c r="I35" i="115"/>
  <c r="I35" i="173"/>
  <c r="J34" i="173"/>
  <c r="C33" i="4"/>
  <c r="E34" i="4"/>
  <c r="E34" i="126"/>
  <c r="C33" i="126"/>
  <c r="J33" i="111"/>
  <c r="K32" i="111" s="1"/>
  <c r="I34" i="111"/>
  <c r="J32" i="160"/>
  <c r="I33" i="160"/>
  <c r="I33" i="35"/>
  <c r="AJ37" i="1"/>
  <c r="I34" i="121"/>
  <c r="J34" i="165"/>
  <c r="I35" i="165"/>
  <c r="I33" i="90"/>
  <c r="E35" i="71"/>
  <c r="C34" i="71"/>
  <c r="FL36" i="2"/>
  <c r="E34" i="118"/>
  <c r="C33" i="118"/>
  <c r="I35" i="167"/>
  <c r="J34" i="167"/>
  <c r="CM36" i="2"/>
  <c r="E36" i="46"/>
  <c r="C35" i="46"/>
  <c r="I33" i="146"/>
  <c r="J32" i="146"/>
  <c r="K31" i="146" s="1"/>
  <c r="I36" i="152"/>
  <c r="I33" i="55"/>
  <c r="E34" i="60"/>
  <c r="C33" i="60"/>
  <c r="I34" i="33"/>
  <c r="E34" i="19"/>
  <c r="C33" i="19"/>
  <c r="E35" i="88"/>
  <c r="C34" i="88"/>
  <c r="I34" i="155"/>
  <c r="E35" i="63"/>
  <c r="C34" i="63"/>
  <c r="E33" i="62"/>
  <c r="C32" i="62"/>
  <c r="J33" i="62"/>
  <c r="K33" i="62" s="1"/>
  <c r="I34" i="67"/>
  <c r="J33" i="168"/>
  <c r="I34" i="168"/>
  <c r="I38" i="7"/>
  <c r="J37" i="7"/>
  <c r="I33" i="110"/>
  <c r="E33" i="51"/>
  <c r="C32" i="51"/>
  <c r="J33" i="51"/>
  <c r="K33" i="51" s="1"/>
  <c r="E34" i="94"/>
  <c r="C33" i="94"/>
  <c r="J34" i="94"/>
  <c r="K34" i="94" s="1"/>
  <c r="E35" i="95"/>
  <c r="C34" i="95"/>
  <c r="AT36" i="1"/>
  <c r="E36" i="7"/>
  <c r="C35" i="7"/>
  <c r="C33" i="9"/>
  <c r="E34" i="9"/>
  <c r="C31" i="131"/>
  <c r="E32" i="131"/>
  <c r="I36" i="98"/>
  <c r="J35" i="98"/>
  <c r="C35" i="92"/>
  <c r="E36" i="92"/>
  <c r="K32" i="30"/>
  <c r="J34" i="72"/>
  <c r="I35" i="72"/>
  <c r="I33" i="11"/>
  <c r="C32" i="40"/>
  <c r="J32" i="40" s="1"/>
  <c r="E33" i="40"/>
  <c r="E36" i="121"/>
  <c r="C35" i="121"/>
  <c r="J35" i="89"/>
  <c r="I36" i="89"/>
  <c r="C31" i="165"/>
  <c r="E32" i="165"/>
  <c r="J32" i="165"/>
  <c r="K32" i="165" s="1"/>
  <c r="AU37" i="1"/>
  <c r="I36" i="136"/>
  <c r="I35" i="10"/>
  <c r="N36" i="2"/>
  <c r="E34" i="161"/>
  <c r="C33" i="161"/>
  <c r="I35" i="23"/>
  <c r="C34" i="119"/>
  <c r="E35" i="119"/>
  <c r="IU36" i="2"/>
  <c r="E31" i="157"/>
  <c r="C30" i="157"/>
  <c r="J31" i="157"/>
  <c r="K31" i="157" s="1"/>
  <c r="E31" i="146"/>
  <c r="C30" i="146"/>
  <c r="C34" i="108"/>
  <c r="E35" i="108"/>
  <c r="C32" i="85"/>
  <c r="E33" i="85"/>
  <c r="I36" i="156"/>
  <c r="J35" i="156"/>
  <c r="I35" i="113"/>
  <c r="J34" i="113"/>
  <c r="C35" i="100"/>
  <c r="E36" i="100"/>
  <c r="I33" i="81"/>
  <c r="E35" i="33"/>
  <c r="C34" i="33"/>
  <c r="E33" i="120"/>
  <c r="C32" i="120"/>
  <c r="I33" i="58"/>
  <c r="E34" i="99"/>
  <c r="C33" i="99"/>
  <c r="E34" i="18"/>
  <c r="C33" i="18"/>
  <c r="E35" i="13"/>
  <c r="C34" i="13"/>
  <c r="C33" i="128"/>
  <c r="E34" i="128"/>
  <c r="E36" i="53"/>
  <c r="C35" i="53"/>
  <c r="I33" i="40"/>
  <c r="I35" i="92"/>
  <c r="I33" i="171"/>
  <c r="HN36" i="2"/>
  <c r="I36" i="117"/>
  <c r="J35" i="117"/>
  <c r="CX35" i="2"/>
  <c r="E34" i="148"/>
  <c r="C33" i="148"/>
  <c r="E35" i="89"/>
  <c r="C34" i="89"/>
  <c r="HN35" i="2"/>
  <c r="I34" i="57"/>
  <c r="J33" i="57"/>
  <c r="I34" i="3"/>
  <c r="I34" i="153"/>
  <c r="I35" i="30"/>
  <c r="J34" i="30"/>
  <c r="DI36" i="2"/>
  <c r="I36" i="107"/>
  <c r="I36" i="13"/>
  <c r="J35" i="13"/>
  <c r="I37" i="32"/>
  <c r="J36" i="32"/>
  <c r="I33" i="174"/>
  <c r="J33" i="73"/>
  <c r="I34" i="73"/>
  <c r="E35" i="48"/>
  <c r="C34" i="48"/>
  <c r="E35" i="162"/>
  <c r="C34" i="162"/>
  <c r="I33" i="38"/>
  <c r="I33" i="163"/>
  <c r="E36" i="136"/>
  <c r="C35" i="136"/>
  <c r="I34" i="161"/>
  <c r="J33" i="161"/>
  <c r="I35" i="149"/>
  <c r="J34" i="149"/>
  <c r="E34" i="112"/>
  <c r="C33" i="112"/>
  <c r="I37" i="79"/>
  <c r="J36" i="79"/>
  <c r="K35" i="79" s="1"/>
  <c r="I35" i="41"/>
  <c r="K34" i="62"/>
  <c r="E31" i="138"/>
  <c r="C30" i="138"/>
  <c r="J31" i="138"/>
  <c r="K31" i="138" s="1"/>
  <c r="E36" i="93"/>
  <c r="C35" i="93"/>
  <c r="E33" i="73"/>
  <c r="C32" i="73"/>
  <c r="J34" i="18"/>
  <c r="I35" i="18"/>
  <c r="I36" i="122"/>
  <c r="J35" i="122"/>
  <c r="I38" i="75"/>
  <c r="J37" i="75"/>
  <c r="K36" i="75" s="1"/>
  <c r="J33" i="126"/>
  <c r="I34" i="126"/>
  <c r="K35" i="59"/>
  <c r="C35" i="174"/>
  <c r="E36" i="174"/>
  <c r="I34" i="119"/>
  <c r="I36" i="62"/>
  <c r="J35" i="62"/>
  <c r="J34" i="157"/>
  <c r="I35" i="157"/>
  <c r="E35" i="96"/>
  <c r="C34" i="96"/>
  <c r="I34" i="114"/>
  <c r="I34" i="154"/>
  <c r="I38" i="46"/>
  <c r="J37" i="46"/>
  <c r="K36" i="46" s="1"/>
  <c r="E35" i="122"/>
  <c r="C34" i="122"/>
  <c r="I34" i="131"/>
  <c r="J33" i="131"/>
  <c r="I34" i="97"/>
  <c r="K32" i="138"/>
  <c r="C34" i="145"/>
  <c r="E35" i="145"/>
  <c r="J35" i="145"/>
  <c r="K35" i="145" s="1"/>
  <c r="I37" i="59"/>
  <c r="J36" i="59"/>
  <c r="N37" i="1"/>
  <c r="C33" i="104"/>
  <c r="J33" i="104" s="1"/>
  <c r="E34" i="104"/>
  <c r="C33" i="81"/>
  <c r="E34" i="81"/>
  <c r="J33" i="84"/>
  <c r="I34" i="84"/>
  <c r="E34" i="57"/>
  <c r="C33" i="57"/>
  <c r="J32" i="166"/>
  <c r="I33" i="166"/>
  <c r="C30" i="32"/>
  <c r="E31" i="32"/>
  <c r="J31" i="32"/>
  <c r="K31" i="32" s="1"/>
  <c r="J33" i="138"/>
  <c r="I34" i="138"/>
  <c r="C33" i="139"/>
  <c r="E34" i="139"/>
  <c r="Y37" i="2"/>
  <c r="E35" i="20"/>
  <c r="C34" i="20"/>
  <c r="I35" i="28"/>
  <c r="J31" i="166"/>
  <c r="I37" i="22"/>
  <c r="J36" i="22"/>
  <c r="K35" i="22" s="1"/>
  <c r="I34" i="162"/>
  <c r="CB37" i="1"/>
  <c r="J35" i="142"/>
  <c r="I36" i="142"/>
  <c r="E34" i="135"/>
  <c r="C33" i="135"/>
  <c r="I37" i="82"/>
  <c r="J36" i="82"/>
  <c r="K35" i="82" s="1"/>
  <c r="E36" i="49"/>
  <c r="C35" i="49"/>
  <c r="I34" i="49"/>
  <c r="I52" i="150"/>
  <c r="J51" i="150"/>
  <c r="C34" i="21"/>
  <c r="E35" i="21"/>
  <c r="I33" i="105"/>
  <c r="J32" i="105"/>
  <c r="I38" i="74"/>
  <c r="J37" i="74"/>
  <c r="I34" i="56"/>
  <c r="I33" i="140"/>
  <c r="I35" i="60"/>
  <c r="J34" i="60"/>
  <c r="I35" i="159"/>
  <c r="J34" i="159"/>
  <c r="K33" i="159" s="1"/>
  <c r="I33" i="36"/>
  <c r="E36" i="12"/>
  <c r="C35" i="12"/>
  <c r="M36" i="1"/>
  <c r="X36" i="2"/>
  <c r="J32" i="120"/>
  <c r="I33" i="120"/>
  <c r="J34" i="68"/>
  <c r="I35" i="68"/>
  <c r="I35" i="83"/>
  <c r="J34" i="83"/>
  <c r="E34" i="75"/>
  <c r="C33" i="75"/>
  <c r="J34" i="75"/>
  <c r="K34" i="75" s="1"/>
  <c r="C34" i="114"/>
  <c r="E35" i="114"/>
  <c r="C34" i="77"/>
  <c r="E35" i="77"/>
  <c r="E35" i="44"/>
  <c r="C34" i="44"/>
  <c r="I34" i="137"/>
  <c r="C35" i="170"/>
  <c r="E36" i="170"/>
  <c r="HD37" i="2"/>
  <c r="E35" i="153"/>
  <c r="C34" i="153"/>
  <c r="I34" i="170"/>
  <c r="I38" i="61"/>
  <c r="J37" i="61"/>
  <c r="E31" i="30"/>
  <c r="C30" i="30"/>
  <c r="J31" i="30"/>
  <c r="K31" i="30" s="1"/>
  <c r="C35" i="155"/>
  <c r="E36" i="155"/>
  <c r="C34" i="70"/>
  <c r="E35" i="70"/>
  <c r="I36" i="26"/>
  <c r="J35" i="26"/>
  <c r="K34" i="98"/>
  <c r="E34" i="64"/>
  <c r="C33" i="64"/>
  <c r="BQ37" i="1"/>
  <c r="E36" i="90"/>
  <c r="C35" i="90"/>
  <c r="I33" i="148"/>
  <c r="BQ37" i="2"/>
  <c r="I35" i="124"/>
  <c r="J34" i="124"/>
  <c r="I36" i="127"/>
  <c r="J35" i="127"/>
  <c r="K34" i="127" s="1"/>
  <c r="C33" i="110"/>
  <c r="E34" i="110"/>
  <c r="Y37" i="1"/>
  <c r="C35" i="28"/>
  <c r="E36" i="28"/>
  <c r="FA36" i="2"/>
  <c r="E33" i="171"/>
  <c r="C32" i="171"/>
  <c r="J32" i="171" s="1"/>
  <c r="E35" i="117"/>
  <c r="C34" i="117"/>
  <c r="E32" i="111"/>
  <c r="C31" i="111"/>
  <c r="I35" i="25"/>
  <c r="J34" i="25"/>
  <c r="I34" i="31"/>
  <c r="I35" i="139"/>
  <c r="J34" i="139"/>
  <c r="E33" i="69"/>
  <c r="C32" i="69"/>
  <c r="I33" i="125"/>
  <c r="EP36" i="2"/>
  <c r="E35" i="23"/>
  <c r="C34" i="23"/>
  <c r="I33" i="91"/>
  <c r="I34" i="54"/>
  <c r="J33" i="54"/>
  <c r="E35" i="80"/>
  <c r="C34" i="80"/>
  <c r="I33" i="34"/>
  <c r="J32" i="34"/>
  <c r="E32" i="160"/>
  <c r="C31" i="160"/>
  <c r="I33" i="69"/>
  <c r="J32" i="69"/>
  <c r="E35" i="10"/>
  <c r="C34" i="10"/>
  <c r="C35" i="8"/>
  <c r="E36" i="8"/>
  <c r="HC36" i="2"/>
  <c r="BP36" i="1"/>
  <c r="E36" i="29"/>
  <c r="C35" i="29"/>
  <c r="X36" i="1"/>
  <c r="C35" i="158"/>
  <c r="E36" i="158"/>
  <c r="C34" i="134"/>
  <c r="E35" i="134"/>
  <c r="EZ35" i="2"/>
  <c r="J35" i="134"/>
  <c r="K35" i="134" s="1"/>
  <c r="E33" i="115"/>
  <c r="C32" i="115"/>
  <c r="I38" i="134"/>
  <c r="J37" i="134"/>
  <c r="K36" i="134" s="1"/>
  <c r="I34" i="4"/>
  <c r="J33" i="4"/>
  <c r="J36" i="71"/>
  <c r="I37" i="71"/>
  <c r="I33" i="95"/>
  <c r="C33" i="66"/>
  <c r="E34" i="66"/>
  <c r="BF37" i="2"/>
  <c r="E31" i="87"/>
  <c r="C30" i="87"/>
  <c r="J31" i="87"/>
  <c r="K31" i="87" s="1"/>
  <c r="I36" i="78"/>
  <c r="J35" i="78"/>
  <c r="C33" i="103"/>
  <c r="E34" i="103"/>
  <c r="C32" i="37"/>
  <c r="E33" i="37"/>
  <c r="E33" i="47"/>
  <c r="C32" i="47"/>
  <c r="C34" i="36"/>
  <c r="CW34" i="2" s="1"/>
  <c r="E35" i="36"/>
  <c r="E34" i="68"/>
  <c r="C33" i="68"/>
  <c r="I36" i="135"/>
  <c r="J35" i="135"/>
  <c r="IV37" i="2"/>
  <c r="I33" i="112"/>
  <c r="K33" i="98"/>
  <c r="C33" i="65"/>
  <c r="E34" i="65"/>
  <c r="AJ36" i="2"/>
  <c r="C33" i="83"/>
  <c r="E34" i="83"/>
  <c r="I34" i="88"/>
  <c r="I35" i="99"/>
  <c r="J34" i="99"/>
  <c r="E36" i="143"/>
  <c r="C35" i="143"/>
  <c r="C35" i="14"/>
  <c r="E36" i="14"/>
  <c r="GR36" i="2"/>
  <c r="I35" i="158"/>
  <c r="J34" i="129"/>
  <c r="I35" i="129"/>
  <c r="I38" i="145"/>
  <c r="J37" i="145"/>
  <c r="I33" i="147"/>
  <c r="I33" i="96"/>
  <c r="C32" i="163"/>
  <c r="E33" i="163"/>
  <c r="I34" i="50"/>
  <c r="E32" i="45"/>
  <c r="C31" i="45"/>
  <c r="E33" i="123"/>
  <c r="C32" i="123"/>
  <c r="E33" i="39"/>
  <c r="C32" i="39"/>
  <c r="C34" i="164"/>
  <c r="E35" i="164"/>
  <c r="HY36" i="2"/>
  <c r="K33" i="30"/>
  <c r="I34" i="53"/>
  <c r="I35" i="44"/>
  <c r="J34" i="44"/>
  <c r="J35" i="71"/>
  <c r="I33" i="130"/>
  <c r="K32" i="87"/>
  <c r="I33" i="45"/>
  <c r="J32" i="45"/>
  <c r="C35" i="55"/>
  <c r="FK35" i="2" s="1"/>
  <c r="E36" i="55"/>
  <c r="AU37" i="2"/>
  <c r="I33" i="143"/>
  <c r="C34" i="169"/>
  <c r="E35" i="169"/>
  <c r="HY35" i="2"/>
  <c r="C32" i="168"/>
  <c r="E33" i="168"/>
  <c r="J35" i="77"/>
  <c r="I36" i="77"/>
  <c r="E35" i="132"/>
  <c r="C34" i="132"/>
  <c r="C32" i="84"/>
  <c r="E33" i="84"/>
  <c r="I35" i="63"/>
  <c r="J34" i="63"/>
  <c r="E36" i="152"/>
  <c r="C35" i="152"/>
  <c r="AI36" i="1"/>
  <c r="I34" i="20"/>
  <c r="E35" i="142"/>
  <c r="C34" i="142"/>
  <c r="J33" i="87"/>
  <c r="I34" i="87"/>
  <c r="CM37" i="2"/>
  <c r="E34" i="67"/>
  <c r="C33" i="67"/>
  <c r="C28" i="82"/>
  <c r="E29" i="82"/>
  <c r="J29" i="82"/>
  <c r="K29" i="82" s="1"/>
  <c r="E36" i="172"/>
  <c r="C35" i="172"/>
  <c r="I33" i="65"/>
  <c r="E36" i="58"/>
  <c r="C35" i="58"/>
  <c r="CA35" i="2" s="1"/>
  <c r="I36" i="48"/>
  <c r="J35" i="48"/>
  <c r="BF36" i="2"/>
  <c r="I36" i="9"/>
  <c r="J35" i="9"/>
  <c r="K34" i="9" s="1"/>
  <c r="E36" i="56"/>
  <c r="C35" i="56"/>
  <c r="FW37" i="2"/>
  <c r="E35" i="15"/>
  <c r="C34" i="15"/>
  <c r="J35" i="15"/>
  <c r="K35" i="15" s="1"/>
  <c r="C34" i="101"/>
  <c r="E35" i="101"/>
  <c r="E35" i="154"/>
  <c r="C34" i="154"/>
  <c r="IJ35" i="2"/>
  <c r="J35" i="16"/>
  <c r="I36" i="16"/>
  <c r="E36" i="50"/>
  <c r="C35" i="50"/>
  <c r="AT36" i="2"/>
  <c r="J35" i="164"/>
  <c r="I36" i="164"/>
  <c r="E36" i="27"/>
  <c r="C35" i="27"/>
  <c r="I34" i="144"/>
  <c r="J33" i="144"/>
  <c r="I34" i="151"/>
  <c r="C32" i="124"/>
  <c r="E33" i="124"/>
  <c r="C34" i="133"/>
  <c r="E35" i="133"/>
  <c r="DH35" i="2"/>
  <c r="J35" i="133"/>
  <c r="K35" i="133" s="1"/>
  <c r="J33" i="124"/>
  <c r="K33" i="124" s="1"/>
  <c r="C32" i="72"/>
  <c r="E33" i="72"/>
  <c r="E32" i="102"/>
  <c r="C31" i="102"/>
  <c r="E32" i="34"/>
  <c r="C31" i="34"/>
  <c r="I34" i="103"/>
  <c r="J33" i="103"/>
  <c r="C35" i="107"/>
  <c r="E36" i="107"/>
  <c r="J37" i="15"/>
  <c r="I38" i="15"/>
  <c r="EE37" i="2"/>
  <c r="I36" i="172"/>
  <c r="J35" i="172"/>
  <c r="I34" i="5"/>
  <c r="J33" i="5"/>
  <c r="J34" i="16"/>
  <c r="I33" i="64"/>
  <c r="I34" i="123"/>
  <c r="J33" i="123"/>
  <c r="I33" i="47"/>
  <c r="J32" i="47"/>
  <c r="K32" i="131"/>
  <c r="E34" i="113"/>
  <c r="C33" i="113"/>
  <c r="GS37" i="2"/>
  <c r="E34" i="137"/>
  <c r="C33" i="137"/>
  <c r="J33" i="137" s="1"/>
  <c r="I34" i="76"/>
  <c r="EP37" i="2"/>
  <c r="I36" i="29"/>
  <c r="J35" i="29"/>
  <c r="E34" i="25"/>
  <c r="C33" i="25"/>
  <c r="C33" i="129"/>
  <c r="E34" i="129"/>
  <c r="DS34" i="2"/>
  <c r="I33" i="8"/>
  <c r="J35" i="101"/>
  <c r="I36" i="101"/>
  <c r="K36" i="145"/>
  <c r="C34" i="140"/>
  <c r="E35" i="140"/>
  <c r="I34" i="85"/>
  <c r="J33" i="85"/>
  <c r="C32" i="106"/>
  <c r="E33" i="106"/>
  <c r="I34" i="70"/>
  <c r="C33" i="116"/>
  <c r="J33" i="116" s="1"/>
  <c r="E34" i="116"/>
  <c r="E35" i="41"/>
  <c r="C34" i="41"/>
  <c r="J34" i="41" s="1"/>
  <c r="E33" i="127"/>
  <c r="C32" i="127"/>
  <c r="J33" i="127"/>
  <c r="K33" i="127" s="1"/>
  <c r="FL37" i="2"/>
  <c r="E36" i="42"/>
  <c r="C35" i="42"/>
  <c r="FV36" i="2"/>
  <c r="C35" i="109"/>
  <c r="E36" i="109"/>
  <c r="ED36" i="2"/>
  <c r="CX36" i="2"/>
  <c r="E32" i="105"/>
  <c r="C31" i="105"/>
  <c r="I37" i="24"/>
  <c r="AJ37" i="2"/>
  <c r="E36" i="52"/>
  <c r="C35" i="52"/>
  <c r="BP36" i="2"/>
  <c r="I34" i="21"/>
  <c r="K36" i="133"/>
  <c r="DT35" i="2"/>
  <c r="CA36" i="2"/>
  <c r="I34" i="116"/>
  <c r="C35" i="91"/>
  <c r="E36" i="91"/>
  <c r="I34" i="80"/>
  <c r="I37" i="27"/>
  <c r="J36" i="27"/>
  <c r="J36" i="42"/>
  <c r="I37" i="42"/>
  <c r="C34" i="76"/>
  <c r="E35" i="76"/>
  <c r="I35" i="118"/>
  <c r="J34" i="118"/>
  <c r="C34" i="79"/>
  <c r="E35" i="79"/>
  <c r="X35" i="1"/>
  <c r="I35" i="66"/>
  <c r="J34" i="66"/>
  <c r="J33" i="106"/>
  <c r="I34" i="106"/>
  <c r="C34" i="156" l="1"/>
  <c r="E35" i="156"/>
  <c r="E34" i="149"/>
  <c r="C33" i="149"/>
  <c r="E35" i="130"/>
  <c r="C34" i="130"/>
  <c r="E30" i="98"/>
  <c r="C29" i="98"/>
  <c r="J30" i="98"/>
  <c r="K30" i="98" s="1"/>
  <c r="CL35" i="2"/>
  <c r="J35" i="74"/>
  <c r="K35" i="74" s="1"/>
  <c r="E35" i="74"/>
  <c r="C34" i="74"/>
  <c r="K35" i="71"/>
  <c r="C33" i="61"/>
  <c r="J34" i="61"/>
  <c r="K34" i="61" s="1"/>
  <c r="E34" i="61"/>
  <c r="E34" i="59"/>
  <c r="C33" i="59"/>
  <c r="J34" i="59"/>
  <c r="K34" i="59" s="1"/>
  <c r="C34" i="150"/>
  <c r="J35" i="150"/>
  <c r="K35" i="150" s="1"/>
  <c r="E35" i="150"/>
  <c r="CX34" i="2"/>
  <c r="CB35" i="2"/>
  <c r="FL35" i="2"/>
  <c r="CM35" i="2"/>
  <c r="Y35" i="1"/>
  <c r="I37" i="172"/>
  <c r="J36" i="172"/>
  <c r="K35" i="172" s="1"/>
  <c r="E35" i="50"/>
  <c r="C34" i="50"/>
  <c r="AT35" i="2"/>
  <c r="E33" i="67"/>
  <c r="C32" i="67"/>
  <c r="E35" i="158"/>
  <c r="C34" i="158"/>
  <c r="I35" i="56"/>
  <c r="K31" i="166"/>
  <c r="I39" i="75"/>
  <c r="J38" i="75"/>
  <c r="K37" i="75" s="1"/>
  <c r="J36" i="117"/>
  <c r="K35" i="117" s="1"/>
  <c r="I37" i="117"/>
  <c r="I36" i="113"/>
  <c r="J35" i="113"/>
  <c r="J36" i="89"/>
  <c r="I37" i="89"/>
  <c r="I34" i="146"/>
  <c r="J33" i="146"/>
  <c r="E33" i="4"/>
  <c r="C32" i="4"/>
  <c r="E33" i="11"/>
  <c r="C32" i="11"/>
  <c r="E34" i="97"/>
  <c r="C33" i="97"/>
  <c r="C30" i="43"/>
  <c r="E31" i="43"/>
  <c r="J31" i="43"/>
  <c r="K31" i="43" s="1"/>
  <c r="DT34" i="2"/>
  <c r="J33" i="45"/>
  <c r="K32" i="45" s="1"/>
  <c r="I34" i="45"/>
  <c r="J35" i="158"/>
  <c r="I36" i="158"/>
  <c r="C31" i="37"/>
  <c r="E32" i="37"/>
  <c r="J32" i="37"/>
  <c r="K32" i="37" s="1"/>
  <c r="Y36" i="1"/>
  <c r="J35" i="139"/>
  <c r="I36" i="139"/>
  <c r="E35" i="90"/>
  <c r="C34" i="90"/>
  <c r="CL34" i="2" s="1"/>
  <c r="E34" i="44"/>
  <c r="C33" i="44"/>
  <c r="J35" i="28"/>
  <c r="I36" i="28"/>
  <c r="E34" i="48"/>
  <c r="C33" i="48"/>
  <c r="J34" i="48"/>
  <c r="K34" i="48" s="1"/>
  <c r="HO36" i="2"/>
  <c r="K35" i="89"/>
  <c r="C34" i="46"/>
  <c r="E35" i="46"/>
  <c r="J35" i="46"/>
  <c r="K35" i="46" s="1"/>
  <c r="K34" i="173"/>
  <c r="C34" i="29"/>
  <c r="E35" i="29"/>
  <c r="J38" i="74"/>
  <c r="I39" i="74"/>
  <c r="E34" i="145"/>
  <c r="C33" i="145"/>
  <c r="J34" i="145"/>
  <c r="K34" i="145" s="1"/>
  <c r="I37" i="122"/>
  <c r="J36" i="122"/>
  <c r="J36" i="156"/>
  <c r="I37" i="156"/>
  <c r="E35" i="121"/>
  <c r="C34" i="121"/>
  <c r="J33" i="110"/>
  <c r="I34" i="110"/>
  <c r="J35" i="173"/>
  <c r="I36" i="173"/>
  <c r="I38" i="94"/>
  <c r="J37" i="94"/>
  <c r="K36" i="94" s="1"/>
  <c r="I34" i="100"/>
  <c r="I37" i="16"/>
  <c r="J36" i="16"/>
  <c r="K35" i="16" s="1"/>
  <c r="EE36" i="2"/>
  <c r="E33" i="129"/>
  <c r="C32" i="129"/>
  <c r="DS33" i="2"/>
  <c r="J33" i="129"/>
  <c r="K33" i="129" s="1"/>
  <c r="I39" i="15"/>
  <c r="J38" i="15"/>
  <c r="K37" i="15" s="1"/>
  <c r="I34" i="130"/>
  <c r="C32" i="103"/>
  <c r="E33" i="103"/>
  <c r="J34" i="31"/>
  <c r="I35" i="31"/>
  <c r="E34" i="20"/>
  <c r="C33" i="20"/>
  <c r="I36" i="18"/>
  <c r="J35" i="18"/>
  <c r="I35" i="73"/>
  <c r="J34" i="73"/>
  <c r="K33" i="73" s="1"/>
  <c r="J33" i="171"/>
  <c r="K32" i="171" s="1"/>
  <c r="I34" i="171"/>
  <c r="J35" i="115"/>
  <c r="I36" i="115"/>
  <c r="E34" i="147"/>
  <c r="C33" i="147"/>
  <c r="J33" i="147" s="1"/>
  <c r="E34" i="35"/>
  <c r="C33" i="35"/>
  <c r="GS36" i="2"/>
  <c r="I36" i="118"/>
  <c r="J35" i="118"/>
  <c r="K34" i="118" s="1"/>
  <c r="E33" i="25"/>
  <c r="C32" i="25"/>
  <c r="J33" i="25"/>
  <c r="K33" i="25" s="1"/>
  <c r="IK35" i="2"/>
  <c r="I35" i="87"/>
  <c r="J34" i="87"/>
  <c r="C34" i="14"/>
  <c r="E35" i="14"/>
  <c r="J35" i="14"/>
  <c r="K35" i="14" s="1"/>
  <c r="GR35" i="2"/>
  <c r="BQ36" i="1"/>
  <c r="E34" i="77"/>
  <c r="C33" i="77"/>
  <c r="J34" i="77"/>
  <c r="K34" i="77" s="1"/>
  <c r="I34" i="105"/>
  <c r="J33" i="105"/>
  <c r="K32" i="105" s="1"/>
  <c r="I35" i="97"/>
  <c r="J34" i="97"/>
  <c r="E32" i="85"/>
  <c r="C31" i="85"/>
  <c r="J32" i="85"/>
  <c r="K32" i="85" s="1"/>
  <c r="I39" i="7"/>
  <c r="J38" i="7"/>
  <c r="K37" i="7" s="1"/>
  <c r="K34" i="115"/>
  <c r="I37" i="78"/>
  <c r="J36" i="78"/>
  <c r="K35" i="78" s="1"/>
  <c r="HD36" i="2"/>
  <c r="J35" i="25"/>
  <c r="K34" i="25" s="1"/>
  <c r="I36" i="25"/>
  <c r="C32" i="64"/>
  <c r="E33" i="64"/>
  <c r="E32" i="73"/>
  <c r="C31" i="73"/>
  <c r="J32" i="73"/>
  <c r="K32" i="73" s="1"/>
  <c r="J35" i="92"/>
  <c r="I36" i="92"/>
  <c r="I35" i="168"/>
  <c r="J34" i="168"/>
  <c r="K34" i="167"/>
  <c r="J34" i="19"/>
  <c r="I35" i="19"/>
  <c r="C32" i="22"/>
  <c r="E33" i="22"/>
  <c r="J33" i="22"/>
  <c r="K33" i="22" s="1"/>
  <c r="E35" i="107"/>
  <c r="C34" i="107"/>
  <c r="C30" i="111"/>
  <c r="E31" i="111"/>
  <c r="J31" i="111"/>
  <c r="K31" i="111" s="1"/>
  <c r="C33" i="114"/>
  <c r="E34" i="114"/>
  <c r="E34" i="21"/>
  <c r="C33" i="21"/>
  <c r="K33" i="131"/>
  <c r="I34" i="174"/>
  <c r="K32" i="40"/>
  <c r="E34" i="108"/>
  <c r="C33" i="108"/>
  <c r="E32" i="40"/>
  <c r="C31" i="40"/>
  <c r="K33" i="168"/>
  <c r="I36" i="167"/>
  <c r="J35" i="167"/>
  <c r="E33" i="167"/>
  <c r="C32" i="167"/>
  <c r="J33" i="167"/>
  <c r="K33" i="167" s="1"/>
  <c r="K33" i="19"/>
  <c r="I34" i="40"/>
  <c r="J33" i="40"/>
  <c r="C29" i="146"/>
  <c r="E30" i="146"/>
  <c r="J30" i="146"/>
  <c r="K30" i="146" s="1"/>
  <c r="J34" i="67"/>
  <c r="I35" i="67"/>
  <c r="C32" i="118"/>
  <c r="E33" i="118"/>
  <c r="J33" i="118"/>
  <c r="K33" i="118" s="1"/>
  <c r="C29" i="166"/>
  <c r="E30" i="166"/>
  <c r="J30" i="166"/>
  <c r="K30" i="166" s="1"/>
  <c r="J34" i="86"/>
  <c r="K33" i="86" s="1"/>
  <c r="I35" i="86"/>
  <c r="E32" i="86"/>
  <c r="C31" i="86"/>
  <c r="J32" i="86"/>
  <c r="K32" i="86" s="1"/>
  <c r="E30" i="87"/>
  <c r="C29" i="87"/>
  <c r="J30" i="87"/>
  <c r="K30" i="87" s="1"/>
  <c r="I35" i="103"/>
  <c r="J34" i="103"/>
  <c r="K33" i="103" s="1"/>
  <c r="C33" i="101"/>
  <c r="E34" i="101"/>
  <c r="J34" i="101"/>
  <c r="K34" i="101" s="1"/>
  <c r="I35" i="20"/>
  <c r="J34" i="20"/>
  <c r="E34" i="10"/>
  <c r="C33" i="10"/>
  <c r="C33" i="117"/>
  <c r="E34" i="117"/>
  <c r="J34" i="117"/>
  <c r="K34" i="117" s="1"/>
  <c r="C32" i="75"/>
  <c r="E33" i="75"/>
  <c r="J33" i="75"/>
  <c r="K33" i="75" s="1"/>
  <c r="J52" i="150"/>
  <c r="I53" i="150"/>
  <c r="E34" i="122"/>
  <c r="C33" i="122"/>
  <c r="J34" i="122"/>
  <c r="K34" i="122" s="1"/>
  <c r="I38" i="32"/>
  <c r="J37" i="32"/>
  <c r="E35" i="53"/>
  <c r="C34" i="53"/>
  <c r="J34" i="53" s="1"/>
  <c r="I34" i="11"/>
  <c r="J33" i="11"/>
  <c r="J33" i="67"/>
  <c r="K33" i="67" s="1"/>
  <c r="I35" i="52"/>
  <c r="I35" i="53"/>
  <c r="I36" i="99"/>
  <c r="J35" i="99"/>
  <c r="K34" i="99" s="1"/>
  <c r="C32" i="139"/>
  <c r="E33" i="139"/>
  <c r="J33" i="139"/>
  <c r="K33" i="139" s="1"/>
  <c r="I36" i="72"/>
  <c r="J35" i="72"/>
  <c r="K34" i="72" s="1"/>
  <c r="CB36" i="1"/>
  <c r="K33" i="173"/>
  <c r="I37" i="128"/>
  <c r="J36" i="128"/>
  <c r="E35" i="93"/>
  <c r="C34" i="93"/>
  <c r="K36" i="27"/>
  <c r="I38" i="27"/>
  <c r="J37" i="27"/>
  <c r="I35" i="76"/>
  <c r="J34" i="76"/>
  <c r="AJ36" i="1"/>
  <c r="I35" i="49"/>
  <c r="I35" i="138"/>
  <c r="J34" i="138"/>
  <c r="K33" i="138" s="1"/>
  <c r="I37" i="13"/>
  <c r="J36" i="13"/>
  <c r="E30" i="157"/>
  <c r="C29" i="157"/>
  <c r="J30" i="157"/>
  <c r="K30" i="157" s="1"/>
  <c r="C31" i="62"/>
  <c r="E32" i="62"/>
  <c r="J32" i="62"/>
  <c r="K32" i="62" s="1"/>
  <c r="K33" i="115"/>
  <c r="J33" i="17"/>
  <c r="I34" i="17"/>
  <c r="K35" i="128"/>
  <c r="E31" i="102"/>
  <c r="C30" i="102"/>
  <c r="J31" i="102"/>
  <c r="K31" i="102" s="1"/>
  <c r="E35" i="152"/>
  <c r="C34" i="152"/>
  <c r="HZ36" i="2"/>
  <c r="J34" i="88"/>
  <c r="I35" i="88"/>
  <c r="I34" i="69"/>
  <c r="J33" i="69"/>
  <c r="K32" i="69" s="1"/>
  <c r="C31" i="171"/>
  <c r="E32" i="171"/>
  <c r="I36" i="83"/>
  <c r="J35" i="83"/>
  <c r="C34" i="49"/>
  <c r="E35" i="49"/>
  <c r="I39" i="46"/>
  <c r="J38" i="46"/>
  <c r="C29" i="138"/>
  <c r="E30" i="138"/>
  <c r="J30" i="138"/>
  <c r="K30" i="138" s="1"/>
  <c r="J36" i="107"/>
  <c r="I37" i="107"/>
  <c r="E33" i="128"/>
  <c r="C32" i="128"/>
  <c r="J33" i="128"/>
  <c r="K33" i="128" s="1"/>
  <c r="E34" i="71"/>
  <c r="C33" i="71"/>
  <c r="J34" i="71"/>
  <c r="K34" i="71" s="1"/>
  <c r="C34" i="6"/>
  <c r="IU34" i="2" s="1"/>
  <c r="E35" i="6"/>
  <c r="CA35" i="1"/>
  <c r="I36" i="93"/>
  <c r="J35" i="93"/>
  <c r="I36" i="66"/>
  <c r="J35" i="66"/>
  <c r="K34" i="66" s="1"/>
  <c r="I35" i="131"/>
  <c r="J34" i="131"/>
  <c r="E33" i="137"/>
  <c r="C32" i="137"/>
  <c r="I35" i="154"/>
  <c r="J34" i="154"/>
  <c r="J35" i="107"/>
  <c r="IV35" i="2"/>
  <c r="IV36" i="2"/>
  <c r="K51" i="150"/>
  <c r="I36" i="68"/>
  <c r="J35" i="68"/>
  <c r="K34" i="68" s="1"/>
  <c r="E34" i="164"/>
  <c r="C33" i="164"/>
  <c r="J34" i="164"/>
  <c r="K34" i="164" s="1"/>
  <c r="C30" i="160"/>
  <c r="E31" i="160"/>
  <c r="J31" i="160"/>
  <c r="K31" i="160" s="1"/>
  <c r="J36" i="26"/>
  <c r="K35" i="26" s="1"/>
  <c r="I37" i="26"/>
  <c r="C33" i="13"/>
  <c r="E34" i="13"/>
  <c r="J34" i="13"/>
  <c r="K34" i="13" s="1"/>
  <c r="E35" i="92"/>
  <c r="C34" i="92"/>
  <c r="C33" i="63"/>
  <c r="E34" i="63"/>
  <c r="I34" i="90"/>
  <c r="J33" i="43"/>
  <c r="K32" i="43" s="1"/>
  <c r="I34" i="43"/>
  <c r="E35" i="3"/>
  <c r="C34" i="3"/>
  <c r="J35" i="44"/>
  <c r="I36" i="44"/>
  <c r="E35" i="91"/>
  <c r="C34" i="91"/>
  <c r="BE35" i="2"/>
  <c r="I36" i="63"/>
  <c r="J35" i="63"/>
  <c r="E32" i="39"/>
  <c r="C31" i="39"/>
  <c r="J32" i="39"/>
  <c r="K32" i="39" s="1"/>
  <c r="C32" i="83"/>
  <c r="E33" i="83"/>
  <c r="J33" i="83"/>
  <c r="K33" i="83" s="1"/>
  <c r="K36" i="74"/>
  <c r="I38" i="82"/>
  <c r="J37" i="82"/>
  <c r="C29" i="32"/>
  <c r="E30" i="32"/>
  <c r="J30" i="32"/>
  <c r="K30" i="32" s="1"/>
  <c r="I35" i="114"/>
  <c r="J34" i="114"/>
  <c r="E34" i="119"/>
  <c r="C33" i="119"/>
  <c r="K35" i="98"/>
  <c r="I37" i="132"/>
  <c r="J36" i="132"/>
  <c r="I36" i="37"/>
  <c r="J35" i="37"/>
  <c r="I35" i="108"/>
  <c r="J34" i="108"/>
  <c r="E34" i="142"/>
  <c r="C33" i="142"/>
  <c r="J34" i="142"/>
  <c r="K34" i="142" s="1"/>
  <c r="E35" i="143"/>
  <c r="C34" i="143"/>
  <c r="I38" i="42"/>
  <c r="J37" i="42"/>
  <c r="E35" i="42"/>
  <c r="C34" i="42"/>
  <c r="J35" i="42"/>
  <c r="K35" i="42" s="1"/>
  <c r="FV35" i="2"/>
  <c r="I37" i="29"/>
  <c r="J36" i="29"/>
  <c r="K35" i="29" s="1"/>
  <c r="K36" i="42"/>
  <c r="E31" i="34"/>
  <c r="C30" i="34"/>
  <c r="J31" i="34"/>
  <c r="K31" i="34" s="1"/>
  <c r="K36" i="15"/>
  <c r="C33" i="15"/>
  <c r="E34" i="15"/>
  <c r="J34" i="15"/>
  <c r="K34" i="15" s="1"/>
  <c r="I35" i="80"/>
  <c r="J34" i="80"/>
  <c r="C31" i="127"/>
  <c r="E32" i="127"/>
  <c r="J32" i="127"/>
  <c r="K32" i="127" s="1"/>
  <c r="J34" i="116"/>
  <c r="I35" i="116"/>
  <c r="C33" i="41"/>
  <c r="E34" i="41"/>
  <c r="BE34" i="2"/>
  <c r="E32" i="72"/>
  <c r="C31" i="72"/>
  <c r="J32" i="72"/>
  <c r="K32" i="72" s="1"/>
  <c r="E35" i="56"/>
  <c r="C34" i="56"/>
  <c r="J34" i="56" s="1"/>
  <c r="C33" i="70"/>
  <c r="E34" i="70"/>
  <c r="K50" i="150"/>
  <c r="E33" i="135"/>
  <c r="C32" i="135"/>
  <c r="J33" i="135"/>
  <c r="K33" i="135" s="1"/>
  <c r="I36" i="41"/>
  <c r="J35" i="41"/>
  <c r="J34" i="23"/>
  <c r="I37" i="98"/>
  <c r="J36" i="98"/>
  <c r="I35" i="155"/>
  <c r="J34" i="155"/>
  <c r="I36" i="165"/>
  <c r="J35" i="165"/>
  <c r="K34" i="165" s="1"/>
  <c r="C34" i="8"/>
  <c r="HC35" i="2"/>
  <c r="E35" i="8"/>
  <c r="BP35" i="1"/>
  <c r="E32" i="84"/>
  <c r="C31" i="84"/>
  <c r="J32" i="84"/>
  <c r="K32" i="84" s="1"/>
  <c r="C31" i="123"/>
  <c r="E32" i="123"/>
  <c r="J32" i="123"/>
  <c r="K32" i="123" s="1"/>
  <c r="E33" i="66"/>
  <c r="C32" i="66"/>
  <c r="J33" i="66"/>
  <c r="K33" i="66" s="1"/>
  <c r="J33" i="34"/>
  <c r="I34" i="34"/>
  <c r="I34" i="120"/>
  <c r="J33" i="120"/>
  <c r="E34" i="96"/>
  <c r="C33" i="96"/>
  <c r="K36" i="79"/>
  <c r="J35" i="30"/>
  <c r="K34" i="30" s="1"/>
  <c r="I36" i="30"/>
  <c r="C32" i="18"/>
  <c r="E33" i="18"/>
  <c r="J33" i="18"/>
  <c r="K33" i="18" s="1"/>
  <c r="I36" i="23"/>
  <c r="J35" i="23"/>
  <c r="K34" i="26"/>
  <c r="J33" i="102"/>
  <c r="I34" i="102"/>
  <c r="AI35" i="1"/>
  <c r="I34" i="141"/>
  <c r="J33" i="141"/>
  <c r="E33" i="113"/>
  <c r="C32" i="113"/>
  <c r="J33" i="113"/>
  <c r="K33" i="113" s="1"/>
  <c r="CB36" i="2"/>
  <c r="E34" i="132"/>
  <c r="C33" i="132"/>
  <c r="J34" i="132"/>
  <c r="K34" i="132" s="1"/>
  <c r="E34" i="80"/>
  <c r="C33" i="80"/>
  <c r="E35" i="155"/>
  <c r="C34" i="155"/>
  <c r="K32" i="120"/>
  <c r="J37" i="79"/>
  <c r="I38" i="79"/>
  <c r="C32" i="5"/>
  <c r="E33" i="5"/>
  <c r="E33" i="144"/>
  <c r="C32" i="144"/>
  <c r="K34" i="44"/>
  <c r="E33" i="116"/>
  <c r="C32" i="116"/>
  <c r="DI35" i="2"/>
  <c r="J36" i="9"/>
  <c r="I37" i="9"/>
  <c r="C30" i="45"/>
  <c r="E31" i="45"/>
  <c r="J31" i="45"/>
  <c r="K31" i="45" s="1"/>
  <c r="E33" i="65"/>
  <c r="C32" i="65"/>
  <c r="I34" i="95"/>
  <c r="Y36" i="2"/>
  <c r="I37" i="142"/>
  <c r="J36" i="142"/>
  <c r="K35" i="142" s="1"/>
  <c r="I34" i="166"/>
  <c r="J33" i="166"/>
  <c r="K32" i="166" s="1"/>
  <c r="I36" i="157"/>
  <c r="J35" i="157"/>
  <c r="K34" i="157" s="1"/>
  <c r="I35" i="153"/>
  <c r="J34" i="153"/>
  <c r="E33" i="99"/>
  <c r="C32" i="99"/>
  <c r="J33" i="99"/>
  <c r="K33" i="99" s="1"/>
  <c r="C32" i="161"/>
  <c r="E33" i="161"/>
  <c r="C30" i="131"/>
  <c r="E31" i="131"/>
  <c r="J31" i="131"/>
  <c r="K31" i="131" s="1"/>
  <c r="C33" i="88"/>
  <c r="E34" i="88"/>
  <c r="J34" i="121"/>
  <c r="I35" i="121"/>
  <c r="C33" i="125"/>
  <c r="E34" i="125"/>
  <c r="E34" i="31"/>
  <c r="C33" i="31"/>
  <c r="J34" i="104"/>
  <c r="I35" i="104"/>
  <c r="I35" i="70"/>
  <c r="J34" i="70"/>
  <c r="J37" i="71"/>
  <c r="K36" i="71" s="1"/>
  <c r="I38" i="71"/>
  <c r="K33" i="54"/>
  <c r="C34" i="28"/>
  <c r="E35" i="28"/>
  <c r="C29" i="30"/>
  <c r="E30" i="30"/>
  <c r="J30" i="30"/>
  <c r="K30" i="30" s="1"/>
  <c r="N36" i="1"/>
  <c r="E33" i="112"/>
  <c r="C32" i="112"/>
  <c r="E34" i="76"/>
  <c r="C33" i="76"/>
  <c r="FW36" i="2"/>
  <c r="E34" i="133"/>
  <c r="C33" i="133"/>
  <c r="J34" i="133"/>
  <c r="K34" i="133" s="1"/>
  <c r="DH34" i="2"/>
  <c r="J34" i="54"/>
  <c r="I35" i="54"/>
  <c r="E35" i="12"/>
  <c r="C34" i="12"/>
  <c r="M35" i="1"/>
  <c r="X35" i="2"/>
  <c r="J35" i="12"/>
  <c r="K35" i="12" s="1"/>
  <c r="C32" i="57"/>
  <c r="E33" i="57"/>
  <c r="J34" i="3"/>
  <c r="I35" i="3"/>
  <c r="I34" i="58"/>
  <c r="E33" i="9"/>
  <c r="C32" i="9"/>
  <c r="J33" i="9"/>
  <c r="K33" i="9" s="1"/>
  <c r="C32" i="19"/>
  <c r="E33" i="19"/>
  <c r="C32" i="54"/>
  <c r="E33" i="54"/>
  <c r="I34" i="109"/>
  <c r="I37" i="77"/>
  <c r="J36" i="77"/>
  <c r="K35" i="77" s="1"/>
  <c r="I37" i="62"/>
  <c r="J36" i="62"/>
  <c r="E35" i="7"/>
  <c r="AT35" i="1"/>
  <c r="C34" i="7"/>
  <c r="EO34" i="2" s="1"/>
  <c r="J35" i="7"/>
  <c r="K35" i="7" s="1"/>
  <c r="E32" i="159"/>
  <c r="C31" i="159"/>
  <c r="J32" i="159"/>
  <c r="K32" i="159" s="1"/>
  <c r="C31" i="26"/>
  <c r="E32" i="26"/>
  <c r="J32" i="26"/>
  <c r="K32" i="26" s="1"/>
  <c r="C30" i="105"/>
  <c r="E31" i="105"/>
  <c r="J31" i="105"/>
  <c r="K31" i="105" s="1"/>
  <c r="I35" i="21"/>
  <c r="J34" i="21"/>
  <c r="E32" i="106"/>
  <c r="C31" i="106"/>
  <c r="J32" i="106"/>
  <c r="K32" i="106" s="1"/>
  <c r="K33" i="123"/>
  <c r="E32" i="124"/>
  <c r="C31" i="124"/>
  <c r="J32" i="124"/>
  <c r="K32" i="124" s="1"/>
  <c r="I37" i="48"/>
  <c r="J36" i="48"/>
  <c r="K35" i="48" s="1"/>
  <c r="C31" i="168"/>
  <c r="E32" i="168"/>
  <c r="J32" i="168"/>
  <c r="K32" i="168" s="1"/>
  <c r="J34" i="4"/>
  <c r="K33" i="4" s="1"/>
  <c r="I35" i="4"/>
  <c r="I34" i="91"/>
  <c r="I39" i="61"/>
  <c r="J38" i="61"/>
  <c r="K37" i="61" s="1"/>
  <c r="I35" i="84"/>
  <c r="J34" i="84"/>
  <c r="J34" i="119"/>
  <c r="I35" i="119"/>
  <c r="I36" i="149"/>
  <c r="J35" i="149"/>
  <c r="K34" i="149" s="1"/>
  <c r="I35" i="57"/>
  <c r="J34" i="57"/>
  <c r="E32" i="120"/>
  <c r="C31" i="120"/>
  <c r="J35" i="10"/>
  <c r="I36" i="10"/>
  <c r="I34" i="35"/>
  <c r="J33" i="35"/>
  <c r="J38" i="133"/>
  <c r="I39" i="133"/>
  <c r="I35" i="151"/>
  <c r="J34" i="151"/>
  <c r="K33" i="84"/>
  <c r="HO35" i="2"/>
  <c r="J34" i="10"/>
  <c r="AU36" i="1"/>
  <c r="J34" i="33"/>
  <c r="I35" i="33"/>
  <c r="J33" i="160"/>
  <c r="I34" i="160"/>
  <c r="C32" i="16"/>
  <c r="E33" i="16"/>
  <c r="J33" i="16"/>
  <c r="K33" i="16" s="1"/>
  <c r="J34" i="169"/>
  <c r="I35" i="169"/>
  <c r="E35" i="58"/>
  <c r="C34" i="58"/>
  <c r="CA34" i="2" s="1"/>
  <c r="HZ35" i="2"/>
  <c r="E32" i="163"/>
  <c r="C31" i="163"/>
  <c r="E33" i="110"/>
  <c r="C32" i="110"/>
  <c r="I34" i="36"/>
  <c r="BQ36" i="2"/>
  <c r="I35" i="85"/>
  <c r="J34" i="85"/>
  <c r="I34" i="64"/>
  <c r="J33" i="64"/>
  <c r="J33" i="96"/>
  <c r="I34" i="96"/>
  <c r="J38" i="134"/>
  <c r="I39" i="134"/>
  <c r="C33" i="23"/>
  <c r="E34" i="23"/>
  <c r="K35" i="127"/>
  <c r="I35" i="170"/>
  <c r="I35" i="161"/>
  <c r="J34" i="161"/>
  <c r="K33" i="161" s="1"/>
  <c r="E34" i="89"/>
  <c r="C33" i="89"/>
  <c r="HN34" i="2"/>
  <c r="J34" i="89"/>
  <c r="K34" i="89" s="1"/>
  <c r="M35" i="2"/>
  <c r="K33" i="157"/>
  <c r="K36" i="7"/>
  <c r="E33" i="60"/>
  <c r="C32" i="60"/>
  <c r="J33" i="60"/>
  <c r="K33" i="60" s="1"/>
  <c r="K32" i="160"/>
  <c r="E34" i="38"/>
  <c r="C33" i="38"/>
  <c r="E32" i="173"/>
  <c r="C31" i="173"/>
  <c r="J32" i="173"/>
  <c r="K32" i="173" s="1"/>
  <c r="E34" i="79"/>
  <c r="C33" i="79"/>
  <c r="J34" i="79"/>
  <c r="K34" i="79" s="1"/>
  <c r="K33" i="87"/>
  <c r="J33" i="112"/>
  <c r="I34" i="112"/>
  <c r="E35" i="52"/>
  <c r="C34" i="52"/>
  <c r="J34" i="52" s="1"/>
  <c r="BP35" i="2"/>
  <c r="I37" i="127"/>
  <c r="J36" i="127"/>
  <c r="E33" i="81"/>
  <c r="C32" i="81"/>
  <c r="C34" i="136"/>
  <c r="E35" i="136"/>
  <c r="C33" i="33"/>
  <c r="E34" i="33"/>
  <c r="M34" i="2"/>
  <c r="J35" i="136"/>
  <c r="C33" i="95"/>
  <c r="E34" i="95"/>
  <c r="I35" i="111"/>
  <c r="J34" i="111"/>
  <c r="E32" i="115"/>
  <c r="C31" i="115"/>
  <c r="J32" i="115"/>
  <c r="K32" i="115" s="1"/>
  <c r="E34" i="153"/>
  <c r="C33" i="153"/>
  <c r="K34" i="16"/>
  <c r="J34" i="144"/>
  <c r="I35" i="144"/>
  <c r="C32" i="68"/>
  <c r="E33" i="68"/>
  <c r="J33" i="68"/>
  <c r="K33" i="68" s="1"/>
  <c r="K34" i="124"/>
  <c r="J35" i="159"/>
  <c r="I36" i="159"/>
  <c r="C32" i="148"/>
  <c r="E33" i="148"/>
  <c r="I37" i="136"/>
  <c r="J36" i="136"/>
  <c r="E32" i="141"/>
  <c r="C31" i="141"/>
  <c r="E33" i="17"/>
  <c r="C32" i="17"/>
  <c r="E35" i="109"/>
  <c r="C34" i="109"/>
  <c r="ED35" i="2"/>
  <c r="C33" i="154"/>
  <c r="E34" i="154"/>
  <c r="AI35" i="2"/>
  <c r="E34" i="140"/>
  <c r="C33" i="140"/>
  <c r="AI34" i="2"/>
  <c r="I34" i="147"/>
  <c r="I36" i="124"/>
  <c r="J35" i="124"/>
  <c r="C32" i="104"/>
  <c r="E33" i="104"/>
  <c r="E35" i="174"/>
  <c r="C34" i="174"/>
  <c r="I34" i="163"/>
  <c r="J33" i="163"/>
  <c r="I34" i="55"/>
  <c r="K35" i="94"/>
  <c r="E34" i="151"/>
  <c r="C33" i="151"/>
  <c r="I39" i="12"/>
  <c r="J38" i="12"/>
  <c r="K37" i="12" s="1"/>
  <c r="K34" i="135"/>
  <c r="I37" i="135"/>
  <c r="J36" i="135"/>
  <c r="K35" i="135" s="1"/>
  <c r="FA35" i="2"/>
  <c r="I34" i="125"/>
  <c r="I36" i="60"/>
  <c r="J35" i="60"/>
  <c r="K34" i="60" s="1"/>
  <c r="J32" i="163"/>
  <c r="K32" i="163" s="1"/>
  <c r="J33" i="81"/>
  <c r="I34" i="81"/>
  <c r="C32" i="94"/>
  <c r="E33" i="94"/>
  <c r="J33" i="94"/>
  <c r="K33" i="94" s="1"/>
  <c r="J35" i="152"/>
  <c r="C32" i="126"/>
  <c r="E33" i="126"/>
  <c r="I34" i="65"/>
  <c r="J33" i="65"/>
  <c r="E35" i="27"/>
  <c r="C34" i="27"/>
  <c r="J35" i="27"/>
  <c r="K35" i="27" s="1"/>
  <c r="E35" i="172"/>
  <c r="C34" i="172"/>
  <c r="I34" i="143"/>
  <c r="I35" i="106"/>
  <c r="J34" i="106"/>
  <c r="K33" i="106" s="1"/>
  <c r="J34" i="5"/>
  <c r="K33" i="5" s="1"/>
  <c r="I35" i="5"/>
  <c r="K37" i="145"/>
  <c r="J36" i="101"/>
  <c r="K35" i="101" s="1"/>
  <c r="I37" i="101"/>
  <c r="I37" i="164"/>
  <c r="J36" i="164"/>
  <c r="K35" i="164" s="1"/>
  <c r="I34" i="140"/>
  <c r="I35" i="162"/>
  <c r="J34" i="162"/>
  <c r="I35" i="126"/>
  <c r="J34" i="126"/>
  <c r="J36" i="152"/>
  <c r="I37" i="152"/>
  <c r="E34" i="78"/>
  <c r="C33" i="78"/>
  <c r="J34" i="78"/>
  <c r="K34" i="78" s="1"/>
  <c r="I35" i="39"/>
  <c r="J34" i="39"/>
  <c r="K33" i="39" s="1"/>
  <c r="J36" i="51"/>
  <c r="K35" i="51" s="1"/>
  <c r="I37" i="51"/>
  <c r="I34" i="47"/>
  <c r="J33" i="47"/>
  <c r="K32" i="47" s="1"/>
  <c r="I35" i="50"/>
  <c r="J34" i="50"/>
  <c r="I35" i="123"/>
  <c r="J34" i="123"/>
  <c r="E34" i="169"/>
  <c r="C33" i="169"/>
  <c r="HY34" i="2"/>
  <c r="I39" i="145"/>
  <c r="J38" i="145"/>
  <c r="E34" i="36"/>
  <c r="C33" i="36"/>
  <c r="J33" i="36" s="1"/>
  <c r="I38" i="24"/>
  <c r="J35" i="129"/>
  <c r="K34" i="129" s="1"/>
  <c r="I36" i="129"/>
  <c r="E32" i="47"/>
  <c r="C31" i="47"/>
  <c r="C33" i="134"/>
  <c r="E34" i="134"/>
  <c r="EZ34" i="2"/>
  <c r="J34" i="134"/>
  <c r="K34" i="134" s="1"/>
  <c r="E32" i="69"/>
  <c r="C31" i="69"/>
  <c r="K36" i="61"/>
  <c r="E35" i="170"/>
  <c r="C34" i="170"/>
  <c r="I34" i="38"/>
  <c r="J33" i="38"/>
  <c r="K35" i="32"/>
  <c r="E35" i="100"/>
  <c r="C34" i="100"/>
  <c r="K33" i="165"/>
  <c r="K33" i="37"/>
  <c r="K36" i="14"/>
  <c r="I34" i="8"/>
  <c r="AU36" i="2"/>
  <c r="E28" i="82"/>
  <c r="C27" i="82"/>
  <c r="J28" i="82"/>
  <c r="K28" i="82" s="1"/>
  <c r="C34" i="55"/>
  <c r="FK34" i="2" s="1"/>
  <c r="E35" i="55"/>
  <c r="I34" i="148"/>
  <c r="J33" i="148"/>
  <c r="J34" i="137"/>
  <c r="I35" i="137"/>
  <c r="I38" i="22"/>
  <c r="J37" i="22"/>
  <c r="J37" i="59"/>
  <c r="E34" i="162"/>
  <c r="C33" i="162"/>
  <c r="K34" i="113"/>
  <c r="C30" i="165"/>
  <c r="E31" i="165"/>
  <c r="J31" i="165"/>
  <c r="K31" i="165" s="1"/>
  <c r="E32" i="51"/>
  <c r="C31" i="51"/>
  <c r="J32" i="51"/>
  <c r="K32" i="51" s="1"/>
  <c r="K32" i="146"/>
  <c r="AI34" i="1"/>
  <c r="EO35" i="2"/>
  <c r="I38" i="14"/>
  <c r="J37" i="14"/>
  <c r="K33" i="72"/>
  <c r="C33" i="156" l="1"/>
  <c r="E34" i="156"/>
  <c r="J34" i="156"/>
  <c r="J33" i="149"/>
  <c r="K33" i="149" s="1"/>
  <c r="E33" i="149"/>
  <c r="C32" i="149"/>
  <c r="E34" i="130"/>
  <c r="C33" i="130"/>
  <c r="E29" i="98"/>
  <c r="C28" i="98"/>
  <c r="J29" i="98"/>
  <c r="K29" i="98" s="1"/>
  <c r="K35" i="107"/>
  <c r="C33" i="74"/>
  <c r="E34" i="74"/>
  <c r="J34" i="74"/>
  <c r="K34" i="74" s="1"/>
  <c r="E33" i="61"/>
  <c r="C32" i="61"/>
  <c r="J33" i="61"/>
  <c r="K33" i="61" s="1"/>
  <c r="E33" i="59"/>
  <c r="J33" i="59"/>
  <c r="K33" i="59" s="1"/>
  <c r="C32" i="59"/>
  <c r="K34" i="23"/>
  <c r="J34" i="150"/>
  <c r="K34" i="150" s="1"/>
  <c r="C33" i="150"/>
  <c r="E34" i="150"/>
  <c r="CB34" i="2"/>
  <c r="EP34" i="2"/>
  <c r="FL34" i="2"/>
  <c r="C33" i="27"/>
  <c r="E34" i="27"/>
  <c r="J34" i="27"/>
  <c r="K34" i="27" s="1"/>
  <c r="I35" i="160"/>
  <c r="J34" i="160"/>
  <c r="K33" i="160" s="1"/>
  <c r="J34" i="163"/>
  <c r="K33" i="163" s="1"/>
  <c r="I35" i="163"/>
  <c r="I36" i="4"/>
  <c r="J35" i="4"/>
  <c r="K34" i="4" s="1"/>
  <c r="E32" i="113"/>
  <c r="C31" i="113"/>
  <c r="J32" i="113"/>
  <c r="K32" i="113" s="1"/>
  <c r="C30" i="123"/>
  <c r="E31" i="123"/>
  <c r="J31" i="123"/>
  <c r="K31" i="123" s="1"/>
  <c r="BF34" i="2"/>
  <c r="J35" i="108"/>
  <c r="I36" i="108"/>
  <c r="E33" i="10"/>
  <c r="C32" i="10"/>
  <c r="J33" i="10"/>
  <c r="K33" i="10" s="1"/>
  <c r="I38" i="156"/>
  <c r="J37" i="156"/>
  <c r="I40" i="75"/>
  <c r="J39" i="75"/>
  <c r="E33" i="31"/>
  <c r="C32" i="31"/>
  <c r="J33" i="31"/>
  <c r="K33" i="31" s="1"/>
  <c r="E31" i="62"/>
  <c r="C30" i="62"/>
  <c r="J31" i="62"/>
  <c r="K31" i="62" s="1"/>
  <c r="I37" i="18"/>
  <c r="J36" i="18"/>
  <c r="K36" i="156"/>
  <c r="C33" i="174"/>
  <c r="E34" i="174"/>
  <c r="J34" i="112"/>
  <c r="I35" i="112"/>
  <c r="I36" i="33"/>
  <c r="J35" i="33"/>
  <c r="J38" i="59"/>
  <c r="E31" i="69"/>
  <c r="C30" i="69"/>
  <c r="J31" i="69"/>
  <c r="K31" i="69" s="1"/>
  <c r="J35" i="39"/>
  <c r="K34" i="39" s="1"/>
  <c r="I36" i="39"/>
  <c r="E33" i="23"/>
  <c r="C32" i="23"/>
  <c r="J33" i="23"/>
  <c r="K33" i="23" s="1"/>
  <c r="K34" i="33"/>
  <c r="I38" i="62"/>
  <c r="J37" i="62"/>
  <c r="E31" i="84"/>
  <c r="C30" i="84"/>
  <c r="J31" i="84"/>
  <c r="K31" i="84" s="1"/>
  <c r="E33" i="41"/>
  <c r="C32" i="41"/>
  <c r="J33" i="41"/>
  <c r="K33" i="41" s="1"/>
  <c r="J36" i="37"/>
  <c r="I37" i="37"/>
  <c r="E34" i="3"/>
  <c r="C33" i="3"/>
  <c r="C28" i="138"/>
  <c r="E29" i="138"/>
  <c r="J29" i="138"/>
  <c r="K29" i="138" s="1"/>
  <c r="C31" i="139"/>
  <c r="E32" i="139"/>
  <c r="J32" i="139"/>
  <c r="K32" i="139" s="1"/>
  <c r="C31" i="167"/>
  <c r="E32" i="167"/>
  <c r="J32" i="167"/>
  <c r="K32" i="167" s="1"/>
  <c r="K34" i="168"/>
  <c r="C32" i="20"/>
  <c r="E33" i="20"/>
  <c r="J33" i="20"/>
  <c r="K33" i="20" s="1"/>
  <c r="I35" i="65"/>
  <c r="J34" i="65"/>
  <c r="I40" i="134"/>
  <c r="J39" i="134"/>
  <c r="DI34" i="2"/>
  <c r="E30" i="45"/>
  <c r="C29" i="45"/>
  <c r="J30" i="45"/>
  <c r="K30" i="45" s="1"/>
  <c r="I35" i="141"/>
  <c r="J34" i="141"/>
  <c r="I36" i="116"/>
  <c r="J35" i="116"/>
  <c r="K38" i="46"/>
  <c r="I36" i="168"/>
  <c r="J35" i="168"/>
  <c r="I38" i="122"/>
  <c r="J37" i="122"/>
  <c r="I36" i="56"/>
  <c r="J35" i="56"/>
  <c r="K34" i="56" s="1"/>
  <c r="AJ35" i="1"/>
  <c r="I38" i="132"/>
  <c r="J37" i="132"/>
  <c r="K36" i="132" s="1"/>
  <c r="I40" i="46"/>
  <c r="J39" i="46"/>
  <c r="E29" i="157"/>
  <c r="C28" i="157"/>
  <c r="J29" i="157"/>
  <c r="K29" i="157" s="1"/>
  <c r="J35" i="20"/>
  <c r="K34" i="20" s="1"/>
  <c r="I36" i="20"/>
  <c r="I37" i="92"/>
  <c r="J36" i="92"/>
  <c r="GS35" i="2"/>
  <c r="K34" i="139"/>
  <c r="J37" i="9"/>
  <c r="I38" i="9"/>
  <c r="K34" i="10"/>
  <c r="E33" i="133"/>
  <c r="C32" i="133"/>
  <c r="J33" i="133"/>
  <c r="K33" i="133" s="1"/>
  <c r="DH33" i="2"/>
  <c r="I36" i="121"/>
  <c r="J35" i="121"/>
  <c r="K34" i="121" s="1"/>
  <c r="J34" i="102"/>
  <c r="K33" i="102" s="1"/>
  <c r="I35" i="102"/>
  <c r="K34" i="37"/>
  <c r="I37" i="167"/>
  <c r="J36" i="167"/>
  <c r="K35" i="167" s="1"/>
  <c r="J35" i="31"/>
  <c r="K34" i="31" s="1"/>
  <c r="I36" i="31"/>
  <c r="E33" i="145"/>
  <c r="C32" i="145"/>
  <c r="J33" i="145"/>
  <c r="K33" i="145" s="1"/>
  <c r="E31" i="37"/>
  <c r="C30" i="37"/>
  <c r="J31" i="37"/>
  <c r="K31" i="37" s="1"/>
  <c r="C33" i="158"/>
  <c r="E34" i="158"/>
  <c r="J34" i="158"/>
  <c r="K34" i="158" s="1"/>
  <c r="E31" i="168"/>
  <c r="C30" i="168"/>
  <c r="J31" i="168"/>
  <c r="K31" i="168" s="1"/>
  <c r="I35" i="96"/>
  <c r="J34" i="96"/>
  <c r="I38" i="48"/>
  <c r="J37" i="48"/>
  <c r="K36" i="48" s="1"/>
  <c r="HD35" i="2"/>
  <c r="E33" i="119"/>
  <c r="C32" i="119"/>
  <c r="J33" i="119"/>
  <c r="K33" i="119" s="1"/>
  <c r="I35" i="43"/>
  <c r="J34" i="43"/>
  <c r="K35" i="99"/>
  <c r="I37" i="158"/>
  <c r="J36" i="158"/>
  <c r="K35" i="158" s="1"/>
  <c r="C32" i="125"/>
  <c r="E33" i="125"/>
  <c r="J37" i="152"/>
  <c r="I38" i="152"/>
  <c r="E33" i="79"/>
  <c r="C32" i="79"/>
  <c r="J33" i="79"/>
  <c r="K33" i="79" s="1"/>
  <c r="E34" i="8"/>
  <c r="C33" i="8"/>
  <c r="HC34" i="2"/>
  <c r="BP34" i="1"/>
  <c r="E31" i="127"/>
  <c r="C30" i="127"/>
  <c r="J31" i="127"/>
  <c r="K31" i="127" s="1"/>
  <c r="K33" i="43"/>
  <c r="E34" i="49"/>
  <c r="C33" i="49"/>
  <c r="I38" i="13"/>
  <c r="J37" i="13"/>
  <c r="K36" i="13" s="1"/>
  <c r="I37" i="99"/>
  <c r="J36" i="99"/>
  <c r="E33" i="101"/>
  <c r="C32" i="101"/>
  <c r="J33" i="101"/>
  <c r="K33" i="101" s="1"/>
  <c r="E31" i="73"/>
  <c r="C30" i="73"/>
  <c r="J31" i="73"/>
  <c r="K31" i="73" s="1"/>
  <c r="E34" i="14"/>
  <c r="C33" i="14"/>
  <c r="J34" i="14"/>
  <c r="K34" i="14" s="1"/>
  <c r="GR34" i="2"/>
  <c r="J39" i="74"/>
  <c r="K38" i="74" s="1"/>
  <c r="I40" i="74"/>
  <c r="BQ35" i="1"/>
  <c r="I36" i="137"/>
  <c r="J35" i="137"/>
  <c r="FA34" i="2"/>
  <c r="E33" i="134"/>
  <c r="C32" i="134"/>
  <c r="EZ33" i="2"/>
  <c r="J33" i="134"/>
  <c r="K33" i="134" s="1"/>
  <c r="E32" i="126"/>
  <c r="C31" i="126"/>
  <c r="J32" i="126"/>
  <c r="K32" i="126" s="1"/>
  <c r="I37" i="124"/>
  <c r="J36" i="124"/>
  <c r="K35" i="124" s="1"/>
  <c r="K35" i="152"/>
  <c r="E31" i="124"/>
  <c r="C30" i="124"/>
  <c r="J31" i="124"/>
  <c r="K31" i="124" s="1"/>
  <c r="I38" i="77"/>
  <c r="J37" i="77"/>
  <c r="K36" i="77" s="1"/>
  <c r="C31" i="116"/>
  <c r="E32" i="116"/>
  <c r="J32" i="116"/>
  <c r="K32" i="116" s="1"/>
  <c r="K35" i="132"/>
  <c r="K37" i="46"/>
  <c r="E31" i="40"/>
  <c r="C30" i="40"/>
  <c r="J31" i="40"/>
  <c r="K31" i="40" s="1"/>
  <c r="C31" i="103"/>
  <c r="E32" i="103"/>
  <c r="J32" i="103"/>
  <c r="K32" i="103" s="1"/>
  <c r="I35" i="45"/>
  <c r="J34" i="45"/>
  <c r="E32" i="67"/>
  <c r="C31" i="67"/>
  <c r="J32" i="67"/>
  <c r="K32" i="67" s="1"/>
  <c r="K38" i="134"/>
  <c r="J35" i="144"/>
  <c r="K34" i="144" s="1"/>
  <c r="I36" i="144"/>
  <c r="K36" i="152"/>
  <c r="J34" i="148"/>
  <c r="K33" i="148" s="1"/>
  <c r="I35" i="148"/>
  <c r="E31" i="47"/>
  <c r="C30" i="47"/>
  <c r="J31" i="47"/>
  <c r="K31" i="47" s="1"/>
  <c r="I36" i="126"/>
  <c r="J35" i="126"/>
  <c r="I35" i="147"/>
  <c r="J34" i="147"/>
  <c r="E33" i="153"/>
  <c r="C32" i="153"/>
  <c r="J33" i="153"/>
  <c r="K33" i="153" s="1"/>
  <c r="I35" i="64"/>
  <c r="J34" i="64"/>
  <c r="K37" i="134"/>
  <c r="E33" i="88"/>
  <c r="C32" i="88"/>
  <c r="J33" i="88"/>
  <c r="K33" i="88" s="1"/>
  <c r="I36" i="80"/>
  <c r="J35" i="80"/>
  <c r="K34" i="80" s="1"/>
  <c r="I36" i="114"/>
  <c r="J35" i="114"/>
  <c r="K34" i="114" s="1"/>
  <c r="I35" i="90"/>
  <c r="J34" i="90"/>
  <c r="I36" i="154"/>
  <c r="J35" i="154"/>
  <c r="K34" i="154" s="1"/>
  <c r="I37" i="83"/>
  <c r="J36" i="83"/>
  <c r="K35" i="83" s="1"/>
  <c r="I36" i="53"/>
  <c r="J35" i="53"/>
  <c r="J35" i="103"/>
  <c r="K34" i="103" s="1"/>
  <c r="I36" i="103"/>
  <c r="I36" i="87"/>
  <c r="J35" i="87"/>
  <c r="K34" i="87" s="1"/>
  <c r="E33" i="76"/>
  <c r="C32" i="76"/>
  <c r="J33" i="76"/>
  <c r="K33" i="76" s="1"/>
  <c r="I37" i="23"/>
  <c r="J36" i="23"/>
  <c r="K35" i="23" s="1"/>
  <c r="I37" i="165"/>
  <c r="J36" i="165"/>
  <c r="K35" i="165" s="1"/>
  <c r="CM34" i="2"/>
  <c r="C31" i="137"/>
  <c r="E32" i="137"/>
  <c r="J32" i="137"/>
  <c r="K32" i="137" s="1"/>
  <c r="I36" i="138"/>
  <c r="J35" i="138"/>
  <c r="E33" i="108"/>
  <c r="C32" i="108"/>
  <c r="J33" i="108"/>
  <c r="K33" i="108" s="1"/>
  <c r="E32" i="64"/>
  <c r="C31" i="64"/>
  <c r="J32" i="64"/>
  <c r="K32" i="64" s="1"/>
  <c r="J34" i="130"/>
  <c r="I35" i="130"/>
  <c r="C33" i="29"/>
  <c r="E34" i="29"/>
  <c r="J34" i="29"/>
  <c r="K34" i="29" s="1"/>
  <c r="AU35" i="2"/>
  <c r="J34" i="109"/>
  <c r="I35" i="109"/>
  <c r="C33" i="55"/>
  <c r="E34" i="55"/>
  <c r="I36" i="162"/>
  <c r="J35" i="162"/>
  <c r="K34" i="162" s="1"/>
  <c r="C31" i="94"/>
  <c r="E32" i="94"/>
  <c r="J32" i="94"/>
  <c r="K32" i="94" s="1"/>
  <c r="E33" i="140"/>
  <c r="C32" i="140"/>
  <c r="I36" i="85"/>
  <c r="J35" i="85"/>
  <c r="J35" i="151"/>
  <c r="I36" i="151"/>
  <c r="C30" i="171"/>
  <c r="E31" i="171"/>
  <c r="J31" i="171"/>
  <c r="K31" i="171" s="1"/>
  <c r="I36" i="49"/>
  <c r="J35" i="49"/>
  <c r="I36" i="52"/>
  <c r="J35" i="52"/>
  <c r="E29" i="87"/>
  <c r="C28" i="87"/>
  <c r="J29" i="87"/>
  <c r="K29" i="87" s="1"/>
  <c r="J36" i="25"/>
  <c r="K35" i="25" s="1"/>
  <c r="I37" i="25"/>
  <c r="E34" i="50"/>
  <c r="C33" i="50"/>
  <c r="AT34" i="2"/>
  <c r="K37" i="22"/>
  <c r="J33" i="140"/>
  <c r="I35" i="81"/>
  <c r="J34" i="81"/>
  <c r="C30" i="115"/>
  <c r="E31" i="115"/>
  <c r="J31" i="115"/>
  <c r="K31" i="115" s="1"/>
  <c r="E33" i="38"/>
  <c r="C32" i="38"/>
  <c r="J39" i="133"/>
  <c r="K38" i="133" s="1"/>
  <c r="I40" i="133"/>
  <c r="E31" i="106"/>
  <c r="C30" i="106"/>
  <c r="J31" i="106"/>
  <c r="K31" i="106" s="1"/>
  <c r="E32" i="54"/>
  <c r="C31" i="54"/>
  <c r="J32" i="54"/>
  <c r="K32" i="54" s="1"/>
  <c r="CW33" i="2"/>
  <c r="E30" i="131"/>
  <c r="C29" i="131"/>
  <c r="J30" i="131"/>
  <c r="K30" i="131" s="1"/>
  <c r="C31" i="144"/>
  <c r="E32" i="144"/>
  <c r="J32" i="144"/>
  <c r="K32" i="144" s="1"/>
  <c r="I36" i="155"/>
  <c r="J35" i="155"/>
  <c r="K34" i="155" s="1"/>
  <c r="E33" i="15"/>
  <c r="C32" i="15"/>
  <c r="J33" i="15"/>
  <c r="K33" i="15" s="1"/>
  <c r="E29" i="32"/>
  <c r="C28" i="32"/>
  <c r="J29" i="32"/>
  <c r="K29" i="32" s="1"/>
  <c r="E33" i="63"/>
  <c r="C32" i="63"/>
  <c r="J33" i="63"/>
  <c r="K33" i="63" s="1"/>
  <c r="K34" i="131"/>
  <c r="K33" i="69"/>
  <c r="J34" i="49"/>
  <c r="K34" i="49" s="1"/>
  <c r="K38" i="15"/>
  <c r="E34" i="170"/>
  <c r="C33" i="170"/>
  <c r="E32" i="112"/>
  <c r="C31" i="112"/>
  <c r="J32" i="112"/>
  <c r="K32" i="112" s="1"/>
  <c r="K36" i="98"/>
  <c r="E34" i="92"/>
  <c r="C33" i="92"/>
  <c r="J34" i="92"/>
  <c r="K34" i="92" s="1"/>
  <c r="I36" i="131"/>
  <c r="J35" i="131"/>
  <c r="I35" i="69"/>
  <c r="J34" i="69"/>
  <c r="K34" i="83"/>
  <c r="I40" i="15"/>
  <c r="J39" i="15"/>
  <c r="I39" i="22"/>
  <c r="J38" i="22"/>
  <c r="C31" i="104"/>
  <c r="E32" i="104"/>
  <c r="J32" i="104"/>
  <c r="K32" i="104" s="1"/>
  <c r="C31" i="18"/>
  <c r="E32" i="18"/>
  <c r="J32" i="18"/>
  <c r="K32" i="18" s="1"/>
  <c r="I38" i="98"/>
  <c r="J37" i="98"/>
  <c r="I39" i="82"/>
  <c r="J38" i="82"/>
  <c r="K37" i="82" s="1"/>
  <c r="E31" i="86"/>
  <c r="C30" i="86"/>
  <c r="J31" i="86"/>
  <c r="K31" i="86" s="1"/>
  <c r="J34" i="174"/>
  <c r="I35" i="174"/>
  <c r="E32" i="25"/>
  <c r="C31" i="25"/>
  <c r="J32" i="25"/>
  <c r="K32" i="25" s="1"/>
  <c r="E30" i="43"/>
  <c r="C29" i="43"/>
  <c r="J30" i="43"/>
  <c r="K30" i="43" s="1"/>
  <c r="I38" i="172"/>
  <c r="J37" i="172"/>
  <c r="K36" i="172" s="1"/>
  <c r="E27" i="82"/>
  <c r="C26" i="82"/>
  <c r="J27" i="82"/>
  <c r="K27" i="82" s="1"/>
  <c r="AJ35" i="2"/>
  <c r="I35" i="36"/>
  <c r="J34" i="36"/>
  <c r="I37" i="30"/>
  <c r="J36" i="30"/>
  <c r="C29" i="34"/>
  <c r="E30" i="34"/>
  <c r="J30" i="34"/>
  <c r="K30" i="34" s="1"/>
  <c r="I37" i="66"/>
  <c r="J36" i="66"/>
  <c r="K35" i="66" s="1"/>
  <c r="DT33" i="2"/>
  <c r="E34" i="46"/>
  <c r="C33" i="46"/>
  <c r="AI33" i="1" s="1"/>
  <c r="J34" i="46"/>
  <c r="K34" i="46" s="1"/>
  <c r="C32" i="78"/>
  <c r="E33" i="78"/>
  <c r="J33" i="78"/>
  <c r="K33" i="78" s="1"/>
  <c r="C31" i="68"/>
  <c r="E32" i="68"/>
  <c r="J32" i="68"/>
  <c r="K32" i="68" s="1"/>
  <c r="I39" i="24"/>
  <c r="J34" i="35"/>
  <c r="K33" i="35" s="1"/>
  <c r="I35" i="35"/>
  <c r="I37" i="60"/>
  <c r="J36" i="60"/>
  <c r="I36" i="111"/>
  <c r="J35" i="111"/>
  <c r="C31" i="60"/>
  <c r="E32" i="60"/>
  <c r="J32" i="60"/>
  <c r="K32" i="60" s="1"/>
  <c r="J36" i="10"/>
  <c r="I37" i="10"/>
  <c r="E32" i="5"/>
  <c r="C31" i="5"/>
  <c r="J32" i="5"/>
  <c r="K32" i="5" s="1"/>
  <c r="K35" i="30"/>
  <c r="J34" i="11"/>
  <c r="K33" i="11" s="1"/>
  <c r="I35" i="11"/>
  <c r="J35" i="86"/>
  <c r="K34" i="86" s="1"/>
  <c r="I36" i="86"/>
  <c r="C32" i="21"/>
  <c r="E33" i="21"/>
  <c r="J33" i="21"/>
  <c r="K33" i="21" s="1"/>
  <c r="J37" i="78"/>
  <c r="K36" i="78" s="1"/>
  <c r="I38" i="78"/>
  <c r="C31" i="129"/>
  <c r="E32" i="129"/>
  <c r="J32" i="129"/>
  <c r="K32" i="129" s="1"/>
  <c r="DS32" i="2"/>
  <c r="C32" i="97"/>
  <c r="E33" i="97"/>
  <c r="J33" i="97"/>
  <c r="K33" i="97" s="1"/>
  <c r="E32" i="110"/>
  <c r="C31" i="110"/>
  <c r="J32" i="110"/>
  <c r="K32" i="110" s="1"/>
  <c r="E32" i="9"/>
  <c r="C31" i="9"/>
  <c r="J32" i="9"/>
  <c r="K32" i="9" s="1"/>
  <c r="E32" i="99"/>
  <c r="C31" i="99"/>
  <c r="J32" i="99"/>
  <c r="K32" i="99" s="1"/>
  <c r="K32" i="102"/>
  <c r="E33" i="13"/>
  <c r="C32" i="13"/>
  <c r="J33" i="13"/>
  <c r="K33" i="13" s="1"/>
  <c r="C33" i="53"/>
  <c r="E34" i="53"/>
  <c r="I37" i="118"/>
  <c r="J36" i="118"/>
  <c r="K35" i="118" s="1"/>
  <c r="K35" i="156"/>
  <c r="K33" i="116"/>
  <c r="K33" i="85"/>
  <c r="J37" i="164"/>
  <c r="K36" i="164" s="1"/>
  <c r="I38" i="164"/>
  <c r="IJ34" i="2"/>
  <c r="I36" i="21"/>
  <c r="J35" i="21"/>
  <c r="C31" i="19"/>
  <c r="E32" i="19"/>
  <c r="J32" i="19"/>
  <c r="K32" i="19" s="1"/>
  <c r="C32" i="36"/>
  <c r="CW32" i="2" s="1"/>
  <c r="E33" i="36"/>
  <c r="K35" i="10"/>
  <c r="J38" i="14"/>
  <c r="K37" i="14" s="1"/>
  <c r="I39" i="14"/>
  <c r="I38" i="101"/>
  <c r="J37" i="101"/>
  <c r="K36" i="101" s="1"/>
  <c r="J33" i="125"/>
  <c r="C32" i="95"/>
  <c r="E33" i="95"/>
  <c r="I39" i="79"/>
  <c r="J38" i="79"/>
  <c r="E33" i="96"/>
  <c r="C32" i="96"/>
  <c r="K36" i="82"/>
  <c r="I36" i="88"/>
  <c r="J35" i="88"/>
  <c r="J35" i="76"/>
  <c r="K34" i="76" s="1"/>
  <c r="I36" i="76"/>
  <c r="K38" i="7"/>
  <c r="E32" i="11"/>
  <c r="C31" i="11"/>
  <c r="J32" i="11"/>
  <c r="K32" i="11" s="1"/>
  <c r="K34" i="41"/>
  <c r="AJ34" i="2"/>
  <c r="K34" i="111"/>
  <c r="E32" i="161"/>
  <c r="C31" i="161"/>
  <c r="J32" i="161"/>
  <c r="K32" i="161" s="1"/>
  <c r="I35" i="125"/>
  <c r="J34" i="125"/>
  <c r="E33" i="154"/>
  <c r="C32" i="154"/>
  <c r="J33" i="154"/>
  <c r="K33" i="154" s="1"/>
  <c r="IJ33" i="2"/>
  <c r="EE35" i="2"/>
  <c r="C30" i="120"/>
  <c r="E31" i="120"/>
  <c r="J31" i="120"/>
  <c r="K31" i="120" s="1"/>
  <c r="E30" i="105"/>
  <c r="C29" i="105"/>
  <c r="J30" i="105"/>
  <c r="K30" i="105" s="1"/>
  <c r="EP35" i="2"/>
  <c r="I35" i="8"/>
  <c r="J34" i="8"/>
  <c r="E34" i="109"/>
  <c r="C33" i="109"/>
  <c r="ED34" i="2"/>
  <c r="K35" i="136"/>
  <c r="E31" i="163"/>
  <c r="C30" i="163"/>
  <c r="J31" i="163"/>
  <c r="K31" i="163" s="1"/>
  <c r="K37" i="133"/>
  <c r="I35" i="58"/>
  <c r="J34" i="58"/>
  <c r="K37" i="79"/>
  <c r="I37" i="41"/>
  <c r="J36" i="41"/>
  <c r="K35" i="41" s="1"/>
  <c r="I38" i="29"/>
  <c r="J37" i="29"/>
  <c r="K36" i="29" s="1"/>
  <c r="J36" i="93"/>
  <c r="K35" i="93" s="1"/>
  <c r="I37" i="93"/>
  <c r="K34" i="88"/>
  <c r="E33" i="114"/>
  <c r="C32" i="114"/>
  <c r="J33" i="114"/>
  <c r="K33" i="114" s="1"/>
  <c r="I40" i="7"/>
  <c r="J39" i="7"/>
  <c r="K34" i="151"/>
  <c r="J39" i="145"/>
  <c r="K38" i="145" s="1"/>
  <c r="I40" i="145"/>
  <c r="N35" i="2"/>
  <c r="J35" i="153"/>
  <c r="K34" i="153" s="1"/>
  <c r="I36" i="153"/>
  <c r="FW35" i="2"/>
  <c r="GR33" i="2"/>
  <c r="I38" i="26"/>
  <c r="J37" i="26"/>
  <c r="K36" i="26" s="1"/>
  <c r="CB35" i="1"/>
  <c r="J38" i="27"/>
  <c r="K37" i="27" s="1"/>
  <c r="I39" i="27"/>
  <c r="I39" i="32"/>
  <c r="J38" i="32"/>
  <c r="K37" i="32" s="1"/>
  <c r="E29" i="166"/>
  <c r="C28" i="166"/>
  <c r="J29" i="166"/>
  <c r="K29" i="166" s="1"/>
  <c r="K36" i="16"/>
  <c r="E32" i="4"/>
  <c r="C31" i="4"/>
  <c r="J32" i="4"/>
  <c r="K32" i="4" s="1"/>
  <c r="HZ34" i="2"/>
  <c r="I36" i="57"/>
  <c r="J35" i="57"/>
  <c r="K34" i="57" s="1"/>
  <c r="J35" i="3"/>
  <c r="K34" i="3" s="1"/>
  <c r="I36" i="3"/>
  <c r="K35" i="157"/>
  <c r="C33" i="155"/>
  <c r="CL33" i="2" s="1"/>
  <c r="E34" i="155"/>
  <c r="C31" i="135"/>
  <c r="E32" i="135"/>
  <c r="J32" i="135"/>
  <c r="K32" i="135" s="1"/>
  <c r="C30" i="85"/>
  <c r="E31" i="85"/>
  <c r="J31" i="85"/>
  <c r="K31" i="85" s="1"/>
  <c r="C32" i="35"/>
  <c r="E33" i="35"/>
  <c r="I38" i="16"/>
  <c r="J37" i="16"/>
  <c r="E33" i="48"/>
  <c r="C32" i="48"/>
  <c r="J33" i="48"/>
  <c r="K33" i="48" s="1"/>
  <c r="E31" i="173"/>
  <c r="C30" i="173"/>
  <c r="J31" i="173"/>
  <c r="K31" i="173" s="1"/>
  <c r="J34" i="140"/>
  <c r="I35" i="140"/>
  <c r="AJ34" i="1"/>
  <c r="N34" i="2"/>
  <c r="I37" i="157"/>
  <c r="J36" i="157"/>
  <c r="C33" i="42"/>
  <c r="E34" i="42"/>
  <c r="J34" i="42"/>
  <c r="K34" i="42" s="1"/>
  <c r="FV34" i="2"/>
  <c r="E32" i="83"/>
  <c r="C31" i="83"/>
  <c r="J32" i="83"/>
  <c r="K32" i="83" s="1"/>
  <c r="E34" i="6"/>
  <c r="C33" i="6"/>
  <c r="CA34" i="1"/>
  <c r="E34" i="152"/>
  <c r="C33" i="152"/>
  <c r="J34" i="152"/>
  <c r="K34" i="152" s="1"/>
  <c r="E34" i="93"/>
  <c r="C33" i="93"/>
  <c r="J34" i="93"/>
  <c r="K34" i="93" s="1"/>
  <c r="C32" i="122"/>
  <c r="E33" i="122"/>
  <c r="J33" i="122"/>
  <c r="K33" i="122" s="1"/>
  <c r="C29" i="111"/>
  <c r="E30" i="111"/>
  <c r="J30" i="111"/>
  <c r="K30" i="111" s="1"/>
  <c r="K37" i="59"/>
  <c r="K33" i="81"/>
  <c r="E34" i="100"/>
  <c r="C33" i="100"/>
  <c r="FK33" i="2" s="1"/>
  <c r="E33" i="89"/>
  <c r="C32" i="89"/>
  <c r="J33" i="89"/>
  <c r="K33" i="89" s="1"/>
  <c r="HN33" i="2"/>
  <c r="C33" i="58"/>
  <c r="CA33" i="2" s="1"/>
  <c r="E34" i="58"/>
  <c r="J36" i="149"/>
  <c r="K35" i="149" s="1"/>
  <c r="I37" i="149"/>
  <c r="C32" i="80"/>
  <c r="E33" i="80"/>
  <c r="J33" i="80"/>
  <c r="K33" i="80" s="1"/>
  <c r="C31" i="118"/>
  <c r="E32" i="118"/>
  <c r="J32" i="118"/>
  <c r="K32" i="118" s="1"/>
  <c r="E34" i="107"/>
  <c r="C33" i="107"/>
  <c r="J34" i="107"/>
  <c r="K34" i="107" s="1"/>
  <c r="C32" i="147"/>
  <c r="E33" i="147"/>
  <c r="I35" i="100"/>
  <c r="J34" i="100"/>
  <c r="K35" i="122"/>
  <c r="E29" i="30"/>
  <c r="C28" i="30"/>
  <c r="J29" i="30"/>
  <c r="K29" i="30" s="1"/>
  <c r="C30" i="51"/>
  <c r="E31" i="51"/>
  <c r="J31" i="51"/>
  <c r="K31" i="51" s="1"/>
  <c r="K35" i="62"/>
  <c r="K33" i="144"/>
  <c r="E31" i="141"/>
  <c r="C30" i="141"/>
  <c r="J31" i="141"/>
  <c r="K31" i="141" s="1"/>
  <c r="E34" i="136"/>
  <c r="C33" i="136"/>
  <c r="J34" i="136"/>
  <c r="K34" i="136" s="1"/>
  <c r="J35" i="119"/>
  <c r="I36" i="119"/>
  <c r="E34" i="28"/>
  <c r="C33" i="28"/>
  <c r="J34" i="28"/>
  <c r="K34" i="28" s="1"/>
  <c r="J34" i="166"/>
  <c r="K33" i="166" s="1"/>
  <c r="I35" i="166"/>
  <c r="I35" i="120"/>
  <c r="J34" i="120"/>
  <c r="K33" i="120" s="1"/>
  <c r="E31" i="39"/>
  <c r="C30" i="39"/>
  <c r="J31" i="39"/>
  <c r="K31" i="39" s="1"/>
  <c r="E33" i="71"/>
  <c r="C32" i="71"/>
  <c r="J33" i="71"/>
  <c r="K33" i="71" s="1"/>
  <c r="I54" i="150"/>
  <c r="J53" i="150"/>
  <c r="K52" i="150" s="1"/>
  <c r="I36" i="67"/>
  <c r="J35" i="67"/>
  <c r="K34" i="67" s="1"/>
  <c r="K34" i="18"/>
  <c r="I37" i="28"/>
  <c r="J36" i="28"/>
  <c r="K35" i="28" s="1"/>
  <c r="I35" i="146"/>
  <c r="J34" i="146"/>
  <c r="K33" i="146" s="1"/>
  <c r="C31" i="17"/>
  <c r="E32" i="17"/>
  <c r="J32" i="17"/>
  <c r="K32" i="17" s="1"/>
  <c r="C32" i="33"/>
  <c r="E33" i="33"/>
  <c r="J33" i="33"/>
  <c r="K33" i="33" s="1"/>
  <c r="HO34" i="2"/>
  <c r="C30" i="26"/>
  <c r="E31" i="26"/>
  <c r="J31" i="26"/>
  <c r="K31" i="26" s="1"/>
  <c r="I40" i="12"/>
  <c r="J39" i="12"/>
  <c r="IV34" i="2"/>
  <c r="K34" i="119"/>
  <c r="C30" i="159"/>
  <c r="E31" i="159"/>
  <c r="J31" i="159"/>
  <c r="K31" i="159" s="1"/>
  <c r="E32" i="57"/>
  <c r="C31" i="57"/>
  <c r="J32" i="57"/>
  <c r="K32" i="57" s="1"/>
  <c r="J34" i="34"/>
  <c r="I35" i="34"/>
  <c r="E33" i="70"/>
  <c r="C32" i="70"/>
  <c r="J33" i="70"/>
  <c r="K33" i="70" s="1"/>
  <c r="I39" i="42"/>
  <c r="J38" i="42"/>
  <c r="K37" i="42" s="1"/>
  <c r="E30" i="160"/>
  <c r="C29" i="160"/>
  <c r="J30" i="160"/>
  <c r="K30" i="160" s="1"/>
  <c r="E30" i="102"/>
  <c r="C29" i="102"/>
  <c r="J30" i="102"/>
  <c r="K30" i="102" s="1"/>
  <c r="I38" i="128"/>
  <c r="J37" i="128"/>
  <c r="K36" i="128" s="1"/>
  <c r="I37" i="115"/>
  <c r="J36" i="115"/>
  <c r="J38" i="94"/>
  <c r="I39" i="94"/>
  <c r="J37" i="89"/>
  <c r="I38" i="89"/>
  <c r="K33" i="137"/>
  <c r="E33" i="169"/>
  <c r="C32" i="169"/>
  <c r="HY33" i="2"/>
  <c r="J33" i="169"/>
  <c r="K33" i="169" s="1"/>
  <c r="I36" i="5"/>
  <c r="J35" i="5"/>
  <c r="J37" i="135"/>
  <c r="I38" i="135"/>
  <c r="I36" i="106"/>
  <c r="J35" i="106"/>
  <c r="K34" i="106" s="1"/>
  <c r="C32" i="151"/>
  <c r="E33" i="151"/>
  <c r="J33" i="151"/>
  <c r="K33" i="151" s="1"/>
  <c r="J35" i="161"/>
  <c r="K34" i="161" s="1"/>
  <c r="I36" i="161"/>
  <c r="J35" i="169"/>
  <c r="I36" i="169"/>
  <c r="I39" i="71"/>
  <c r="J38" i="71"/>
  <c r="I38" i="142"/>
  <c r="J37" i="142"/>
  <c r="C32" i="132"/>
  <c r="E33" i="132"/>
  <c r="J33" i="132"/>
  <c r="K33" i="132" s="1"/>
  <c r="K33" i="34"/>
  <c r="K32" i="34"/>
  <c r="C33" i="143"/>
  <c r="E34" i="143"/>
  <c r="I36" i="97"/>
  <c r="J35" i="97"/>
  <c r="K34" i="97" s="1"/>
  <c r="K35" i="115"/>
  <c r="J36" i="173"/>
  <c r="K35" i="173" s="1"/>
  <c r="I37" i="173"/>
  <c r="K37" i="74"/>
  <c r="K36" i="89"/>
  <c r="I37" i="129"/>
  <c r="J36" i="129"/>
  <c r="K35" i="129" s="1"/>
  <c r="E32" i="81"/>
  <c r="C31" i="81"/>
  <c r="J32" i="81"/>
  <c r="K32" i="81" s="1"/>
  <c r="J35" i="123"/>
  <c r="I36" i="123"/>
  <c r="C29" i="165"/>
  <c r="E30" i="165"/>
  <c r="J30" i="165"/>
  <c r="K30" i="165" s="1"/>
  <c r="I35" i="143"/>
  <c r="J34" i="143"/>
  <c r="K34" i="159"/>
  <c r="E34" i="56"/>
  <c r="C33" i="56"/>
  <c r="J36" i="63"/>
  <c r="K35" i="63" s="1"/>
  <c r="I37" i="63"/>
  <c r="C32" i="164"/>
  <c r="E33" i="164"/>
  <c r="J33" i="164"/>
  <c r="K33" i="164" s="1"/>
  <c r="E32" i="128"/>
  <c r="C31" i="128"/>
  <c r="J32" i="128"/>
  <c r="K32" i="128" s="1"/>
  <c r="E32" i="22"/>
  <c r="C31" i="22"/>
  <c r="J32" i="22"/>
  <c r="K32" i="22" s="1"/>
  <c r="C32" i="44"/>
  <c r="E33" i="44"/>
  <c r="J33" i="44"/>
  <c r="K33" i="44" s="1"/>
  <c r="K35" i="113"/>
  <c r="K34" i="123"/>
  <c r="I35" i="38"/>
  <c r="J34" i="38"/>
  <c r="K34" i="70"/>
  <c r="K35" i="9"/>
  <c r="C31" i="66"/>
  <c r="E32" i="66"/>
  <c r="J32" i="66"/>
  <c r="K32" i="66" s="1"/>
  <c r="BF35" i="2"/>
  <c r="I35" i="17"/>
  <c r="J34" i="17"/>
  <c r="K33" i="17" s="1"/>
  <c r="E32" i="75"/>
  <c r="C31" i="75"/>
  <c r="J32" i="75"/>
  <c r="K32" i="75" s="1"/>
  <c r="C28" i="146"/>
  <c r="E29" i="146"/>
  <c r="J29" i="146"/>
  <c r="K29" i="146" s="1"/>
  <c r="J34" i="105"/>
  <c r="I35" i="105"/>
  <c r="I35" i="171"/>
  <c r="J34" i="171"/>
  <c r="I35" i="110"/>
  <c r="J34" i="110"/>
  <c r="K33" i="110" s="1"/>
  <c r="I37" i="113"/>
  <c r="J36" i="113"/>
  <c r="K33" i="111"/>
  <c r="I36" i="84"/>
  <c r="J35" i="84"/>
  <c r="K34" i="84" s="1"/>
  <c r="Y35" i="2"/>
  <c r="K33" i="126"/>
  <c r="J35" i="50"/>
  <c r="I36" i="50"/>
  <c r="C33" i="172"/>
  <c r="E34" i="172"/>
  <c r="J34" i="172"/>
  <c r="K34" i="172" s="1"/>
  <c r="J37" i="136"/>
  <c r="K36" i="136" s="1"/>
  <c r="I38" i="136"/>
  <c r="E34" i="7"/>
  <c r="C33" i="7"/>
  <c r="AT34" i="1"/>
  <c r="J34" i="7"/>
  <c r="K34" i="7" s="1"/>
  <c r="N35" i="1"/>
  <c r="K36" i="59"/>
  <c r="J34" i="55"/>
  <c r="I35" i="55"/>
  <c r="I38" i="127"/>
  <c r="J37" i="127"/>
  <c r="K36" i="127" s="1"/>
  <c r="I40" i="61"/>
  <c r="J39" i="61"/>
  <c r="K38" i="61" s="1"/>
  <c r="AU35" i="1"/>
  <c r="C33" i="12"/>
  <c r="E34" i="12"/>
  <c r="X34" i="2"/>
  <c r="M34" i="1"/>
  <c r="J34" i="12"/>
  <c r="K34" i="12" s="1"/>
  <c r="I36" i="70"/>
  <c r="J35" i="70"/>
  <c r="I35" i="95"/>
  <c r="J34" i="95"/>
  <c r="C32" i="142"/>
  <c r="E33" i="142"/>
  <c r="J33" i="142"/>
  <c r="K33" i="142" s="1"/>
  <c r="E34" i="91"/>
  <c r="C33" i="91"/>
  <c r="K34" i="63"/>
  <c r="I38" i="107"/>
  <c r="J37" i="107"/>
  <c r="K36" i="107" s="1"/>
  <c r="K33" i="171"/>
  <c r="E34" i="90"/>
  <c r="C33" i="90"/>
  <c r="J37" i="117"/>
  <c r="K36" i="117" s="1"/>
  <c r="I38" i="117"/>
  <c r="K32" i="141"/>
  <c r="E33" i="162"/>
  <c r="C32" i="162"/>
  <c r="J33" i="162"/>
  <c r="K33" i="162" s="1"/>
  <c r="K36" i="22"/>
  <c r="I35" i="47"/>
  <c r="J34" i="47"/>
  <c r="K33" i="47" s="1"/>
  <c r="E32" i="148"/>
  <c r="C31" i="148"/>
  <c r="J32" i="148"/>
  <c r="K32" i="148" s="1"/>
  <c r="BQ35" i="2"/>
  <c r="J35" i="170"/>
  <c r="I36" i="170"/>
  <c r="E32" i="16"/>
  <c r="C31" i="16"/>
  <c r="J32" i="16"/>
  <c r="K32" i="16" s="1"/>
  <c r="J35" i="104"/>
  <c r="K34" i="104" s="1"/>
  <c r="I36" i="104"/>
  <c r="J33" i="95"/>
  <c r="E31" i="72"/>
  <c r="C30" i="72"/>
  <c r="J31" i="72"/>
  <c r="K31" i="72" s="1"/>
  <c r="J36" i="72"/>
  <c r="K35" i="72" s="1"/>
  <c r="I37" i="72"/>
  <c r="J34" i="40"/>
  <c r="K33" i="40" s="1"/>
  <c r="I35" i="40"/>
  <c r="E33" i="77"/>
  <c r="C32" i="77"/>
  <c r="J33" i="77"/>
  <c r="K33" i="77" s="1"/>
  <c r="C33" i="121"/>
  <c r="E34" i="121"/>
  <c r="X34" i="1"/>
  <c r="I38" i="51"/>
  <c r="J37" i="51"/>
  <c r="K36" i="51" s="1"/>
  <c r="I37" i="159"/>
  <c r="J36" i="159"/>
  <c r="K35" i="159" s="1"/>
  <c r="C33" i="52"/>
  <c r="X33" i="1" s="1"/>
  <c r="E34" i="52"/>
  <c r="BP34" i="2"/>
  <c r="J34" i="170"/>
  <c r="I35" i="91"/>
  <c r="J34" i="91"/>
  <c r="K33" i="57"/>
  <c r="J35" i="54"/>
  <c r="K34" i="54" s="1"/>
  <c r="I36" i="54"/>
  <c r="E32" i="65"/>
  <c r="C31" i="65"/>
  <c r="J32" i="65"/>
  <c r="K32" i="65" s="1"/>
  <c r="K34" i="108"/>
  <c r="J36" i="44"/>
  <c r="I37" i="44"/>
  <c r="I37" i="68"/>
  <c r="J36" i="68"/>
  <c r="K35" i="68" s="1"/>
  <c r="K35" i="13"/>
  <c r="E33" i="117"/>
  <c r="C32" i="117"/>
  <c r="J33" i="117"/>
  <c r="K33" i="117" s="1"/>
  <c r="K36" i="32"/>
  <c r="I36" i="19"/>
  <c r="J35" i="19"/>
  <c r="K34" i="19" s="1"/>
  <c r="I36" i="73"/>
  <c r="J35" i="73"/>
  <c r="K34" i="73" s="1"/>
  <c r="J36" i="139"/>
  <c r="I37" i="139"/>
  <c r="K38" i="75"/>
  <c r="K33" i="104"/>
  <c r="K34" i="156" l="1"/>
  <c r="C32" i="156"/>
  <c r="E33" i="156"/>
  <c r="J33" i="156"/>
  <c r="K33" i="156" s="1"/>
  <c r="E32" i="149"/>
  <c r="C31" i="149"/>
  <c r="J32" i="149"/>
  <c r="K32" i="149" s="1"/>
  <c r="C32" i="130"/>
  <c r="J33" i="130"/>
  <c r="K33" i="130" s="1"/>
  <c r="E33" i="130"/>
  <c r="E28" i="98"/>
  <c r="J28" i="98"/>
  <c r="K28" i="98" s="1"/>
  <c r="C27" i="98"/>
  <c r="J33" i="74"/>
  <c r="K33" i="74" s="1"/>
  <c r="E33" i="74"/>
  <c r="C32" i="74"/>
  <c r="E32" i="61"/>
  <c r="C31" i="61"/>
  <c r="J32" i="61"/>
  <c r="K32" i="61" s="1"/>
  <c r="E32" i="59"/>
  <c r="C31" i="59"/>
  <c r="J32" i="59"/>
  <c r="K32" i="59" s="1"/>
  <c r="AI33" i="2"/>
  <c r="J33" i="150"/>
  <c r="K33" i="150" s="1"/>
  <c r="C32" i="150"/>
  <c r="E33" i="150"/>
  <c r="AJ33" i="1"/>
  <c r="Y33" i="1"/>
  <c r="CM33" i="2"/>
  <c r="CB33" i="2"/>
  <c r="AJ33" i="2"/>
  <c r="CX32" i="2"/>
  <c r="FL33" i="2"/>
  <c r="K34" i="170"/>
  <c r="I36" i="40"/>
  <c r="J35" i="40"/>
  <c r="I36" i="55"/>
  <c r="J35" i="55"/>
  <c r="C31" i="114"/>
  <c r="E32" i="114"/>
  <c r="J32" i="114"/>
  <c r="K32" i="114" s="1"/>
  <c r="I38" i="118"/>
  <c r="J37" i="118"/>
  <c r="J36" i="86"/>
  <c r="I37" i="86"/>
  <c r="C28" i="43"/>
  <c r="E29" i="43"/>
  <c r="J29" i="43"/>
  <c r="K29" i="43" s="1"/>
  <c r="I37" i="49"/>
  <c r="J36" i="49"/>
  <c r="K35" i="49" s="1"/>
  <c r="J36" i="121"/>
  <c r="I37" i="121"/>
  <c r="I36" i="143"/>
  <c r="J35" i="143"/>
  <c r="J36" i="67"/>
  <c r="I37" i="67"/>
  <c r="J35" i="171"/>
  <c r="K34" i="171" s="1"/>
  <c r="I36" i="171"/>
  <c r="I38" i="173"/>
  <c r="J37" i="173"/>
  <c r="HZ33" i="2"/>
  <c r="C30" i="57"/>
  <c r="E31" i="57"/>
  <c r="J31" i="57"/>
  <c r="K31" i="57" s="1"/>
  <c r="C29" i="51"/>
  <c r="E30" i="51"/>
  <c r="J30" i="51"/>
  <c r="K30" i="51" s="1"/>
  <c r="I36" i="140"/>
  <c r="J35" i="140"/>
  <c r="K34" i="140" s="1"/>
  <c r="C32" i="92"/>
  <c r="E33" i="92"/>
  <c r="J33" i="92"/>
  <c r="K33" i="92" s="1"/>
  <c r="C28" i="131"/>
  <c r="E29" i="131"/>
  <c r="J29" i="131"/>
  <c r="K29" i="131" s="1"/>
  <c r="C31" i="108"/>
  <c r="E32" i="108"/>
  <c r="J32" i="108"/>
  <c r="K32" i="108" s="1"/>
  <c r="J36" i="114"/>
  <c r="I37" i="114"/>
  <c r="I36" i="45"/>
  <c r="J35" i="45"/>
  <c r="C30" i="126"/>
  <c r="E31" i="126"/>
  <c r="J31" i="126"/>
  <c r="K31" i="126" s="1"/>
  <c r="DI33" i="2"/>
  <c r="I39" i="122"/>
  <c r="J38" i="122"/>
  <c r="I38" i="68"/>
  <c r="J37" i="68"/>
  <c r="K36" i="68" s="1"/>
  <c r="I38" i="72"/>
  <c r="J37" i="72"/>
  <c r="K36" i="72" s="1"/>
  <c r="I36" i="105"/>
  <c r="J35" i="105"/>
  <c r="K34" i="105" s="1"/>
  <c r="E31" i="128"/>
  <c r="C30" i="128"/>
  <c r="J31" i="128"/>
  <c r="K31" i="128" s="1"/>
  <c r="C31" i="169"/>
  <c r="E32" i="169"/>
  <c r="J32" i="169"/>
  <c r="K32" i="169" s="1"/>
  <c r="J54" i="150"/>
  <c r="K53" i="150" s="1"/>
  <c r="I55" i="150"/>
  <c r="E30" i="120"/>
  <c r="C29" i="120"/>
  <c r="J30" i="120"/>
  <c r="K30" i="120" s="1"/>
  <c r="I36" i="11"/>
  <c r="J35" i="11"/>
  <c r="K34" i="11" s="1"/>
  <c r="E31" i="68"/>
  <c r="C30" i="68"/>
  <c r="J31" i="68"/>
  <c r="K31" i="68" s="1"/>
  <c r="C29" i="127"/>
  <c r="E30" i="127"/>
  <c r="J30" i="127"/>
  <c r="K30" i="127" s="1"/>
  <c r="C27" i="138"/>
  <c r="E28" i="138"/>
  <c r="J28" i="138"/>
  <c r="K28" i="138" s="1"/>
  <c r="J36" i="33"/>
  <c r="I37" i="33"/>
  <c r="J37" i="44"/>
  <c r="I38" i="44"/>
  <c r="E28" i="30"/>
  <c r="C27" i="30"/>
  <c r="J28" i="30"/>
  <c r="K28" i="30" s="1"/>
  <c r="E31" i="4"/>
  <c r="C30" i="4"/>
  <c r="J31" i="4"/>
  <c r="K31" i="4" s="1"/>
  <c r="E33" i="53"/>
  <c r="C32" i="53"/>
  <c r="J33" i="53"/>
  <c r="K33" i="53" s="1"/>
  <c r="C30" i="25"/>
  <c r="E31" i="25"/>
  <c r="J31" i="25"/>
  <c r="K31" i="25" s="1"/>
  <c r="CX33" i="2"/>
  <c r="E30" i="171"/>
  <c r="C29" i="171"/>
  <c r="J30" i="171"/>
  <c r="K30" i="171" s="1"/>
  <c r="K35" i="138"/>
  <c r="I37" i="80"/>
  <c r="J36" i="80"/>
  <c r="K37" i="48"/>
  <c r="C31" i="133"/>
  <c r="E32" i="133"/>
  <c r="J32" i="133"/>
  <c r="K32" i="133" s="1"/>
  <c r="DH32" i="2"/>
  <c r="I37" i="168"/>
  <c r="J36" i="168"/>
  <c r="I36" i="112"/>
  <c r="J35" i="112"/>
  <c r="I37" i="138"/>
  <c r="J36" i="138"/>
  <c r="FA33" i="2"/>
  <c r="BQ34" i="1"/>
  <c r="J38" i="48"/>
  <c r="I39" i="48"/>
  <c r="E30" i="123"/>
  <c r="C29" i="123"/>
  <c r="J30" i="123"/>
  <c r="K30" i="123" s="1"/>
  <c r="J36" i="97"/>
  <c r="K35" i="97" s="1"/>
  <c r="I37" i="97"/>
  <c r="J38" i="89"/>
  <c r="I39" i="89"/>
  <c r="C29" i="173"/>
  <c r="E30" i="173"/>
  <c r="J30" i="173"/>
  <c r="K30" i="173" s="1"/>
  <c r="I38" i="93"/>
  <c r="J37" i="93"/>
  <c r="IK33" i="2"/>
  <c r="C31" i="78"/>
  <c r="E32" i="78"/>
  <c r="J32" i="78"/>
  <c r="K32" i="78" s="1"/>
  <c r="I36" i="174"/>
  <c r="J35" i="174"/>
  <c r="E31" i="54"/>
  <c r="C30" i="54"/>
  <c r="J31" i="54"/>
  <c r="K31" i="54" s="1"/>
  <c r="I37" i="151"/>
  <c r="J36" i="151"/>
  <c r="K35" i="151" s="1"/>
  <c r="E31" i="103"/>
  <c r="C30" i="103"/>
  <c r="J31" i="103"/>
  <c r="K31" i="103" s="1"/>
  <c r="E32" i="134"/>
  <c r="C31" i="134"/>
  <c r="EZ32" i="2"/>
  <c r="J32" i="134"/>
  <c r="K32" i="134" s="1"/>
  <c r="HD34" i="2"/>
  <c r="C32" i="3"/>
  <c r="E33" i="3"/>
  <c r="J33" i="3"/>
  <c r="K33" i="3" s="1"/>
  <c r="E28" i="146"/>
  <c r="C27" i="146"/>
  <c r="J28" i="146"/>
  <c r="K28" i="146" s="1"/>
  <c r="E32" i="164"/>
  <c r="C31" i="164"/>
  <c r="J32" i="164"/>
  <c r="K32" i="164" s="1"/>
  <c r="K37" i="89"/>
  <c r="C29" i="159"/>
  <c r="E30" i="159"/>
  <c r="J30" i="159"/>
  <c r="K30" i="159" s="1"/>
  <c r="C28" i="111"/>
  <c r="E29" i="111"/>
  <c r="J29" i="111"/>
  <c r="K29" i="111" s="1"/>
  <c r="C31" i="13"/>
  <c r="E32" i="13"/>
  <c r="J32" i="13"/>
  <c r="K32" i="13" s="1"/>
  <c r="E33" i="8"/>
  <c r="C32" i="8"/>
  <c r="BP33" i="1"/>
  <c r="HC33" i="2"/>
  <c r="J33" i="8"/>
  <c r="K33" i="8" s="1"/>
  <c r="J35" i="96"/>
  <c r="I36" i="96"/>
  <c r="E33" i="174"/>
  <c r="C32" i="174"/>
  <c r="J33" i="174"/>
  <c r="K33" i="174" s="1"/>
  <c r="C30" i="113"/>
  <c r="E31" i="113"/>
  <c r="J31" i="113"/>
  <c r="K31" i="113" s="1"/>
  <c r="E32" i="71"/>
  <c r="C31" i="71"/>
  <c r="J32" i="71"/>
  <c r="K32" i="71" s="1"/>
  <c r="K34" i="100"/>
  <c r="E32" i="154"/>
  <c r="C31" i="154"/>
  <c r="J32" i="154"/>
  <c r="K32" i="154" s="1"/>
  <c r="J39" i="79"/>
  <c r="I40" i="79"/>
  <c r="C32" i="46"/>
  <c r="E33" i="46"/>
  <c r="J33" i="46"/>
  <c r="K33" i="46" s="1"/>
  <c r="E31" i="112"/>
  <c r="C30" i="112"/>
  <c r="J31" i="112"/>
  <c r="K31" i="112" s="1"/>
  <c r="E31" i="137"/>
  <c r="C30" i="137"/>
  <c r="J31" i="137"/>
  <c r="K31" i="137" s="1"/>
  <c r="J38" i="9"/>
  <c r="I39" i="9"/>
  <c r="I38" i="37"/>
  <c r="J37" i="37"/>
  <c r="K36" i="37" s="1"/>
  <c r="C30" i="65"/>
  <c r="E31" i="65"/>
  <c r="J31" i="65"/>
  <c r="K31" i="65" s="1"/>
  <c r="E33" i="143"/>
  <c r="C32" i="143"/>
  <c r="J33" i="143"/>
  <c r="K33" i="143" s="1"/>
  <c r="E30" i="39"/>
  <c r="C29" i="39"/>
  <c r="J30" i="39"/>
  <c r="K30" i="39" s="1"/>
  <c r="J35" i="100"/>
  <c r="I36" i="100"/>
  <c r="E32" i="48"/>
  <c r="C31" i="48"/>
  <c r="J32" i="48"/>
  <c r="K32" i="48" s="1"/>
  <c r="E28" i="166"/>
  <c r="C27" i="166"/>
  <c r="J28" i="166"/>
  <c r="K28" i="166" s="1"/>
  <c r="J38" i="29"/>
  <c r="K37" i="29" s="1"/>
  <c r="I39" i="29"/>
  <c r="E30" i="86"/>
  <c r="C29" i="86"/>
  <c r="J30" i="86"/>
  <c r="K30" i="86" s="1"/>
  <c r="C29" i="106"/>
  <c r="E30" i="106"/>
  <c r="J30" i="106"/>
  <c r="K30" i="106" s="1"/>
  <c r="I37" i="85"/>
  <c r="J36" i="85"/>
  <c r="K35" i="85" s="1"/>
  <c r="E32" i="88"/>
  <c r="C31" i="88"/>
  <c r="J32" i="88"/>
  <c r="K32" i="88" s="1"/>
  <c r="K37" i="9"/>
  <c r="J36" i="116"/>
  <c r="I37" i="116"/>
  <c r="E30" i="72"/>
  <c r="C29" i="72"/>
  <c r="J30" i="72"/>
  <c r="K30" i="72" s="1"/>
  <c r="I40" i="94"/>
  <c r="J39" i="94"/>
  <c r="K33" i="95"/>
  <c r="K38" i="94"/>
  <c r="E32" i="122"/>
  <c r="C31" i="122"/>
  <c r="J32" i="122"/>
  <c r="K32" i="122" s="1"/>
  <c r="C31" i="95"/>
  <c r="E32" i="95"/>
  <c r="J32" i="95"/>
  <c r="K32" i="95" s="1"/>
  <c r="C29" i="40"/>
  <c r="E30" i="40"/>
  <c r="J30" i="40"/>
  <c r="K30" i="40" s="1"/>
  <c r="K33" i="96"/>
  <c r="J37" i="18"/>
  <c r="K36" i="18" s="1"/>
  <c r="I38" i="18"/>
  <c r="I38" i="63"/>
  <c r="J37" i="63"/>
  <c r="C32" i="56"/>
  <c r="E33" i="56"/>
  <c r="J33" i="56"/>
  <c r="K33" i="56" s="1"/>
  <c r="J36" i="54"/>
  <c r="I37" i="54"/>
  <c r="J36" i="104"/>
  <c r="I37" i="104"/>
  <c r="I39" i="107"/>
  <c r="J38" i="107"/>
  <c r="K37" i="107" s="1"/>
  <c r="C31" i="147"/>
  <c r="E32" i="147"/>
  <c r="J32" i="147"/>
  <c r="K32" i="147" s="1"/>
  <c r="I38" i="41"/>
  <c r="J37" i="41"/>
  <c r="I36" i="125"/>
  <c r="J35" i="125"/>
  <c r="K34" i="125" s="1"/>
  <c r="K33" i="125"/>
  <c r="C30" i="99"/>
  <c r="E31" i="99"/>
  <c r="J31" i="99"/>
  <c r="K31" i="99" s="1"/>
  <c r="C32" i="170"/>
  <c r="E33" i="170"/>
  <c r="J33" i="170"/>
  <c r="K33" i="170" s="1"/>
  <c r="I41" i="133"/>
  <c r="J40" i="133"/>
  <c r="K39" i="133" s="1"/>
  <c r="E32" i="140"/>
  <c r="C31" i="140"/>
  <c r="J32" i="140"/>
  <c r="K32" i="140" s="1"/>
  <c r="I37" i="137"/>
  <c r="J36" i="137"/>
  <c r="J35" i="141"/>
  <c r="I36" i="141"/>
  <c r="BE33" i="2"/>
  <c r="J36" i="4"/>
  <c r="K35" i="4" s="1"/>
  <c r="I37" i="4"/>
  <c r="AU34" i="1"/>
  <c r="E33" i="7"/>
  <c r="C32" i="7"/>
  <c r="AT33" i="1"/>
  <c r="J33" i="7"/>
  <c r="K33" i="7" s="1"/>
  <c r="K36" i="63"/>
  <c r="K35" i="54"/>
  <c r="K37" i="71"/>
  <c r="I38" i="115"/>
  <c r="J37" i="115"/>
  <c r="K36" i="115" s="1"/>
  <c r="I41" i="12"/>
  <c r="J40" i="12"/>
  <c r="E33" i="93"/>
  <c r="C32" i="93"/>
  <c r="J33" i="93"/>
  <c r="K33" i="93" s="1"/>
  <c r="I39" i="16"/>
  <c r="J38" i="16"/>
  <c r="I40" i="32"/>
  <c r="J39" i="32"/>
  <c r="K38" i="32" s="1"/>
  <c r="K38" i="82"/>
  <c r="J37" i="165"/>
  <c r="K36" i="165" s="1"/>
  <c r="I38" i="165"/>
  <c r="E30" i="168"/>
  <c r="C29" i="168"/>
  <c r="J30" i="168"/>
  <c r="K30" i="168" s="1"/>
  <c r="C31" i="41"/>
  <c r="E32" i="41"/>
  <c r="J32" i="41"/>
  <c r="K32" i="41" s="1"/>
  <c r="C29" i="62"/>
  <c r="E30" i="62"/>
  <c r="J30" i="62"/>
  <c r="K30" i="62" s="1"/>
  <c r="E31" i="75"/>
  <c r="C30" i="75"/>
  <c r="J31" i="75"/>
  <c r="K31" i="75" s="1"/>
  <c r="I36" i="17"/>
  <c r="J35" i="17"/>
  <c r="K34" i="17" s="1"/>
  <c r="C32" i="91"/>
  <c r="E33" i="91"/>
  <c r="J33" i="91"/>
  <c r="K33" i="91" s="1"/>
  <c r="J38" i="101"/>
  <c r="K37" i="101" s="1"/>
  <c r="I39" i="101"/>
  <c r="J39" i="82"/>
  <c r="I40" i="82"/>
  <c r="E32" i="38"/>
  <c r="C31" i="38"/>
  <c r="J32" i="38"/>
  <c r="K32" i="38" s="1"/>
  <c r="J35" i="64"/>
  <c r="K34" i="64" s="1"/>
  <c r="I36" i="64"/>
  <c r="E32" i="79"/>
  <c r="C31" i="79"/>
  <c r="J32" i="79"/>
  <c r="K32" i="79" s="1"/>
  <c r="E29" i="45"/>
  <c r="C28" i="45"/>
  <c r="J29" i="45"/>
  <c r="K29" i="45" s="1"/>
  <c r="I36" i="120"/>
  <c r="J35" i="120"/>
  <c r="K34" i="120" s="1"/>
  <c r="E33" i="107"/>
  <c r="C32" i="107"/>
  <c r="J33" i="107"/>
  <c r="K33" i="107" s="1"/>
  <c r="I40" i="27"/>
  <c r="J39" i="27"/>
  <c r="K38" i="27" s="1"/>
  <c r="E31" i="16"/>
  <c r="C30" i="16"/>
  <c r="J31" i="16"/>
  <c r="K31" i="16" s="1"/>
  <c r="E32" i="132"/>
  <c r="C31" i="132"/>
  <c r="J32" i="132"/>
  <c r="K32" i="132" s="1"/>
  <c r="I36" i="166"/>
  <c r="J35" i="166"/>
  <c r="E32" i="35"/>
  <c r="C31" i="35"/>
  <c r="J32" i="35"/>
  <c r="K32" i="35" s="1"/>
  <c r="K34" i="58"/>
  <c r="I40" i="14"/>
  <c r="J39" i="14"/>
  <c r="K38" i="14" s="1"/>
  <c r="E31" i="9"/>
  <c r="C30" i="9"/>
  <c r="J31" i="9"/>
  <c r="K31" i="9" s="1"/>
  <c r="K36" i="66"/>
  <c r="I38" i="23"/>
  <c r="J37" i="23"/>
  <c r="K36" i="23" s="1"/>
  <c r="I38" i="92"/>
  <c r="J37" i="92"/>
  <c r="K35" i="37"/>
  <c r="I36" i="163"/>
  <c r="J35" i="163"/>
  <c r="J35" i="91"/>
  <c r="K34" i="91" s="1"/>
  <c r="I36" i="91"/>
  <c r="I39" i="136"/>
  <c r="J38" i="136"/>
  <c r="K34" i="143"/>
  <c r="E30" i="26"/>
  <c r="C29" i="26"/>
  <c r="J30" i="26"/>
  <c r="K30" i="26" s="1"/>
  <c r="C32" i="152"/>
  <c r="E33" i="152"/>
  <c r="J33" i="152"/>
  <c r="K33" i="152" s="1"/>
  <c r="I36" i="58"/>
  <c r="J35" i="58"/>
  <c r="C30" i="161"/>
  <c r="E31" i="161"/>
  <c r="J31" i="161"/>
  <c r="K31" i="161" s="1"/>
  <c r="E31" i="5"/>
  <c r="C30" i="5"/>
  <c r="J31" i="5"/>
  <c r="K31" i="5" s="1"/>
  <c r="J37" i="66"/>
  <c r="I38" i="66"/>
  <c r="I39" i="98"/>
  <c r="J38" i="98"/>
  <c r="E31" i="94"/>
  <c r="C30" i="94"/>
  <c r="J31" i="94"/>
  <c r="K31" i="94" s="1"/>
  <c r="E32" i="153"/>
  <c r="C31" i="153"/>
  <c r="J32" i="153"/>
  <c r="K32" i="153" s="1"/>
  <c r="J40" i="74"/>
  <c r="K39" i="74" s="1"/>
  <c r="I41" i="74"/>
  <c r="E30" i="84"/>
  <c r="C29" i="84"/>
  <c r="J30" i="84"/>
  <c r="K30" i="84" s="1"/>
  <c r="K34" i="163"/>
  <c r="C31" i="76"/>
  <c r="E32" i="76"/>
  <c r="J32" i="76"/>
  <c r="K32" i="76" s="1"/>
  <c r="C32" i="158"/>
  <c r="E33" i="158"/>
  <c r="J33" i="158"/>
  <c r="K33" i="158" s="1"/>
  <c r="I37" i="20"/>
  <c r="J36" i="20"/>
  <c r="I39" i="128"/>
  <c r="J38" i="128"/>
  <c r="C32" i="28"/>
  <c r="E33" i="28"/>
  <c r="J33" i="28"/>
  <c r="K33" i="28" s="1"/>
  <c r="C30" i="118"/>
  <c r="E31" i="118"/>
  <c r="J31" i="118"/>
  <c r="K31" i="118" s="1"/>
  <c r="CB34" i="1"/>
  <c r="C29" i="85"/>
  <c r="E30" i="85"/>
  <c r="J30" i="85"/>
  <c r="K30" i="85" s="1"/>
  <c r="K37" i="26"/>
  <c r="C30" i="110"/>
  <c r="E31" i="110"/>
  <c r="J31" i="110"/>
  <c r="K31" i="110" s="1"/>
  <c r="I38" i="10"/>
  <c r="J37" i="10"/>
  <c r="C29" i="115"/>
  <c r="E30" i="115"/>
  <c r="J30" i="115"/>
  <c r="K30" i="115" s="1"/>
  <c r="I37" i="162"/>
  <c r="J36" i="162"/>
  <c r="K34" i="147"/>
  <c r="GS34" i="2"/>
  <c r="I39" i="152"/>
  <c r="J38" i="152"/>
  <c r="K33" i="141"/>
  <c r="E32" i="31"/>
  <c r="C31" i="31"/>
  <c r="J32" i="31"/>
  <c r="K32" i="31" s="1"/>
  <c r="K34" i="160"/>
  <c r="E33" i="6"/>
  <c r="C32" i="6"/>
  <c r="CA33" i="1"/>
  <c r="IU33" i="2"/>
  <c r="J38" i="26"/>
  <c r="I39" i="26"/>
  <c r="E30" i="163"/>
  <c r="C29" i="163"/>
  <c r="J30" i="163"/>
  <c r="K30" i="163" s="1"/>
  <c r="E32" i="36"/>
  <c r="C31" i="36"/>
  <c r="J32" i="36"/>
  <c r="K32" i="36" s="1"/>
  <c r="C28" i="34"/>
  <c r="E29" i="34"/>
  <c r="J29" i="34"/>
  <c r="K29" i="34" s="1"/>
  <c r="K33" i="45"/>
  <c r="I36" i="147"/>
  <c r="J35" i="147"/>
  <c r="E30" i="37"/>
  <c r="C29" i="37"/>
  <c r="J30" i="37"/>
  <c r="K30" i="37" s="1"/>
  <c r="I41" i="134"/>
  <c r="J40" i="134"/>
  <c r="I36" i="160"/>
  <c r="J35" i="160"/>
  <c r="I40" i="71"/>
  <c r="J39" i="71"/>
  <c r="J35" i="95"/>
  <c r="I36" i="95"/>
  <c r="C28" i="165"/>
  <c r="E29" i="165"/>
  <c r="J29" i="165"/>
  <c r="K29" i="165" s="1"/>
  <c r="E29" i="102"/>
  <c r="C28" i="102"/>
  <c r="J29" i="102"/>
  <c r="K29" i="102" s="1"/>
  <c r="GS33" i="2"/>
  <c r="E31" i="18"/>
  <c r="C30" i="18"/>
  <c r="J31" i="18"/>
  <c r="K31" i="18" s="1"/>
  <c r="J35" i="81"/>
  <c r="K34" i="81" s="1"/>
  <c r="I36" i="81"/>
  <c r="E33" i="14"/>
  <c r="C32" i="14"/>
  <c r="J33" i="14"/>
  <c r="K33" i="14" s="1"/>
  <c r="K34" i="137"/>
  <c r="J38" i="62"/>
  <c r="K37" i="62" s="1"/>
  <c r="I39" i="62"/>
  <c r="K36" i="62"/>
  <c r="BQ34" i="2"/>
  <c r="J36" i="50"/>
  <c r="I37" i="50"/>
  <c r="I37" i="123"/>
  <c r="J36" i="123"/>
  <c r="K35" i="123" s="1"/>
  <c r="I37" i="169"/>
  <c r="J36" i="169"/>
  <c r="K35" i="169" s="1"/>
  <c r="M33" i="2"/>
  <c r="I37" i="119"/>
  <c r="J36" i="119"/>
  <c r="K35" i="119" s="1"/>
  <c r="EO33" i="2"/>
  <c r="I38" i="30"/>
  <c r="J37" i="30"/>
  <c r="E32" i="63"/>
  <c r="C31" i="63"/>
  <c r="J32" i="63"/>
  <c r="K32" i="63" s="1"/>
  <c r="K33" i="140"/>
  <c r="E33" i="55"/>
  <c r="C32" i="55"/>
  <c r="J33" i="55"/>
  <c r="K33" i="55" s="1"/>
  <c r="J36" i="126"/>
  <c r="K35" i="126" s="1"/>
  <c r="I37" i="126"/>
  <c r="I36" i="65"/>
  <c r="J35" i="65"/>
  <c r="C32" i="52"/>
  <c r="E33" i="52"/>
  <c r="BP33" i="2"/>
  <c r="J33" i="52"/>
  <c r="K33" i="52" s="1"/>
  <c r="E33" i="172"/>
  <c r="C32" i="172"/>
  <c r="J33" i="172"/>
  <c r="K33" i="172" s="1"/>
  <c r="J37" i="159"/>
  <c r="K36" i="159" s="1"/>
  <c r="I38" i="159"/>
  <c r="E31" i="148"/>
  <c r="C30" i="148"/>
  <c r="J31" i="148"/>
  <c r="K31" i="148" s="1"/>
  <c r="I37" i="70"/>
  <c r="J36" i="70"/>
  <c r="K35" i="70" s="1"/>
  <c r="K35" i="50"/>
  <c r="K34" i="50"/>
  <c r="E32" i="80"/>
  <c r="C31" i="80"/>
  <c r="J32" i="80"/>
  <c r="K32" i="80" s="1"/>
  <c r="E31" i="135"/>
  <c r="C30" i="135"/>
  <c r="J31" i="135"/>
  <c r="K31" i="135" s="1"/>
  <c r="EE34" i="2"/>
  <c r="C30" i="60"/>
  <c r="E31" i="60"/>
  <c r="J31" i="60"/>
  <c r="K31" i="60" s="1"/>
  <c r="K34" i="36"/>
  <c r="I36" i="109"/>
  <c r="J35" i="109"/>
  <c r="I37" i="87"/>
  <c r="J36" i="87"/>
  <c r="K35" i="87" s="1"/>
  <c r="E31" i="116"/>
  <c r="C30" i="116"/>
  <c r="J31" i="116"/>
  <c r="K31" i="116" s="1"/>
  <c r="C31" i="125"/>
  <c r="E32" i="125"/>
  <c r="J32" i="125"/>
  <c r="K32" i="125" s="1"/>
  <c r="E32" i="145"/>
  <c r="C31" i="145"/>
  <c r="J32" i="145"/>
  <c r="K32" i="145" s="1"/>
  <c r="K36" i="122"/>
  <c r="J40" i="75"/>
  <c r="K39" i="75" s="1"/>
  <c r="I41" i="75"/>
  <c r="E33" i="27"/>
  <c r="C32" i="27"/>
  <c r="J33" i="27"/>
  <c r="K33" i="27" s="1"/>
  <c r="E31" i="66"/>
  <c r="C30" i="66"/>
  <c r="J31" i="66"/>
  <c r="K31" i="66" s="1"/>
  <c r="K33" i="38"/>
  <c r="J36" i="161"/>
  <c r="K35" i="161" s="1"/>
  <c r="I37" i="161"/>
  <c r="C31" i="33"/>
  <c r="E32" i="33"/>
  <c r="M32" i="2"/>
  <c r="J32" i="33"/>
  <c r="K32" i="33" s="1"/>
  <c r="E31" i="83"/>
  <c r="C30" i="83"/>
  <c r="J31" i="83"/>
  <c r="K31" i="83" s="1"/>
  <c r="I37" i="153"/>
  <c r="J36" i="153"/>
  <c r="C32" i="109"/>
  <c r="E33" i="109"/>
  <c r="ED33" i="2"/>
  <c r="J33" i="109"/>
  <c r="K33" i="109" s="1"/>
  <c r="E31" i="19"/>
  <c r="C30" i="19"/>
  <c r="J31" i="19"/>
  <c r="K31" i="19" s="1"/>
  <c r="E32" i="97"/>
  <c r="C31" i="97"/>
  <c r="EO32" i="2"/>
  <c r="J32" i="97"/>
  <c r="K32" i="97" s="1"/>
  <c r="K35" i="111"/>
  <c r="I36" i="36"/>
  <c r="J35" i="36"/>
  <c r="C30" i="104"/>
  <c r="E31" i="104"/>
  <c r="J31" i="104"/>
  <c r="K31" i="104" s="1"/>
  <c r="AU34" i="2"/>
  <c r="K34" i="109"/>
  <c r="J36" i="103"/>
  <c r="K35" i="103" s="1"/>
  <c r="I37" i="103"/>
  <c r="E30" i="47"/>
  <c r="C29" i="47"/>
  <c r="J30" i="47"/>
  <c r="K30" i="47" s="1"/>
  <c r="E30" i="73"/>
  <c r="C29" i="73"/>
  <c r="J30" i="73"/>
  <c r="K30" i="73" s="1"/>
  <c r="C27" i="157"/>
  <c r="E28" i="157"/>
  <c r="J28" i="157"/>
  <c r="K28" i="157" s="1"/>
  <c r="E32" i="23"/>
  <c r="C31" i="23"/>
  <c r="J32" i="23"/>
  <c r="K32" i="23" s="1"/>
  <c r="K35" i="139"/>
  <c r="E29" i="160"/>
  <c r="C28" i="160"/>
  <c r="J29" i="160"/>
  <c r="K29" i="160" s="1"/>
  <c r="E33" i="136"/>
  <c r="C32" i="136"/>
  <c r="J33" i="136"/>
  <c r="K33" i="136" s="1"/>
  <c r="I38" i="149"/>
  <c r="J37" i="149"/>
  <c r="K36" i="149" s="1"/>
  <c r="E31" i="11"/>
  <c r="C30" i="11"/>
  <c r="J31" i="11"/>
  <c r="K31" i="11" s="1"/>
  <c r="DT32" i="2"/>
  <c r="I37" i="111"/>
  <c r="J36" i="111"/>
  <c r="K34" i="21"/>
  <c r="E28" i="32"/>
  <c r="C27" i="32"/>
  <c r="J28" i="32"/>
  <c r="K28" i="32" s="1"/>
  <c r="E33" i="50"/>
  <c r="C32" i="50"/>
  <c r="AT33" i="2"/>
  <c r="J33" i="50"/>
  <c r="K33" i="50" s="1"/>
  <c r="I39" i="77"/>
  <c r="J38" i="77"/>
  <c r="K37" i="77" s="1"/>
  <c r="I38" i="158"/>
  <c r="J37" i="158"/>
  <c r="K36" i="158" s="1"/>
  <c r="I37" i="31"/>
  <c r="J36" i="31"/>
  <c r="K35" i="31" s="1"/>
  <c r="K37" i="128"/>
  <c r="FW34" i="2"/>
  <c r="I37" i="21"/>
  <c r="J36" i="21"/>
  <c r="K35" i="21" s="1"/>
  <c r="I40" i="22"/>
  <c r="J39" i="22"/>
  <c r="K38" i="22" s="1"/>
  <c r="I36" i="148"/>
  <c r="J35" i="148"/>
  <c r="K34" i="148" s="1"/>
  <c r="E32" i="20"/>
  <c r="C31" i="20"/>
  <c r="J32" i="20"/>
  <c r="K32" i="20" s="1"/>
  <c r="K33" i="112"/>
  <c r="I39" i="156"/>
  <c r="J38" i="156"/>
  <c r="K33" i="36"/>
  <c r="E32" i="142"/>
  <c r="C31" i="142"/>
  <c r="J32" i="142"/>
  <c r="K32" i="142" s="1"/>
  <c r="C30" i="81"/>
  <c r="E31" i="81"/>
  <c r="J31" i="81"/>
  <c r="K31" i="81" s="1"/>
  <c r="K38" i="42"/>
  <c r="E31" i="17"/>
  <c r="C30" i="17"/>
  <c r="J31" i="17"/>
  <c r="K31" i="17" s="1"/>
  <c r="IK34" i="2"/>
  <c r="I38" i="60"/>
  <c r="J37" i="60"/>
  <c r="K36" i="60" s="1"/>
  <c r="I38" i="25"/>
  <c r="J37" i="25"/>
  <c r="K36" i="25" s="1"/>
  <c r="J36" i="53"/>
  <c r="K35" i="53" s="1"/>
  <c r="I37" i="53"/>
  <c r="C29" i="124"/>
  <c r="E30" i="124"/>
  <c r="J30" i="124"/>
  <c r="K30" i="124" s="1"/>
  <c r="C31" i="101"/>
  <c r="E32" i="101"/>
  <c r="J32" i="101"/>
  <c r="K32" i="101" s="1"/>
  <c r="K35" i="92"/>
  <c r="J40" i="46"/>
  <c r="I41" i="46"/>
  <c r="K33" i="65"/>
  <c r="K35" i="18"/>
  <c r="I36" i="47"/>
  <c r="J35" i="47"/>
  <c r="K34" i="47" s="1"/>
  <c r="I40" i="42"/>
  <c r="J39" i="42"/>
  <c r="C29" i="141"/>
  <c r="E30" i="141"/>
  <c r="J30" i="141"/>
  <c r="K30" i="141" s="1"/>
  <c r="E33" i="58"/>
  <c r="C32" i="58"/>
  <c r="CA32" i="2" s="1"/>
  <c r="J33" i="58"/>
  <c r="K33" i="58" s="1"/>
  <c r="E33" i="155"/>
  <c r="C32" i="155"/>
  <c r="J33" i="155"/>
  <c r="K33" i="155" s="1"/>
  <c r="J36" i="76"/>
  <c r="I37" i="76"/>
  <c r="K35" i="60"/>
  <c r="C30" i="129"/>
  <c r="E31" i="129"/>
  <c r="J31" i="129"/>
  <c r="K31" i="129" s="1"/>
  <c r="DS31" i="2"/>
  <c r="C31" i="15"/>
  <c r="E32" i="15"/>
  <c r="J32" i="15"/>
  <c r="K32" i="15" s="1"/>
  <c r="K34" i="138"/>
  <c r="J36" i="39"/>
  <c r="I37" i="39"/>
  <c r="I38" i="139"/>
  <c r="J37" i="139"/>
  <c r="K36" i="139" s="1"/>
  <c r="Y34" i="1"/>
  <c r="E32" i="151"/>
  <c r="C31" i="151"/>
  <c r="J32" i="151"/>
  <c r="K32" i="151" s="1"/>
  <c r="K34" i="146"/>
  <c r="E32" i="162"/>
  <c r="C31" i="162"/>
  <c r="J32" i="162"/>
  <c r="K32" i="162" s="1"/>
  <c r="K34" i="169"/>
  <c r="I36" i="146"/>
  <c r="J35" i="146"/>
  <c r="HO33" i="2"/>
  <c r="E33" i="42"/>
  <c r="C32" i="42"/>
  <c r="J33" i="42"/>
  <c r="K33" i="42" s="1"/>
  <c r="FV33" i="2"/>
  <c r="I41" i="145"/>
  <c r="J40" i="145"/>
  <c r="I36" i="8"/>
  <c r="J35" i="8"/>
  <c r="K35" i="76"/>
  <c r="J38" i="164"/>
  <c r="I39" i="164"/>
  <c r="I41" i="15"/>
  <c r="J40" i="15"/>
  <c r="E33" i="29"/>
  <c r="C32" i="29"/>
  <c r="BE32" i="2" s="1"/>
  <c r="J33" i="29"/>
  <c r="K33" i="29" s="1"/>
  <c r="J36" i="144"/>
  <c r="I37" i="144"/>
  <c r="K33" i="64"/>
  <c r="I38" i="167"/>
  <c r="J37" i="167"/>
  <c r="K36" i="167" s="1"/>
  <c r="J38" i="132"/>
  <c r="K37" i="132" s="1"/>
  <c r="I39" i="132"/>
  <c r="E32" i="96"/>
  <c r="C31" i="96"/>
  <c r="J32" i="96"/>
  <c r="K32" i="96" s="1"/>
  <c r="K37" i="51"/>
  <c r="N34" i="1"/>
  <c r="J35" i="38"/>
  <c r="I36" i="38"/>
  <c r="I37" i="73"/>
  <c r="J36" i="73"/>
  <c r="E32" i="44"/>
  <c r="C31" i="44"/>
  <c r="J32" i="44"/>
  <c r="K32" i="44" s="1"/>
  <c r="I37" i="106"/>
  <c r="J36" i="106"/>
  <c r="C31" i="70"/>
  <c r="E32" i="70"/>
  <c r="J32" i="70"/>
  <c r="K32" i="70" s="1"/>
  <c r="K38" i="12"/>
  <c r="J36" i="3"/>
  <c r="I37" i="3"/>
  <c r="K35" i="88"/>
  <c r="K37" i="164"/>
  <c r="I39" i="78"/>
  <c r="J38" i="78"/>
  <c r="K37" i="78" s="1"/>
  <c r="J35" i="35"/>
  <c r="K34" i="35" s="1"/>
  <c r="I36" i="35"/>
  <c r="E26" i="82"/>
  <c r="C25" i="82"/>
  <c r="J26" i="82"/>
  <c r="K26" i="82" s="1"/>
  <c r="K35" i="155"/>
  <c r="C27" i="87"/>
  <c r="E28" i="87"/>
  <c r="J28" i="87"/>
  <c r="K28" i="87" s="1"/>
  <c r="I36" i="130"/>
  <c r="J35" i="130"/>
  <c r="K34" i="130" s="1"/>
  <c r="J37" i="83"/>
  <c r="K36" i="83" s="1"/>
  <c r="I38" i="83"/>
  <c r="K33" i="147"/>
  <c r="J37" i="99"/>
  <c r="I38" i="99"/>
  <c r="J35" i="43"/>
  <c r="K34" i="43" s="1"/>
  <c r="I36" i="43"/>
  <c r="K34" i="116"/>
  <c r="C30" i="167"/>
  <c r="E31" i="167"/>
  <c r="J31" i="167"/>
  <c r="K31" i="167" s="1"/>
  <c r="C31" i="10"/>
  <c r="E32" i="10"/>
  <c r="J32" i="10"/>
  <c r="K32" i="10" s="1"/>
  <c r="I37" i="170"/>
  <c r="J36" i="170"/>
  <c r="K35" i="170" s="1"/>
  <c r="J38" i="142"/>
  <c r="K37" i="142" s="1"/>
  <c r="I39" i="142"/>
  <c r="I37" i="19"/>
  <c r="J36" i="19"/>
  <c r="C32" i="121"/>
  <c r="E33" i="121"/>
  <c r="J33" i="121"/>
  <c r="K33" i="121" s="1"/>
  <c r="I39" i="135"/>
  <c r="J38" i="135"/>
  <c r="K37" i="135" s="1"/>
  <c r="I38" i="28"/>
  <c r="J37" i="28"/>
  <c r="K36" i="28" s="1"/>
  <c r="C31" i="89"/>
  <c r="E32" i="89"/>
  <c r="J32" i="89"/>
  <c r="K32" i="89" s="1"/>
  <c r="HN32" i="2"/>
  <c r="J37" i="157"/>
  <c r="K36" i="157" s="1"/>
  <c r="I38" i="157"/>
  <c r="K35" i="3"/>
  <c r="I37" i="88"/>
  <c r="J36" i="88"/>
  <c r="K34" i="69"/>
  <c r="J36" i="155"/>
  <c r="I37" i="155"/>
  <c r="K37" i="13"/>
  <c r="I36" i="102"/>
  <c r="J35" i="102"/>
  <c r="K34" i="102" s="1"/>
  <c r="C29" i="69"/>
  <c r="E30" i="69"/>
  <c r="J30" i="69"/>
  <c r="K30" i="69" s="1"/>
  <c r="Y34" i="2"/>
  <c r="I37" i="84"/>
  <c r="J36" i="84"/>
  <c r="K35" i="84" s="1"/>
  <c r="J38" i="117"/>
  <c r="K37" i="117" s="1"/>
  <c r="I39" i="117"/>
  <c r="J37" i="113"/>
  <c r="I38" i="113"/>
  <c r="K33" i="105"/>
  <c r="I38" i="129"/>
  <c r="J37" i="129"/>
  <c r="I36" i="34"/>
  <c r="J35" i="34"/>
  <c r="K34" i="34" s="1"/>
  <c r="K37" i="94"/>
  <c r="K35" i="57"/>
  <c r="K37" i="172"/>
  <c r="J35" i="69"/>
  <c r="I36" i="69"/>
  <c r="I37" i="154"/>
  <c r="J36" i="154"/>
  <c r="K35" i="154" s="1"/>
  <c r="K34" i="126"/>
  <c r="J38" i="13"/>
  <c r="I39" i="13"/>
  <c r="E32" i="119"/>
  <c r="C31" i="119"/>
  <c r="J32" i="119"/>
  <c r="K32" i="119" s="1"/>
  <c r="K35" i="44"/>
  <c r="E33" i="12"/>
  <c r="C32" i="12"/>
  <c r="M33" i="1"/>
  <c r="X33" i="2"/>
  <c r="J33" i="12"/>
  <c r="K33" i="12" s="1"/>
  <c r="K35" i="5"/>
  <c r="K34" i="5"/>
  <c r="I37" i="57"/>
  <c r="J36" i="57"/>
  <c r="J40" i="7"/>
  <c r="K39" i="7" s="1"/>
  <c r="I41" i="7"/>
  <c r="C28" i="105"/>
  <c r="E29" i="105"/>
  <c r="J29" i="105"/>
  <c r="K29" i="105" s="1"/>
  <c r="I40" i="24"/>
  <c r="I39" i="172"/>
  <c r="J38" i="172"/>
  <c r="I37" i="52"/>
  <c r="J36" i="52"/>
  <c r="K35" i="52" s="1"/>
  <c r="C30" i="64"/>
  <c r="E31" i="64"/>
  <c r="J31" i="64"/>
  <c r="K31" i="64" s="1"/>
  <c r="C30" i="67"/>
  <c r="E31" i="67"/>
  <c r="J31" i="67"/>
  <c r="K31" i="67" s="1"/>
  <c r="C32" i="49"/>
  <c r="E33" i="49"/>
  <c r="J33" i="49"/>
  <c r="K33" i="49" s="1"/>
  <c r="K36" i="9"/>
  <c r="E31" i="139"/>
  <c r="C30" i="139"/>
  <c r="J31" i="139"/>
  <c r="K31" i="139" s="1"/>
  <c r="J39" i="59"/>
  <c r="I37" i="108"/>
  <c r="J36" i="108"/>
  <c r="K35" i="108" s="1"/>
  <c r="K34" i="53"/>
  <c r="I39" i="51"/>
  <c r="J38" i="51"/>
  <c r="K35" i="73"/>
  <c r="I41" i="61"/>
  <c r="J40" i="61"/>
  <c r="C31" i="117"/>
  <c r="E32" i="117"/>
  <c r="J32" i="117"/>
  <c r="K32" i="117" s="1"/>
  <c r="E32" i="77"/>
  <c r="C31" i="77"/>
  <c r="J32" i="77"/>
  <c r="K32" i="77" s="1"/>
  <c r="C32" i="90"/>
  <c r="E33" i="90"/>
  <c r="J33" i="90"/>
  <c r="K33" i="90" s="1"/>
  <c r="J38" i="127"/>
  <c r="K37" i="127" s="1"/>
  <c r="I39" i="127"/>
  <c r="J35" i="110"/>
  <c r="K34" i="110" s="1"/>
  <c r="I36" i="110"/>
  <c r="E31" i="22"/>
  <c r="C30" i="22"/>
  <c r="J31" i="22"/>
  <c r="K31" i="22" s="1"/>
  <c r="I37" i="5"/>
  <c r="J36" i="5"/>
  <c r="K36" i="142"/>
  <c r="K35" i="67"/>
  <c r="E33" i="100"/>
  <c r="C32" i="100"/>
  <c r="J33" i="100"/>
  <c r="K33" i="100" s="1"/>
  <c r="K36" i="135"/>
  <c r="K36" i="118"/>
  <c r="E32" i="21"/>
  <c r="C31" i="21"/>
  <c r="J32" i="21"/>
  <c r="K32" i="21" s="1"/>
  <c r="K34" i="85"/>
  <c r="I37" i="131"/>
  <c r="J36" i="131"/>
  <c r="E31" i="144"/>
  <c r="C30" i="144"/>
  <c r="J31" i="144"/>
  <c r="K31" i="144" s="1"/>
  <c r="I36" i="90"/>
  <c r="J35" i="90"/>
  <c r="I38" i="124"/>
  <c r="J37" i="124"/>
  <c r="K36" i="124" s="1"/>
  <c r="K35" i="121"/>
  <c r="J36" i="56"/>
  <c r="K35" i="56" s="1"/>
  <c r="I37" i="56"/>
  <c r="K34" i="52"/>
  <c r="C31" i="156" l="1"/>
  <c r="E32" i="156"/>
  <c r="J32" i="156"/>
  <c r="K32" i="156" s="1"/>
  <c r="E31" i="149"/>
  <c r="J31" i="149"/>
  <c r="K31" i="149" s="1"/>
  <c r="C30" i="149"/>
  <c r="C31" i="130"/>
  <c r="E32" i="130"/>
  <c r="J32" i="130"/>
  <c r="K32" i="130" s="1"/>
  <c r="E27" i="98"/>
  <c r="C26" i="98"/>
  <c r="J27" i="98"/>
  <c r="K27" i="98" s="1"/>
  <c r="E32" i="74"/>
  <c r="J32" i="74"/>
  <c r="K32" i="74" s="1"/>
  <c r="C31" i="74"/>
  <c r="C30" i="61"/>
  <c r="E31" i="61"/>
  <c r="J31" i="61"/>
  <c r="K31" i="61" s="1"/>
  <c r="E31" i="59"/>
  <c r="C30" i="59"/>
  <c r="J31" i="59"/>
  <c r="K31" i="59" s="1"/>
  <c r="E32" i="150"/>
  <c r="C31" i="150"/>
  <c r="J32" i="150"/>
  <c r="K32" i="150" s="1"/>
  <c r="CB32" i="2"/>
  <c r="BF32" i="2"/>
  <c r="C29" i="22"/>
  <c r="E30" i="22"/>
  <c r="J30" i="22"/>
  <c r="K30" i="22" s="1"/>
  <c r="I39" i="149"/>
  <c r="J38" i="149"/>
  <c r="K37" i="149" s="1"/>
  <c r="I40" i="13"/>
  <c r="J39" i="13"/>
  <c r="I38" i="52"/>
  <c r="J37" i="52"/>
  <c r="J37" i="154"/>
  <c r="I38" i="154"/>
  <c r="E30" i="167"/>
  <c r="C29" i="167"/>
  <c r="J30" i="167"/>
  <c r="K30" i="167" s="1"/>
  <c r="I38" i="39"/>
  <c r="J37" i="39"/>
  <c r="J36" i="47"/>
  <c r="K35" i="47" s="1"/>
  <c r="I37" i="47"/>
  <c r="C31" i="109"/>
  <c r="E32" i="109"/>
  <c r="ED32" i="2"/>
  <c r="J32" i="109"/>
  <c r="K32" i="109" s="1"/>
  <c r="C29" i="116"/>
  <c r="E30" i="116"/>
  <c r="J30" i="116"/>
  <c r="K30" i="116" s="1"/>
  <c r="I37" i="141"/>
  <c r="J36" i="141"/>
  <c r="I38" i="104"/>
  <c r="J37" i="104"/>
  <c r="E31" i="48"/>
  <c r="C30" i="48"/>
  <c r="J31" i="48"/>
  <c r="K31" i="48" s="1"/>
  <c r="C29" i="54"/>
  <c r="E30" i="54"/>
  <c r="J30" i="54"/>
  <c r="K30" i="54" s="1"/>
  <c r="I38" i="86"/>
  <c r="J37" i="86"/>
  <c r="E31" i="79"/>
  <c r="C30" i="79"/>
  <c r="J31" i="79"/>
  <c r="K31" i="79" s="1"/>
  <c r="C28" i="168"/>
  <c r="E29" i="168"/>
  <c r="J29" i="168"/>
  <c r="K29" i="168" s="1"/>
  <c r="K35" i="141"/>
  <c r="K36" i="104"/>
  <c r="I41" i="79"/>
  <c r="J40" i="79"/>
  <c r="K39" i="79" s="1"/>
  <c r="I38" i="138"/>
  <c r="J37" i="138"/>
  <c r="K36" i="138" s="1"/>
  <c r="E30" i="128"/>
  <c r="C29" i="128"/>
  <c r="J30" i="128"/>
  <c r="K30" i="128" s="1"/>
  <c r="I37" i="140"/>
  <c r="J36" i="140"/>
  <c r="K35" i="140" s="1"/>
  <c r="J37" i="84"/>
  <c r="I38" i="84"/>
  <c r="I37" i="36"/>
  <c r="J36" i="36"/>
  <c r="C31" i="27"/>
  <c r="E32" i="27"/>
  <c r="J32" i="27"/>
  <c r="K32" i="27" s="1"/>
  <c r="C29" i="18"/>
  <c r="E30" i="18"/>
  <c r="J30" i="18"/>
  <c r="K30" i="18" s="1"/>
  <c r="J41" i="74"/>
  <c r="I42" i="74"/>
  <c r="I42" i="15"/>
  <c r="J41" i="15"/>
  <c r="I40" i="156"/>
  <c r="J39" i="156"/>
  <c r="AU33" i="2"/>
  <c r="E27" i="157"/>
  <c r="C26" i="157"/>
  <c r="J27" i="157"/>
  <c r="K27" i="157" s="1"/>
  <c r="I38" i="153"/>
  <c r="J37" i="153"/>
  <c r="K36" i="153" s="1"/>
  <c r="BQ33" i="2"/>
  <c r="I41" i="71"/>
  <c r="J40" i="71"/>
  <c r="K39" i="71" s="1"/>
  <c r="E32" i="28"/>
  <c r="C31" i="28"/>
  <c r="J32" i="28"/>
  <c r="K32" i="28" s="1"/>
  <c r="C29" i="5"/>
  <c r="E30" i="5"/>
  <c r="J30" i="5"/>
  <c r="K30" i="5" s="1"/>
  <c r="C29" i="9"/>
  <c r="E30" i="9"/>
  <c r="J30" i="9"/>
  <c r="K30" i="9" s="1"/>
  <c r="I38" i="54"/>
  <c r="J37" i="54"/>
  <c r="K36" i="54" s="1"/>
  <c r="I37" i="100"/>
  <c r="J36" i="100"/>
  <c r="K35" i="100" s="1"/>
  <c r="E28" i="111"/>
  <c r="C27" i="111"/>
  <c r="J28" i="111"/>
  <c r="K28" i="111" s="1"/>
  <c r="I40" i="132"/>
  <c r="J39" i="132"/>
  <c r="K38" i="132" s="1"/>
  <c r="J37" i="106"/>
  <c r="K36" i="106" s="1"/>
  <c r="I38" i="106"/>
  <c r="I40" i="164"/>
  <c r="J39" i="164"/>
  <c r="K38" i="164" s="1"/>
  <c r="J41" i="46"/>
  <c r="K40" i="46" s="1"/>
  <c r="I42" i="46"/>
  <c r="C31" i="50"/>
  <c r="E32" i="50"/>
  <c r="AT32" i="2"/>
  <c r="J32" i="50"/>
  <c r="K32" i="50" s="1"/>
  <c r="I38" i="87"/>
  <c r="J37" i="87"/>
  <c r="K35" i="160"/>
  <c r="E31" i="31"/>
  <c r="C30" i="31"/>
  <c r="J31" i="31"/>
  <c r="K31" i="31" s="1"/>
  <c r="I37" i="64"/>
  <c r="J36" i="64"/>
  <c r="J37" i="137"/>
  <c r="I38" i="137"/>
  <c r="IJ32" i="2"/>
  <c r="J36" i="174"/>
  <c r="K35" i="174" s="1"/>
  <c r="I37" i="174"/>
  <c r="J36" i="112"/>
  <c r="K35" i="112" s="1"/>
  <c r="I37" i="112"/>
  <c r="I39" i="44"/>
  <c r="J38" i="44"/>
  <c r="I39" i="118"/>
  <c r="J38" i="118"/>
  <c r="K37" i="118" s="1"/>
  <c r="J39" i="172"/>
  <c r="K38" i="172" s="1"/>
  <c r="I40" i="172"/>
  <c r="E32" i="52"/>
  <c r="C31" i="52"/>
  <c r="BP32" i="2"/>
  <c r="J32" i="52"/>
  <c r="K32" i="52" s="1"/>
  <c r="I37" i="160"/>
  <c r="J36" i="160"/>
  <c r="J39" i="128"/>
  <c r="K38" i="128" s="1"/>
  <c r="I40" i="128"/>
  <c r="K35" i="64"/>
  <c r="I39" i="165"/>
  <c r="J38" i="165"/>
  <c r="K37" i="165" s="1"/>
  <c r="K36" i="168"/>
  <c r="K37" i="44"/>
  <c r="J36" i="105"/>
  <c r="I37" i="105"/>
  <c r="E29" i="51"/>
  <c r="C28" i="51"/>
  <c r="J29" i="51"/>
  <c r="K29" i="51" s="1"/>
  <c r="I39" i="99"/>
  <c r="J38" i="99"/>
  <c r="J37" i="131"/>
  <c r="I38" i="131"/>
  <c r="K37" i="99"/>
  <c r="E31" i="44"/>
  <c r="C30" i="44"/>
  <c r="J31" i="44"/>
  <c r="K31" i="44" s="1"/>
  <c r="C30" i="20"/>
  <c r="E31" i="20"/>
  <c r="J31" i="20"/>
  <c r="K31" i="20" s="1"/>
  <c r="C28" i="73"/>
  <c r="E29" i="73"/>
  <c r="J29" i="73"/>
  <c r="K29" i="73" s="1"/>
  <c r="E30" i="83"/>
  <c r="C29" i="83"/>
  <c r="J30" i="83"/>
  <c r="K30" i="83" s="1"/>
  <c r="I37" i="109"/>
  <c r="J36" i="109"/>
  <c r="K35" i="109" s="1"/>
  <c r="K34" i="95"/>
  <c r="I40" i="62"/>
  <c r="J39" i="62"/>
  <c r="K38" i="62" s="1"/>
  <c r="J40" i="14"/>
  <c r="K39" i="14" s="1"/>
  <c r="I41" i="14"/>
  <c r="J40" i="94"/>
  <c r="K39" i="94" s="1"/>
  <c r="I41" i="94"/>
  <c r="E29" i="39"/>
  <c r="C28" i="39"/>
  <c r="J29" i="39"/>
  <c r="K29" i="39" s="1"/>
  <c r="C30" i="154"/>
  <c r="E31" i="154"/>
  <c r="J31" i="154"/>
  <c r="K31" i="154" s="1"/>
  <c r="IJ31" i="2"/>
  <c r="I38" i="168"/>
  <c r="J37" i="168"/>
  <c r="I38" i="33"/>
  <c r="J37" i="33"/>
  <c r="I42" i="61"/>
  <c r="J41" i="61"/>
  <c r="J37" i="88"/>
  <c r="I38" i="88"/>
  <c r="C27" i="105"/>
  <c r="E28" i="105"/>
  <c r="J28" i="105"/>
  <c r="K28" i="105" s="1"/>
  <c r="C26" i="32"/>
  <c r="E27" i="32"/>
  <c r="J27" i="32"/>
  <c r="K27" i="32" s="1"/>
  <c r="K39" i="134"/>
  <c r="AI32" i="2"/>
  <c r="E29" i="159"/>
  <c r="C28" i="159"/>
  <c r="J29" i="159"/>
  <c r="K29" i="159" s="1"/>
  <c r="E31" i="78"/>
  <c r="C30" i="78"/>
  <c r="J31" i="78"/>
  <c r="K31" i="78" s="1"/>
  <c r="DI32" i="2"/>
  <c r="J38" i="72"/>
  <c r="K37" i="72" s="1"/>
  <c r="I39" i="72"/>
  <c r="E31" i="162"/>
  <c r="C30" i="162"/>
  <c r="J31" i="162"/>
  <c r="K31" i="162" s="1"/>
  <c r="J36" i="43"/>
  <c r="I37" i="43"/>
  <c r="J39" i="51"/>
  <c r="K38" i="51" s="1"/>
  <c r="I40" i="51"/>
  <c r="J41" i="7"/>
  <c r="K40" i="7" s="1"/>
  <c r="I42" i="7"/>
  <c r="J38" i="157"/>
  <c r="K37" i="157" s="1"/>
  <c r="I39" i="157"/>
  <c r="K35" i="144"/>
  <c r="I37" i="8"/>
  <c r="J36" i="8"/>
  <c r="K39" i="46"/>
  <c r="K34" i="65"/>
  <c r="J41" i="134"/>
  <c r="I42" i="134"/>
  <c r="K35" i="20"/>
  <c r="I38" i="20"/>
  <c r="J37" i="20"/>
  <c r="K36" i="20" s="1"/>
  <c r="C30" i="38"/>
  <c r="E31" i="38"/>
  <c r="J31" i="38"/>
  <c r="K31" i="38" s="1"/>
  <c r="E31" i="140"/>
  <c r="C30" i="140"/>
  <c r="J31" i="140"/>
  <c r="K31" i="140" s="1"/>
  <c r="E32" i="56"/>
  <c r="C31" i="56"/>
  <c r="J32" i="56"/>
  <c r="K32" i="56" s="1"/>
  <c r="C28" i="72"/>
  <c r="E29" i="72"/>
  <c r="J29" i="72"/>
  <c r="K29" i="72" s="1"/>
  <c r="C31" i="155"/>
  <c r="E32" i="155"/>
  <c r="J32" i="155"/>
  <c r="K32" i="155" s="1"/>
  <c r="E31" i="21"/>
  <c r="C30" i="21"/>
  <c r="J31" i="21"/>
  <c r="K31" i="21" s="1"/>
  <c r="I37" i="65"/>
  <c r="J36" i="65"/>
  <c r="K35" i="65" s="1"/>
  <c r="C29" i="161"/>
  <c r="E30" i="161"/>
  <c r="J30" i="161"/>
  <c r="K30" i="161" s="1"/>
  <c r="K37" i="63"/>
  <c r="C31" i="143"/>
  <c r="E32" i="143"/>
  <c r="J32" i="143"/>
  <c r="K32" i="143" s="1"/>
  <c r="J38" i="68"/>
  <c r="K37" i="68" s="1"/>
  <c r="I39" i="68"/>
  <c r="E30" i="57"/>
  <c r="C29" i="57"/>
  <c r="J30" i="57"/>
  <c r="K30" i="57" s="1"/>
  <c r="C30" i="70"/>
  <c r="E31" i="70"/>
  <c r="J31" i="70"/>
  <c r="K31" i="70" s="1"/>
  <c r="K36" i="39"/>
  <c r="C29" i="144"/>
  <c r="E30" i="144"/>
  <c r="J30" i="144"/>
  <c r="K30" i="144" s="1"/>
  <c r="C30" i="117"/>
  <c r="E31" i="117"/>
  <c r="J31" i="117"/>
  <c r="K31" i="117" s="1"/>
  <c r="I41" i="24"/>
  <c r="I37" i="69"/>
  <c r="J36" i="69"/>
  <c r="E31" i="15"/>
  <c r="C30" i="15"/>
  <c r="J31" i="15"/>
  <c r="K31" i="15" s="1"/>
  <c r="N32" i="2"/>
  <c r="I37" i="34"/>
  <c r="J36" i="34"/>
  <c r="K35" i="34" s="1"/>
  <c r="HO32" i="2"/>
  <c r="I42" i="145"/>
  <c r="J41" i="145"/>
  <c r="K39" i="15"/>
  <c r="E29" i="47"/>
  <c r="C28" i="47"/>
  <c r="J29" i="47"/>
  <c r="K29" i="47" s="1"/>
  <c r="E30" i="60"/>
  <c r="C29" i="60"/>
  <c r="J30" i="60"/>
  <c r="K30" i="60" s="1"/>
  <c r="I38" i="126"/>
  <c r="J37" i="126"/>
  <c r="E29" i="37"/>
  <c r="C28" i="37"/>
  <c r="J29" i="37"/>
  <c r="K29" i="37" s="1"/>
  <c r="J39" i="152"/>
  <c r="K38" i="152" s="1"/>
  <c r="I40" i="152"/>
  <c r="K35" i="58"/>
  <c r="C30" i="35"/>
  <c r="E31" i="35"/>
  <c r="J31" i="35"/>
  <c r="K31" i="35" s="1"/>
  <c r="I41" i="82"/>
  <c r="J40" i="82"/>
  <c r="I39" i="63"/>
  <c r="J38" i="63"/>
  <c r="C30" i="164"/>
  <c r="E31" i="164"/>
  <c r="J31" i="164"/>
  <c r="K31" i="164" s="1"/>
  <c r="E31" i="133"/>
  <c r="C30" i="133"/>
  <c r="J31" i="133"/>
  <c r="K31" i="133" s="1"/>
  <c r="DH31" i="2"/>
  <c r="K36" i="44"/>
  <c r="C30" i="114"/>
  <c r="E31" i="114"/>
  <c r="J31" i="114"/>
  <c r="K31" i="114" s="1"/>
  <c r="I39" i="83"/>
  <c r="J38" i="83"/>
  <c r="I38" i="73"/>
  <c r="J37" i="73"/>
  <c r="K36" i="73" s="1"/>
  <c r="K40" i="145"/>
  <c r="C30" i="101"/>
  <c r="E31" i="101"/>
  <c r="J31" i="101"/>
  <c r="K31" i="101" s="1"/>
  <c r="I38" i="108"/>
  <c r="J37" i="108"/>
  <c r="K36" i="108" s="1"/>
  <c r="J37" i="57"/>
  <c r="K36" i="57" s="1"/>
  <c r="I38" i="57"/>
  <c r="K35" i="130"/>
  <c r="I37" i="38"/>
  <c r="J36" i="38"/>
  <c r="FW33" i="2"/>
  <c r="I37" i="148"/>
  <c r="J36" i="148"/>
  <c r="K35" i="148" s="1"/>
  <c r="C30" i="33"/>
  <c r="E31" i="33"/>
  <c r="J31" i="33"/>
  <c r="K31" i="33" s="1"/>
  <c r="E32" i="158"/>
  <c r="C31" i="158"/>
  <c r="J32" i="158"/>
  <c r="K32" i="158" s="1"/>
  <c r="I37" i="58"/>
  <c r="J36" i="58"/>
  <c r="J40" i="32"/>
  <c r="K39" i="32" s="1"/>
  <c r="I41" i="32"/>
  <c r="J41" i="133"/>
  <c r="I42" i="133"/>
  <c r="E31" i="71"/>
  <c r="C30" i="71"/>
  <c r="J31" i="71"/>
  <c r="K31" i="71" s="1"/>
  <c r="I39" i="93"/>
  <c r="J38" i="93"/>
  <c r="E27" i="138"/>
  <c r="C26" i="138"/>
  <c r="J27" i="138"/>
  <c r="K27" i="138" s="1"/>
  <c r="K35" i="33"/>
  <c r="K37" i="129"/>
  <c r="I37" i="130"/>
  <c r="J36" i="130"/>
  <c r="C28" i="124"/>
  <c r="E29" i="124"/>
  <c r="J29" i="124"/>
  <c r="K29" i="124" s="1"/>
  <c r="J37" i="111"/>
  <c r="I38" i="111"/>
  <c r="I38" i="103"/>
  <c r="J37" i="103"/>
  <c r="K36" i="103" s="1"/>
  <c r="I38" i="161"/>
  <c r="J37" i="161"/>
  <c r="K37" i="152"/>
  <c r="I40" i="101"/>
  <c r="J39" i="101"/>
  <c r="J38" i="18"/>
  <c r="I39" i="18"/>
  <c r="I38" i="116"/>
  <c r="J37" i="116"/>
  <c r="K36" i="80"/>
  <c r="K35" i="168"/>
  <c r="K35" i="55"/>
  <c r="I39" i="129"/>
  <c r="J38" i="129"/>
  <c r="E31" i="89"/>
  <c r="C30" i="89"/>
  <c r="J31" i="89"/>
  <c r="K31" i="89" s="1"/>
  <c r="C31" i="42"/>
  <c r="E32" i="42"/>
  <c r="J32" i="42"/>
  <c r="K32" i="42" s="1"/>
  <c r="FV32" i="2"/>
  <c r="DT31" i="2"/>
  <c r="K39" i="22"/>
  <c r="I40" i="16"/>
  <c r="J39" i="16"/>
  <c r="K38" i="16" s="1"/>
  <c r="K36" i="116"/>
  <c r="E30" i="65"/>
  <c r="C29" i="65"/>
  <c r="J30" i="65"/>
  <c r="K30" i="65" s="1"/>
  <c r="E27" i="146"/>
  <c r="C26" i="146"/>
  <c r="J27" i="146"/>
  <c r="K27" i="146" s="1"/>
  <c r="J37" i="80"/>
  <c r="I38" i="80"/>
  <c r="J39" i="122"/>
  <c r="K38" i="122" s="1"/>
  <c r="I40" i="122"/>
  <c r="I39" i="173"/>
  <c r="J38" i="173"/>
  <c r="I37" i="55"/>
  <c r="J36" i="55"/>
  <c r="C31" i="12"/>
  <c r="E32" i="12"/>
  <c r="X32" i="2"/>
  <c r="M32" i="1"/>
  <c r="J32" i="12"/>
  <c r="K32" i="12" s="1"/>
  <c r="E32" i="100"/>
  <c r="C31" i="100"/>
  <c r="J32" i="100"/>
  <c r="K32" i="100" s="1"/>
  <c r="C29" i="135"/>
  <c r="E30" i="135"/>
  <c r="J30" i="135"/>
  <c r="K30" i="135" s="1"/>
  <c r="C31" i="55"/>
  <c r="E32" i="55"/>
  <c r="J32" i="55"/>
  <c r="K32" i="55" s="1"/>
  <c r="E32" i="14"/>
  <c r="C31" i="14"/>
  <c r="J32" i="14"/>
  <c r="K32" i="14" s="1"/>
  <c r="GR32" i="2"/>
  <c r="J36" i="147"/>
  <c r="I37" i="147"/>
  <c r="K36" i="162"/>
  <c r="C31" i="152"/>
  <c r="M31" i="2" s="1"/>
  <c r="E32" i="152"/>
  <c r="J32" i="152"/>
  <c r="K32" i="152" s="1"/>
  <c r="E32" i="170"/>
  <c r="C31" i="170"/>
  <c r="J32" i="170"/>
  <c r="K32" i="170" s="1"/>
  <c r="K34" i="141"/>
  <c r="I37" i="171"/>
  <c r="J36" i="171"/>
  <c r="E30" i="139"/>
  <c r="C29" i="139"/>
  <c r="J30" i="139"/>
  <c r="K30" i="139" s="1"/>
  <c r="I39" i="113"/>
  <c r="J38" i="113"/>
  <c r="K37" i="113" s="1"/>
  <c r="I39" i="28"/>
  <c r="J38" i="28"/>
  <c r="K37" i="28" s="1"/>
  <c r="E27" i="87"/>
  <c r="C26" i="87"/>
  <c r="J27" i="87"/>
  <c r="K27" i="87" s="1"/>
  <c r="K34" i="38"/>
  <c r="J37" i="162"/>
  <c r="I38" i="162"/>
  <c r="E31" i="76"/>
  <c r="C30" i="76"/>
  <c r="J31" i="76"/>
  <c r="K31" i="76" s="1"/>
  <c r="K34" i="166"/>
  <c r="C30" i="132"/>
  <c r="E31" i="132"/>
  <c r="J31" i="132"/>
  <c r="K31" i="132" s="1"/>
  <c r="E32" i="93"/>
  <c r="C31" i="93"/>
  <c r="J32" i="93"/>
  <c r="K32" i="93" s="1"/>
  <c r="J38" i="37"/>
  <c r="K37" i="37" s="1"/>
  <c r="I39" i="37"/>
  <c r="C29" i="113"/>
  <c r="E30" i="113"/>
  <c r="J30" i="113"/>
  <c r="K30" i="113" s="1"/>
  <c r="E29" i="173"/>
  <c r="C28" i="173"/>
  <c r="J29" i="173"/>
  <c r="K29" i="173" s="1"/>
  <c r="C28" i="127"/>
  <c r="E29" i="127"/>
  <c r="J29" i="127"/>
  <c r="K29" i="127" s="1"/>
  <c r="J36" i="40"/>
  <c r="K35" i="40" s="1"/>
  <c r="I37" i="40"/>
  <c r="E30" i="129"/>
  <c r="C29" i="129"/>
  <c r="J30" i="129"/>
  <c r="K30" i="129" s="1"/>
  <c r="DS30" i="2"/>
  <c r="K36" i="21"/>
  <c r="K35" i="162"/>
  <c r="C31" i="91"/>
  <c r="E32" i="91"/>
  <c r="J32" i="91"/>
  <c r="K32" i="91" s="1"/>
  <c r="FK32" i="2"/>
  <c r="K35" i="116"/>
  <c r="I40" i="89"/>
  <c r="J39" i="89"/>
  <c r="K38" i="89" s="1"/>
  <c r="C28" i="171"/>
  <c r="E29" i="171"/>
  <c r="J29" i="171"/>
  <c r="K29" i="171" s="1"/>
  <c r="K35" i="80"/>
  <c r="K34" i="55"/>
  <c r="J39" i="117"/>
  <c r="I40" i="117"/>
  <c r="J39" i="135"/>
  <c r="I40" i="135"/>
  <c r="E31" i="80"/>
  <c r="C30" i="80"/>
  <c r="J31" i="80"/>
  <c r="K31" i="80" s="1"/>
  <c r="CL32" i="2"/>
  <c r="I37" i="81"/>
  <c r="J36" i="81"/>
  <c r="E29" i="26"/>
  <c r="C28" i="26"/>
  <c r="J29" i="26"/>
  <c r="K29" i="26" s="1"/>
  <c r="E30" i="99"/>
  <c r="C29" i="99"/>
  <c r="J30" i="99"/>
  <c r="K30" i="99" s="1"/>
  <c r="E31" i="88"/>
  <c r="C30" i="88"/>
  <c r="FK31" i="2"/>
  <c r="J31" i="88"/>
  <c r="K31" i="88" s="1"/>
  <c r="J39" i="9"/>
  <c r="K38" i="9" s="1"/>
  <c r="I40" i="9"/>
  <c r="E32" i="174"/>
  <c r="C31" i="174"/>
  <c r="J32" i="174"/>
  <c r="K32" i="174" s="1"/>
  <c r="K34" i="40"/>
  <c r="K38" i="71"/>
  <c r="E32" i="49"/>
  <c r="C31" i="49"/>
  <c r="J32" i="49"/>
  <c r="K32" i="49" s="1"/>
  <c r="I37" i="166"/>
  <c r="J36" i="166"/>
  <c r="I38" i="53"/>
  <c r="J37" i="53"/>
  <c r="J40" i="22"/>
  <c r="I41" i="22"/>
  <c r="K36" i="129"/>
  <c r="E25" i="82"/>
  <c r="C24" i="82"/>
  <c r="J25" i="82"/>
  <c r="K25" i="82" s="1"/>
  <c r="C30" i="96"/>
  <c r="E31" i="96"/>
  <c r="J31" i="96"/>
  <c r="K31" i="96" s="1"/>
  <c r="J36" i="146"/>
  <c r="I37" i="146"/>
  <c r="J37" i="76"/>
  <c r="I38" i="76"/>
  <c r="K35" i="81"/>
  <c r="E29" i="115"/>
  <c r="C28" i="115"/>
  <c r="J29" i="115"/>
  <c r="K29" i="115" s="1"/>
  <c r="E30" i="16"/>
  <c r="C29" i="16"/>
  <c r="J30" i="16"/>
  <c r="K30" i="16" s="1"/>
  <c r="K35" i="17"/>
  <c r="J41" i="12"/>
  <c r="I42" i="12"/>
  <c r="I38" i="97"/>
  <c r="J37" i="97"/>
  <c r="K36" i="97" s="1"/>
  <c r="E30" i="68"/>
  <c r="C29" i="68"/>
  <c r="J30" i="68"/>
  <c r="K30" i="68" s="1"/>
  <c r="E30" i="126"/>
  <c r="C29" i="126"/>
  <c r="J30" i="126"/>
  <c r="K30" i="126" s="1"/>
  <c r="J40" i="59"/>
  <c r="K39" i="59" s="1"/>
  <c r="K35" i="147"/>
  <c r="I39" i="25"/>
  <c r="J38" i="25"/>
  <c r="K37" i="25" s="1"/>
  <c r="J37" i="21"/>
  <c r="I38" i="21"/>
  <c r="C29" i="11"/>
  <c r="E30" i="11"/>
  <c r="J30" i="11"/>
  <c r="K30" i="11" s="1"/>
  <c r="C29" i="66"/>
  <c r="E30" i="66"/>
  <c r="J30" i="66"/>
  <c r="K30" i="66" s="1"/>
  <c r="K39" i="61"/>
  <c r="I38" i="5"/>
  <c r="J37" i="5"/>
  <c r="K36" i="5" s="1"/>
  <c r="K36" i="113"/>
  <c r="K35" i="106"/>
  <c r="K36" i="76"/>
  <c r="J38" i="60"/>
  <c r="I39" i="60"/>
  <c r="K35" i="153"/>
  <c r="E30" i="104"/>
  <c r="C29" i="104"/>
  <c r="J30" i="104"/>
  <c r="K30" i="104" s="1"/>
  <c r="E31" i="63"/>
  <c r="C30" i="63"/>
  <c r="J31" i="63"/>
  <c r="K31" i="63" s="1"/>
  <c r="C27" i="34"/>
  <c r="E28" i="34"/>
  <c r="J28" i="34"/>
  <c r="K28" i="34" s="1"/>
  <c r="C28" i="84"/>
  <c r="E29" i="84"/>
  <c r="J29" i="84"/>
  <c r="K29" i="84" s="1"/>
  <c r="J36" i="17"/>
  <c r="I37" i="17"/>
  <c r="K35" i="137"/>
  <c r="J36" i="96"/>
  <c r="K35" i="96" s="1"/>
  <c r="I37" i="96"/>
  <c r="E32" i="3"/>
  <c r="C31" i="3"/>
  <c r="J32" i="3"/>
  <c r="K32" i="3" s="1"/>
  <c r="I38" i="67"/>
  <c r="J37" i="67"/>
  <c r="K36" i="67" s="1"/>
  <c r="K35" i="146"/>
  <c r="Y33" i="2"/>
  <c r="K36" i="84"/>
  <c r="I37" i="35"/>
  <c r="J36" i="35"/>
  <c r="K35" i="35" s="1"/>
  <c r="K35" i="39"/>
  <c r="K34" i="8"/>
  <c r="K35" i="36"/>
  <c r="K36" i="10"/>
  <c r="J38" i="10"/>
  <c r="I39" i="10"/>
  <c r="J38" i="115"/>
  <c r="K37" i="115" s="1"/>
  <c r="I39" i="115"/>
  <c r="J36" i="125"/>
  <c r="K35" i="125" s="1"/>
  <c r="I37" i="125"/>
  <c r="I38" i="85"/>
  <c r="J37" i="85"/>
  <c r="K36" i="85" s="1"/>
  <c r="C29" i="137"/>
  <c r="E30" i="137"/>
  <c r="J30" i="137"/>
  <c r="K30" i="137" s="1"/>
  <c r="K34" i="96"/>
  <c r="J36" i="45"/>
  <c r="K35" i="45" s="1"/>
  <c r="I37" i="45"/>
  <c r="E32" i="121"/>
  <c r="C31" i="121"/>
  <c r="J32" i="121"/>
  <c r="K32" i="121" s="1"/>
  <c r="I37" i="11"/>
  <c r="J36" i="11"/>
  <c r="K35" i="11" s="1"/>
  <c r="I38" i="114"/>
  <c r="J37" i="114"/>
  <c r="C30" i="36"/>
  <c r="E31" i="36"/>
  <c r="J31" i="36"/>
  <c r="K31" i="36" s="1"/>
  <c r="K40" i="74"/>
  <c r="I40" i="136"/>
  <c r="J39" i="136"/>
  <c r="K38" i="136" s="1"/>
  <c r="I41" i="27"/>
  <c r="J40" i="27"/>
  <c r="K39" i="27" s="1"/>
  <c r="J38" i="41"/>
  <c r="K37" i="41" s="1"/>
  <c r="I39" i="41"/>
  <c r="HD33" i="2"/>
  <c r="E30" i="25"/>
  <c r="C29" i="25"/>
  <c r="J30" i="25"/>
  <c r="K30" i="25" s="1"/>
  <c r="K36" i="114"/>
  <c r="J36" i="143"/>
  <c r="I37" i="143"/>
  <c r="J36" i="110"/>
  <c r="I37" i="110"/>
  <c r="J37" i="19"/>
  <c r="I38" i="19"/>
  <c r="I40" i="78"/>
  <c r="J39" i="78"/>
  <c r="K38" i="78" s="1"/>
  <c r="E30" i="17"/>
  <c r="C29" i="17"/>
  <c r="J30" i="17"/>
  <c r="K30" i="17" s="1"/>
  <c r="E32" i="136"/>
  <c r="C31" i="136"/>
  <c r="J32" i="136"/>
  <c r="K32" i="136" s="1"/>
  <c r="I42" i="75"/>
  <c r="J41" i="75"/>
  <c r="EP33" i="2"/>
  <c r="K36" i="30"/>
  <c r="E30" i="110"/>
  <c r="C29" i="110"/>
  <c r="J30" i="110"/>
  <c r="K30" i="110" s="1"/>
  <c r="I37" i="91"/>
  <c r="J36" i="91"/>
  <c r="C28" i="40"/>
  <c r="E29" i="40"/>
  <c r="J29" i="40"/>
  <c r="K29" i="40" s="1"/>
  <c r="C28" i="106"/>
  <c r="E29" i="106"/>
  <c r="J29" i="106"/>
  <c r="K29" i="106" s="1"/>
  <c r="BQ33" i="1"/>
  <c r="E29" i="120"/>
  <c r="C28" i="120"/>
  <c r="J29" i="120"/>
  <c r="K29" i="120" s="1"/>
  <c r="K37" i="122"/>
  <c r="J39" i="142"/>
  <c r="K38" i="142" s="1"/>
  <c r="I40" i="142"/>
  <c r="J38" i="167"/>
  <c r="I39" i="167"/>
  <c r="K35" i="19"/>
  <c r="EP32" i="2"/>
  <c r="E31" i="153"/>
  <c r="C30" i="153"/>
  <c r="J31" i="153"/>
  <c r="K31" i="153" s="1"/>
  <c r="C31" i="107"/>
  <c r="E32" i="107"/>
  <c r="J32" i="107"/>
  <c r="K32" i="107" s="1"/>
  <c r="C29" i="75"/>
  <c r="E30" i="75"/>
  <c r="J30" i="75"/>
  <c r="K30" i="75" s="1"/>
  <c r="K37" i="16"/>
  <c r="CW31" i="2"/>
  <c r="C31" i="8"/>
  <c r="E32" i="8"/>
  <c r="HC32" i="2"/>
  <c r="BP32" i="1"/>
  <c r="J32" i="8"/>
  <c r="K32" i="8" s="1"/>
  <c r="FA32" i="2"/>
  <c r="E29" i="123"/>
  <c r="C28" i="123"/>
  <c r="J29" i="123"/>
  <c r="K29" i="123" s="1"/>
  <c r="I38" i="121"/>
  <c r="J37" i="121"/>
  <c r="K36" i="121" s="1"/>
  <c r="I39" i="30"/>
  <c r="J38" i="30"/>
  <c r="K37" i="30" s="1"/>
  <c r="K37" i="136"/>
  <c r="C30" i="97"/>
  <c r="E31" i="97"/>
  <c r="EO31" i="2"/>
  <c r="J31" i="97"/>
  <c r="K31" i="97" s="1"/>
  <c r="I38" i="70"/>
  <c r="J37" i="70"/>
  <c r="K36" i="70" s="1"/>
  <c r="J37" i="119"/>
  <c r="I38" i="119"/>
  <c r="E29" i="163"/>
  <c r="C28" i="163"/>
  <c r="J29" i="163"/>
  <c r="K29" i="163" s="1"/>
  <c r="AU33" i="1"/>
  <c r="C28" i="86"/>
  <c r="E29" i="86"/>
  <c r="J29" i="86"/>
  <c r="K29" i="86" s="1"/>
  <c r="C29" i="112"/>
  <c r="E30" i="112"/>
  <c r="J30" i="112"/>
  <c r="K30" i="112" s="1"/>
  <c r="C30" i="134"/>
  <c r="E31" i="134"/>
  <c r="EZ31" i="2"/>
  <c r="J31" i="134"/>
  <c r="K31" i="134" s="1"/>
  <c r="E32" i="53"/>
  <c r="C31" i="53"/>
  <c r="J32" i="53"/>
  <c r="K32" i="53" s="1"/>
  <c r="C30" i="108"/>
  <c r="E31" i="108"/>
  <c r="J31" i="108"/>
  <c r="K31" i="108" s="1"/>
  <c r="K38" i="59"/>
  <c r="K34" i="90"/>
  <c r="E29" i="69"/>
  <c r="C28" i="69"/>
  <c r="J29" i="69"/>
  <c r="K29" i="69" s="1"/>
  <c r="K39" i="145"/>
  <c r="K36" i="99"/>
  <c r="K37" i="156"/>
  <c r="N33" i="2"/>
  <c r="I37" i="163"/>
  <c r="J36" i="163"/>
  <c r="C31" i="7"/>
  <c r="E32" i="7"/>
  <c r="AT32" i="1"/>
  <c r="J32" i="7"/>
  <c r="K32" i="7" s="1"/>
  <c r="K34" i="112"/>
  <c r="J55" i="150"/>
  <c r="I56" i="150"/>
  <c r="K34" i="45"/>
  <c r="J39" i="127"/>
  <c r="I40" i="127"/>
  <c r="C29" i="67"/>
  <c r="E30" i="67"/>
  <c r="J30" i="67"/>
  <c r="K30" i="67" s="1"/>
  <c r="E32" i="58"/>
  <c r="C31" i="58"/>
  <c r="CA31" i="2" s="1"/>
  <c r="J32" i="58"/>
  <c r="K32" i="58" s="1"/>
  <c r="I38" i="56"/>
  <c r="J37" i="56"/>
  <c r="K38" i="127"/>
  <c r="K36" i="56"/>
  <c r="E31" i="119"/>
  <c r="C30" i="119"/>
  <c r="J31" i="119"/>
  <c r="K31" i="119" s="1"/>
  <c r="J37" i="170"/>
  <c r="K36" i="170" s="1"/>
  <c r="I38" i="170"/>
  <c r="J37" i="3"/>
  <c r="K36" i="3" s="1"/>
  <c r="I38" i="3"/>
  <c r="C30" i="151"/>
  <c r="E31" i="151"/>
  <c r="J31" i="151"/>
  <c r="K31" i="151" s="1"/>
  <c r="K36" i="31"/>
  <c r="E28" i="160"/>
  <c r="C27" i="160"/>
  <c r="J28" i="160"/>
  <c r="K28" i="160" s="1"/>
  <c r="E31" i="145"/>
  <c r="C30" i="145"/>
  <c r="J31" i="145"/>
  <c r="K31" i="145" s="1"/>
  <c r="E30" i="148"/>
  <c r="C29" i="148"/>
  <c r="J30" i="148"/>
  <c r="K30" i="148" s="1"/>
  <c r="E28" i="102"/>
  <c r="C27" i="102"/>
  <c r="J28" i="102"/>
  <c r="K28" i="102" s="1"/>
  <c r="J39" i="26"/>
  <c r="K38" i="26" s="1"/>
  <c r="I40" i="26"/>
  <c r="E29" i="85"/>
  <c r="C28" i="85"/>
  <c r="J29" i="85"/>
  <c r="K29" i="85" s="1"/>
  <c r="C29" i="94"/>
  <c r="E30" i="94"/>
  <c r="J30" i="94"/>
  <c r="K30" i="94" s="1"/>
  <c r="J36" i="120"/>
  <c r="K35" i="120" s="1"/>
  <c r="I37" i="120"/>
  <c r="E31" i="147"/>
  <c r="C30" i="147"/>
  <c r="J31" i="147"/>
  <c r="K31" i="147" s="1"/>
  <c r="J39" i="29"/>
  <c r="K38" i="29" s="1"/>
  <c r="I40" i="29"/>
  <c r="K34" i="174"/>
  <c r="I40" i="48"/>
  <c r="J39" i="48"/>
  <c r="K38" i="48" s="1"/>
  <c r="K35" i="114"/>
  <c r="I37" i="102"/>
  <c r="J36" i="102"/>
  <c r="K35" i="102" s="1"/>
  <c r="J37" i="144"/>
  <c r="I38" i="144"/>
  <c r="E30" i="81"/>
  <c r="C29" i="81"/>
  <c r="J30" i="81"/>
  <c r="K30" i="81" s="1"/>
  <c r="I38" i="31"/>
  <c r="J37" i="31"/>
  <c r="C29" i="19"/>
  <c r="E30" i="19"/>
  <c r="J30" i="19"/>
  <c r="K30" i="19" s="1"/>
  <c r="J37" i="169"/>
  <c r="I38" i="169"/>
  <c r="K37" i="92"/>
  <c r="K35" i="104"/>
  <c r="E29" i="62"/>
  <c r="C28" i="62"/>
  <c r="J29" i="62"/>
  <c r="K29" i="62" s="1"/>
  <c r="K39" i="12"/>
  <c r="C29" i="103"/>
  <c r="E30" i="103"/>
  <c r="J30" i="103"/>
  <c r="K30" i="103" s="1"/>
  <c r="C29" i="4"/>
  <c r="E30" i="4"/>
  <c r="J30" i="4"/>
  <c r="K30" i="4" s="1"/>
  <c r="E28" i="131"/>
  <c r="C27" i="131"/>
  <c r="J28" i="131"/>
  <c r="K28" i="131" s="1"/>
  <c r="N33" i="1"/>
  <c r="E30" i="64"/>
  <c r="C29" i="64"/>
  <c r="J30" i="64"/>
  <c r="K30" i="64" s="1"/>
  <c r="E29" i="141"/>
  <c r="C28" i="141"/>
  <c r="J29" i="141"/>
  <c r="K29" i="141" s="1"/>
  <c r="I39" i="159"/>
  <c r="J38" i="159"/>
  <c r="IV33" i="2"/>
  <c r="K38" i="98"/>
  <c r="J38" i="92"/>
  <c r="I39" i="92"/>
  <c r="C30" i="95"/>
  <c r="E31" i="95"/>
  <c r="J31" i="95"/>
  <c r="K31" i="95" s="1"/>
  <c r="C31" i="46"/>
  <c r="AI31" i="1" s="1"/>
  <c r="E32" i="46"/>
  <c r="J32" i="46"/>
  <c r="K32" i="46" s="1"/>
  <c r="AI32" i="1"/>
  <c r="HY32" i="2"/>
  <c r="J37" i="49"/>
  <c r="K36" i="49" s="1"/>
  <c r="I38" i="49"/>
  <c r="I39" i="124"/>
  <c r="J38" i="124"/>
  <c r="K36" i="52"/>
  <c r="K38" i="13"/>
  <c r="C30" i="10"/>
  <c r="E31" i="10"/>
  <c r="J31" i="10"/>
  <c r="K31" i="10" s="1"/>
  <c r="J38" i="158"/>
  <c r="K37" i="158" s="1"/>
  <c r="I39" i="158"/>
  <c r="I38" i="123"/>
  <c r="J37" i="123"/>
  <c r="K36" i="123" s="1"/>
  <c r="CB33" i="1"/>
  <c r="I40" i="98"/>
  <c r="J39" i="98"/>
  <c r="C27" i="45"/>
  <c r="E28" i="45"/>
  <c r="J28" i="45"/>
  <c r="K28" i="45" s="1"/>
  <c r="J37" i="4"/>
  <c r="I38" i="4"/>
  <c r="K36" i="41"/>
  <c r="C26" i="166"/>
  <c r="E27" i="166"/>
  <c r="J27" i="166"/>
  <c r="K27" i="166" s="1"/>
  <c r="E31" i="13"/>
  <c r="C30" i="13"/>
  <c r="J31" i="13"/>
  <c r="K31" i="13" s="1"/>
  <c r="IU31" i="2"/>
  <c r="E31" i="77"/>
  <c r="C30" i="77"/>
  <c r="J31" i="77"/>
  <c r="K31" i="77" s="1"/>
  <c r="J40" i="42"/>
  <c r="K39" i="42" s="1"/>
  <c r="I41" i="42"/>
  <c r="C30" i="142"/>
  <c r="E31" i="142"/>
  <c r="J31" i="142"/>
  <c r="K31" i="142" s="1"/>
  <c r="EE33" i="2"/>
  <c r="E31" i="125"/>
  <c r="C30" i="125"/>
  <c r="J31" i="125"/>
  <c r="K31" i="125" s="1"/>
  <c r="J37" i="50"/>
  <c r="K36" i="50" s="1"/>
  <c r="I38" i="50"/>
  <c r="C27" i="165"/>
  <c r="E28" i="165"/>
  <c r="J28" i="165"/>
  <c r="K28" i="165" s="1"/>
  <c r="E32" i="6"/>
  <c r="C31" i="6"/>
  <c r="CA32" i="1"/>
  <c r="IU32" i="2"/>
  <c r="I39" i="66"/>
  <c r="J38" i="66"/>
  <c r="J38" i="23"/>
  <c r="I39" i="23"/>
  <c r="K36" i="4"/>
  <c r="K38" i="107"/>
  <c r="K38" i="79"/>
  <c r="I38" i="151"/>
  <c r="J37" i="151"/>
  <c r="K36" i="151" s="1"/>
  <c r="E31" i="169"/>
  <c r="C30" i="169"/>
  <c r="HY31" i="2"/>
  <c r="J31" i="169"/>
  <c r="K31" i="169" s="1"/>
  <c r="E32" i="92"/>
  <c r="C31" i="92"/>
  <c r="J32" i="92"/>
  <c r="K32" i="92" s="1"/>
  <c r="E32" i="90"/>
  <c r="C31" i="90"/>
  <c r="CL31" i="2" s="1"/>
  <c r="J32" i="90"/>
  <c r="K32" i="90" s="1"/>
  <c r="C30" i="23"/>
  <c r="E31" i="23"/>
  <c r="J31" i="23"/>
  <c r="K31" i="23" s="1"/>
  <c r="I37" i="90"/>
  <c r="J36" i="90"/>
  <c r="K35" i="90" s="1"/>
  <c r="K35" i="131"/>
  <c r="K36" i="154"/>
  <c r="I38" i="155"/>
  <c r="J37" i="155"/>
  <c r="K36" i="155" s="1"/>
  <c r="C31" i="29"/>
  <c r="BE31" i="2" s="1"/>
  <c r="E32" i="29"/>
  <c r="J32" i="29"/>
  <c r="K32" i="29" s="1"/>
  <c r="X32" i="1"/>
  <c r="J38" i="139"/>
  <c r="K37" i="139" s="1"/>
  <c r="I39" i="139"/>
  <c r="J39" i="77"/>
  <c r="I40" i="77"/>
  <c r="C31" i="172"/>
  <c r="E32" i="172"/>
  <c r="J32" i="172"/>
  <c r="K32" i="172" s="1"/>
  <c r="J36" i="95"/>
  <c r="I37" i="95"/>
  <c r="C29" i="118"/>
  <c r="E30" i="118"/>
  <c r="J30" i="118"/>
  <c r="K30" i="118" s="1"/>
  <c r="K37" i="98"/>
  <c r="K36" i="92"/>
  <c r="C30" i="41"/>
  <c r="E31" i="41"/>
  <c r="J31" i="41"/>
  <c r="K31" i="41" s="1"/>
  <c r="BF33" i="2"/>
  <c r="I40" i="107"/>
  <c r="J39" i="107"/>
  <c r="E31" i="122"/>
  <c r="C30" i="122"/>
  <c r="J31" i="122"/>
  <c r="K31" i="122" s="1"/>
  <c r="K36" i="93"/>
  <c r="C26" i="30"/>
  <c r="E27" i="30"/>
  <c r="J27" i="30"/>
  <c r="K27" i="30" s="1"/>
  <c r="K36" i="173"/>
  <c r="K35" i="86"/>
  <c r="C27" i="43"/>
  <c r="E28" i="43"/>
  <c r="J28" i="43"/>
  <c r="K28" i="43" s="1"/>
  <c r="J31" i="156" l="1"/>
  <c r="K31" i="156" s="1"/>
  <c r="C30" i="156"/>
  <c r="E31" i="156"/>
  <c r="C29" i="149"/>
  <c r="J30" i="149"/>
  <c r="K30" i="149" s="1"/>
  <c r="E30" i="149"/>
  <c r="J31" i="130"/>
  <c r="K31" i="130" s="1"/>
  <c r="C30" i="130"/>
  <c r="E31" i="130"/>
  <c r="C25" i="98"/>
  <c r="E26" i="98"/>
  <c r="J26" i="98"/>
  <c r="K26" i="98" s="1"/>
  <c r="C30" i="74"/>
  <c r="J31" i="74"/>
  <c r="K31" i="74" s="1"/>
  <c r="E31" i="74"/>
  <c r="J30" i="61"/>
  <c r="K30" i="61" s="1"/>
  <c r="C29" i="61"/>
  <c r="E30" i="61"/>
  <c r="J30" i="59"/>
  <c r="K30" i="59" s="1"/>
  <c r="C29" i="59"/>
  <c r="E30" i="59"/>
  <c r="E31" i="150"/>
  <c r="J31" i="150"/>
  <c r="K31" i="150" s="1"/>
  <c r="C30" i="150"/>
  <c r="AJ31" i="1"/>
  <c r="BF31" i="2"/>
  <c r="CB31" i="2"/>
  <c r="CM31" i="2"/>
  <c r="C29" i="142"/>
  <c r="E30" i="142"/>
  <c r="J30" i="142"/>
  <c r="K30" i="142" s="1"/>
  <c r="C27" i="123"/>
  <c r="E28" i="123"/>
  <c r="J28" i="123"/>
  <c r="K28" i="123" s="1"/>
  <c r="E29" i="104"/>
  <c r="C28" i="104"/>
  <c r="J29" i="104"/>
  <c r="K29" i="104" s="1"/>
  <c r="J40" i="135"/>
  <c r="K39" i="135" s="1"/>
  <c r="I41" i="135"/>
  <c r="E28" i="127"/>
  <c r="C27" i="127"/>
  <c r="J28" i="127"/>
  <c r="K28" i="127" s="1"/>
  <c r="C28" i="139"/>
  <c r="E29" i="139"/>
  <c r="J29" i="139"/>
  <c r="K29" i="139" s="1"/>
  <c r="N32" i="1"/>
  <c r="J37" i="112"/>
  <c r="K36" i="112" s="1"/>
  <c r="I38" i="112"/>
  <c r="E26" i="157"/>
  <c r="C25" i="157"/>
  <c r="J26" i="157"/>
  <c r="K26" i="157" s="1"/>
  <c r="C28" i="116"/>
  <c r="E29" i="116"/>
  <c r="J29" i="116"/>
  <c r="K29" i="116" s="1"/>
  <c r="C27" i="163"/>
  <c r="E28" i="163"/>
  <c r="J28" i="163"/>
  <c r="K28" i="163" s="1"/>
  <c r="E30" i="23"/>
  <c r="C29" i="23"/>
  <c r="J30" i="23"/>
  <c r="K30" i="23" s="1"/>
  <c r="C30" i="92"/>
  <c r="E31" i="92"/>
  <c r="J31" i="92"/>
  <c r="K31" i="92" s="1"/>
  <c r="E29" i="118"/>
  <c r="C28" i="118"/>
  <c r="J29" i="118"/>
  <c r="K29" i="118" s="1"/>
  <c r="I42" i="42"/>
  <c r="J41" i="42"/>
  <c r="I39" i="144"/>
  <c r="J38" i="144"/>
  <c r="K37" i="144" s="1"/>
  <c r="I57" i="150"/>
  <c r="J56" i="150"/>
  <c r="FA31" i="2"/>
  <c r="E28" i="120"/>
  <c r="C27" i="120"/>
  <c r="J28" i="120"/>
  <c r="K28" i="120" s="1"/>
  <c r="J37" i="110"/>
  <c r="I38" i="110"/>
  <c r="E29" i="68"/>
  <c r="C28" i="68"/>
  <c r="J29" i="68"/>
  <c r="K29" i="68" s="1"/>
  <c r="J38" i="53"/>
  <c r="K37" i="53" s="1"/>
  <c r="I39" i="53"/>
  <c r="Y32" i="2"/>
  <c r="E30" i="89"/>
  <c r="C29" i="89"/>
  <c r="J30" i="89"/>
  <c r="K30" i="89" s="1"/>
  <c r="I38" i="130"/>
  <c r="J37" i="130"/>
  <c r="C30" i="143"/>
  <c r="E31" i="143"/>
  <c r="J31" i="143"/>
  <c r="K31" i="143" s="1"/>
  <c r="J42" i="134"/>
  <c r="K41" i="134" s="1"/>
  <c r="I43" i="134"/>
  <c r="AJ32" i="2"/>
  <c r="I42" i="94"/>
  <c r="J41" i="94"/>
  <c r="I38" i="105"/>
  <c r="J37" i="105"/>
  <c r="K36" i="105" s="1"/>
  <c r="J40" i="132"/>
  <c r="I41" i="132"/>
  <c r="K36" i="110"/>
  <c r="I41" i="117"/>
  <c r="J40" i="117"/>
  <c r="K39" i="117" s="1"/>
  <c r="I42" i="82"/>
  <c r="J41" i="82"/>
  <c r="K40" i="82" s="1"/>
  <c r="I38" i="174"/>
  <c r="J37" i="174"/>
  <c r="K36" i="174" s="1"/>
  <c r="EE32" i="2"/>
  <c r="HZ31" i="2"/>
  <c r="C29" i="10"/>
  <c r="E30" i="10"/>
  <c r="J30" i="10"/>
  <c r="K30" i="10" s="1"/>
  <c r="E30" i="134"/>
  <c r="C29" i="134"/>
  <c r="EZ30" i="2"/>
  <c r="J30" i="134"/>
  <c r="K30" i="134" s="1"/>
  <c r="I38" i="143"/>
  <c r="J37" i="143"/>
  <c r="K36" i="143" s="1"/>
  <c r="J37" i="166"/>
  <c r="I38" i="166"/>
  <c r="C27" i="173"/>
  <c r="E28" i="173"/>
  <c r="J28" i="173"/>
  <c r="K28" i="173" s="1"/>
  <c r="C30" i="12"/>
  <c r="E31" i="12"/>
  <c r="X31" i="2"/>
  <c r="M31" i="1"/>
  <c r="J31" i="12"/>
  <c r="K31" i="12" s="1"/>
  <c r="J37" i="38"/>
  <c r="I38" i="38"/>
  <c r="J38" i="49"/>
  <c r="K37" i="49" s="1"/>
  <c r="I39" i="49"/>
  <c r="J37" i="95"/>
  <c r="K36" i="95" s="1"/>
  <c r="I38" i="95"/>
  <c r="K40" i="42"/>
  <c r="C29" i="145"/>
  <c r="E30" i="145"/>
  <c r="J30" i="145"/>
  <c r="K30" i="145" s="1"/>
  <c r="K55" i="150"/>
  <c r="E30" i="169"/>
  <c r="C29" i="169"/>
  <c r="J30" i="169"/>
  <c r="K30" i="169" s="1"/>
  <c r="E31" i="121"/>
  <c r="C30" i="121"/>
  <c r="J31" i="121"/>
  <c r="K31" i="121" s="1"/>
  <c r="I39" i="67"/>
  <c r="J38" i="67"/>
  <c r="K37" i="67" s="1"/>
  <c r="I39" i="97"/>
  <c r="J38" i="97"/>
  <c r="K37" i="97" s="1"/>
  <c r="I40" i="129"/>
  <c r="J39" i="129"/>
  <c r="K38" i="129" s="1"/>
  <c r="K40" i="134"/>
  <c r="I42" i="14"/>
  <c r="J41" i="14"/>
  <c r="IK32" i="2"/>
  <c r="E28" i="168"/>
  <c r="C27" i="168"/>
  <c r="J28" i="168"/>
  <c r="K28" i="168" s="1"/>
  <c r="E31" i="109"/>
  <c r="C30" i="109"/>
  <c r="ED31" i="2"/>
  <c r="J31" i="109"/>
  <c r="K31" i="109" s="1"/>
  <c r="C29" i="77"/>
  <c r="E30" i="77"/>
  <c r="J30" i="77"/>
  <c r="K30" i="77" s="1"/>
  <c r="E27" i="131"/>
  <c r="C26" i="131"/>
  <c r="J27" i="131"/>
  <c r="K27" i="131" s="1"/>
  <c r="J37" i="102"/>
  <c r="K36" i="102" s="1"/>
  <c r="I38" i="102"/>
  <c r="CW30" i="2"/>
  <c r="BQ32" i="1"/>
  <c r="E31" i="49"/>
  <c r="C30" i="49"/>
  <c r="J31" i="49"/>
  <c r="K31" i="49" s="1"/>
  <c r="I38" i="55"/>
  <c r="J37" i="55"/>
  <c r="J38" i="57"/>
  <c r="I39" i="57"/>
  <c r="E30" i="35"/>
  <c r="C29" i="35"/>
  <c r="J30" i="35"/>
  <c r="K30" i="35" s="1"/>
  <c r="E30" i="15"/>
  <c r="C29" i="15"/>
  <c r="J30" i="15"/>
  <c r="K30" i="15" s="1"/>
  <c r="K40" i="14"/>
  <c r="I41" i="156"/>
  <c r="J40" i="156"/>
  <c r="I38" i="47"/>
  <c r="J37" i="47"/>
  <c r="K36" i="47" s="1"/>
  <c r="HD32" i="2"/>
  <c r="I40" i="60"/>
  <c r="J39" i="60"/>
  <c r="I43" i="12"/>
  <c r="J42" i="12"/>
  <c r="I38" i="171"/>
  <c r="J37" i="171"/>
  <c r="E29" i="161"/>
  <c r="C28" i="161"/>
  <c r="J29" i="161"/>
  <c r="K29" i="161" s="1"/>
  <c r="E27" i="111"/>
  <c r="C26" i="111"/>
  <c r="J27" i="111"/>
  <c r="K27" i="111" s="1"/>
  <c r="C29" i="79"/>
  <c r="E30" i="79"/>
  <c r="J30" i="79"/>
  <c r="K30" i="79" s="1"/>
  <c r="E31" i="172"/>
  <c r="C30" i="172"/>
  <c r="J31" i="172"/>
  <c r="K31" i="172" s="1"/>
  <c r="I39" i="151"/>
  <c r="J38" i="151"/>
  <c r="K37" i="151" s="1"/>
  <c r="J39" i="124"/>
  <c r="I40" i="124"/>
  <c r="K54" i="150"/>
  <c r="C28" i="112"/>
  <c r="E29" i="112"/>
  <c r="J29" i="112"/>
  <c r="K29" i="112" s="1"/>
  <c r="E28" i="106"/>
  <c r="C27" i="106"/>
  <c r="J28" i="106"/>
  <c r="K28" i="106" s="1"/>
  <c r="E29" i="25"/>
  <c r="C28" i="25"/>
  <c r="J29" i="25"/>
  <c r="K29" i="25" s="1"/>
  <c r="J37" i="45"/>
  <c r="K36" i="45" s="1"/>
  <c r="I38" i="45"/>
  <c r="E29" i="113"/>
  <c r="C28" i="113"/>
  <c r="J29" i="113"/>
  <c r="K29" i="113" s="1"/>
  <c r="I40" i="173"/>
  <c r="J39" i="173"/>
  <c r="K38" i="173" s="1"/>
  <c r="K37" i="173"/>
  <c r="E26" i="138"/>
  <c r="C25" i="138"/>
  <c r="J26" i="138"/>
  <c r="K26" i="138" s="1"/>
  <c r="K37" i="108"/>
  <c r="J40" i="152"/>
  <c r="K39" i="152" s="1"/>
  <c r="I41" i="152"/>
  <c r="I38" i="8"/>
  <c r="J37" i="8"/>
  <c r="K36" i="8" s="1"/>
  <c r="I41" i="62"/>
  <c r="J40" i="62"/>
  <c r="I39" i="137"/>
  <c r="J38" i="137"/>
  <c r="K37" i="137" s="1"/>
  <c r="J42" i="15"/>
  <c r="I43" i="15"/>
  <c r="K37" i="39"/>
  <c r="AU32" i="1"/>
  <c r="E31" i="8"/>
  <c r="C30" i="8"/>
  <c r="HC31" i="2"/>
  <c r="BP31" i="1"/>
  <c r="J31" i="8"/>
  <c r="K31" i="8" s="1"/>
  <c r="E28" i="171"/>
  <c r="C27" i="171"/>
  <c r="J28" i="171"/>
  <c r="K28" i="171" s="1"/>
  <c r="J39" i="37"/>
  <c r="I40" i="37"/>
  <c r="J40" i="122"/>
  <c r="I41" i="122"/>
  <c r="J38" i="108"/>
  <c r="I39" i="108"/>
  <c r="E26" i="32"/>
  <c r="C25" i="32"/>
  <c r="J26" i="32"/>
  <c r="K26" i="32" s="1"/>
  <c r="J39" i="165"/>
  <c r="K38" i="165" s="1"/>
  <c r="I40" i="165"/>
  <c r="I43" i="74"/>
  <c r="J42" i="74"/>
  <c r="I39" i="39"/>
  <c r="J38" i="39"/>
  <c r="IV31" i="2"/>
  <c r="J40" i="48"/>
  <c r="I41" i="48"/>
  <c r="CX31" i="2"/>
  <c r="K38" i="93"/>
  <c r="J37" i="65"/>
  <c r="K36" i="65" s="1"/>
  <c r="I38" i="65"/>
  <c r="K35" i="8"/>
  <c r="K41" i="74"/>
  <c r="C28" i="4"/>
  <c r="E29" i="4"/>
  <c r="J29" i="4"/>
  <c r="K29" i="4" s="1"/>
  <c r="E31" i="7"/>
  <c r="C30" i="7"/>
  <c r="AT31" i="1"/>
  <c r="J31" i="7"/>
  <c r="K31" i="7" s="1"/>
  <c r="C27" i="86"/>
  <c r="E28" i="86"/>
  <c r="J28" i="86"/>
  <c r="K28" i="86" s="1"/>
  <c r="E31" i="3"/>
  <c r="C30" i="3"/>
  <c r="J31" i="3"/>
  <c r="K31" i="3" s="1"/>
  <c r="E29" i="16"/>
  <c r="C28" i="16"/>
  <c r="J29" i="16"/>
  <c r="K29" i="16" s="1"/>
  <c r="I41" i="89"/>
  <c r="J40" i="89"/>
  <c r="K39" i="89" s="1"/>
  <c r="C30" i="170"/>
  <c r="E31" i="170"/>
  <c r="J31" i="170"/>
  <c r="K31" i="170" s="1"/>
  <c r="I39" i="80"/>
  <c r="J38" i="80"/>
  <c r="K37" i="80" s="1"/>
  <c r="I40" i="93"/>
  <c r="J39" i="93"/>
  <c r="E28" i="37"/>
  <c r="C27" i="37"/>
  <c r="J28" i="37"/>
  <c r="K28" i="37" s="1"/>
  <c r="I40" i="157"/>
  <c r="J39" i="157"/>
  <c r="K38" i="157" s="1"/>
  <c r="J37" i="109"/>
  <c r="I38" i="109"/>
  <c r="J37" i="64"/>
  <c r="I38" i="64"/>
  <c r="I38" i="100"/>
  <c r="J37" i="100"/>
  <c r="K38" i="156"/>
  <c r="E29" i="167"/>
  <c r="C28" i="167"/>
  <c r="J29" i="167"/>
  <c r="K29" i="167" s="1"/>
  <c r="C26" i="160"/>
  <c r="E27" i="160"/>
  <c r="J27" i="160"/>
  <c r="K27" i="160" s="1"/>
  <c r="I40" i="23"/>
  <c r="J39" i="23"/>
  <c r="C29" i="13"/>
  <c r="E30" i="13"/>
  <c r="J30" i="13"/>
  <c r="K30" i="13" s="1"/>
  <c r="AJ32" i="1"/>
  <c r="I41" i="29"/>
  <c r="J40" i="29"/>
  <c r="K39" i="29" s="1"/>
  <c r="E30" i="151"/>
  <c r="C29" i="151"/>
  <c r="J30" i="151"/>
  <c r="K30" i="151" s="1"/>
  <c r="E28" i="40"/>
  <c r="C27" i="40"/>
  <c r="J28" i="40"/>
  <c r="K28" i="40" s="1"/>
  <c r="J39" i="41"/>
  <c r="I40" i="41"/>
  <c r="C30" i="174"/>
  <c r="HY30" i="2" s="1"/>
  <c r="E31" i="174"/>
  <c r="J31" i="174"/>
  <c r="K31" i="174" s="1"/>
  <c r="E31" i="93"/>
  <c r="C30" i="93"/>
  <c r="J31" i="93"/>
  <c r="K31" i="93" s="1"/>
  <c r="E30" i="101"/>
  <c r="C29" i="101"/>
  <c r="J30" i="101"/>
  <c r="K30" i="101" s="1"/>
  <c r="I38" i="69"/>
  <c r="J37" i="69"/>
  <c r="C29" i="21"/>
  <c r="E30" i="21"/>
  <c r="J30" i="21"/>
  <c r="K30" i="21" s="1"/>
  <c r="I41" i="128"/>
  <c r="J40" i="128"/>
  <c r="K37" i="54"/>
  <c r="K38" i="23"/>
  <c r="I39" i="3"/>
  <c r="J38" i="3"/>
  <c r="I38" i="96"/>
  <c r="J37" i="96"/>
  <c r="I39" i="5"/>
  <c r="J38" i="5"/>
  <c r="FL32" i="2"/>
  <c r="I39" i="116"/>
  <c r="J38" i="116"/>
  <c r="K37" i="116" s="1"/>
  <c r="C29" i="71"/>
  <c r="E30" i="71"/>
  <c r="J30" i="71"/>
  <c r="K30" i="71" s="1"/>
  <c r="I43" i="7"/>
  <c r="J42" i="7"/>
  <c r="K41" i="7" s="1"/>
  <c r="E27" i="105"/>
  <c r="C26" i="105"/>
  <c r="J27" i="105"/>
  <c r="K27" i="105" s="1"/>
  <c r="K39" i="128"/>
  <c r="I39" i="54"/>
  <c r="J38" i="54"/>
  <c r="I39" i="86"/>
  <c r="J38" i="86"/>
  <c r="K37" i="86" s="1"/>
  <c r="J37" i="163"/>
  <c r="K36" i="163" s="1"/>
  <c r="I38" i="163"/>
  <c r="K35" i="163"/>
  <c r="E29" i="75"/>
  <c r="C28" i="75"/>
  <c r="J29" i="75"/>
  <c r="K29" i="75" s="1"/>
  <c r="I38" i="91"/>
  <c r="J37" i="91"/>
  <c r="E28" i="115"/>
  <c r="C27" i="115"/>
  <c r="J28" i="115"/>
  <c r="K28" i="115" s="1"/>
  <c r="I41" i="9"/>
  <c r="J40" i="9"/>
  <c r="E26" i="146"/>
  <c r="C25" i="146"/>
  <c r="J26" i="146"/>
  <c r="K26" i="146" s="1"/>
  <c r="I40" i="18"/>
  <c r="J39" i="18"/>
  <c r="K37" i="73"/>
  <c r="I42" i="24"/>
  <c r="C28" i="83"/>
  <c r="E29" i="83"/>
  <c r="J29" i="83"/>
  <c r="K29" i="83" s="1"/>
  <c r="K36" i="137"/>
  <c r="E29" i="18"/>
  <c r="C28" i="18"/>
  <c r="J29" i="18"/>
  <c r="K29" i="18" s="1"/>
  <c r="I39" i="154"/>
  <c r="J38" i="154"/>
  <c r="K37" i="154" s="1"/>
  <c r="K38" i="124"/>
  <c r="E29" i="137"/>
  <c r="C28" i="137"/>
  <c r="J29" i="137"/>
  <c r="K29" i="137" s="1"/>
  <c r="E31" i="152"/>
  <c r="C30" i="152"/>
  <c r="M30" i="2" s="1"/>
  <c r="J31" i="152"/>
  <c r="K31" i="152" s="1"/>
  <c r="I43" i="133"/>
  <c r="J42" i="133"/>
  <c r="J38" i="73"/>
  <c r="I39" i="73"/>
  <c r="J40" i="51"/>
  <c r="I41" i="51"/>
  <c r="J38" i="88"/>
  <c r="I39" i="88"/>
  <c r="I38" i="160"/>
  <c r="J37" i="160"/>
  <c r="E30" i="31"/>
  <c r="C29" i="31"/>
  <c r="J30" i="31"/>
  <c r="K30" i="31" s="1"/>
  <c r="E29" i="110"/>
  <c r="C28" i="110"/>
  <c r="J29" i="110"/>
  <c r="K29" i="110" s="1"/>
  <c r="C29" i="132"/>
  <c r="E30" i="132"/>
  <c r="J30" i="132"/>
  <c r="K30" i="132" s="1"/>
  <c r="K41" i="133"/>
  <c r="K38" i="83"/>
  <c r="E31" i="155"/>
  <c r="C30" i="155"/>
  <c r="J31" i="155"/>
  <c r="K31" i="155" s="1"/>
  <c r="E29" i="103"/>
  <c r="C28" i="103"/>
  <c r="J29" i="103"/>
  <c r="K29" i="103" s="1"/>
  <c r="I38" i="120"/>
  <c r="J37" i="120"/>
  <c r="C30" i="107"/>
  <c r="E31" i="107"/>
  <c r="J31" i="107"/>
  <c r="K31" i="107" s="1"/>
  <c r="I39" i="85"/>
  <c r="J38" i="85"/>
  <c r="K37" i="85" s="1"/>
  <c r="K37" i="60"/>
  <c r="FL31" i="2"/>
  <c r="J37" i="147"/>
  <c r="I38" i="147"/>
  <c r="E29" i="65"/>
  <c r="C28" i="65"/>
  <c r="J29" i="65"/>
  <c r="K29" i="65" s="1"/>
  <c r="I42" i="32"/>
  <c r="J41" i="32"/>
  <c r="I40" i="83"/>
  <c r="J39" i="83"/>
  <c r="I39" i="126"/>
  <c r="J38" i="126"/>
  <c r="K37" i="126" s="1"/>
  <c r="E30" i="117"/>
  <c r="C29" i="117"/>
  <c r="J30" i="117"/>
  <c r="K30" i="117" s="1"/>
  <c r="I38" i="43"/>
  <c r="J37" i="43"/>
  <c r="K36" i="43" s="1"/>
  <c r="BQ32" i="2"/>
  <c r="E29" i="9"/>
  <c r="C28" i="9"/>
  <c r="J29" i="9"/>
  <c r="K29" i="9" s="1"/>
  <c r="K37" i="52"/>
  <c r="E31" i="29"/>
  <c r="C30" i="29"/>
  <c r="J31" i="29"/>
  <c r="K31" i="29" s="1"/>
  <c r="K37" i="155"/>
  <c r="I39" i="119"/>
  <c r="J38" i="119"/>
  <c r="K37" i="119" s="1"/>
  <c r="K35" i="91"/>
  <c r="J41" i="27"/>
  <c r="K40" i="27" s="1"/>
  <c r="I42" i="27"/>
  <c r="I38" i="125"/>
  <c r="J37" i="125"/>
  <c r="K36" i="125" s="1"/>
  <c r="C28" i="66"/>
  <c r="E29" i="66"/>
  <c r="J29" i="66"/>
  <c r="K29" i="66" s="1"/>
  <c r="I39" i="76"/>
  <c r="J38" i="76"/>
  <c r="K37" i="76" s="1"/>
  <c r="C29" i="88"/>
  <c r="E30" i="88"/>
  <c r="FK30" i="2"/>
  <c r="J30" i="88"/>
  <c r="K30" i="88" s="1"/>
  <c r="K36" i="147"/>
  <c r="J40" i="101"/>
  <c r="I41" i="101"/>
  <c r="K40" i="32"/>
  <c r="I43" i="61"/>
  <c r="J42" i="61"/>
  <c r="C27" i="73"/>
  <c r="E28" i="73"/>
  <c r="J28" i="73"/>
  <c r="K28" i="73" s="1"/>
  <c r="E31" i="52"/>
  <c r="C30" i="52"/>
  <c r="BP31" i="2"/>
  <c r="J31" i="52"/>
  <c r="K31" i="52" s="1"/>
  <c r="E31" i="27"/>
  <c r="C30" i="27"/>
  <c r="J31" i="27"/>
  <c r="K31" i="27" s="1"/>
  <c r="E29" i="54"/>
  <c r="C28" i="54"/>
  <c r="J29" i="54"/>
  <c r="K29" i="54" s="1"/>
  <c r="J38" i="52"/>
  <c r="I39" i="52"/>
  <c r="E30" i="95"/>
  <c r="C29" i="95"/>
  <c r="J30" i="95"/>
  <c r="K30" i="95" s="1"/>
  <c r="I38" i="17"/>
  <c r="J37" i="17"/>
  <c r="C30" i="91"/>
  <c r="E31" i="91"/>
  <c r="J31" i="91"/>
  <c r="K31" i="91" s="1"/>
  <c r="E30" i="76"/>
  <c r="C29" i="76"/>
  <c r="J30" i="76"/>
  <c r="K30" i="76" s="1"/>
  <c r="GS32" i="2"/>
  <c r="K35" i="166"/>
  <c r="K39" i="82"/>
  <c r="E29" i="60"/>
  <c r="C28" i="60"/>
  <c r="J29" i="60"/>
  <c r="K29" i="60" s="1"/>
  <c r="I39" i="87"/>
  <c r="J38" i="87"/>
  <c r="K36" i="36"/>
  <c r="K39" i="48"/>
  <c r="HZ32" i="2"/>
  <c r="I40" i="139"/>
  <c r="J39" i="139"/>
  <c r="C30" i="6"/>
  <c r="E31" i="6"/>
  <c r="CA31" i="1"/>
  <c r="J38" i="4"/>
  <c r="I39" i="4"/>
  <c r="C29" i="122"/>
  <c r="E30" i="122"/>
  <c r="J30" i="122"/>
  <c r="K30" i="122" s="1"/>
  <c r="I39" i="155"/>
  <c r="J38" i="155"/>
  <c r="K37" i="4"/>
  <c r="I40" i="92"/>
  <c r="J39" i="92"/>
  <c r="C27" i="62"/>
  <c r="E28" i="62"/>
  <c r="J28" i="62"/>
  <c r="K28" i="62" s="1"/>
  <c r="C29" i="119"/>
  <c r="E30" i="119"/>
  <c r="J30" i="119"/>
  <c r="K30" i="119" s="1"/>
  <c r="K38" i="92"/>
  <c r="C29" i="153"/>
  <c r="E30" i="153"/>
  <c r="J30" i="153"/>
  <c r="K30" i="153" s="1"/>
  <c r="J40" i="136"/>
  <c r="K39" i="136" s="1"/>
  <c r="I41" i="136"/>
  <c r="J39" i="115"/>
  <c r="K38" i="115" s="1"/>
  <c r="I40" i="115"/>
  <c r="J37" i="146"/>
  <c r="I38" i="146"/>
  <c r="K37" i="18"/>
  <c r="K36" i="58"/>
  <c r="E30" i="114"/>
  <c r="C29" i="114"/>
  <c r="J30" i="114"/>
  <c r="K30" i="114" s="1"/>
  <c r="C28" i="144"/>
  <c r="E29" i="144"/>
  <c r="J29" i="144"/>
  <c r="K29" i="144" s="1"/>
  <c r="E28" i="72"/>
  <c r="C27" i="72"/>
  <c r="J28" i="72"/>
  <c r="K28" i="72" s="1"/>
  <c r="C29" i="162"/>
  <c r="E30" i="162"/>
  <c r="J30" i="162"/>
  <c r="K30" i="162" s="1"/>
  <c r="I38" i="36"/>
  <c r="J37" i="36"/>
  <c r="K36" i="144"/>
  <c r="E29" i="99"/>
  <c r="C28" i="99"/>
  <c r="J29" i="99"/>
  <c r="K29" i="99" s="1"/>
  <c r="J38" i="162"/>
  <c r="I39" i="162"/>
  <c r="E30" i="20"/>
  <c r="C29" i="20"/>
  <c r="J30" i="20"/>
  <c r="K30" i="20" s="1"/>
  <c r="AU32" i="2"/>
  <c r="E29" i="5"/>
  <c r="C28" i="5"/>
  <c r="J29" i="5"/>
  <c r="K29" i="5" s="1"/>
  <c r="I39" i="84"/>
  <c r="J38" i="84"/>
  <c r="CB32" i="1"/>
  <c r="E29" i="11"/>
  <c r="C28" i="11"/>
  <c r="J29" i="11"/>
  <c r="K29" i="11" s="1"/>
  <c r="K36" i="146"/>
  <c r="C30" i="14"/>
  <c r="E31" i="14"/>
  <c r="J31" i="14"/>
  <c r="K31" i="14" s="1"/>
  <c r="GR31" i="2"/>
  <c r="J37" i="58"/>
  <c r="I38" i="58"/>
  <c r="J40" i="107"/>
  <c r="K39" i="107" s="1"/>
  <c r="I41" i="107"/>
  <c r="E27" i="165"/>
  <c r="C26" i="165"/>
  <c r="J27" i="165"/>
  <c r="K27" i="165" s="1"/>
  <c r="E27" i="45"/>
  <c r="C26" i="45"/>
  <c r="J27" i="45"/>
  <c r="K27" i="45" s="1"/>
  <c r="C27" i="69"/>
  <c r="E28" i="69"/>
  <c r="J28" i="69"/>
  <c r="K28" i="69" s="1"/>
  <c r="K36" i="119"/>
  <c r="I43" i="75"/>
  <c r="J42" i="75"/>
  <c r="K41" i="75" s="1"/>
  <c r="I40" i="10"/>
  <c r="J39" i="10"/>
  <c r="K38" i="10" s="1"/>
  <c r="I39" i="21"/>
  <c r="J38" i="21"/>
  <c r="K37" i="21" s="1"/>
  <c r="I41" i="16"/>
  <c r="J40" i="16"/>
  <c r="K39" i="16" s="1"/>
  <c r="I39" i="161"/>
  <c r="J38" i="161"/>
  <c r="K37" i="161" s="1"/>
  <c r="DI31" i="2"/>
  <c r="E28" i="47"/>
  <c r="C27" i="47"/>
  <c r="J28" i="47"/>
  <c r="K28" i="47" s="1"/>
  <c r="K40" i="15"/>
  <c r="E31" i="56"/>
  <c r="C30" i="56"/>
  <c r="J31" i="56"/>
  <c r="K31" i="56" s="1"/>
  <c r="I40" i="72"/>
  <c r="J39" i="72"/>
  <c r="K38" i="72" s="1"/>
  <c r="K37" i="84"/>
  <c r="I41" i="13"/>
  <c r="J40" i="13"/>
  <c r="K39" i="13" s="1"/>
  <c r="E29" i="94"/>
  <c r="C28" i="94"/>
  <c r="J29" i="94"/>
  <c r="K29" i="94" s="1"/>
  <c r="J38" i="70"/>
  <c r="K37" i="70" s="1"/>
  <c r="I39" i="70"/>
  <c r="J37" i="90"/>
  <c r="K36" i="90" s="1"/>
  <c r="I38" i="90"/>
  <c r="K37" i="23"/>
  <c r="E28" i="85"/>
  <c r="C27" i="85"/>
  <c r="J28" i="85"/>
  <c r="K28" i="85" s="1"/>
  <c r="E28" i="84"/>
  <c r="C27" i="84"/>
  <c r="J28" i="84"/>
  <c r="K28" i="84" s="1"/>
  <c r="K40" i="12"/>
  <c r="DT30" i="2"/>
  <c r="K38" i="101"/>
  <c r="E31" i="158"/>
  <c r="C30" i="158"/>
  <c r="J31" i="158"/>
  <c r="K31" i="158" s="1"/>
  <c r="E30" i="44"/>
  <c r="C29" i="44"/>
  <c r="J30" i="44"/>
  <c r="K30" i="44" s="1"/>
  <c r="K36" i="88"/>
  <c r="C30" i="50"/>
  <c r="E31" i="50"/>
  <c r="AT31" i="2"/>
  <c r="J31" i="50"/>
  <c r="K31" i="50" s="1"/>
  <c r="E31" i="28"/>
  <c r="C30" i="28"/>
  <c r="J31" i="28"/>
  <c r="K31" i="28" s="1"/>
  <c r="K36" i="86"/>
  <c r="I39" i="170"/>
  <c r="J38" i="170"/>
  <c r="J38" i="50"/>
  <c r="I39" i="50"/>
  <c r="EP31" i="2"/>
  <c r="K37" i="50"/>
  <c r="J38" i="169"/>
  <c r="I39" i="169"/>
  <c r="J38" i="56"/>
  <c r="I39" i="56"/>
  <c r="K40" i="75"/>
  <c r="E31" i="136"/>
  <c r="C30" i="136"/>
  <c r="J31" i="136"/>
  <c r="K31" i="136" s="1"/>
  <c r="E30" i="36"/>
  <c r="C29" i="36"/>
  <c r="J30" i="36"/>
  <c r="K30" i="36" s="1"/>
  <c r="K37" i="10"/>
  <c r="E30" i="96"/>
  <c r="C29" i="96"/>
  <c r="J30" i="96"/>
  <c r="K30" i="96" s="1"/>
  <c r="K36" i="53"/>
  <c r="K36" i="161"/>
  <c r="J38" i="103"/>
  <c r="K37" i="103" s="1"/>
  <c r="I39" i="103"/>
  <c r="C29" i="133"/>
  <c r="E30" i="133"/>
  <c r="J30" i="133"/>
  <c r="K30" i="133" s="1"/>
  <c r="DH30" i="2"/>
  <c r="K36" i="33"/>
  <c r="I39" i="33"/>
  <c r="J38" i="33"/>
  <c r="K37" i="33" s="1"/>
  <c r="I43" i="46"/>
  <c r="J42" i="46"/>
  <c r="C29" i="48"/>
  <c r="E30" i="48"/>
  <c r="J30" i="48"/>
  <c r="K30" i="48" s="1"/>
  <c r="I40" i="149"/>
  <c r="J39" i="149"/>
  <c r="J40" i="98"/>
  <c r="I41" i="98"/>
  <c r="K37" i="169"/>
  <c r="I41" i="26"/>
  <c r="J40" i="26"/>
  <c r="C29" i="97"/>
  <c r="E30" i="97"/>
  <c r="EO30" i="2"/>
  <c r="J30" i="97"/>
  <c r="K30" i="97" s="1"/>
  <c r="K35" i="143"/>
  <c r="I40" i="25"/>
  <c r="J39" i="25"/>
  <c r="K38" i="25" s="1"/>
  <c r="C27" i="26"/>
  <c r="E28" i="26"/>
  <c r="J28" i="26"/>
  <c r="K28" i="26" s="1"/>
  <c r="E29" i="129"/>
  <c r="C28" i="129"/>
  <c r="J29" i="129"/>
  <c r="K29" i="129" s="1"/>
  <c r="DS29" i="2"/>
  <c r="E31" i="55"/>
  <c r="C30" i="55"/>
  <c r="J31" i="55"/>
  <c r="K31" i="55" s="1"/>
  <c r="I39" i="111"/>
  <c r="J38" i="111"/>
  <c r="K37" i="111" s="1"/>
  <c r="K36" i="126"/>
  <c r="E30" i="70"/>
  <c r="C29" i="70"/>
  <c r="J30" i="70"/>
  <c r="K30" i="70" s="1"/>
  <c r="AI31" i="2"/>
  <c r="K37" i="168"/>
  <c r="I41" i="172"/>
  <c r="J40" i="172"/>
  <c r="K39" i="172" s="1"/>
  <c r="K41" i="46"/>
  <c r="J37" i="140"/>
  <c r="K36" i="140" s="1"/>
  <c r="I38" i="140"/>
  <c r="E27" i="43"/>
  <c r="C26" i="43"/>
  <c r="J27" i="43"/>
  <c r="K27" i="43" s="1"/>
  <c r="C29" i="147"/>
  <c r="E30" i="147"/>
  <c r="J30" i="147"/>
  <c r="K30" i="147" s="1"/>
  <c r="E26" i="166"/>
  <c r="C25" i="166"/>
  <c r="J26" i="166"/>
  <c r="K26" i="166" s="1"/>
  <c r="I40" i="159"/>
  <c r="J39" i="159"/>
  <c r="K38" i="159" s="1"/>
  <c r="E31" i="58"/>
  <c r="C30" i="58"/>
  <c r="J31" i="58"/>
  <c r="K31" i="58" s="1"/>
  <c r="C23" i="82"/>
  <c r="E24" i="82"/>
  <c r="J24" i="82"/>
  <c r="K24" i="82" s="1"/>
  <c r="E26" i="87"/>
  <c r="C25" i="87"/>
  <c r="J26" i="87"/>
  <c r="K26" i="87" s="1"/>
  <c r="K37" i="93"/>
  <c r="K41" i="145"/>
  <c r="C29" i="140"/>
  <c r="E30" i="140"/>
  <c r="AI30" i="2"/>
  <c r="J30" i="140"/>
  <c r="K30" i="140" s="1"/>
  <c r="J38" i="168"/>
  <c r="I39" i="168"/>
  <c r="J38" i="131"/>
  <c r="K37" i="131" s="1"/>
  <c r="I39" i="131"/>
  <c r="I42" i="71"/>
  <c r="J41" i="71"/>
  <c r="K40" i="71" s="1"/>
  <c r="K37" i="104"/>
  <c r="C28" i="17"/>
  <c r="E29" i="17"/>
  <c r="J29" i="17"/>
  <c r="K29" i="17" s="1"/>
  <c r="I39" i="114"/>
  <c r="J38" i="114"/>
  <c r="K37" i="114" s="1"/>
  <c r="E27" i="34"/>
  <c r="C26" i="34"/>
  <c r="J27" i="34"/>
  <c r="K27" i="34" s="1"/>
  <c r="K36" i="81"/>
  <c r="K38" i="135"/>
  <c r="N31" i="2"/>
  <c r="J42" i="145"/>
  <c r="I43" i="145"/>
  <c r="IK31" i="2"/>
  <c r="K36" i="19"/>
  <c r="J40" i="164"/>
  <c r="K39" i="164" s="1"/>
  <c r="I41" i="164"/>
  <c r="C28" i="128"/>
  <c r="E29" i="128"/>
  <c r="J29" i="128"/>
  <c r="K29" i="128" s="1"/>
  <c r="J38" i="104"/>
  <c r="I39" i="104"/>
  <c r="E29" i="22"/>
  <c r="C28" i="22"/>
  <c r="J29" i="22"/>
  <c r="K29" i="22" s="1"/>
  <c r="E31" i="46"/>
  <c r="C30" i="46"/>
  <c r="J31" i="46"/>
  <c r="K31" i="46" s="1"/>
  <c r="I38" i="81"/>
  <c r="J37" i="81"/>
  <c r="J37" i="40"/>
  <c r="I38" i="40"/>
  <c r="C28" i="135"/>
  <c r="E29" i="135"/>
  <c r="J29" i="135"/>
  <c r="K29" i="135" s="1"/>
  <c r="FW32" i="2"/>
  <c r="K37" i="83"/>
  <c r="C28" i="57"/>
  <c r="E29" i="57"/>
  <c r="J29" i="57"/>
  <c r="K29" i="57" s="1"/>
  <c r="C29" i="78"/>
  <c r="E30" i="78"/>
  <c r="J30" i="78"/>
  <c r="K30" i="78" s="1"/>
  <c r="I39" i="106"/>
  <c r="J38" i="106"/>
  <c r="X31" i="1"/>
  <c r="I41" i="77"/>
  <c r="J40" i="77"/>
  <c r="IV32" i="2"/>
  <c r="E27" i="102"/>
  <c r="C26" i="102"/>
  <c r="J27" i="102"/>
  <c r="K27" i="102" s="1"/>
  <c r="I40" i="167"/>
  <c r="J39" i="167"/>
  <c r="E28" i="141"/>
  <c r="C27" i="141"/>
  <c r="J28" i="141"/>
  <c r="K28" i="141" s="1"/>
  <c r="E30" i="108"/>
  <c r="C29" i="108"/>
  <c r="J30" i="108"/>
  <c r="K30" i="108" s="1"/>
  <c r="I40" i="30"/>
  <c r="J39" i="30"/>
  <c r="K38" i="30" s="1"/>
  <c r="K38" i="167"/>
  <c r="K37" i="167"/>
  <c r="J37" i="11"/>
  <c r="I38" i="11"/>
  <c r="K38" i="117"/>
  <c r="CM32" i="2"/>
  <c r="K36" i="40"/>
  <c r="I40" i="28"/>
  <c r="J39" i="28"/>
  <c r="E28" i="124"/>
  <c r="C27" i="124"/>
  <c r="J28" i="124"/>
  <c r="K28" i="124" s="1"/>
  <c r="E30" i="33"/>
  <c r="C29" i="33"/>
  <c r="J30" i="33"/>
  <c r="K30" i="33" s="1"/>
  <c r="C29" i="164"/>
  <c r="E30" i="164"/>
  <c r="J30" i="164"/>
  <c r="K30" i="164" s="1"/>
  <c r="J39" i="99"/>
  <c r="K38" i="99" s="1"/>
  <c r="I40" i="99"/>
  <c r="I40" i="118"/>
  <c r="J39" i="118"/>
  <c r="K38" i="118" s="1"/>
  <c r="K36" i="87"/>
  <c r="I38" i="141"/>
  <c r="J37" i="141"/>
  <c r="K36" i="141" s="1"/>
  <c r="Y32" i="1"/>
  <c r="I40" i="66"/>
  <c r="J39" i="66"/>
  <c r="I39" i="123"/>
  <c r="J38" i="123"/>
  <c r="K37" i="124"/>
  <c r="K38" i="77"/>
  <c r="K37" i="159"/>
  <c r="I39" i="31"/>
  <c r="J38" i="31"/>
  <c r="K36" i="169"/>
  <c r="C28" i="67"/>
  <c r="E29" i="67"/>
  <c r="J29" i="67"/>
  <c r="K29" i="67" s="1"/>
  <c r="I41" i="142"/>
  <c r="J40" i="142"/>
  <c r="E30" i="63"/>
  <c r="C29" i="63"/>
  <c r="J30" i="63"/>
  <c r="K30" i="63" s="1"/>
  <c r="K35" i="171"/>
  <c r="E31" i="100"/>
  <c r="C30" i="100"/>
  <c r="J31" i="100"/>
  <c r="K31" i="100" s="1"/>
  <c r="K36" i="111"/>
  <c r="I40" i="68"/>
  <c r="J39" i="68"/>
  <c r="K38" i="68" s="1"/>
  <c r="E30" i="38"/>
  <c r="C29" i="38"/>
  <c r="J30" i="38"/>
  <c r="K30" i="38" s="1"/>
  <c r="E30" i="154"/>
  <c r="C29" i="154"/>
  <c r="J30" i="154"/>
  <c r="K30" i="154" s="1"/>
  <c r="IJ30" i="2"/>
  <c r="K36" i="131"/>
  <c r="K35" i="105"/>
  <c r="K35" i="43"/>
  <c r="J38" i="138"/>
  <c r="I39" i="138"/>
  <c r="K35" i="95"/>
  <c r="E29" i="19"/>
  <c r="C28" i="19"/>
  <c r="J29" i="19"/>
  <c r="K29" i="19" s="1"/>
  <c r="K35" i="110"/>
  <c r="I41" i="127"/>
  <c r="J40" i="127"/>
  <c r="K39" i="127" s="1"/>
  <c r="E31" i="53"/>
  <c r="C30" i="53"/>
  <c r="J31" i="53"/>
  <c r="K31" i="53" s="1"/>
  <c r="I39" i="121"/>
  <c r="J38" i="121"/>
  <c r="K37" i="121" s="1"/>
  <c r="I41" i="78"/>
  <c r="J40" i="78"/>
  <c r="K39" i="78" s="1"/>
  <c r="J37" i="35"/>
  <c r="K36" i="35" s="1"/>
  <c r="I38" i="35"/>
  <c r="E29" i="126"/>
  <c r="C28" i="126"/>
  <c r="J29" i="126"/>
  <c r="K29" i="126" s="1"/>
  <c r="I42" i="22"/>
  <c r="J41" i="22"/>
  <c r="K40" i="22" s="1"/>
  <c r="C29" i="80"/>
  <c r="E30" i="80"/>
  <c r="J30" i="80"/>
  <c r="K30" i="80" s="1"/>
  <c r="I40" i="113"/>
  <c r="J39" i="113"/>
  <c r="K38" i="113" s="1"/>
  <c r="E31" i="42"/>
  <c r="C30" i="42"/>
  <c r="J31" i="42"/>
  <c r="K31" i="42" s="1"/>
  <c r="FV31" i="2"/>
  <c r="J39" i="63"/>
  <c r="I40" i="63"/>
  <c r="K35" i="69"/>
  <c r="J38" i="153"/>
  <c r="K37" i="153" s="1"/>
  <c r="I39" i="153"/>
  <c r="E26" i="30"/>
  <c r="C25" i="30"/>
  <c r="J26" i="30"/>
  <c r="K26" i="30" s="1"/>
  <c r="E30" i="125"/>
  <c r="C29" i="125"/>
  <c r="J30" i="125"/>
  <c r="K30" i="125" s="1"/>
  <c r="E30" i="41"/>
  <c r="C29" i="41"/>
  <c r="BE30" i="2"/>
  <c r="J30" i="41"/>
  <c r="K30" i="41" s="1"/>
  <c r="E31" i="90"/>
  <c r="C30" i="90"/>
  <c r="J31" i="90"/>
  <c r="K31" i="90" s="1"/>
  <c r="K37" i="66"/>
  <c r="I40" i="158"/>
  <c r="J39" i="158"/>
  <c r="K38" i="158" s="1"/>
  <c r="E29" i="64"/>
  <c r="C28" i="64"/>
  <c r="J29" i="64"/>
  <c r="K29" i="64" s="1"/>
  <c r="E29" i="81"/>
  <c r="C28" i="81"/>
  <c r="J29" i="81"/>
  <c r="K29" i="81" s="1"/>
  <c r="E29" i="148"/>
  <c r="C28" i="148"/>
  <c r="J29" i="148"/>
  <c r="K29" i="148" s="1"/>
  <c r="I39" i="19"/>
  <c r="J38" i="19"/>
  <c r="K37" i="19" s="1"/>
  <c r="HN31" i="2"/>
  <c r="K35" i="38"/>
  <c r="J37" i="148"/>
  <c r="K36" i="148" s="1"/>
  <c r="I38" i="148"/>
  <c r="K40" i="133"/>
  <c r="I38" i="34"/>
  <c r="J37" i="34"/>
  <c r="K36" i="34" s="1"/>
  <c r="J38" i="20"/>
  <c r="K37" i="20" s="1"/>
  <c r="I39" i="20"/>
  <c r="C27" i="159"/>
  <c r="E28" i="159"/>
  <c r="J28" i="159"/>
  <c r="K28" i="159" s="1"/>
  <c r="C27" i="39"/>
  <c r="E28" i="39"/>
  <c r="J28" i="39"/>
  <c r="K28" i="39" s="1"/>
  <c r="C27" i="51"/>
  <c r="E28" i="51"/>
  <c r="J28" i="51"/>
  <c r="K28" i="51" s="1"/>
  <c r="J39" i="44"/>
  <c r="I40" i="44"/>
  <c r="K40" i="61"/>
  <c r="I42" i="79"/>
  <c r="J41" i="79"/>
  <c r="K40" i="79" s="1"/>
  <c r="C29" i="156" l="1"/>
  <c r="J30" i="156"/>
  <c r="K30" i="156" s="1"/>
  <c r="E30" i="156"/>
  <c r="J29" i="149"/>
  <c r="K29" i="149" s="1"/>
  <c r="C28" i="149"/>
  <c r="E29" i="149"/>
  <c r="C29" i="130"/>
  <c r="E30" i="130"/>
  <c r="J30" i="130"/>
  <c r="K30" i="130" s="1"/>
  <c r="C24" i="98"/>
  <c r="E25" i="98"/>
  <c r="J25" i="98"/>
  <c r="K25" i="98" s="1"/>
  <c r="C29" i="74"/>
  <c r="J30" i="74"/>
  <c r="K30" i="74" s="1"/>
  <c r="E30" i="74"/>
  <c r="E29" i="61"/>
  <c r="C28" i="61"/>
  <c r="J29" i="61"/>
  <c r="K29" i="61" s="1"/>
  <c r="E29" i="59"/>
  <c r="C28" i="59"/>
  <c r="J29" i="59"/>
  <c r="K29" i="59" s="1"/>
  <c r="J30" i="150"/>
  <c r="K30" i="150" s="1"/>
  <c r="E30" i="150"/>
  <c r="C29" i="150"/>
  <c r="HZ30" i="2"/>
  <c r="I40" i="138"/>
  <c r="J39" i="138"/>
  <c r="C25" i="43"/>
  <c r="E26" i="43"/>
  <c r="J26" i="43"/>
  <c r="K26" i="43" s="1"/>
  <c r="E29" i="97"/>
  <c r="C28" i="97"/>
  <c r="J29" i="97"/>
  <c r="K29" i="97" s="1"/>
  <c r="Y31" i="1"/>
  <c r="E30" i="56"/>
  <c r="C29" i="56"/>
  <c r="J30" i="56"/>
  <c r="K30" i="56" s="1"/>
  <c r="J38" i="58"/>
  <c r="I39" i="58"/>
  <c r="J39" i="87"/>
  <c r="K38" i="87" s="1"/>
  <c r="I40" i="87"/>
  <c r="J39" i="86"/>
  <c r="K38" i="86" s="1"/>
  <c r="I40" i="86"/>
  <c r="I42" i="89"/>
  <c r="J41" i="89"/>
  <c r="C29" i="8"/>
  <c r="E30" i="8"/>
  <c r="BP30" i="1"/>
  <c r="HC30" i="2"/>
  <c r="J30" i="8"/>
  <c r="K30" i="8" s="1"/>
  <c r="C27" i="25"/>
  <c r="E28" i="25"/>
  <c r="J28" i="25"/>
  <c r="K28" i="25" s="1"/>
  <c r="J39" i="67"/>
  <c r="I40" i="67"/>
  <c r="J41" i="132"/>
  <c r="I42" i="132"/>
  <c r="E27" i="120"/>
  <c r="C26" i="120"/>
  <c r="J27" i="120"/>
  <c r="K27" i="120" s="1"/>
  <c r="J39" i="104"/>
  <c r="K38" i="104" s="1"/>
  <c r="I40" i="104"/>
  <c r="C28" i="36"/>
  <c r="E29" i="36"/>
  <c r="J29" i="36"/>
  <c r="K29" i="36" s="1"/>
  <c r="FW31" i="2"/>
  <c r="K38" i="138"/>
  <c r="C26" i="124"/>
  <c r="E27" i="124"/>
  <c r="J27" i="124"/>
  <c r="K27" i="124" s="1"/>
  <c r="E28" i="64"/>
  <c r="C27" i="64"/>
  <c r="J28" i="64"/>
  <c r="K28" i="64" s="1"/>
  <c r="I40" i="168"/>
  <c r="J39" i="168"/>
  <c r="K38" i="168" s="1"/>
  <c r="J38" i="140"/>
  <c r="K37" i="140" s="1"/>
  <c r="I39" i="140"/>
  <c r="J41" i="26"/>
  <c r="K40" i="26" s="1"/>
  <c r="I42" i="26"/>
  <c r="C29" i="158"/>
  <c r="E30" i="158"/>
  <c r="J30" i="158"/>
  <c r="K30" i="158" s="1"/>
  <c r="K37" i="58"/>
  <c r="I40" i="162"/>
  <c r="J39" i="162"/>
  <c r="K38" i="162" s="1"/>
  <c r="BQ31" i="2"/>
  <c r="E30" i="29"/>
  <c r="C29" i="29"/>
  <c r="J30" i="29"/>
  <c r="K30" i="29" s="1"/>
  <c r="E29" i="13"/>
  <c r="C28" i="13"/>
  <c r="J29" i="13"/>
  <c r="K29" i="13" s="1"/>
  <c r="I42" i="48"/>
  <c r="J41" i="48"/>
  <c r="CX30" i="2"/>
  <c r="E27" i="173"/>
  <c r="C26" i="173"/>
  <c r="J27" i="173"/>
  <c r="K27" i="173" s="1"/>
  <c r="K40" i="132"/>
  <c r="E28" i="67"/>
  <c r="C27" i="67"/>
  <c r="J28" i="67"/>
  <c r="K28" i="67" s="1"/>
  <c r="E30" i="136"/>
  <c r="C29" i="136"/>
  <c r="J30" i="136"/>
  <c r="K30" i="136" s="1"/>
  <c r="GS31" i="2"/>
  <c r="C28" i="153"/>
  <c r="E29" i="153"/>
  <c r="J29" i="153"/>
  <c r="K29" i="153" s="1"/>
  <c r="C27" i="60"/>
  <c r="E28" i="60"/>
  <c r="J28" i="60"/>
  <c r="K28" i="60" s="1"/>
  <c r="E30" i="52"/>
  <c r="C29" i="52"/>
  <c r="BP30" i="2"/>
  <c r="J30" i="52"/>
  <c r="K30" i="52" s="1"/>
  <c r="I39" i="160"/>
  <c r="J38" i="160"/>
  <c r="C27" i="83"/>
  <c r="E28" i="83"/>
  <c r="J28" i="83"/>
  <c r="K28" i="83" s="1"/>
  <c r="I40" i="54"/>
  <c r="J39" i="54"/>
  <c r="C27" i="16"/>
  <c r="E28" i="16"/>
  <c r="J28" i="16"/>
  <c r="K28" i="16" s="1"/>
  <c r="J38" i="171"/>
  <c r="K37" i="171" s="1"/>
  <c r="I39" i="171"/>
  <c r="E30" i="121"/>
  <c r="C29" i="121"/>
  <c r="J30" i="121"/>
  <c r="K30" i="121" s="1"/>
  <c r="C29" i="42"/>
  <c r="E30" i="42"/>
  <c r="J30" i="42"/>
  <c r="K30" i="42" s="1"/>
  <c r="FV30" i="2"/>
  <c r="J40" i="28"/>
  <c r="I41" i="28"/>
  <c r="I40" i="106"/>
  <c r="J39" i="106"/>
  <c r="E28" i="128"/>
  <c r="C27" i="128"/>
  <c r="J28" i="128"/>
  <c r="K28" i="128" s="1"/>
  <c r="E30" i="107"/>
  <c r="C29" i="107"/>
  <c r="J30" i="107"/>
  <c r="K30" i="107" s="1"/>
  <c r="J39" i="88"/>
  <c r="I40" i="88"/>
  <c r="E29" i="21"/>
  <c r="C28" i="21"/>
  <c r="J29" i="21"/>
  <c r="K29" i="21" s="1"/>
  <c r="I41" i="23"/>
  <c r="J40" i="23"/>
  <c r="K39" i="23" s="1"/>
  <c r="C26" i="106"/>
  <c r="E27" i="106"/>
  <c r="J27" i="106"/>
  <c r="K27" i="106" s="1"/>
  <c r="J38" i="166"/>
  <c r="K37" i="166" s="1"/>
  <c r="I39" i="166"/>
  <c r="C28" i="164"/>
  <c r="E29" i="164"/>
  <c r="J29" i="164"/>
  <c r="K29" i="164" s="1"/>
  <c r="E27" i="47"/>
  <c r="C26" i="47"/>
  <c r="J27" i="47"/>
  <c r="K27" i="47" s="1"/>
  <c r="E28" i="99"/>
  <c r="C27" i="99"/>
  <c r="J28" i="99"/>
  <c r="K28" i="99" s="1"/>
  <c r="K38" i="88"/>
  <c r="I44" i="12"/>
  <c r="J43" i="12"/>
  <c r="K42" i="12" s="1"/>
  <c r="J38" i="105"/>
  <c r="I39" i="105"/>
  <c r="E28" i="139"/>
  <c r="C27" i="139"/>
  <c r="J28" i="139"/>
  <c r="K28" i="139" s="1"/>
  <c r="K40" i="98"/>
  <c r="I40" i="56"/>
  <c r="J39" i="56"/>
  <c r="E30" i="14"/>
  <c r="C29" i="14"/>
  <c r="J30" i="14"/>
  <c r="K30" i="14" s="1"/>
  <c r="C27" i="9"/>
  <c r="E28" i="9"/>
  <c r="J28" i="9"/>
  <c r="K28" i="9" s="1"/>
  <c r="I39" i="120"/>
  <c r="J38" i="120"/>
  <c r="K37" i="120" s="1"/>
  <c r="I42" i="51"/>
  <c r="J41" i="51"/>
  <c r="I43" i="24"/>
  <c r="E26" i="105"/>
  <c r="C25" i="105"/>
  <c r="J26" i="105"/>
  <c r="K26" i="105" s="1"/>
  <c r="I39" i="69"/>
  <c r="J38" i="69"/>
  <c r="E30" i="3"/>
  <c r="C29" i="3"/>
  <c r="J30" i="3"/>
  <c r="K30" i="3" s="1"/>
  <c r="I44" i="15"/>
  <c r="J43" i="15"/>
  <c r="K42" i="15" s="1"/>
  <c r="K39" i="60"/>
  <c r="J38" i="102"/>
  <c r="I39" i="102"/>
  <c r="I58" i="150"/>
  <c r="J57" i="150"/>
  <c r="K56" i="150" s="1"/>
  <c r="C26" i="73"/>
  <c r="E27" i="73"/>
  <c r="J27" i="73"/>
  <c r="K27" i="73" s="1"/>
  <c r="K39" i="77"/>
  <c r="CW29" i="2"/>
  <c r="I41" i="60"/>
  <c r="J40" i="60"/>
  <c r="K37" i="102"/>
  <c r="I43" i="94"/>
  <c r="J42" i="94"/>
  <c r="K41" i="94" s="1"/>
  <c r="E27" i="127"/>
  <c r="C26" i="127"/>
  <c r="J27" i="127"/>
  <c r="K27" i="127" s="1"/>
  <c r="AJ30" i="2"/>
  <c r="I40" i="169"/>
  <c r="J39" i="169"/>
  <c r="E28" i="103"/>
  <c r="C27" i="103"/>
  <c r="J28" i="103"/>
  <c r="K28" i="103" s="1"/>
  <c r="I40" i="73"/>
  <c r="J39" i="73"/>
  <c r="E29" i="101"/>
  <c r="C28" i="101"/>
  <c r="J29" i="101"/>
  <c r="K29" i="101" s="1"/>
  <c r="C25" i="160"/>
  <c r="E26" i="160"/>
  <c r="J26" i="160"/>
  <c r="K26" i="160" s="1"/>
  <c r="J39" i="144"/>
  <c r="K38" i="144" s="1"/>
  <c r="I40" i="144"/>
  <c r="I43" i="79"/>
  <c r="J42" i="79"/>
  <c r="I42" i="98"/>
  <c r="J41" i="98"/>
  <c r="I41" i="149"/>
  <c r="J40" i="149"/>
  <c r="K39" i="149" s="1"/>
  <c r="E29" i="119"/>
  <c r="C28" i="119"/>
  <c r="J29" i="119"/>
  <c r="K29" i="119" s="1"/>
  <c r="E30" i="90"/>
  <c r="C29" i="90"/>
  <c r="J30" i="90"/>
  <c r="K30" i="90" s="1"/>
  <c r="E29" i="80"/>
  <c r="C28" i="80"/>
  <c r="J29" i="80"/>
  <c r="K29" i="80" s="1"/>
  <c r="J38" i="11"/>
  <c r="K37" i="11" s="1"/>
  <c r="I39" i="11"/>
  <c r="E29" i="78"/>
  <c r="C28" i="78"/>
  <c r="J29" i="78"/>
  <c r="K29" i="78" s="1"/>
  <c r="AJ31" i="2"/>
  <c r="K38" i="169"/>
  <c r="K38" i="161"/>
  <c r="E28" i="11"/>
  <c r="C27" i="11"/>
  <c r="J28" i="11"/>
  <c r="K28" i="11" s="1"/>
  <c r="I44" i="61"/>
  <c r="J43" i="61"/>
  <c r="K42" i="61" s="1"/>
  <c r="I44" i="7"/>
  <c r="J43" i="7"/>
  <c r="K42" i="7" s="1"/>
  <c r="J39" i="39"/>
  <c r="I40" i="39"/>
  <c r="I40" i="137"/>
  <c r="J39" i="137"/>
  <c r="E28" i="112"/>
  <c r="C27" i="112"/>
  <c r="CW28" i="2"/>
  <c r="J28" i="112"/>
  <c r="K28" i="112" s="1"/>
  <c r="E26" i="131"/>
  <c r="C25" i="131"/>
  <c r="J26" i="131"/>
  <c r="K26" i="131" s="1"/>
  <c r="C28" i="169"/>
  <c r="E29" i="169"/>
  <c r="J29" i="169"/>
  <c r="K29" i="169" s="1"/>
  <c r="I39" i="143"/>
  <c r="J38" i="143"/>
  <c r="I42" i="135"/>
  <c r="J41" i="135"/>
  <c r="K40" i="135" s="1"/>
  <c r="K39" i="98"/>
  <c r="I40" i="161"/>
  <c r="J39" i="161"/>
  <c r="C28" i="76"/>
  <c r="E29" i="76"/>
  <c r="J29" i="76"/>
  <c r="K29" i="76" s="1"/>
  <c r="K41" i="61"/>
  <c r="K37" i="88"/>
  <c r="C27" i="167"/>
  <c r="E28" i="167"/>
  <c r="J28" i="167"/>
  <c r="K28" i="167" s="1"/>
  <c r="K37" i="47"/>
  <c r="J43" i="134"/>
  <c r="K42" i="134" s="1"/>
  <c r="I44" i="134"/>
  <c r="I43" i="42"/>
  <c r="J42" i="42"/>
  <c r="K41" i="42" s="1"/>
  <c r="I43" i="22"/>
  <c r="J42" i="22"/>
  <c r="E29" i="38"/>
  <c r="C28" i="38"/>
  <c r="J29" i="38"/>
  <c r="K29" i="38" s="1"/>
  <c r="I40" i="123"/>
  <c r="J39" i="123"/>
  <c r="K38" i="123" s="1"/>
  <c r="I44" i="145"/>
  <c r="J43" i="145"/>
  <c r="K42" i="145" s="1"/>
  <c r="C28" i="70"/>
  <c r="E29" i="70"/>
  <c r="J29" i="70"/>
  <c r="K29" i="70" s="1"/>
  <c r="C28" i="48"/>
  <c r="E29" i="48"/>
  <c r="J29" i="48"/>
  <c r="K29" i="48" s="1"/>
  <c r="C26" i="84"/>
  <c r="E27" i="84"/>
  <c r="J27" i="84"/>
  <c r="K27" i="84" s="1"/>
  <c r="K40" i="16"/>
  <c r="J38" i="36"/>
  <c r="I39" i="36"/>
  <c r="E27" i="62"/>
  <c r="C26" i="62"/>
  <c r="J27" i="62"/>
  <c r="K27" i="62" s="1"/>
  <c r="K37" i="43"/>
  <c r="K39" i="51"/>
  <c r="J43" i="133"/>
  <c r="I44" i="133"/>
  <c r="I44" i="74"/>
  <c r="J43" i="74"/>
  <c r="J40" i="124"/>
  <c r="I41" i="124"/>
  <c r="I39" i="47"/>
  <c r="J38" i="47"/>
  <c r="FA30" i="2"/>
  <c r="I42" i="16"/>
  <c r="J41" i="16"/>
  <c r="J41" i="101"/>
  <c r="I42" i="101"/>
  <c r="I39" i="43"/>
  <c r="J38" i="43"/>
  <c r="K38" i="18"/>
  <c r="I41" i="18"/>
  <c r="J40" i="18"/>
  <c r="K39" i="18" s="1"/>
  <c r="E29" i="71"/>
  <c r="C28" i="71"/>
  <c r="J29" i="71"/>
  <c r="K29" i="71" s="1"/>
  <c r="E27" i="86"/>
  <c r="C26" i="86"/>
  <c r="J27" i="86"/>
  <c r="K27" i="86" s="1"/>
  <c r="I42" i="62"/>
  <c r="J41" i="62"/>
  <c r="K40" i="62" s="1"/>
  <c r="K39" i="124"/>
  <c r="C28" i="134"/>
  <c r="E29" i="134"/>
  <c r="EZ29" i="2"/>
  <c r="J29" i="134"/>
  <c r="K29" i="134" s="1"/>
  <c r="C27" i="118"/>
  <c r="E28" i="118"/>
  <c r="J28" i="118"/>
  <c r="K28" i="118" s="1"/>
  <c r="E29" i="147"/>
  <c r="C28" i="147"/>
  <c r="J29" i="147"/>
  <c r="K29" i="147" s="1"/>
  <c r="I41" i="44"/>
  <c r="J40" i="44"/>
  <c r="C28" i="140"/>
  <c r="E29" i="140"/>
  <c r="J29" i="140"/>
  <c r="K29" i="140" s="1"/>
  <c r="E29" i="154"/>
  <c r="C28" i="154"/>
  <c r="J29" i="154"/>
  <c r="K29" i="154" s="1"/>
  <c r="E29" i="41"/>
  <c r="C28" i="41"/>
  <c r="J29" i="41"/>
  <c r="K29" i="41" s="1"/>
  <c r="K39" i="68"/>
  <c r="J40" i="66"/>
  <c r="I41" i="66"/>
  <c r="K39" i="30"/>
  <c r="K37" i="162"/>
  <c r="J40" i="92"/>
  <c r="K39" i="92" s="1"/>
  <c r="I41" i="92"/>
  <c r="K40" i="101"/>
  <c r="C29" i="155"/>
  <c r="E30" i="155"/>
  <c r="J30" i="155"/>
  <c r="K30" i="155" s="1"/>
  <c r="K38" i="116"/>
  <c r="C29" i="93"/>
  <c r="E30" i="93"/>
  <c r="J30" i="93"/>
  <c r="K30" i="93" s="1"/>
  <c r="I41" i="165"/>
  <c r="J40" i="165"/>
  <c r="K37" i="8"/>
  <c r="I42" i="156"/>
  <c r="J41" i="156"/>
  <c r="C28" i="77"/>
  <c r="E29" i="77"/>
  <c r="J29" i="77"/>
  <c r="K29" i="77" s="1"/>
  <c r="C27" i="104"/>
  <c r="E28" i="104"/>
  <c r="J28" i="104"/>
  <c r="K28" i="104" s="1"/>
  <c r="E29" i="117"/>
  <c r="C28" i="117"/>
  <c r="J29" i="117"/>
  <c r="K29" i="117" s="1"/>
  <c r="C29" i="152"/>
  <c r="M29" i="2" s="1"/>
  <c r="E30" i="152"/>
  <c r="J30" i="152"/>
  <c r="K30" i="152" s="1"/>
  <c r="C24" i="146"/>
  <c r="E25" i="146"/>
  <c r="J25" i="146"/>
  <c r="K25" i="146" s="1"/>
  <c r="J39" i="116"/>
  <c r="I40" i="116"/>
  <c r="I39" i="100"/>
  <c r="J38" i="100"/>
  <c r="K37" i="100" s="1"/>
  <c r="AU31" i="1"/>
  <c r="K39" i="165"/>
  <c r="I39" i="8"/>
  <c r="J38" i="8"/>
  <c r="J39" i="151"/>
  <c r="K38" i="151" s="1"/>
  <c r="I40" i="151"/>
  <c r="E30" i="143"/>
  <c r="C29" i="143"/>
  <c r="J30" i="143"/>
  <c r="K30" i="143" s="1"/>
  <c r="I41" i="63"/>
  <c r="J40" i="63"/>
  <c r="I41" i="158"/>
  <c r="J40" i="158"/>
  <c r="K39" i="158" s="1"/>
  <c r="J40" i="113"/>
  <c r="I41" i="113"/>
  <c r="IK30" i="2"/>
  <c r="I40" i="20"/>
  <c r="J39" i="20"/>
  <c r="K38" i="20" s="1"/>
  <c r="E29" i="162"/>
  <c r="C28" i="162"/>
  <c r="J29" i="162"/>
  <c r="K29" i="162" s="1"/>
  <c r="C29" i="91"/>
  <c r="E30" i="91"/>
  <c r="J30" i="91"/>
  <c r="K30" i="91" s="1"/>
  <c r="I39" i="35"/>
  <c r="J38" i="35"/>
  <c r="K37" i="35" s="1"/>
  <c r="K38" i="63"/>
  <c r="J39" i="111"/>
  <c r="K38" i="111" s="1"/>
  <c r="I40" i="111"/>
  <c r="I40" i="21"/>
  <c r="J39" i="21"/>
  <c r="K38" i="21" s="1"/>
  <c r="I39" i="64"/>
  <c r="J38" i="64"/>
  <c r="K37" i="64" s="1"/>
  <c r="E30" i="7"/>
  <c r="C29" i="7"/>
  <c r="AT30" i="1"/>
  <c r="J30" i="7"/>
  <c r="K30" i="7" s="1"/>
  <c r="I42" i="152"/>
  <c r="J41" i="152"/>
  <c r="EE31" i="2"/>
  <c r="C28" i="145"/>
  <c r="E29" i="145"/>
  <c r="J29" i="145"/>
  <c r="K29" i="145" s="1"/>
  <c r="I42" i="164"/>
  <c r="J41" i="164"/>
  <c r="K40" i="164" s="1"/>
  <c r="K38" i="56"/>
  <c r="I41" i="68"/>
  <c r="J40" i="68"/>
  <c r="I41" i="30"/>
  <c r="J40" i="30"/>
  <c r="E23" i="82"/>
  <c r="C22" i="82"/>
  <c r="J23" i="82"/>
  <c r="K23" i="82" s="1"/>
  <c r="E27" i="72"/>
  <c r="C26" i="72"/>
  <c r="J27" i="72"/>
  <c r="K27" i="72" s="1"/>
  <c r="K40" i="9"/>
  <c r="C24" i="32"/>
  <c r="E25" i="32"/>
  <c r="J25" i="32"/>
  <c r="K25" i="32" s="1"/>
  <c r="K40" i="152"/>
  <c r="E30" i="172"/>
  <c r="C29" i="172"/>
  <c r="J30" i="172"/>
  <c r="K30" i="172" s="1"/>
  <c r="C28" i="15"/>
  <c r="E29" i="15"/>
  <c r="J29" i="15"/>
  <c r="K29" i="15" s="1"/>
  <c r="C29" i="109"/>
  <c r="E30" i="109"/>
  <c r="ED30" i="2"/>
  <c r="J30" i="109"/>
  <c r="K30" i="109" s="1"/>
  <c r="E29" i="10"/>
  <c r="C28" i="10"/>
  <c r="J29" i="10"/>
  <c r="K29" i="10" s="1"/>
  <c r="E30" i="92"/>
  <c r="C29" i="92"/>
  <c r="J30" i="92"/>
  <c r="K30" i="92" s="1"/>
  <c r="E28" i="22"/>
  <c r="C27" i="22"/>
  <c r="J28" i="22"/>
  <c r="K28" i="22" s="1"/>
  <c r="E28" i="81"/>
  <c r="C27" i="81"/>
  <c r="J28" i="81"/>
  <c r="K28" i="81" s="1"/>
  <c r="J39" i="155"/>
  <c r="I40" i="155"/>
  <c r="FL30" i="2"/>
  <c r="J38" i="141"/>
  <c r="K37" i="141" s="1"/>
  <c r="I39" i="141"/>
  <c r="E30" i="55"/>
  <c r="C29" i="55"/>
  <c r="J30" i="55"/>
  <c r="K30" i="55" s="1"/>
  <c r="I40" i="170"/>
  <c r="J39" i="170"/>
  <c r="K38" i="170" s="1"/>
  <c r="I41" i="10"/>
  <c r="J40" i="10"/>
  <c r="K39" i="10" s="1"/>
  <c r="I39" i="17"/>
  <c r="J38" i="17"/>
  <c r="K37" i="17" s="1"/>
  <c r="I40" i="126"/>
  <c r="J39" i="126"/>
  <c r="K38" i="126" s="1"/>
  <c r="I42" i="9"/>
  <c r="J41" i="9"/>
  <c r="E30" i="174"/>
  <c r="C29" i="174"/>
  <c r="HY29" i="2" s="1"/>
  <c r="J30" i="174"/>
  <c r="K30" i="174" s="1"/>
  <c r="J38" i="109"/>
  <c r="K37" i="109" s="1"/>
  <c r="I39" i="109"/>
  <c r="I39" i="130"/>
  <c r="J38" i="130"/>
  <c r="K37" i="130" s="1"/>
  <c r="E27" i="51"/>
  <c r="C26" i="51"/>
  <c r="J27" i="51"/>
  <c r="K27" i="51" s="1"/>
  <c r="C27" i="126"/>
  <c r="E28" i="126"/>
  <c r="J28" i="126"/>
  <c r="K28" i="126" s="1"/>
  <c r="I42" i="78"/>
  <c r="J41" i="78"/>
  <c r="K40" i="78" s="1"/>
  <c r="K37" i="138"/>
  <c r="K37" i="31"/>
  <c r="E28" i="135"/>
  <c r="C27" i="135"/>
  <c r="J28" i="135"/>
  <c r="K28" i="135" s="1"/>
  <c r="DI30" i="2"/>
  <c r="K38" i="149"/>
  <c r="K42" i="75"/>
  <c r="K38" i="84"/>
  <c r="E29" i="88"/>
  <c r="C28" i="88"/>
  <c r="FK29" i="2"/>
  <c r="J29" i="88"/>
  <c r="K29" i="88" s="1"/>
  <c r="K39" i="83"/>
  <c r="I40" i="5"/>
  <c r="J39" i="5"/>
  <c r="K38" i="5" s="1"/>
  <c r="K37" i="5"/>
  <c r="I39" i="95"/>
  <c r="J38" i="95"/>
  <c r="HN30" i="2"/>
  <c r="C28" i="23"/>
  <c r="E29" i="23"/>
  <c r="J29" i="23"/>
  <c r="K29" i="23" s="1"/>
  <c r="E27" i="123"/>
  <c r="C26" i="123"/>
  <c r="J27" i="123"/>
  <c r="K27" i="123" s="1"/>
  <c r="E25" i="87"/>
  <c r="C24" i="87"/>
  <c r="J25" i="87"/>
  <c r="K25" i="87" s="1"/>
  <c r="E29" i="125"/>
  <c r="C28" i="125"/>
  <c r="J29" i="125"/>
  <c r="K29" i="125" s="1"/>
  <c r="C28" i="108"/>
  <c r="E29" i="108"/>
  <c r="J29" i="108"/>
  <c r="K29" i="108" s="1"/>
  <c r="I40" i="33"/>
  <c r="J39" i="33"/>
  <c r="K38" i="33" s="1"/>
  <c r="E27" i="85"/>
  <c r="C26" i="85"/>
  <c r="J27" i="85"/>
  <c r="K27" i="85" s="1"/>
  <c r="HO31" i="2"/>
  <c r="E25" i="30"/>
  <c r="C24" i="30"/>
  <c r="J25" i="30"/>
  <c r="K25" i="30" s="1"/>
  <c r="K39" i="142"/>
  <c r="K38" i="28"/>
  <c r="E30" i="58"/>
  <c r="C29" i="58"/>
  <c r="J30" i="58"/>
  <c r="K30" i="58" s="1"/>
  <c r="DT29" i="2"/>
  <c r="J38" i="90"/>
  <c r="I39" i="90"/>
  <c r="I44" i="75"/>
  <c r="J43" i="75"/>
  <c r="I40" i="84"/>
  <c r="J39" i="84"/>
  <c r="E29" i="122"/>
  <c r="C28" i="122"/>
  <c r="J29" i="122"/>
  <c r="K29" i="122" s="1"/>
  <c r="I41" i="83"/>
  <c r="J40" i="83"/>
  <c r="K39" i="9"/>
  <c r="E27" i="115"/>
  <c r="C26" i="115"/>
  <c r="J27" i="115"/>
  <c r="K27" i="115" s="1"/>
  <c r="I41" i="41"/>
  <c r="J40" i="41"/>
  <c r="K39" i="41" s="1"/>
  <c r="C28" i="35"/>
  <c r="E29" i="35"/>
  <c r="J29" i="35"/>
  <c r="K29" i="35" s="1"/>
  <c r="E27" i="168"/>
  <c r="C26" i="168"/>
  <c r="J27" i="168"/>
  <c r="K27" i="168" s="1"/>
  <c r="E28" i="148"/>
  <c r="C27" i="148"/>
  <c r="J28" i="148"/>
  <c r="K28" i="148" s="1"/>
  <c r="C29" i="100"/>
  <c r="E30" i="100"/>
  <c r="J30" i="100"/>
  <c r="K30" i="100" s="1"/>
  <c r="K37" i="106"/>
  <c r="E27" i="141"/>
  <c r="C26" i="141"/>
  <c r="J27" i="141"/>
  <c r="K27" i="141" s="1"/>
  <c r="J38" i="40"/>
  <c r="K37" i="40" s="1"/>
  <c r="I39" i="40"/>
  <c r="E26" i="34"/>
  <c r="C25" i="34"/>
  <c r="J26" i="34"/>
  <c r="K26" i="34" s="1"/>
  <c r="K37" i="90"/>
  <c r="E28" i="144"/>
  <c r="C27" i="144"/>
  <c r="J28" i="144"/>
  <c r="K28" i="144" s="1"/>
  <c r="I40" i="4"/>
  <c r="J39" i="4"/>
  <c r="J39" i="76"/>
  <c r="I40" i="76"/>
  <c r="E29" i="132"/>
  <c r="C28" i="132"/>
  <c r="J29" i="132"/>
  <c r="K29" i="132" s="1"/>
  <c r="I39" i="96"/>
  <c r="J38" i="96"/>
  <c r="J40" i="157"/>
  <c r="I41" i="157"/>
  <c r="E28" i="4"/>
  <c r="C27" i="4"/>
  <c r="J28" i="4"/>
  <c r="K28" i="4" s="1"/>
  <c r="J39" i="108"/>
  <c r="K38" i="108" s="1"/>
  <c r="I40" i="108"/>
  <c r="C24" i="138"/>
  <c r="E25" i="138"/>
  <c r="J25" i="138"/>
  <c r="K25" i="138" s="1"/>
  <c r="I40" i="49"/>
  <c r="J39" i="49"/>
  <c r="E29" i="89"/>
  <c r="C28" i="89"/>
  <c r="J29" i="89"/>
  <c r="K29" i="89" s="1"/>
  <c r="E28" i="57"/>
  <c r="C27" i="57"/>
  <c r="J28" i="57"/>
  <c r="K28" i="57" s="1"/>
  <c r="I40" i="121"/>
  <c r="J39" i="121"/>
  <c r="K38" i="121" s="1"/>
  <c r="K39" i="26"/>
  <c r="E28" i="129"/>
  <c r="C27" i="129"/>
  <c r="J28" i="129"/>
  <c r="K28" i="129" s="1"/>
  <c r="DS28" i="2"/>
  <c r="E29" i="133"/>
  <c r="C28" i="133"/>
  <c r="J29" i="133"/>
  <c r="K29" i="133" s="1"/>
  <c r="DH29" i="2"/>
  <c r="C29" i="28"/>
  <c r="AI29" i="2" s="1"/>
  <c r="E30" i="28"/>
  <c r="J30" i="28"/>
  <c r="K30" i="28" s="1"/>
  <c r="C27" i="5"/>
  <c r="E28" i="5"/>
  <c r="J28" i="5"/>
  <c r="K28" i="5" s="1"/>
  <c r="I43" i="32"/>
  <c r="J42" i="32"/>
  <c r="K41" i="32" s="1"/>
  <c r="E28" i="137"/>
  <c r="C27" i="137"/>
  <c r="J28" i="137"/>
  <c r="K28" i="137" s="1"/>
  <c r="K36" i="96"/>
  <c r="K38" i="41"/>
  <c r="K36" i="69"/>
  <c r="E29" i="79"/>
  <c r="C28" i="79"/>
  <c r="J29" i="79"/>
  <c r="K29" i="79" s="1"/>
  <c r="J39" i="57"/>
  <c r="I40" i="57"/>
  <c r="K39" i="156"/>
  <c r="K38" i="49"/>
  <c r="E29" i="142"/>
  <c r="C28" i="142"/>
  <c r="J29" i="142"/>
  <c r="K29" i="142" s="1"/>
  <c r="C26" i="39"/>
  <c r="E27" i="39"/>
  <c r="J27" i="39"/>
  <c r="K27" i="39" s="1"/>
  <c r="J39" i="153"/>
  <c r="K38" i="153" s="1"/>
  <c r="I40" i="153"/>
  <c r="I41" i="118"/>
  <c r="J40" i="118"/>
  <c r="K39" i="118" s="1"/>
  <c r="I40" i="103"/>
  <c r="J39" i="103"/>
  <c r="K38" i="103" s="1"/>
  <c r="J39" i="70"/>
  <c r="K38" i="70" s="1"/>
  <c r="I40" i="70"/>
  <c r="E29" i="114"/>
  <c r="C28" i="114"/>
  <c r="J29" i="114"/>
  <c r="K29" i="114" s="1"/>
  <c r="CB31" i="1"/>
  <c r="C28" i="95"/>
  <c r="E29" i="95"/>
  <c r="J29" i="95"/>
  <c r="K29" i="95" s="1"/>
  <c r="K39" i="101"/>
  <c r="K36" i="91"/>
  <c r="K36" i="100"/>
  <c r="I42" i="122"/>
  <c r="J41" i="122"/>
  <c r="K41" i="15"/>
  <c r="K38" i="57"/>
  <c r="I39" i="174"/>
  <c r="J38" i="174"/>
  <c r="C26" i="163"/>
  <c r="E27" i="163"/>
  <c r="J27" i="163"/>
  <c r="K27" i="163" s="1"/>
  <c r="K39" i="113"/>
  <c r="I40" i="31"/>
  <c r="J39" i="31"/>
  <c r="K38" i="31" s="1"/>
  <c r="K41" i="22"/>
  <c r="I39" i="34"/>
  <c r="J38" i="34"/>
  <c r="K37" i="34" s="1"/>
  <c r="I44" i="46"/>
  <c r="J43" i="46"/>
  <c r="K42" i="46" s="1"/>
  <c r="I41" i="99"/>
  <c r="J40" i="99"/>
  <c r="K39" i="99" s="1"/>
  <c r="I39" i="81"/>
  <c r="J38" i="81"/>
  <c r="J39" i="114"/>
  <c r="I40" i="114"/>
  <c r="J40" i="159"/>
  <c r="I41" i="159"/>
  <c r="E27" i="69"/>
  <c r="C26" i="69"/>
  <c r="J27" i="69"/>
  <c r="K27" i="69" s="1"/>
  <c r="E28" i="66"/>
  <c r="C27" i="66"/>
  <c r="J28" i="66"/>
  <c r="K28" i="66" s="1"/>
  <c r="I39" i="91"/>
  <c r="J38" i="91"/>
  <c r="K37" i="91" s="1"/>
  <c r="E27" i="40"/>
  <c r="C26" i="40"/>
  <c r="J27" i="40"/>
  <c r="K27" i="40" s="1"/>
  <c r="C26" i="37"/>
  <c r="E27" i="37"/>
  <c r="J27" i="37"/>
  <c r="K27" i="37" s="1"/>
  <c r="K36" i="64"/>
  <c r="I39" i="38"/>
  <c r="J38" i="38"/>
  <c r="K37" i="38" s="1"/>
  <c r="BF30" i="2"/>
  <c r="J39" i="50"/>
  <c r="K38" i="50" s="1"/>
  <c r="I40" i="50"/>
  <c r="K37" i="56"/>
  <c r="I39" i="148"/>
  <c r="J38" i="148"/>
  <c r="K37" i="148" s="1"/>
  <c r="C29" i="53"/>
  <c r="E30" i="53"/>
  <c r="J30" i="53"/>
  <c r="K30" i="53" s="1"/>
  <c r="J40" i="167"/>
  <c r="I41" i="167"/>
  <c r="K37" i="170"/>
  <c r="AU31" i="2"/>
  <c r="E30" i="6"/>
  <c r="C29" i="6"/>
  <c r="CA30" i="1"/>
  <c r="J39" i="52"/>
  <c r="I40" i="52"/>
  <c r="E28" i="65"/>
  <c r="C27" i="65"/>
  <c r="J28" i="65"/>
  <c r="K28" i="65" s="1"/>
  <c r="K36" i="109"/>
  <c r="I41" i="37"/>
  <c r="J40" i="37"/>
  <c r="I41" i="173"/>
  <c r="J40" i="173"/>
  <c r="E26" i="111"/>
  <c r="C25" i="111"/>
  <c r="J26" i="111"/>
  <c r="K26" i="111" s="1"/>
  <c r="J38" i="55"/>
  <c r="I39" i="55"/>
  <c r="K40" i="94"/>
  <c r="E29" i="33"/>
  <c r="C28" i="33"/>
  <c r="J29" i="33"/>
  <c r="K29" i="33" s="1"/>
  <c r="J41" i="172"/>
  <c r="K40" i="172" s="1"/>
  <c r="I42" i="172"/>
  <c r="CL30" i="2"/>
  <c r="K38" i="44"/>
  <c r="K36" i="11"/>
  <c r="E27" i="26"/>
  <c r="C26" i="26"/>
  <c r="J27" i="26"/>
  <c r="K27" i="26" s="1"/>
  <c r="C27" i="94"/>
  <c r="E28" i="94"/>
  <c r="J28" i="94"/>
  <c r="K28" i="94" s="1"/>
  <c r="C25" i="45"/>
  <c r="E26" i="45"/>
  <c r="J26" i="45"/>
  <c r="K26" i="45" s="1"/>
  <c r="I39" i="125"/>
  <c r="J38" i="125"/>
  <c r="I40" i="154"/>
  <c r="J39" i="154"/>
  <c r="E28" i="75"/>
  <c r="C27" i="75"/>
  <c r="J28" i="75"/>
  <c r="K28" i="75" s="1"/>
  <c r="I40" i="3"/>
  <c r="J39" i="3"/>
  <c r="K39" i="93"/>
  <c r="K39" i="37"/>
  <c r="K36" i="171"/>
  <c r="J42" i="14"/>
  <c r="I43" i="14"/>
  <c r="I40" i="53"/>
  <c r="J39" i="53"/>
  <c r="E28" i="116"/>
  <c r="C27" i="116"/>
  <c r="J28" i="116"/>
  <c r="K28" i="116" s="1"/>
  <c r="E27" i="159"/>
  <c r="C26" i="159"/>
  <c r="J27" i="159"/>
  <c r="K27" i="159" s="1"/>
  <c r="K40" i="59"/>
  <c r="J39" i="19"/>
  <c r="K38" i="19" s="1"/>
  <c r="I40" i="19"/>
  <c r="I42" i="127"/>
  <c r="J41" i="127"/>
  <c r="K40" i="127" s="1"/>
  <c r="E29" i="63"/>
  <c r="C28" i="63"/>
  <c r="J29" i="63"/>
  <c r="K29" i="63" s="1"/>
  <c r="E26" i="102"/>
  <c r="C25" i="102"/>
  <c r="J26" i="102"/>
  <c r="K26" i="102" s="1"/>
  <c r="E28" i="17"/>
  <c r="C27" i="17"/>
  <c r="J28" i="17"/>
  <c r="K28" i="17" s="1"/>
  <c r="E25" i="166"/>
  <c r="C24" i="166"/>
  <c r="J25" i="166"/>
  <c r="K25" i="166" s="1"/>
  <c r="E30" i="50"/>
  <c r="C29" i="50"/>
  <c r="AT30" i="2"/>
  <c r="J30" i="50"/>
  <c r="K30" i="50" s="1"/>
  <c r="I39" i="146"/>
  <c r="J38" i="146"/>
  <c r="K37" i="146" s="1"/>
  <c r="J40" i="139"/>
  <c r="I41" i="139"/>
  <c r="I43" i="27"/>
  <c r="J42" i="27"/>
  <c r="I39" i="147"/>
  <c r="J38" i="147"/>
  <c r="E28" i="110"/>
  <c r="C27" i="110"/>
  <c r="J28" i="110"/>
  <c r="K28" i="110" s="1"/>
  <c r="C28" i="151"/>
  <c r="E29" i="151"/>
  <c r="J29" i="151"/>
  <c r="K29" i="151" s="1"/>
  <c r="I41" i="93"/>
  <c r="J40" i="93"/>
  <c r="I39" i="65"/>
  <c r="J38" i="65"/>
  <c r="E28" i="113"/>
  <c r="C27" i="113"/>
  <c r="J28" i="113"/>
  <c r="K28" i="113" s="1"/>
  <c r="K39" i="62"/>
  <c r="E30" i="46"/>
  <c r="C29" i="46"/>
  <c r="J30" i="46"/>
  <c r="K30" i="46" s="1"/>
  <c r="AI30" i="1"/>
  <c r="J40" i="25"/>
  <c r="K39" i="25" s="1"/>
  <c r="I41" i="25"/>
  <c r="E29" i="96"/>
  <c r="C28" i="96"/>
  <c r="J29" i="96"/>
  <c r="K29" i="96" s="1"/>
  <c r="C28" i="20"/>
  <c r="E29" i="20"/>
  <c r="J29" i="20"/>
  <c r="K29" i="20" s="1"/>
  <c r="E28" i="54"/>
  <c r="C27" i="54"/>
  <c r="J28" i="54"/>
  <c r="K28" i="54" s="1"/>
  <c r="K37" i="65"/>
  <c r="E27" i="171"/>
  <c r="C26" i="171"/>
  <c r="J27" i="171"/>
  <c r="K27" i="171" s="1"/>
  <c r="E30" i="49"/>
  <c r="C29" i="49"/>
  <c r="J30" i="49"/>
  <c r="K30" i="49" s="1"/>
  <c r="K39" i="129"/>
  <c r="N31" i="1"/>
  <c r="I43" i="82"/>
  <c r="J42" i="82"/>
  <c r="K41" i="82" s="1"/>
  <c r="C24" i="157"/>
  <c r="E25" i="157"/>
  <c r="J25" i="157"/>
  <c r="K25" i="157" s="1"/>
  <c r="K37" i="123"/>
  <c r="I42" i="13"/>
  <c r="J41" i="13"/>
  <c r="K40" i="13" s="1"/>
  <c r="E26" i="165"/>
  <c r="C25" i="165"/>
  <c r="J26" i="165"/>
  <c r="K26" i="165" s="1"/>
  <c r="K36" i="17"/>
  <c r="C27" i="18"/>
  <c r="E28" i="18"/>
  <c r="J28" i="18"/>
  <c r="K28" i="18" s="1"/>
  <c r="I39" i="163"/>
  <c r="J38" i="163"/>
  <c r="K38" i="139"/>
  <c r="K40" i="29"/>
  <c r="J39" i="80"/>
  <c r="I40" i="80"/>
  <c r="K41" i="12"/>
  <c r="I41" i="129"/>
  <c r="J40" i="129"/>
  <c r="Y31" i="2"/>
  <c r="K36" i="38"/>
  <c r="C27" i="68"/>
  <c r="E28" i="68"/>
  <c r="J28" i="68"/>
  <c r="K28" i="68" s="1"/>
  <c r="GR30" i="2"/>
  <c r="K41" i="79"/>
  <c r="E28" i="19"/>
  <c r="C27" i="19"/>
  <c r="J28" i="19"/>
  <c r="K28" i="19" s="1"/>
  <c r="N30" i="2"/>
  <c r="I43" i="71"/>
  <c r="J42" i="71"/>
  <c r="E29" i="44"/>
  <c r="C28" i="44"/>
  <c r="J29" i="44"/>
  <c r="K29" i="44" s="1"/>
  <c r="I41" i="115"/>
  <c r="J40" i="115"/>
  <c r="K37" i="163"/>
  <c r="I42" i="29"/>
  <c r="J41" i="29"/>
  <c r="K39" i="122"/>
  <c r="K38" i="60"/>
  <c r="K36" i="55"/>
  <c r="K39" i="132"/>
  <c r="EP30" i="2"/>
  <c r="K39" i="115"/>
  <c r="E30" i="27"/>
  <c r="C29" i="27"/>
  <c r="J30" i="27"/>
  <c r="K30" i="27" s="1"/>
  <c r="J39" i="119"/>
  <c r="K38" i="119" s="1"/>
  <c r="I40" i="119"/>
  <c r="K37" i="3"/>
  <c r="K38" i="37"/>
  <c r="I39" i="45"/>
  <c r="J38" i="45"/>
  <c r="K37" i="45" s="1"/>
  <c r="C27" i="161"/>
  <c r="E28" i="161"/>
  <c r="J28" i="161"/>
  <c r="K28" i="161" s="1"/>
  <c r="E30" i="12"/>
  <c r="C29" i="12"/>
  <c r="X30" i="2"/>
  <c r="M30" i="1"/>
  <c r="J30" i="12"/>
  <c r="K30" i="12" s="1"/>
  <c r="I42" i="117"/>
  <c r="J41" i="117"/>
  <c r="K40" i="117" s="1"/>
  <c r="I39" i="110"/>
  <c r="J38" i="110"/>
  <c r="K37" i="110" s="1"/>
  <c r="I39" i="112"/>
  <c r="J38" i="112"/>
  <c r="K37" i="112" s="1"/>
  <c r="J41" i="142"/>
  <c r="I42" i="142"/>
  <c r="J40" i="72"/>
  <c r="I41" i="72"/>
  <c r="I42" i="107"/>
  <c r="J41" i="107"/>
  <c r="K40" i="107" s="1"/>
  <c r="I42" i="136"/>
  <c r="J41" i="136"/>
  <c r="K40" i="136" s="1"/>
  <c r="X30" i="1"/>
  <c r="K36" i="120"/>
  <c r="K38" i="85"/>
  <c r="CA30" i="2"/>
  <c r="K36" i="160"/>
  <c r="K38" i="66"/>
  <c r="K40" i="128"/>
  <c r="E30" i="170"/>
  <c r="C29" i="170"/>
  <c r="J30" i="170"/>
  <c r="K30" i="170" s="1"/>
  <c r="BQ31" i="1"/>
  <c r="I40" i="97"/>
  <c r="J39" i="97"/>
  <c r="K36" i="166"/>
  <c r="I42" i="77"/>
  <c r="J41" i="77"/>
  <c r="K40" i="77" s="1"/>
  <c r="I40" i="131"/>
  <c r="J39" i="131"/>
  <c r="K38" i="131" s="1"/>
  <c r="K37" i="87"/>
  <c r="I40" i="85"/>
  <c r="J39" i="85"/>
  <c r="E29" i="31"/>
  <c r="C28" i="31"/>
  <c r="CA29" i="2"/>
  <c r="J29" i="31"/>
  <c r="K29" i="31" s="1"/>
  <c r="I42" i="128"/>
  <c r="J41" i="128"/>
  <c r="K40" i="89"/>
  <c r="HD31" i="2"/>
  <c r="K37" i="57"/>
  <c r="K38" i="67"/>
  <c r="K36" i="130"/>
  <c r="IU30" i="2"/>
  <c r="C28" i="156" l="1"/>
  <c r="E29" i="156"/>
  <c r="J29" i="156"/>
  <c r="K29" i="156" s="1"/>
  <c r="C27" i="149"/>
  <c r="E28" i="149"/>
  <c r="J28" i="149"/>
  <c r="K28" i="149" s="1"/>
  <c r="C28" i="130"/>
  <c r="E29" i="130"/>
  <c r="J29" i="130"/>
  <c r="K29" i="130" s="1"/>
  <c r="C23" i="98"/>
  <c r="E24" i="98"/>
  <c r="J24" i="98"/>
  <c r="K24" i="98" s="1"/>
  <c r="C28" i="74"/>
  <c r="E29" i="74"/>
  <c r="J29" i="74"/>
  <c r="K29" i="74" s="1"/>
  <c r="E28" i="61"/>
  <c r="C27" i="61"/>
  <c r="J28" i="61"/>
  <c r="K28" i="61" s="1"/>
  <c r="C27" i="59"/>
  <c r="E28" i="59"/>
  <c r="J28" i="59"/>
  <c r="K28" i="59" s="1"/>
  <c r="J29" i="150"/>
  <c r="K29" i="150" s="1"/>
  <c r="E29" i="150"/>
  <c r="C28" i="150"/>
  <c r="HZ29" i="2"/>
  <c r="AJ29" i="2"/>
  <c r="E29" i="27"/>
  <c r="C28" i="27"/>
  <c r="IJ28" i="2" s="1"/>
  <c r="J29" i="27"/>
  <c r="K29" i="27" s="1"/>
  <c r="E27" i="68"/>
  <c r="C26" i="68"/>
  <c r="J27" i="68"/>
  <c r="K27" i="68" s="1"/>
  <c r="J42" i="117"/>
  <c r="I43" i="117"/>
  <c r="J39" i="163"/>
  <c r="K38" i="163" s="1"/>
  <c r="I40" i="163"/>
  <c r="C25" i="26"/>
  <c r="E26" i="26"/>
  <c r="J26" i="26"/>
  <c r="K26" i="26" s="1"/>
  <c r="J40" i="31"/>
  <c r="K39" i="31" s="1"/>
  <c r="I41" i="31"/>
  <c r="I42" i="118"/>
  <c r="J41" i="118"/>
  <c r="E24" i="138"/>
  <c r="C23" i="138"/>
  <c r="J24" i="138"/>
  <c r="K24" i="138" s="1"/>
  <c r="I45" i="75"/>
  <c r="J44" i="75"/>
  <c r="I43" i="78"/>
  <c r="J42" i="78"/>
  <c r="I42" i="113"/>
  <c r="J41" i="113"/>
  <c r="K40" i="113" s="1"/>
  <c r="C27" i="154"/>
  <c r="E28" i="154"/>
  <c r="J28" i="154"/>
  <c r="K28" i="154" s="1"/>
  <c r="J39" i="43"/>
  <c r="I40" i="43"/>
  <c r="K39" i="161"/>
  <c r="E27" i="67"/>
  <c r="C26" i="67"/>
  <c r="J27" i="67"/>
  <c r="K27" i="67" s="1"/>
  <c r="I43" i="29"/>
  <c r="J42" i="29"/>
  <c r="K38" i="147"/>
  <c r="CB30" i="1"/>
  <c r="E26" i="40"/>
  <c r="C25" i="40"/>
  <c r="J26" i="40"/>
  <c r="K26" i="40" s="1"/>
  <c r="I41" i="153"/>
  <c r="J40" i="153"/>
  <c r="J40" i="108"/>
  <c r="K39" i="108" s="1"/>
  <c r="I41" i="108"/>
  <c r="J39" i="90"/>
  <c r="K38" i="90" s="1"/>
  <c r="I40" i="90"/>
  <c r="E29" i="172"/>
  <c r="C28" i="172"/>
  <c r="J29" i="172"/>
  <c r="K29" i="172" s="1"/>
  <c r="J42" i="101"/>
  <c r="I43" i="101"/>
  <c r="I41" i="161"/>
  <c r="J40" i="161"/>
  <c r="E27" i="11"/>
  <c r="C26" i="11"/>
  <c r="J27" i="11"/>
  <c r="K27" i="11" s="1"/>
  <c r="E26" i="73"/>
  <c r="C25" i="73"/>
  <c r="J26" i="73"/>
  <c r="K26" i="73" s="1"/>
  <c r="J40" i="56"/>
  <c r="I41" i="56"/>
  <c r="E27" i="16"/>
  <c r="C26" i="16"/>
  <c r="J27" i="16"/>
  <c r="K27" i="16" s="1"/>
  <c r="I41" i="168"/>
  <c r="J40" i="168"/>
  <c r="J42" i="89"/>
  <c r="K41" i="89" s="1"/>
  <c r="I43" i="89"/>
  <c r="E27" i="54"/>
  <c r="C26" i="54"/>
  <c r="J27" i="54"/>
  <c r="K27" i="54" s="1"/>
  <c r="J40" i="97"/>
  <c r="I41" i="97"/>
  <c r="N30" i="1"/>
  <c r="I40" i="147"/>
  <c r="J39" i="147"/>
  <c r="E26" i="159"/>
  <c r="C25" i="159"/>
  <c r="J26" i="159"/>
  <c r="K26" i="159" s="1"/>
  <c r="E29" i="6"/>
  <c r="CA29" i="1"/>
  <c r="C28" i="6"/>
  <c r="IU28" i="2" s="1"/>
  <c r="IU29" i="2"/>
  <c r="E27" i="5"/>
  <c r="C26" i="5"/>
  <c r="J27" i="5"/>
  <c r="K27" i="5" s="1"/>
  <c r="C66" i="24"/>
  <c r="C67" i="2"/>
  <c r="C67" i="1"/>
  <c r="GG67" i="2"/>
  <c r="BE67" i="1"/>
  <c r="I43" i="152"/>
  <c r="J42" i="152"/>
  <c r="C27" i="77"/>
  <c r="E28" i="77"/>
  <c r="J28" i="77"/>
  <c r="K28" i="77" s="1"/>
  <c r="E28" i="48"/>
  <c r="C27" i="48"/>
  <c r="J28" i="48"/>
  <c r="K28" i="48" s="1"/>
  <c r="I41" i="86"/>
  <c r="J40" i="86"/>
  <c r="K39" i="86" s="1"/>
  <c r="E27" i="126"/>
  <c r="C26" i="126"/>
  <c r="J27" i="126"/>
  <c r="K27" i="126" s="1"/>
  <c r="J41" i="158"/>
  <c r="K40" i="158" s="1"/>
  <c r="I42" i="158"/>
  <c r="E25" i="160"/>
  <c r="C24" i="160"/>
  <c r="J25" i="160"/>
  <c r="K25" i="160" s="1"/>
  <c r="I59" i="150"/>
  <c r="J58" i="150"/>
  <c r="E26" i="106"/>
  <c r="C25" i="106"/>
  <c r="J26" i="106"/>
  <c r="K26" i="106" s="1"/>
  <c r="C26" i="64"/>
  <c r="E27" i="64"/>
  <c r="J27" i="64"/>
  <c r="K27" i="64" s="1"/>
  <c r="Y30" i="2"/>
  <c r="E29" i="100"/>
  <c r="C28" i="100"/>
  <c r="J29" i="100"/>
  <c r="K29" i="100" s="1"/>
  <c r="C27" i="23"/>
  <c r="E28" i="23"/>
  <c r="J28" i="23"/>
  <c r="K28" i="23" s="1"/>
  <c r="C28" i="12"/>
  <c r="E29" i="12"/>
  <c r="X29" i="2"/>
  <c r="M29" i="1"/>
  <c r="J29" i="12"/>
  <c r="K29" i="12" s="1"/>
  <c r="E27" i="18"/>
  <c r="C26" i="18"/>
  <c r="J27" i="18"/>
  <c r="K27" i="18" s="1"/>
  <c r="I44" i="27"/>
  <c r="J43" i="27"/>
  <c r="K42" i="27" s="1"/>
  <c r="I40" i="91"/>
  <c r="J39" i="91"/>
  <c r="K38" i="91" s="1"/>
  <c r="E26" i="163"/>
  <c r="C25" i="163"/>
  <c r="J26" i="163"/>
  <c r="K26" i="163" s="1"/>
  <c r="HO30" i="2"/>
  <c r="AU30" i="1"/>
  <c r="J42" i="156"/>
  <c r="K41" i="156" s="1"/>
  <c r="I43" i="156"/>
  <c r="J40" i="54"/>
  <c r="K39" i="54" s="1"/>
  <c r="I41" i="54"/>
  <c r="I41" i="87"/>
  <c r="J40" i="87"/>
  <c r="C28" i="7"/>
  <c r="E29" i="7"/>
  <c r="AT29" i="1"/>
  <c r="J29" i="7"/>
  <c r="K29" i="7" s="1"/>
  <c r="J41" i="63"/>
  <c r="I42" i="63"/>
  <c r="C27" i="140"/>
  <c r="E28" i="140"/>
  <c r="J28" i="140"/>
  <c r="K28" i="140" s="1"/>
  <c r="I43" i="16"/>
  <c r="J42" i="16"/>
  <c r="E28" i="70"/>
  <c r="C27" i="70"/>
  <c r="J28" i="70"/>
  <c r="K28" i="70" s="1"/>
  <c r="J42" i="135"/>
  <c r="I43" i="135"/>
  <c r="E28" i="101"/>
  <c r="C27" i="101"/>
  <c r="J28" i="101"/>
  <c r="K28" i="101" s="1"/>
  <c r="I40" i="102"/>
  <c r="J39" i="102"/>
  <c r="J41" i="23"/>
  <c r="K40" i="23" s="1"/>
  <c r="I42" i="23"/>
  <c r="C25" i="173"/>
  <c r="E26" i="173"/>
  <c r="J26" i="173"/>
  <c r="K26" i="173" s="1"/>
  <c r="J42" i="172"/>
  <c r="K41" i="172" s="1"/>
  <c r="I43" i="172"/>
  <c r="I40" i="174"/>
  <c r="J39" i="174"/>
  <c r="E29" i="28"/>
  <c r="C28" i="28"/>
  <c r="J29" i="28"/>
  <c r="K29" i="28" s="1"/>
  <c r="C26" i="148"/>
  <c r="E27" i="148"/>
  <c r="J27" i="148"/>
  <c r="K27" i="148" s="1"/>
  <c r="E29" i="58"/>
  <c r="C28" i="58"/>
  <c r="J29" i="58"/>
  <c r="K29" i="58" s="1"/>
  <c r="I40" i="95"/>
  <c r="J39" i="95"/>
  <c r="K38" i="95" s="1"/>
  <c r="E24" i="32"/>
  <c r="C23" i="32"/>
  <c r="J24" i="32"/>
  <c r="K24" i="32" s="1"/>
  <c r="K38" i="102"/>
  <c r="E27" i="139"/>
  <c r="C26" i="139"/>
  <c r="J27" i="139"/>
  <c r="K27" i="139" s="1"/>
  <c r="I40" i="58"/>
  <c r="J39" i="58"/>
  <c r="K38" i="58" s="1"/>
  <c r="J41" i="139"/>
  <c r="K40" i="139" s="1"/>
  <c r="I42" i="139"/>
  <c r="CM30" i="2"/>
  <c r="IV30" i="2"/>
  <c r="K38" i="97"/>
  <c r="DI29" i="2"/>
  <c r="J41" i="157"/>
  <c r="I42" i="157"/>
  <c r="E26" i="51"/>
  <c r="C25" i="51"/>
  <c r="J26" i="51"/>
  <c r="K26" i="51" s="1"/>
  <c r="E29" i="143"/>
  <c r="C28" i="143"/>
  <c r="J29" i="143"/>
  <c r="K29" i="143" s="1"/>
  <c r="K40" i="165"/>
  <c r="J41" i="44"/>
  <c r="I42" i="44"/>
  <c r="I45" i="145"/>
  <c r="J44" i="145"/>
  <c r="K38" i="143"/>
  <c r="E28" i="21"/>
  <c r="C27" i="21"/>
  <c r="J28" i="21"/>
  <c r="K28" i="21" s="1"/>
  <c r="E26" i="124"/>
  <c r="C25" i="124"/>
  <c r="J26" i="124"/>
  <c r="K26" i="124" s="1"/>
  <c r="J39" i="146"/>
  <c r="K38" i="146" s="1"/>
  <c r="I40" i="146"/>
  <c r="J40" i="53"/>
  <c r="K39" i="53" s="1"/>
  <c r="I41" i="53"/>
  <c r="K37" i="95"/>
  <c r="I41" i="155"/>
  <c r="J40" i="155"/>
  <c r="J39" i="64"/>
  <c r="K38" i="64" s="1"/>
  <c r="I40" i="64"/>
  <c r="I42" i="165"/>
  <c r="J41" i="165"/>
  <c r="J39" i="143"/>
  <c r="I40" i="143"/>
  <c r="E28" i="78"/>
  <c r="C27" i="78"/>
  <c r="J28" i="78"/>
  <c r="K28" i="78" s="1"/>
  <c r="E27" i="83"/>
  <c r="C26" i="83"/>
  <c r="J27" i="83"/>
  <c r="K27" i="83" s="1"/>
  <c r="E28" i="96"/>
  <c r="C27" i="96"/>
  <c r="J28" i="96"/>
  <c r="K28" i="96" s="1"/>
  <c r="I44" i="14"/>
  <c r="J43" i="14"/>
  <c r="K42" i="14" s="1"/>
  <c r="N29" i="2"/>
  <c r="I42" i="167"/>
  <c r="J41" i="167"/>
  <c r="C26" i="66"/>
  <c r="E27" i="66"/>
  <c r="J27" i="66"/>
  <c r="K27" i="66" s="1"/>
  <c r="E28" i="133"/>
  <c r="C27" i="133"/>
  <c r="J28" i="133"/>
  <c r="K28" i="133" s="1"/>
  <c r="DH28" i="2"/>
  <c r="K39" i="155"/>
  <c r="K38" i="155"/>
  <c r="I41" i="151"/>
  <c r="J40" i="151"/>
  <c r="C27" i="147"/>
  <c r="E28" i="147"/>
  <c r="J28" i="147"/>
  <c r="K28" i="147" s="1"/>
  <c r="I41" i="123"/>
  <c r="J40" i="123"/>
  <c r="I41" i="73"/>
  <c r="J40" i="73"/>
  <c r="K39" i="73" s="1"/>
  <c r="J44" i="15"/>
  <c r="K43" i="15" s="1"/>
  <c r="I45" i="15"/>
  <c r="I40" i="105"/>
  <c r="J39" i="105"/>
  <c r="K38" i="105" s="1"/>
  <c r="J40" i="88"/>
  <c r="K39" i="88" s="1"/>
  <c r="I41" i="88"/>
  <c r="E29" i="56"/>
  <c r="C28" i="56"/>
  <c r="J29" i="56"/>
  <c r="K29" i="56" s="1"/>
  <c r="I43" i="122"/>
  <c r="J42" i="122"/>
  <c r="K41" i="122" s="1"/>
  <c r="E26" i="39"/>
  <c r="C25" i="39"/>
  <c r="J26" i="39"/>
  <c r="K26" i="39" s="1"/>
  <c r="C25" i="168"/>
  <c r="E26" i="168"/>
  <c r="J26" i="168"/>
  <c r="K26" i="168" s="1"/>
  <c r="I41" i="5"/>
  <c r="J40" i="5"/>
  <c r="I40" i="130"/>
  <c r="J39" i="130"/>
  <c r="K39" i="151"/>
  <c r="I40" i="11"/>
  <c r="J39" i="11"/>
  <c r="J39" i="160"/>
  <c r="I40" i="160"/>
  <c r="AU30" i="2"/>
  <c r="E28" i="33"/>
  <c r="C27" i="33"/>
  <c r="J28" i="33"/>
  <c r="K28" i="33" s="1"/>
  <c r="K41" i="71"/>
  <c r="I42" i="25"/>
  <c r="J41" i="25"/>
  <c r="E29" i="50"/>
  <c r="C28" i="50"/>
  <c r="AT29" i="2"/>
  <c r="J29" i="50"/>
  <c r="K29" i="50" s="1"/>
  <c r="DT28" i="2"/>
  <c r="I40" i="96"/>
  <c r="J39" i="96"/>
  <c r="C23" i="30"/>
  <c r="E24" i="30"/>
  <c r="J24" i="30"/>
  <c r="K24" i="30" s="1"/>
  <c r="I40" i="109"/>
  <c r="J39" i="109"/>
  <c r="K38" i="109" s="1"/>
  <c r="E26" i="72"/>
  <c r="C25" i="72"/>
  <c r="J26" i="72"/>
  <c r="K26" i="72" s="1"/>
  <c r="J40" i="21"/>
  <c r="I41" i="21"/>
  <c r="K38" i="8"/>
  <c r="K38" i="47"/>
  <c r="E28" i="38"/>
  <c r="C27" i="38"/>
  <c r="J28" i="38"/>
  <c r="K28" i="38" s="1"/>
  <c r="C26" i="103"/>
  <c r="E27" i="103"/>
  <c r="J27" i="103"/>
  <c r="K27" i="103" s="1"/>
  <c r="E29" i="3"/>
  <c r="C28" i="3"/>
  <c r="J29" i="3"/>
  <c r="K29" i="3" s="1"/>
  <c r="I43" i="48"/>
  <c r="J42" i="48"/>
  <c r="K41" i="48" s="1"/>
  <c r="E26" i="69"/>
  <c r="C25" i="69"/>
  <c r="J26" i="69"/>
  <c r="K26" i="69" s="1"/>
  <c r="E28" i="142"/>
  <c r="C27" i="142"/>
  <c r="J28" i="142"/>
  <c r="K28" i="142" s="1"/>
  <c r="J39" i="8"/>
  <c r="I40" i="8"/>
  <c r="E29" i="93"/>
  <c r="C28" i="93"/>
  <c r="J29" i="93"/>
  <c r="K29" i="93" s="1"/>
  <c r="I40" i="47"/>
  <c r="J39" i="47"/>
  <c r="E28" i="169"/>
  <c r="C27" i="169"/>
  <c r="J28" i="169"/>
  <c r="K28" i="169" s="1"/>
  <c r="E29" i="107"/>
  <c r="C28" i="107"/>
  <c r="BE28" i="2" s="1"/>
  <c r="J29" i="107"/>
  <c r="K29" i="107" s="1"/>
  <c r="BQ30" i="2"/>
  <c r="E27" i="81"/>
  <c r="C26" i="81"/>
  <c r="J27" i="81"/>
  <c r="K27" i="81" s="1"/>
  <c r="C26" i="118"/>
  <c r="E27" i="118"/>
  <c r="J27" i="118"/>
  <c r="K27" i="118" s="1"/>
  <c r="I42" i="124"/>
  <c r="J41" i="124"/>
  <c r="K40" i="124" s="1"/>
  <c r="C27" i="80"/>
  <c r="E28" i="80"/>
  <c r="J28" i="80"/>
  <c r="K28" i="80" s="1"/>
  <c r="E29" i="52"/>
  <c r="C28" i="52"/>
  <c r="BP29" i="2"/>
  <c r="J29" i="52"/>
  <c r="K29" i="52" s="1"/>
  <c r="E28" i="13"/>
  <c r="C27" i="13"/>
  <c r="J28" i="13"/>
  <c r="K28" i="13" s="1"/>
  <c r="C27" i="36"/>
  <c r="E28" i="36"/>
  <c r="J28" i="36"/>
  <c r="K28" i="36" s="1"/>
  <c r="C27" i="132"/>
  <c r="E28" i="132"/>
  <c r="J28" i="132"/>
  <c r="K28" i="132" s="1"/>
  <c r="I43" i="128"/>
  <c r="J42" i="128"/>
  <c r="K41" i="128" s="1"/>
  <c r="E27" i="19"/>
  <c r="C26" i="19"/>
  <c r="J27" i="19"/>
  <c r="K27" i="19" s="1"/>
  <c r="K41" i="14"/>
  <c r="K38" i="148"/>
  <c r="K37" i="174"/>
  <c r="C27" i="35"/>
  <c r="E28" i="35"/>
  <c r="J28" i="35"/>
  <c r="K28" i="35" s="1"/>
  <c r="E29" i="174"/>
  <c r="C28" i="174"/>
  <c r="J29" i="174"/>
  <c r="K29" i="174" s="1"/>
  <c r="I41" i="111"/>
  <c r="J40" i="111"/>
  <c r="K39" i="111" s="1"/>
  <c r="J43" i="22"/>
  <c r="K42" i="22" s="1"/>
  <c r="I44" i="22"/>
  <c r="C24" i="131"/>
  <c r="E25" i="131"/>
  <c r="J25" i="131"/>
  <c r="K25" i="131" s="1"/>
  <c r="K39" i="169"/>
  <c r="J40" i="104"/>
  <c r="I41" i="104"/>
  <c r="C28" i="53"/>
  <c r="E29" i="53"/>
  <c r="J29" i="53"/>
  <c r="K29" i="53" s="1"/>
  <c r="E27" i="129"/>
  <c r="C26" i="129"/>
  <c r="J27" i="129"/>
  <c r="K27" i="129" s="1"/>
  <c r="DS27" i="2"/>
  <c r="CB30" i="2"/>
  <c r="I41" i="119"/>
  <c r="J40" i="119"/>
  <c r="E24" i="157"/>
  <c r="C23" i="157"/>
  <c r="J24" i="157"/>
  <c r="K24" i="157" s="1"/>
  <c r="E29" i="46"/>
  <c r="C28" i="46"/>
  <c r="J29" i="46"/>
  <c r="K29" i="46" s="1"/>
  <c r="E24" i="166"/>
  <c r="C23" i="166"/>
  <c r="J24" i="166"/>
  <c r="K24" i="166" s="1"/>
  <c r="J40" i="3"/>
  <c r="I41" i="3"/>
  <c r="J39" i="55"/>
  <c r="I40" i="55"/>
  <c r="I40" i="148"/>
  <c r="J39" i="148"/>
  <c r="K39" i="157"/>
  <c r="FA29" i="2"/>
  <c r="J40" i="169"/>
  <c r="I41" i="169"/>
  <c r="C26" i="128"/>
  <c r="E27" i="128"/>
  <c r="J27" i="128"/>
  <c r="K27" i="128" s="1"/>
  <c r="K38" i="54"/>
  <c r="K39" i="104"/>
  <c r="E28" i="44"/>
  <c r="C27" i="44"/>
  <c r="J28" i="44"/>
  <c r="K28" i="44" s="1"/>
  <c r="J41" i="159"/>
  <c r="I42" i="159"/>
  <c r="J40" i="76"/>
  <c r="I41" i="76"/>
  <c r="E26" i="85"/>
  <c r="C25" i="85"/>
  <c r="J26" i="85"/>
  <c r="K26" i="85" s="1"/>
  <c r="FL29" i="2"/>
  <c r="C26" i="22"/>
  <c r="E27" i="22"/>
  <c r="J27" i="22"/>
  <c r="K27" i="22" s="1"/>
  <c r="E29" i="155"/>
  <c r="C28" i="155"/>
  <c r="J29" i="155"/>
  <c r="K29" i="155" s="1"/>
  <c r="E29" i="90"/>
  <c r="C28" i="90"/>
  <c r="J29" i="90"/>
  <c r="K29" i="90" s="1"/>
  <c r="I40" i="69"/>
  <c r="J39" i="69"/>
  <c r="J44" i="12"/>
  <c r="I45" i="12"/>
  <c r="K37" i="160"/>
  <c r="K39" i="63"/>
  <c r="J43" i="71"/>
  <c r="K42" i="71" s="1"/>
  <c r="I44" i="71"/>
  <c r="I40" i="45"/>
  <c r="J39" i="45"/>
  <c r="K40" i="25"/>
  <c r="GS30" i="2"/>
  <c r="I44" i="82"/>
  <c r="J43" i="82"/>
  <c r="K42" i="82" s="1"/>
  <c r="K38" i="53"/>
  <c r="C26" i="75"/>
  <c r="E27" i="75"/>
  <c r="J27" i="75"/>
  <c r="K27" i="75" s="1"/>
  <c r="I41" i="50"/>
  <c r="J40" i="50"/>
  <c r="K40" i="159"/>
  <c r="C27" i="95"/>
  <c r="E28" i="95"/>
  <c r="J28" i="95"/>
  <c r="K28" i="95" s="1"/>
  <c r="I41" i="57"/>
  <c r="J40" i="57"/>
  <c r="I42" i="41"/>
  <c r="J41" i="41"/>
  <c r="K40" i="41" s="1"/>
  <c r="E28" i="88"/>
  <c r="C27" i="88"/>
  <c r="J28" i="88"/>
  <c r="K28" i="88" s="1"/>
  <c r="I40" i="100"/>
  <c r="J39" i="100"/>
  <c r="K38" i="100" s="1"/>
  <c r="C27" i="134"/>
  <c r="E28" i="134"/>
  <c r="EZ28" i="2"/>
  <c r="J28" i="134"/>
  <c r="K28" i="134" s="1"/>
  <c r="I45" i="74"/>
  <c r="J44" i="74"/>
  <c r="K43" i="74" s="1"/>
  <c r="J43" i="42"/>
  <c r="I44" i="42"/>
  <c r="CX28" i="2"/>
  <c r="K37" i="69"/>
  <c r="E27" i="60"/>
  <c r="C26" i="60"/>
  <c r="J27" i="60"/>
  <c r="K27" i="60" s="1"/>
  <c r="EO29" i="2"/>
  <c r="AJ30" i="1"/>
  <c r="E27" i="17"/>
  <c r="C26" i="17"/>
  <c r="J27" i="17"/>
  <c r="K27" i="17" s="1"/>
  <c r="E25" i="111"/>
  <c r="C24" i="111"/>
  <c r="J25" i="111"/>
  <c r="K25" i="111" s="1"/>
  <c r="I41" i="114"/>
  <c r="J40" i="114"/>
  <c r="K39" i="114" s="1"/>
  <c r="K39" i="57"/>
  <c r="K37" i="96"/>
  <c r="I43" i="9"/>
  <c r="J42" i="9"/>
  <c r="I40" i="35"/>
  <c r="J39" i="35"/>
  <c r="I41" i="116"/>
  <c r="J40" i="116"/>
  <c r="I42" i="92"/>
  <c r="J41" i="92"/>
  <c r="K40" i="156"/>
  <c r="J44" i="134"/>
  <c r="I45" i="134"/>
  <c r="C26" i="112"/>
  <c r="E27" i="112"/>
  <c r="J27" i="112"/>
  <c r="K27" i="112" s="1"/>
  <c r="E25" i="105"/>
  <c r="C24" i="105"/>
  <c r="J25" i="105"/>
  <c r="K25" i="105" s="1"/>
  <c r="I41" i="106"/>
  <c r="J40" i="106"/>
  <c r="K39" i="106" s="1"/>
  <c r="C28" i="29"/>
  <c r="E29" i="29"/>
  <c r="J29" i="29"/>
  <c r="K29" i="29" s="1"/>
  <c r="X29" i="1"/>
  <c r="C25" i="120"/>
  <c r="E26" i="120"/>
  <c r="J26" i="120"/>
  <c r="K26" i="120" s="1"/>
  <c r="E28" i="97"/>
  <c r="C27" i="97"/>
  <c r="EO28" i="2"/>
  <c r="J28" i="97"/>
  <c r="K28" i="97" s="1"/>
  <c r="E27" i="4"/>
  <c r="C26" i="4"/>
  <c r="J27" i="4"/>
  <c r="K27" i="4" s="1"/>
  <c r="C24" i="165"/>
  <c r="E25" i="165"/>
  <c r="J25" i="165"/>
  <c r="K25" i="165" s="1"/>
  <c r="I41" i="121"/>
  <c r="J40" i="121"/>
  <c r="J40" i="4"/>
  <c r="I41" i="4"/>
  <c r="J40" i="33"/>
  <c r="K39" i="33" s="1"/>
  <c r="I41" i="33"/>
  <c r="C28" i="92"/>
  <c r="E29" i="92"/>
  <c r="J29" i="92"/>
  <c r="K29" i="92" s="1"/>
  <c r="C21" i="82"/>
  <c r="E22" i="82"/>
  <c r="J22" i="82"/>
  <c r="K22" i="82" s="1"/>
  <c r="J44" i="133"/>
  <c r="K43" i="133" s="1"/>
  <c r="I45" i="133"/>
  <c r="K43" i="134"/>
  <c r="E28" i="119"/>
  <c r="C27" i="119"/>
  <c r="J28" i="119"/>
  <c r="K28" i="119" s="1"/>
  <c r="E26" i="127"/>
  <c r="C25" i="127"/>
  <c r="J26" i="127"/>
  <c r="K26" i="127" s="1"/>
  <c r="I42" i="28"/>
  <c r="J41" i="28"/>
  <c r="K40" i="28" s="1"/>
  <c r="I41" i="154"/>
  <c r="J40" i="154"/>
  <c r="K39" i="154" s="1"/>
  <c r="K40" i="173"/>
  <c r="E28" i="79"/>
  <c r="C27" i="79"/>
  <c r="J28" i="79"/>
  <c r="K28" i="79" s="1"/>
  <c r="E26" i="115"/>
  <c r="C25" i="115"/>
  <c r="J26" i="115"/>
  <c r="K26" i="115" s="1"/>
  <c r="J40" i="126"/>
  <c r="K39" i="126" s="1"/>
  <c r="I41" i="126"/>
  <c r="K41" i="62"/>
  <c r="I44" i="24"/>
  <c r="C27" i="153"/>
  <c r="E28" i="153"/>
  <c r="J28" i="153"/>
  <c r="K28" i="153" s="1"/>
  <c r="I43" i="132"/>
  <c r="J42" i="132"/>
  <c r="C27" i="20"/>
  <c r="E28" i="20"/>
  <c r="J28" i="20"/>
  <c r="K28" i="20" s="1"/>
  <c r="E28" i="114"/>
  <c r="C27" i="114"/>
  <c r="J28" i="114"/>
  <c r="K28" i="114" s="1"/>
  <c r="E27" i="57"/>
  <c r="C26" i="57"/>
  <c r="J27" i="57"/>
  <c r="K27" i="57" s="1"/>
  <c r="E27" i="144"/>
  <c r="C26" i="144"/>
  <c r="J27" i="144"/>
  <c r="K27" i="144" s="1"/>
  <c r="E29" i="91"/>
  <c r="C28" i="91"/>
  <c r="J29" i="91"/>
  <c r="K29" i="91" s="1"/>
  <c r="I43" i="62"/>
  <c r="J42" i="62"/>
  <c r="K42" i="74"/>
  <c r="I41" i="137"/>
  <c r="J40" i="137"/>
  <c r="C26" i="99"/>
  <c r="E27" i="99"/>
  <c r="J27" i="99"/>
  <c r="K27" i="99" s="1"/>
  <c r="FW30" i="2"/>
  <c r="E27" i="113"/>
  <c r="C26" i="113"/>
  <c r="J27" i="113"/>
  <c r="K27" i="113" s="1"/>
  <c r="E25" i="102"/>
  <c r="C24" i="102"/>
  <c r="J25" i="102"/>
  <c r="K25" i="102" s="1"/>
  <c r="I42" i="173"/>
  <c r="J41" i="173"/>
  <c r="J39" i="17"/>
  <c r="K38" i="17" s="1"/>
  <c r="I40" i="17"/>
  <c r="I42" i="30"/>
  <c r="J41" i="30"/>
  <c r="K40" i="30" s="1"/>
  <c r="C23" i="146"/>
  <c r="E24" i="146"/>
  <c r="J24" i="146"/>
  <c r="K24" i="146" s="1"/>
  <c r="I41" i="39"/>
  <c r="J40" i="39"/>
  <c r="I42" i="149"/>
  <c r="J41" i="149"/>
  <c r="K40" i="149" s="1"/>
  <c r="K42" i="94"/>
  <c r="K39" i="162"/>
  <c r="I41" i="67"/>
  <c r="J40" i="67"/>
  <c r="C24" i="43"/>
  <c r="E25" i="43"/>
  <c r="J25" i="43"/>
  <c r="K25" i="43" s="1"/>
  <c r="C28" i="170"/>
  <c r="E29" i="170"/>
  <c r="J29" i="170"/>
  <c r="K29" i="170" s="1"/>
  <c r="C27" i="31"/>
  <c r="E28" i="31"/>
  <c r="CA28" i="2"/>
  <c r="J28" i="31"/>
  <c r="K28" i="31" s="1"/>
  <c r="E28" i="108"/>
  <c r="C27" i="108"/>
  <c r="J28" i="108"/>
  <c r="K28" i="108" s="1"/>
  <c r="I42" i="72"/>
  <c r="J41" i="72"/>
  <c r="CL29" i="2"/>
  <c r="K38" i="52"/>
  <c r="I42" i="37"/>
  <c r="J41" i="37"/>
  <c r="K40" i="37" s="1"/>
  <c r="I40" i="38"/>
  <c r="J39" i="38"/>
  <c r="J41" i="99"/>
  <c r="I42" i="99"/>
  <c r="I41" i="70"/>
  <c r="J40" i="70"/>
  <c r="K39" i="70" s="1"/>
  <c r="HN29" i="2"/>
  <c r="E28" i="10"/>
  <c r="C27" i="10"/>
  <c r="J28" i="10"/>
  <c r="K28" i="10" s="1"/>
  <c r="C27" i="162"/>
  <c r="E28" i="162"/>
  <c r="J28" i="162"/>
  <c r="K28" i="162" s="1"/>
  <c r="J41" i="66"/>
  <c r="K40" i="66" s="1"/>
  <c r="I42" i="66"/>
  <c r="E26" i="86"/>
  <c r="C25" i="86"/>
  <c r="J26" i="86"/>
  <c r="K26" i="86" s="1"/>
  <c r="K39" i="39"/>
  <c r="I44" i="94"/>
  <c r="J43" i="94"/>
  <c r="I43" i="51"/>
  <c r="J42" i="51"/>
  <c r="K41" i="51" s="1"/>
  <c r="I41" i="162"/>
  <c r="J40" i="162"/>
  <c r="K39" i="67"/>
  <c r="E27" i="116"/>
  <c r="C26" i="116"/>
  <c r="J27" i="116"/>
  <c r="K27" i="116" s="1"/>
  <c r="J42" i="13"/>
  <c r="I43" i="13"/>
  <c r="K40" i="72"/>
  <c r="K39" i="72"/>
  <c r="C27" i="125"/>
  <c r="E28" i="125"/>
  <c r="J28" i="125"/>
  <c r="K28" i="125" s="1"/>
  <c r="K42" i="59"/>
  <c r="J41" i="10"/>
  <c r="K40" i="10" s="1"/>
  <c r="I42" i="10"/>
  <c r="I42" i="68"/>
  <c r="J41" i="68"/>
  <c r="K40" i="68" s="1"/>
  <c r="E26" i="62"/>
  <c r="C25" i="62"/>
  <c r="J26" i="62"/>
  <c r="K26" i="62" s="1"/>
  <c r="E27" i="167"/>
  <c r="C26" i="167"/>
  <c r="J27" i="167"/>
  <c r="K27" i="167" s="1"/>
  <c r="J42" i="98"/>
  <c r="I43" i="98"/>
  <c r="C25" i="47"/>
  <c r="E26" i="47"/>
  <c r="J26" i="47"/>
  <c r="K26" i="47" s="1"/>
  <c r="E29" i="42"/>
  <c r="C28" i="42"/>
  <c r="J29" i="42"/>
  <c r="K29" i="42" s="1"/>
  <c r="FV29" i="2"/>
  <c r="J40" i="138"/>
  <c r="K39" i="138" s="1"/>
  <c r="I41" i="138"/>
  <c r="J42" i="107"/>
  <c r="K41" i="107" s="1"/>
  <c r="I43" i="107"/>
  <c r="I42" i="83"/>
  <c r="J41" i="83"/>
  <c r="I43" i="142"/>
  <c r="J42" i="142"/>
  <c r="I42" i="129"/>
  <c r="J41" i="129"/>
  <c r="K40" i="129" s="1"/>
  <c r="E26" i="171"/>
  <c r="C25" i="171"/>
  <c r="J26" i="171"/>
  <c r="K26" i="171" s="1"/>
  <c r="E28" i="63"/>
  <c r="C27" i="63"/>
  <c r="J28" i="63"/>
  <c r="K28" i="63" s="1"/>
  <c r="CL28" i="2"/>
  <c r="K38" i="3"/>
  <c r="K39" i="173"/>
  <c r="E28" i="89"/>
  <c r="C27" i="89"/>
  <c r="J28" i="89"/>
  <c r="K28" i="89" s="1"/>
  <c r="E25" i="34"/>
  <c r="C24" i="34"/>
  <c r="J25" i="34"/>
  <c r="K25" i="34" s="1"/>
  <c r="K38" i="76"/>
  <c r="K39" i="66"/>
  <c r="E29" i="152"/>
  <c r="C28" i="152"/>
  <c r="J29" i="152"/>
  <c r="K29" i="152" s="1"/>
  <c r="K42" i="133"/>
  <c r="J44" i="7"/>
  <c r="I45" i="7"/>
  <c r="K40" i="60"/>
  <c r="I40" i="120"/>
  <c r="J39" i="120"/>
  <c r="K38" i="120" s="1"/>
  <c r="E29" i="136"/>
  <c r="C28" i="136"/>
  <c r="J29" i="136"/>
  <c r="K29" i="136" s="1"/>
  <c r="K39" i="44"/>
  <c r="CB29" i="2"/>
  <c r="J40" i="85"/>
  <c r="K39" i="85" s="1"/>
  <c r="I41" i="85"/>
  <c r="J39" i="65"/>
  <c r="K38" i="65" s="1"/>
  <c r="I40" i="65"/>
  <c r="K41" i="142"/>
  <c r="I42" i="93"/>
  <c r="J41" i="93"/>
  <c r="K40" i="93" s="1"/>
  <c r="K38" i="154"/>
  <c r="K40" i="122"/>
  <c r="I41" i="103"/>
  <c r="J40" i="103"/>
  <c r="J40" i="170"/>
  <c r="I41" i="170"/>
  <c r="EE30" i="2"/>
  <c r="E28" i="71"/>
  <c r="C27" i="71"/>
  <c r="J28" i="71"/>
  <c r="K28" i="71" s="1"/>
  <c r="I40" i="36"/>
  <c r="J39" i="36"/>
  <c r="I44" i="79"/>
  <c r="J43" i="79"/>
  <c r="K42" i="79" s="1"/>
  <c r="I42" i="60"/>
  <c r="J41" i="60"/>
  <c r="C28" i="121"/>
  <c r="E29" i="121"/>
  <c r="J29" i="121"/>
  <c r="K29" i="121" s="1"/>
  <c r="E27" i="25"/>
  <c r="C26" i="25"/>
  <c r="J27" i="25"/>
  <c r="K27" i="25" s="1"/>
  <c r="E27" i="161"/>
  <c r="C26" i="161"/>
  <c r="J27" i="161"/>
  <c r="K27" i="161" s="1"/>
  <c r="I43" i="136"/>
  <c r="J42" i="136"/>
  <c r="K41" i="136" s="1"/>
  <c r="C28" i="49"/>
  <c r="E29" i="49"/>
  <c r="J29" i="49"/>
  <c r="K29" i="49" s="1"/>
  <c r="K39" i="139"/>
  <c r="K37" i="55"/>
  <c r="I41" i="131"/>
  <c r="J40" i="131"/>
  <c r="I41" i="80"/>
  <c r="J40" i="80"/>
  <c r="C24" i="45"/>
  <c r="E25" i="45"/>
  <c r="J25" i="45"/>
  <c r="K25" i="45" s="1"/>
  <c r="I45" i="46"/>
  <c r="J44" i="46"/>
  <c r="K43" i="46" s="1"/>
  <c r="K39" i="159"/>
  <c r="C26" i="137"/>
  <c r="E27" i="137"/>
  <c r="J27" i="137"/>
  <c r="K27" i="137" s="1"/>
  <c r="I40" i="40"/>
  <c r="J39" i="40"/>
  <c r="K38" i="40" s="1"/>
  <c r="E28" i="122"/>
  <c r="C27" i="122"/>
  <c r="J28" i="122"/>
  <c r="K28" i="122" s="1"/>
  <c r="C23" i="87"/>
  <c r="E24" i="87"/>
  <c r="J24" i="87"/>
  <c r="K24" i="87" s="1"/>
  <c r="C26" i="135"/>
  <c r="E27" i="135"/>
  <c r="J27" i="135"/>
  <c r="K27" i="135" s="1"/>
  <c r="J42" i="164"/>
  <c r="K41" i="164" s="1"/>
  <c r="I43" i="164"/>
  <c r="E28" i="117"/>
  <c r="C27" i="117"/>
  <c r="J28" i="117"/>
  <c r="K28" i="117" s="1"/>
  <c r="BE29" i="2"/>
  <c r="I41" i="144"/>
  <c r="J40" i="144"/>
  <c r="K39" i="144" s="1"/>
  <c r="CX29" i="2"/>
  <c r="E29" i="158"/>
  <c r="C28" i="158"/>
  <c r="J29" i="158"/>
  <c r="K29" i="158" s="1"/>
  <c r="I42" i="115"/>
  <c r="J41" i="115"/>
  <c r="K40" i="115" s="1"/>
  <c r="E27" i="65"/>
  <c r="C26" i="65"/>
  <c r="J27" i="65"/>
  <c r="K27" i="65" s="1"/>
  <c r="K38" i="114"/>
  <c r="J40" i="49"/>
  <c r="I41" i="49"/>
  <c r="C28" i="55"/>
  <c r="E29" i="55"/>
  <c r="J29" i="55"/>
  <c r="K29" i="55" s="1"/>
  <c r="E29" i="109"/>
  <c r="C28" i="109"/>
  <c r="ED29" i="2"/>
  <c r="J29" i="109"/>
  <c r="K29" i="109" s="1"/>
  <c r="I41" i="20"/>
  <c r="J40" i="20"/>
  <c r="C27" i="41"/>
  <c r="E28" i="41"/>
  <c r="J28" i="41"/>
  <c r="K28" i="41" s="1"/>
  <c r="E27" i="9"/>
  <c r="C26" i="9"/>
  <c r="J27" i="9"/>
  <c r="K27" i="9" s="1"/>
  <c r="E28" i="164"/>
  <c r="C27" i="164"/>
  <c r="J28" i="164"/>
  <c r="K28" i="164" s="1"/>
  <c r="I40" i="171"/>
  <c r="J39" i="171"/>
  <c r="K38" i="171" s="1"/>
  <c r="I43" i="26"/>
  <c r="J42" i="26"/>
  <c r="K41" i="26" s="1"/>
  <c r="HD30" i="2"/>
  <c r="AI29" i="1"/>
  <c r="I40" i="125"/>
  <c r="J39" i="125"/>
  <c r="J39" i="112"/>
  <c r="K38" i="112" s="1"/>
  <c r="I40" i="112"/>
  <c r="J39" i="34"/>
  <c r="I40" i="34"/>
  <c r="K37" i="81"/>
  <c r="K40" i="142"/>
  <c r="I42" i="18"/>
  <c r="J41" i="18"/>
  <c r="K40" i="18" s="1"/>
  <c r="K38" i="73"/>
  <c r="K37" i="143"/>
  <c r="K37" i="105"/>
  <c r="K38" i="106"/>
  <c r="BQ30" i="1"/>
  <c r="Y30" i="1"/>
  <c r="E28" i="151"/>
  <c r="C27" i="151"/>
  <c r="J28" i="151"/>
  <c r="K28" i="151" s="1"/>
  <c r="I41" i="19"/>
  <c r="J40" i="19"/>
  <c r="C26" i="94"/>
  <c r="E27" i="94"/>
  <c r="J27" i="94"/>
  <c r="K27" i="94" s="1"/>
  <c r="K37" i="125"/>
  <c r="C25" i="37"/>
  <c r="E26" i="37"/>
  <c r="J26" i="37"/>
  <c r="K26" i="37" s="1"/>
  <c r="K39" i="167"/>
  <c r="I44" i="32"/>
  <c r="J43" i="32"/>
  <c r="K42" i="32" s="1"/>
  <c r="C25" i="141"/>
  <c r="E26" i="141"/>
  <c r="J26" i="141"/>
  <c r="K26" i="141" s="1"/>
  <c r="I41" i="84"/>
  <c r="J40" i="84"/>
  <c r="K39" i="84" s="1"/>
  <c r="K41" i="59"/>
  <c r="E28" i="145"/>
  <c r="C27" i="145"/>
  <c r="J28" i="145"/>
  <c r="K28" i="145" s="1"/>
  <c r="IJ29" i="2"/>
  <c r="E28" i="76"/>
  <c r="C27" i="76"/>
  <c r="J28" i="76"/>
  <c r="K28" i="76" s="1"/>
  <c r="K38" i="137"/>
  <c r="K40" i="51"/>
  <c r="C28" i="14"/>
  <c r="E29" i="14"/>
  <c r="J29" i="14"/>
  <c r="K29" i="14" s="1"/>
  <c r="I40" i="166"/>
  <c r="J39" i="166"/>
  <c r="K40" i="48"/>
  <c r="K39" i="28"/>
  <c r="I40" i="140"/>
  <c r="J39" i="140"/>
  <c r="K38" i="140" s="1"/>
  <c r="I40" i="81"/>
  <c r="J39" i="81"/>
  <c r="K38" i="81" s="1"/>
  <c r="K38" i="80"/>
  <c r="I43" i="127"/>
  <c r="J42" i="127"/>
  <c r="K41" i="127" s="1"/>
  <c r="J42" i="77"/>
  <c r="K41" i="77" s="1"/>
  <c r="I43" i="77"/>
  <c r="I40" i="110"/>
  <c r="J39" i="110"/>
  <c r="K37" i="147"/>
  <c r="K39" i="19"/>
  <c r="K41" i="27"/>
  <c r="C26" i="110"/>
  <c r="E27" i="110"/>
  <c r="J27" i="110"/>
  <c r="K27" i="110" s="1"/>
  <c r="I41" i="52"/>
  <c r="J40" i="52"/>
  <c r="K40" i="118"/>
  <c r="K38" i="4"/>
  <c r="K43" i="75"/>
  <c r="E26" i="123"/>
  <c r="C25" i="123"/>
  <c r="J26" i="123"/>
  <c r="K26" i="123" s="1"/>
  <c r="K41" i="78"/>
  <c r="I40" i="141"/>
  <c r="J39" i="141"/>
  <c r="E28" i="15"/>
  <c r="C27" i="15"/>
  <c r="J28" i="15"/>
  <c r="K28" i="15" s="1"/>
  <c r="C26" i="104"/>
  <c r="E27" i="104"/>
  <c r="J27" i="104"/>
  <c r="K27" i="104" s="1"/>
  <c r="K38" i="43"/>
  <c r="E26" i="84"/>
  <c r="C25" i="84"/>
  <c r="J26" i="84"/>
  <c r="K26" i="84" s="1"/>
  <c r="K37" i="36"/>
  <c r="I45" i="61"/>
  <c r="J44" i="61"/>
  <c r="K43" i="61" s="1"/>
  <c r="K38" i="39"/>
  <c r="K38" i="166"/>
  <c r="C28" i="8"/>
  <c r="E29" i="8"/>
  <c r="HC29" i="2"/>
  <c r="BP29" i="1"/>
  <c r="J29" i="8"/>
  <c r="K29" i="8" s="1"/>
  <c r="GR29" i="2"/>
  <c r="C27" i="156" l="1"/>
  <c r="E28" i="156"/>
  <c r="J28" i="156"/>
  <c r="K28" i="156" s="1"/>
  <c r="E27" i="149"/>
  <c r="C26" i="149"/>
  <c r="J27" i="149"/>
  <c r="K27" i="149" s="1"/>
  <c r="C27" i="130"/>
  <c r="E28" i="130"/>
  <c r="J28" i="130"/>
  <c r="K28" i="130" s="1"/>
  <c r="E23" i="98"/>
  <c r="C22" i="98"/>
  <c r="J23" i="98"/>
  <c r="K23" i="98" s="1"/>
  <c r="E28" i="74"/>
  <c r="C27" i="74"/>
  <c r="J28" i="74"/>
  <c r="K28" i="74" s="1"/>
  <c r="J27" i="61"/>
  <c r="K27" i="61" s="1"/>
  <c r="C26" i="61"/>
  <c r="E27" i="61"/>
  <c r="E27" i="59"/>
  <c r="J27" i="59"/>
  <c r="K27" i="59" s="1"/>
  <c r="C26" i="59"/>
  <c r="AI28" i="2"/>
  <c r="J28" i="150"/>
  <c r="K28" i="150" s="1"/>
  <c r="C27" i="150"/>
  <c r="E28" i="150"/>
  <c r="BG67" i="1"/>
  <c r="AJ28" i="2"/>
  <c r="IK28" i="2"/>
  <c r="I45" i="94"/>
  <c r="J44" i="94"/>
  <c r="I43" i="173"/>
  <c r="J42" i="173"/>
  <c r="K41" i="173" s="1"/>
  <c r="C24" i="123"/>
  <c r="E25" i="123"/>
  <c r="J25" i="123"/>
  <c r="K25" i="123" s="1"/>
  <c r="C27" i="14"/>
  <c r="E28" i="14"/>
  <c r="J28" i="14"/>
  <c r="K28" i="14" s="1"/>
  <c r="GR28" i="2"/>
  <c r="J45" i="46"/>
  <c r="K44" i="46" s="1"/>
  <c r="I46" i="46"/>
  <c r="J42" i="10"/>
  <c r="I43" i="10"/>
  <c r="E28" i="170"/>
  <c r="C27" i="170"/>
  <c r="J28" i="170"/>
  <c r="K28" i="170" s="1"/>
  <c r="E28" i="29"/>
  <c r="C27" i="29"/>
  <c r="J28" i="29"/>
  <c r="K28" i="29" s="1"/>
  <c r="X28" i="1"/>
  <c r="C27" i="53"/>
  <c r="E28" i="53"/>
  <c r="J28" i="53"/>
  <c r="K28" i="53" s="1"/>
  <c r="E27" i="132"/>
  <c r="C26" i="132"/>
  <c r="J27" i="132"/>
  <c r="K27" i="132" s="1"/>
  <c r="C25" i="139"/>
  <c r="E26" i="139"/>
  <c r="J26" i="139"/>
  <c r="K26" i="139" s="1"/>
  <c r="I41" i="102"/>
  <c r="J40" i="102"/>
  <c r="J45" i="75"/>
  <c r="K44" i="75" s="1"/>
  <c r="I46" i="75"/>
  <c r="J43" i="127"/>
  <c r="K42" i="127" s="1"/>
  <c r="I44" i="127"/>
  <c r="C26" i="151"/>
  <c r="E27" i="151"/>
  <c r="J27" i="151"/>
  <c r="K27" i="151" s="1"/>
  <c r="GS29" i="2"/>
  <c r="J44" i="79"/>
  <c r="K43" i="79" s="1"/>
  <c r="I45" i="79"/>
  <c r="I41" i="120"/>
  <c r="J40" i="120"/>
  <c r="K39" i="120" s="1"/>
  <c r="C25" i="99"/>
  <c r="E26" i="99"/>
  <c r="J26" i="99"/>
  <c r="K26" i="99" s="1"/>
  <c r="E26" i="17"/>
  <c r="C25" i="17"/>
  <c r="J26" i="17"/>
  <c r="K26" i="17" s="1"/>
  <c r="J41" i="57"/>
  <c r="I42" i="57"/>
  <c r="I42" i="104"/>
  <c r="J41" i="104"/>
  <c r="K40" i="73"/>
  <c r="I42" i="52"/>
  <c r="J41" i="52"/>
  <c r="K40" i="52" s="1"/>
  <c r="E27" i="76"/>
  <c r="C26" i="76"/>
  <c r="J27" i="76"/>
  <c r="K27" i="76" s="1"/>
  <c r="J42" i="129"/>
  <c r="I43" i="129"/>
  <c r="I45" i="24"/>
  <c r="E21" i="82"/>
  <c r="C20" i="82"/>
  <c r="J21" i="82"/>
  <c r="K21" i="82" s="1"/>
  <c r="I42" i="106"/>
  <c r="J41" i="106"/>
  <c r="K40" i="106" s="1"/>
  <c r="C27" i="155"/>
  <c r="E28" i="155"/>
  <c r="J28" i="155"/>
  <c r="K28" i="155" s="1"/>
  <c r="K40" i="104"/>
  <c r="J40" i="47"/>
  <c r="K39" i="47" s="1"/>
  <c r="I41" i="47"/>
  <c r="I42" i="21"/>
  <c r="J41" i="21"/>
  <c r="K40" i="21" s="1"/>
  <c r="I41" i="160"/>
  <c r="J40" i="160"/>
  <c r="I42" i="73"/>
  <c r="J41" i="73"/>
  <c r="J45" i="145"/>
  <c r="K44" i="145" s="1"/>
  <c r="I46" i="145"/>
  <c r="C26" i="101"/>
  <c r="E27" i="101"/>
  <c r="J27" i="101"/>
  <c r="K27" i="101" s="1"/>
  <c r="E27" i="77"/>
  <c r="C26" i="77"/>
  <c r="J27" i="77"/>
  <c r="K27" i="77" s="1"/>
  <c r="E26" i="54"/>
  <c r="C25" i="54"/>
  <c r="J26" i="54"/>
  <c r="K26" i="54" s="1"/>
  <c r="I42" i="153"/>
  <c r="J41" i="153"/>
  <c r="E26" i="9"/>
  <c r="C25" i="9"/>
  <c r="J26" i="9"/>
  <c r="K26" i="9" s="1"/>
  <c r="E27" i="10"/>
  <c r="C26" i="10"/>
  <c r="J27" i="10"/>
  <c r="K27" i="10" s="1"/>
  <c r="BQ29" i="1"/>
  <c r="I42" i="144"/>
  <c r="J41" i="144"/>
  <c r="K40" i="144" s="1"/>
  <c r="E24" i="45"/>
  <c r="C23" i="45"/>
  <c r="J24" i="45"/>
  <c r="K24" i="45" s="1"/>
  <c r="I41" i="36"/>
  <c r="J40" i="36"/>
  <c r="E24" i="43"/>
  <c r="C23" i="43"/>
  <c r="J24" i="43"/>
  <c r="K24" i="43" s="1"/>
  <c r="K39" i="137"/>
  <c r="C26" i="36"/>
  <c r="E27" i="36"/>
  <c r="J27" i="36"/>
  <c r="K27" i="36" s="1"/>
  <c r="K39" i="160"/>
  <c r="K40" i="123"/>
  <c r="E26" i="83"/>
  <c r="C25" i="83"/>
  <c r="J26" i="83"/>
  <c r="K26" i="83" s="1"/>
  <c r="I43" i="44"/>
  <c r="J42" i="44"/>
  <c r="K43" i="145"/>
  <c r="E23" i="138"/>
  <c r="C22" i="138"/>
  <c r="J23" i="138"/>
  <c r="K23" i="138" s="1"/>
  <c r="I46" i="7"/>
  <c r="J45" i="7"/>
  <c r="K44" i="7" s="1"/>
  <c r="I44" i="142"/>
  <c r="J43" i="142"/>
  <c r="K42" i="142" s="1"/>
  <c r="K40" i="67"/>
  <c r="I42" i="137"/>
  <c r="J41" i="137"/>
  <c r="K40" i="137" s="1"/>
  <c r="C23" i="105"/>
  <c r="E24" i="105"/>
  <c r="J24" i="105"/>
  <c r="K24" i="105" s="1"/>
  <c r="C26" i="95"/>
  <c r="E27" i="95"/>
  <c r="J27" i="95"/>
  <c r="K27" i="95" s="1"/>
  <c r="IV28" i="2"/>
  <c r="E28" i="93"/>
  <c r="C27" i="93"/>
  <c r="J28" i="93"/>
  <c r="K28" i="93" s="1"/>
  <c r="J41" i="123"/>
  <c r="I42" i="123"/>
  <c r="K40" i="44"/>
  <c r="J43" i="135"/>
  <c r="I44" i="135"/>
  <c r="J43" i="89"/>
  <c r="I44" i="89"/>
  <c r="I42" i="67"/>
  <c r="J41" i="67"/>
  <c r="E28" i="92"/>
  <c r="C27" i="92"/>
  <c r="J28" i="92"/>
  <c r="K28" i="92" s="1"/>
  <c r="EP29" i="2"/>
  <c r="C24" i="72"/>
  <c r="E25" i="72"/>
  <c r="J25" i="72"/>
  <c r="K25" i="72" s="1"/>
  <c r="J43" i="152"/>
  <c r="K42" i="152" s="1"/>
  <c r="I44" i="152"/>
  <c r="K42" i="89"/>
  <c r="E25" i="40"/>
  <c r="C24" i="40"/>
  <c r="J25" i="40"/>
  <c r="K25" i="40" s="1"/>
  <c r="K41" i="118"/>
  <c r="IK29" i="2"/>
  <c r="E26" i="110"/>
  <c r="C25" i="110"/>
  <c r="J26" i="110"/>
  <c r="K26" i="110" s="1"/>
  <c r="C26" i="125"/>
  <c r="E27" i="125"/>
  <c r="J27" i="125"/>
  <c r="K27" i="125" s="1"/>
  <c r="K40" i="83"/>
  <c r="E28" i="8"/>
  <c r="C27" i="8"/>
  <c r="BP28" i="1"/>
  <c r="HC28" i="2"/>
  <c r="J28" i="8"/>
  <c r="K28" i="8" s="1"/>
  <c r="E27" i="145"/>
  <c r="C26" i="145"/>
  <c r="J27" i="145"/>
  <c r="K27" i="145" s="1"/>
  <c r="K42" i="62"/>
  <c r="I42" i="126"/>
  <c r="J41" i="126"/>
  <c r="K40" i="126" s="1"/>
  <c r="E27" i="13"/>
  <c r="C26" i="13"/>
  <c r="J27" i="13"/>
  <c r="K27" i="13" s="1"/>
  <c r="I41" i="8"/>
  <c r="J40" i="8"/>
  <c r="C22" i="32"/>
  <c r="E23" i="32"/>
  <c r="J23" i="32"/>
  <c r="K23" i="32" s="1"/>
  <c r="I43" i="118"/>
  <c r="J42" i="118"/>
  <c r="HD29" i="2"/>
  <c r="C26" i="71"/>
  <c r="E27" i="71"/>
  <c r="J27" i="71"/>
  <c r="K27" i="71" s="1"/>
  <c r="I42" i="80"/>
  <c r="J41" i="80"/>
  <c r="J42" i="83"/>
  <c r="K41" i="83" s="1"/>
  <c r="I43" i="83"/>
  <c r="HO29" i="2"/>
  <c r="BF28" i="2"/>
  <c r="K38" i="36"/>
  <c r="I44" i="107"/>
  <c r="J43" i="107"/>
  <c r="K42" i="107" s="1"/>
  <c r="I44" i="62"/>
  <c r="J43" i="62"/>
  <c r="J41" i="33"/>
  <c r="K40" i="33" s="1"/>
  <c r="I42" i="33"/>
  <c r="CW27" i="2"/>
  <c r="C25" i="60"/>
  <c r="E26" i="60"/>
  <c r="J26" i="60"/>
  <c r="K26" i="60" s="1"/>
  <c r="I42" i="50"/>
  <c r="J41" i="50"/>
  <c r="E26" i="22"/>
  <c r="C25" i="22"/>
  <c r="J26" i="22"/>
  <c r="K26" i="22" s="1"/>
  <c r="K39" i="8"/>
  <c r="K39" i="109"/>
  <c r="I41" i="11"/>
  <c r="J40" i="11"/>
  <c r="K39" i="11" s="1"/>
  <c r="E27" i="147"/>
  <c r="C26" i="147"/>
  <c r="J27" i="147"/>
  <c r="K27" i="147" s="1"/>
  <c r="E28" i="143"/>
  <c r="C27" i="143"/>
  <c r="J28" i="143"/>
  <c r="K28" i="143" s="1"/>
  <c r="E27" i="70"/>
  <c r="C26" i="70"/>
  <c r="J27" i="70"/>
  <c r="K27" i="70" s="1"/>
  <c r="GI67" i="2"/>
  <c r="I42" i="168"/>
  <c r="J41" i="168"/>
  <c r="K40" i="168" s="1"/>
  <c r="J41" i="31"/>
  <c r="I42" i="31"/>
  <c r="J41" i="70"/>
  <c r="K40" i="70" s="1"/>
  <c r="I42" i="70"/>
  <c r="I41" i="148"/>
  <c r="J40" i="148"/>
  <c r="I41" i="109"/>
  <c r="J40" i="109"/>
  <c r="C26" i="78"/>
  <c r="E27" i="78"/>
  <c r="J27" i="78"/>
  <c r="K27" i="78" s="1"/>
  <c r="C24" i="163"/>
  <c r="E25" i="163"/>
  <c r="J25" i="163"/>
  <c r="K25" i="163" s="1"/>
  <c r="E26" i="64"/>
  <c r="C25" i="64"/>
  <c r="J26" i="64"/>
  <c r="K26" i="64" s="1"/>
  <c r="CC67" i="1"/>
  <c r="Z67" i="1"/>
  <c r="AK67" i="1"/>
  <c r="AV67" i="1"/>
  <c r="BR67" i="1"/>
  <c r="O67" i="1"/>
  <c r="K40" i="31"/>
  <c r="J41" i="131"/>
  <c r="I42" i="131"/>
  <c r="I44" i="13"/>
  <c r="J43" i="13"/>
  <c r="K42" i="13" s="1"/>
  <c r="J42" i="99"/>
  <c r="K41" i="99" s="1"/>
  <c r="I43" i="99"/>
  <c r="C27" i="91"/>
  <c r="E28" i="91"/>
  <c r="J28" i="91"/>
  <c r="K28" i="91" s="1"/>
  <c r="C24" i="115"/>
  <c r="E25" i="115"/>
  <c r="J25" i="115"/>
  <c r="K25" i="115" s="1"/>
  <c r="J41" i="4"/>
  <c r="I42" i="4"/>
  <c r="E26" i="112"/>
  <c r="C25" i="112"/>
  <c r="J26" i="112"/>
  <c r="K26" i="112" s="1"/>
  <c r="J40" i="55"/>
  <c r="K39" i="55" s="1"/>
  <c r="I41" i="55"/>
  <c r="C23" i="131"/>
  <c r="E24" i="131"/>
  <c r="J24" i="131"/>
  <c r="K24" i="131" s="1"/>
  <c r="BQ29" i="2"/>
  <c r="K39" i="21"/>
  <c r="J41" i="151"/>
  <c r="K40" i="151" s="1"/>
  <c r="I42" i="151"/>
  <c r="I41" i="95"/>
  <c r="J40" i="95"/>
  <c r="K42" i="16"/>
  <c r="GT67" i="2"/>
  <c r="CN67" i="2"/>
  <c r="AV67" i="2"/>
  <c r="FX67" i="2"/>
  <c r="Z67" i="2"/>
  <c r="O67" i="2"/>
  <c r="EQ67" i="2"/>
  <c r="FM67" i="2"/>
  <c r="AK67" i="2"/>
  <c r="HP67" i="2"/>
  <c r="BG67" i="2"/>
  <c r="IL67" i="2"/>
  <c r="BR67" i="2"/>
  <c r="CY67" i="2"/>
  <c r="HE67" i="2"/>
  <c r="EF67" i="2"/>
  <c r="IA67" i="2"/>
  <c r="IW67" i="2"/>
  <c r="DJ67" i="2"/>
  <c r="DU67" i="2"/>
  <c r="CC67" i="2"/>
  <c r="FB67" i="2"/>
  <c r="C25" i="16"/>
  <c r="E26" i="16"/>
  <c r="J26" i="16"/>
  <c r="K26" i="16" s="1"/>
  <c r="K39" i="52"/>
  <c r="J42" i="149"/>
  <c r="K41" i="149" s="1"/>
  <c r="I43" i="149"/>
  <c r="K40" i="4"/>
  <c r="I46" i="134"/>
  <c r="J45" i="134"/>
  <c r="K44" i="134" s="1"/>
  <c r="I45" i="22"/>
  <c r="J44" i="22"/>
  <c r="K43" i="22" s="1"/>
  <c r="C27" i="52"/>
  <c r="E28" i="52"/>
  <c r="BP28" i="2"/>
  <c r="J28" i="52"/>
  <c r="K28" i="52" s="1"/>
  <c r="J40" i="143"/>
  <c r="I41" i="143"/>
  <c r="I44" i="16"/>
  <c r="J43" i="16"/>
  <c r="E66" i="24"/>
  <c r="C65" i="24"/>
  <c r="BE66" i="1"/>
  <c r="GG66" i="2"/>
  <c r="C66" i="1"/>
  <c r="C66" i="2"/>
  <c r="E26" i="75"/>
  <c r="C25" i="75"/>
  <c r="J26" i="75"/>
  <c r="K26" i="75" s="1"/>
  <c r="I46" i="61"/>
  <c r="J45" i="61"/>
  <c r="K44" i="61" s="1"/>
  <c r="I41" i="110"/>
  <c r="J40" i="110"/>
  <c r="J41" i="20"/>
  <c r="I42" i="20"/>
  <c r="K39" i="170"/>
  <c r="E25" i="85"/>
  <c r="C24" i="85"/>
  <c r="J25" i="85"/>
  <c r="K25" i="85" s="1"/>
  <c r="J41" i="3"/>
  <c r="K40" i="3" s="1"/>
  <c r="I42" i="3"/>
  <c r="E23" i="30"/>
  <c r="C22" i="30"/>
  <c r="J23" i="30"/>
  <c r="K23" i="30" s="1"/>
  <c r="J40" i="130"/>
  <c r="I41" i="130"/>
  <c r="C24" i="51"/>
  <c r="E25" i="51"/>
  <c r="J25" i="51"/>
  <c r="K25" i="51" s="1"/>
  <c r="C27" i="58"/>
  <c r="E28" i="58"/>
  <c r="J28" i="58"/>
  <c r="K28" i="58" s="1"/>
  <c r="I41" i="91"/>
  <c r="J40" i="91"/>
  <c r="K39" i="91" s="1"/>
  <c r="E25" i="106"/>
  <c r="C24" i="106"/>
  <c r="J25" i="106"/>
  <c r="K25" i="106" s="1"/>
  <c r="I42" i="56"/>
  <c r="J41" i="56"/>
  <c r="K40" i="56" s="1"/>
  <c r="J43" i="29"/>
  <c r="I44" i="29"/>
  <c r="I43" i="18"/>
  <c r="J42" i="18"/>
  <c r="I44" i="77"/>
  <c r="J43" i="77"/>
  <c r="K40" i="103"/>
  <c r="FW29" i="2"/>
  <c r="E26" i="116"/>
  <c r="C25" i="116"/>
  <c r="J26" i="116"/>
  <c r="K26" i="116" s="1"/>
  <c r="J40" i="38"/>
  <c r="I41" i="38"/>
  <c r="I42" i="39"/>
  <c r="J41" i="39"/>
  <c r="E27" i="79"/>
  <c r="C26" i="79"/>
  <c r="J27" i="79"/>
  <c r="K27" i="79" s="1"/>
  <c r="J41" i="121"/>
  <c r="K40" i="121" s="1"/>
  <c r="I42" i="121"/>
  <c r="K38" i="130"/>
  <c r="K39" i="123"/>
  <c r="K39" i="97"/>
  <c r="E25" i="26"/>
  <c r="C24" i="26"/>
  <c r="J25" i="26"/>
  <c r="K25" i="26" s="1"/>
  <c r="K39" i="20"/>
  <c r="C24" i="141"/>
  <c r="E25" i="141"/>
  <c r="J25" i="141"/>
  <c r="K25" i="141" s="1"/>
  <c r="J40" i="34"/>
  <c r="I41" i="34"/>
  <c r="EE29" i="2"/>
  <c r="J43" i="164"/>
  <c r="K42" i="164" s="1"/>
  <c r="I44" i="164"/>
  <c r="I42" i="103"/>
  <c r="J41" i="103"/>
  <c r="J44" i="42"/>
  <c r="K43" i="42" s="1"/>
  <c r="I45" i="42"/>
  <c r="J44" i="82"/>
  <c r="I45" i="82"/>
  <c r="C26" i="142"/>
  <c r="E27" i="142"/>
  <c r="J27" i="142"/>
  <c r="K27" i="142" s="1"/>
  <c r="I41" i="96"/>
  <c r="J40" i="96"/>
  <c r="K39" i="96" s="1"/>
  <c r="J41" i="5"/>
  <c r="I42" i="5"/>
  <c r="K39" i="5"/>
  <c r="I43" i="157"/>
  <c r="J42" i="157"/>
  <c r="K41" i="157" s="1"/>
  <c r="J44" i="27"/>
  <c r="K43" i="27" s="1"/>
  <c r="I45" i="27"/>
  <c r="I41" i="163"/>
  <c r="J40" i="163"/>
  <c r="K39" i="163" s="1"/>
  <c r="E28" i="42"/>
  <c r="C27" i="42"/>
  <c r="J28" i="42"/>
  <c r="K28" i="42" s="1"/>
  <c r="FV28" i="2"/>
  <c r="J42" i="37"/>
  <c r="I43" i="37"/>
  <c r="C25" i="144"/>
  <c r="E26" i="144"/>
  <c r="J26" i="144"/>
  <c r="K26" i="144" s="1"/>
  <c r="J42" i="92"/>
  <c r="I43" i="92"/>
  <c r="I42" i="76"/>
  <c r="J41" i="76"/>
  <c r="K40" i="76" s="1"/>
  <c r="E23" i="166"/>
  <c r="C22" i="166"/>
  <c r="J23" i="166"/>
  <c r="K23" i="166" s="1"/>
  <c r="I42" i="111"/>
  <c r="J41" i="111"/>
  <c r="E27" i="80"/>
  <c r="C26" i="80"/>
  <c r="J27" i="80"/>
  <c r="K27" i="80" s="1"/>
  <c r="DI28" i="2"/>
  <c r="I43" i="165"/>
  <c r="J42" i="165"/>
  <c r="C26" i="140"/>
  <c r="E27" i="140"/>
  <c r="J27" i="140"/>
  <c r="K27" i="140" s="1"/>
  <c r="J59" i="150"/>
  <c r="I60" i="150"/>
  <c r="E25" i="73"/>
  <c r="C24" i="73"/>
  <c r="J25" i="73"/>
  <c r="K25" i="73" s="1"/>
  <c r="K39" i="168"/>
  <c r="I42" i="170"/>
  <c r="J41" i="170"/>
  <c r="E23" i="146"/>
  <c r="C22" i="146"/>
  <c r="J23" i="146"/>
  <c r="K23" i="146" s="1"/>
  <c r="K44" i="74"/>
  <c r="J40" i="64"/>
  <c r="I41" i="64"/>
  <c r="E26" i="148"/>
  <c r="C25" i="148"/>
  <c r="J26" i="148"/>
  <c r="K26" i="148" s="1"/>
  <c r="J42" i="63"/>
  <c r="I43" i="63"/>
  <c r="C25" i="5"/>
  <c r="E26" i="5"/>
  <c r="J26" i="5"/>
  <c r="K26" i="5" s="1"/>
  <c r="K41" i="29"/>
  <c r="E28" i="109"/>
  <c r="C27" i="109"/>
  <c r="ED28" i="2"/>
  <c r="J28" i="109"/>
  <c r="K28" i="109" s="1"/>
  <c r="K38" i="110"/>
  <c r="C23" i="34"/>
  <c r="E24" i="34"/>
  <c r="J24" i="34"/>
  <c r="K24" i="34" s="1"/>
  <c r="CM29" i="2"/>
  <c r="I42" i="116"/>
  <c r="J41" i="116"/>
  <c r="I46" i="74"/>
  <c r="J45" i="74"/>
  <c r="I43" i="159"/>
  <c r="J42" i="159"/>
  <c r="E28" i="174"/>
  <c r="C27" i="174"/>
  <c r="J28" i="174"/>
  <c r="K28" i="174" s="1"/>
  <c r="C24" i="69"/>
  <c r="E25" i="69"/>
  <c r="J25" i="69"/>
  <c r="K25" i="69" s="1"/>
  <c r="E25" i="168"/>
  <c r="C24" i="168"/>
  <c r="J25" i="168"/>
  <c r="K25" i="168" s="1"/>
  <c r="E27" i="133"/>
  <c r="C26" i="133"/>
  <c r="J27" i="133"/>
  <c r="K27" i="133" s="1"/>
  <c r="DH27" i="2"/>
  <c r="K39" i="64"/>
  <c r="K41" i="63"/>
  <c r="E26" i="18"/>
  <c r="C25" i="18"/>
  <c r="J26" i="18"/>
  <c r="K26" i="18" s="1"/>
  <c r="C25" i="67"/>
  <c r="E26" i="67"/>
  <c r="J26" i="67"/>
  <c r="K26" i="67" s="1"/>
  <c r="J43" i="117"/>
  <c r="I44" i="117"/>
  <c r="E28" i="49"/>
  <c r="C27" i="49"/>
  <c r="J28" i="49"/>
  <c r="K28" i="49" s="1"/>
  <c r="I41" i="112"/>
  <c r="J40" i="112"/>
  <c r="K39" i="112" s="1"/>
  <c r="K39" i="80"/>
  <c r="E26" i="135"/>
  <c r="C25" i="135"/>
  <c r="J26" i="135"/>
  <c r="K26" i="135" s="1"/>
  <c r="I42" i="162"/>
  <c r="J41" i="162"/>
  <c r="J42" i="30"/>
  <c r="K41" i="30" s="1"/>
  <c r="I43" i="30"/>
  <c r="C25" i="57"/>
  <c r="E26" i="57"/>
  <c r="J26" i="57"/>
  <c r="K26" i="57" s="1"/>
  <c r="I42" i="154"/>
  <c r="J41" i="154"/>
  <c r="K40" i="154" s="1"/>
  <c r="C23" i="165"/>
  <c r="E24" i="165"/>
  <c r="J24" i="165"/>
  <c r="K24" i="165" s="1"/>
  <c r="K41" i="159"/>
  <c r="E28" i="46"/>
  <c r="C27" i="46"/>
  <c r="J28" i="46"/>
  <c r="K28" i="46" s="1"/>
  <c r="J42" i="124"/>
  <c r="K41" i="124" s="1"/>
  <c r="I43" i="124"/>
  <c r="AU29" i="2"/>
  <c r="K38" i="96"/>
  <c r="C27" i="28"/>
  <c r="E28" i="28"/>
  <c r="J28" i="28"/>
  <c r="K28" i="28" s="1"/>
  <c r="C23" i="160"/>
  <c r="E24" i="160"/>
  <c r="J24" i="160"/>
  <c r="K24" i="160" s="1"/>
  <c r="C27" i="55"/>
  <c r="E28" i="55"/>
  <c r="J28" i="55"/>
  <c r="K28" i="55" s="1"/>
  <c r="J43" i="136"/>
  <c r="K42" i="136" s="1"/>
  <c r="I44" i="136"/>
  <c r="I43" i="93"/>
  <c r="J42" i="93"/>
  <c r="K41" i="93" s="1"/>
  <c r="HN28" i="2"/>
  <c r="C24" i="47"/>
  <c r="E25" i="47"/>
  <c r="J25" i="47"/>
  <c r="K25" i="47" s="1"/>
  <c r="K42" i="51"/>
  <c r="K41" i="72"/>
  <c r="I41" i="17"/>
  <c r="J40" i="17"/>
  <c r="K39" i="17" s="1"/>
  <c r="J40" i="35"/>
  <c r="K39" i="35" s="1"/>
  <c r="I41" i="35"/>
  <c r="FA28" i="2"/>
  <c r="K39" i="45"/>
  <c r="K38" i="55"/>
  <c r="C27" i="50"/>
  <c r="E28" i="50"/>
  <c r="AT28" i="2"/>
  <c r="J28" i="50"/>
  <c r="K28" i="50" s="1"/>
  <c r="I42" i="155"/>
  <c r="J41" i="155"/>
  <c r="AU29" i="1"/>
  <c r="K39" i="153"/>
  <c r="E26" i="11"/>
  <c r="C25" i="11"/>
  <c r="J26" i="11"/>
  <c r="K26" i="11" s="1"/>
  <c r="K39" i="56"/>
  <c r="K41" i="117"/>
  <c r="K39" i="81"/>
  <c r="I41" i="125"/>
  <c r="J40" i="125"/>
  <c r="K39" i="125" s="1"/>
  <c r="I44" i="48"/>
  <c r="J43" i="48"/>
  <c r="E25" i="39"/>
  <c r="C24" i="39"/>
  <c r="J25" i="39"/>
  <c r="K25" i="39" s="1"/>
  <c r="IV29" i="2"/>
  <c r="E28" i="152"/>
  <c r="C27" i="152"/>
  <c r="M27" i="2" s="1"/>
  <c r="J28" i="152"/>
  <c r="K28" i="152" s="1"/>
  <c r="E27" i="41"/>
  <c r="C26" i="41"/>
  <c r="J27" i="41"/>
  <c r="K27" i="41" s="1"/>
  <c r="I45" i="32"/>
  <c r="J44" i="32"/>
  <c r="K43" i="32" s="1"/>
  <c r="E26" i="104"/>
  <c r="C25" i="104"/>
  <c r="J26" i="104"/>
  <c r="K26" i="104" s="1"/>
  <c r="I44" i="51"/>
  <c r="J43" i="51"/>
  <c r="I43" i="72"/>
  <c r="J42" i="72"/>
  <c r="J40" i="45"/>
  <c r="I41" i="45"/>
  <c r="I41" i="81"/>
  <c r="J40" i="81"/>
  <c r="I42" i="49"/>
  <c r="J41" i="49"/>
  <c r="K40" i="49" s="1"/>
  <c r="E23" i="87"/>
  <c r="C22" i="87"/>
  <c r="J23" i="87"/>
  <c r="K23" i="87" s="1"/>
  <c r="K39" i="131"/>
  <c r="C26" i="89"/>
  <c r="E27" i="89"/>
  <c r="J27" i="89"/>
  <c r="K27" i="89" s="1"/>
  <c r="HN27" i="2"/>
  <c r="J43" i="98"/>
  <c r="I44" i="98"/>
  <c r="K43" i="94"/>
  <c r="E27" i="114"/>
  <c r="C26" i="114"/>
  <c r="J27" i="114"/>
  <c r="K27" i="114" s="1"/>
  <c r="I43" i="28"/>
  <c r="J42" i="28"/>
  <c r="K41" i="28" s="1"/>
  <c r="E26" i="4"/>
  <c r="C25" i="4"/>
  <c r="J26" i="4"/>
  <c r="K26" i="4" s="1"/>
  <c r="J43" i="9"/>
  <c r="K42" i="9" s="1"/>
  <c r="I44" i="9"/>
  <c r="E27" i="134"/>
  <c r="C26" i="134"/>
  <c r="EZ27" i="2"/>
  <c r="J27" i="134"/>
  <c r="K27" i="134" s="1"/>
  <c r="I45" i="71"/>
  <c r="J44" i="71"/>
  <c r="C26" i="44"/>
  <c r="E27" i="44"/>
  <c r="J27" i="44"/>
  <c r="K27" i="44" s="1"/>
  <c r="E23" i="157"/>
  <c r="C22" i="157"/>
  <c r="J23" i="157"/>
  <c r="K23" i="157" s="1"/>
  <c r="E27" i="35"/>
  <c r="C26" i="35"/>
  <c r="J27" i="35"/>
  <c r="K27" i="35" s="1"/>
  <c r="E26" i="118"/>
  <c r="C25" i="118"/>
  <c r="J26" i="118"/>
  <c r="K26" i="118" s="1"/>
  <c r="K40" i="157"/>
  <c r="I41" i="174"/>
  <c r="J40" i="174"/>
  <c r="K39" i="174" s="1"/>
  <c r="E28" i="7"/>
  <c r="C27" i="7"/>
  <c r="AT28" i="1"/>
  <c r="J28" i="7"/>
  <c r="K28" i="7" s="1"/>
  <c r="N29" i="1"/>
  <c r="I43" i="158"/>
  <c r="J42" i="158"/>
  <c r="K41" i="158" s="1"/>
  <c r="C27" i="6"/>
  <c r="CA28" i="1"/>
  <c r="E28" i="6"/>
  <c r="I41" i="43"/>
  <c r="J40" i="43"/>
  <c r="E26" i="68"/>
  <c r="C25" i="68"/>
  <c r="J26" i="68"/>
  <c r="K26" i="68" s="1"/>
  <c r="C27" i="3"/>
  <c r="E28" i="3"/>
  <c r="J28" i="3"/>
  <c r="K28" i="3" s="1"/>
  <c r="J42" i="25"/>
  <c r="I43" i="25"/>
  <c r="C25" i="66"/>
  <c r="E26" i="66"/>
  <c r="J26" i="66"/>
  <c r="K26" i="66" s="1"/>
  <c r="I42" i="53"/>
  <c r="J41" i="53"/>
  <c r="K40" i="53" s="1"/>
  <c r="J43" i="172"/>
  <c r="I44" i="172"/>
  <c r="Y29" i="2"/>
  <c r="CB29" i="1"/>
  <c r="J41" i="161"/>
  <c r="K40" i="161" s="1"/>
  <c r="I42" i="161"/>
  <c r="C26" i="122"/>
  <c r="E27" i="122"/>
  <c r="J27" i="122"/>
  <c r="K27" i="122" s="1"/>
  <c r="E26" i="161"/>
  <c r="C25" i="161"/>
  <c r="J26" i="161"/>
  <c r="K26" i="161" s="1"/>
  <c r="K39" i="65"/>
  <c r="K39" i="103"/>
  <c r="K43" i="7"/>
  <c r="K41" i="98"/>
  <c r="C24" i="127"/>
  <c r="E25" i="127"/>
  <c r="J25" i="127"/>
  <c r="K25" i="127" s="1"/>
  <c r="I41" i="100"/>
  <c r="J40" i="100"/>
  <c r="C25" i="81"/>
  <c r="E26" i="81"/>
  <c r="J26" i="81"/>
  <c r="K26" i="81" s="1"/>
  <c r="J43" i="122"/>
  <c r="K42" i="122" s="1"/>
  <c r="I44" i="122"/>
  <c r="K42" i="172"/>
  <c r="I44" i="101"/>
  <c r="J43" i="101"/>
  <c r="K42" i="101" s="1"/>
  <c r="I42" i="84"/>
  <c r="J41" i="84"/>
  <c r="K40" i="84" s="1"/>
  <c r="E27" i="117"/>
  <c r="C26" i="117"/>
  <c r="J27" i="117"/>
  <c r="K27" i="117" s="1"/>
  <c r="I42" i="138"/>
  <c r="J41" i="138"/>
  <c r="AJ29" i="1"/>
  <c r="K38" i="34"/>
  <c r="K40" i="99"/>
  <c r="C23" i="102"/>
  <c r="E24" i="102"/>
  <c r="J24" i="102"/>
  <c r="K24" i="102" s="1"/>
  <c r="K39" i="119"/>
  <c r="EP28" i="2"/>
  <c r="K39" i="4"/>
  <c r="K38" i="35"/>
  <c r="J41" i="119"/>
  <c r="I42" i="119"/>
  <c r="K38" i="45"/>
  <c r="I43" i="167"/>
  <c r="J42" i="167"/>
  <c r="K41" i="167" s="1"/>
  <c r="I41" i="146"/>
  <c r="J40" i="146"/>
  <c r="K39" i="146" s="1"/>
  <c r="I42" i="87"/>
  <c r="J41" i="87"/>
  <c r="C27" i="12"/>
  <c r="E28" i="12"/>
  <c r="M28" i="1"/>
  <c r="X28" i="2"/>
  <c r="J28" i="12"/>
  <c r="K28" i="12" s="1"/>
  <c r="E26" i="126"/>
  <c r="C25" i="126"/>
  <c r="J26" i="126"/>
  <c r="K26" i="126" s="1"/>
  <c r="C27" i="27"/>
  <c r="E28" i="27"/>
  <c r="J28" i="27"/>
  <c r="K28" i="27" s="1"/>
  <c r="BF29" i="2"/>
  <c r="I41" i="65"/>
  <c r="J40" i="65"/>
  <c r="K38" i="125"/>
  <c r="J40" i="141"/>
  <c r="K39" i="141" s="1"/>
  <c r="I41" i="141"/>
  <c r="I42" i="85"/>
  <c r="J41" i="85"/>
  <c r="K40" i="85" s="1"/>
  <c r="E26" i="167"/>
  <c r="C25" i="167"/>
  <c r="J26" i="167"/>
  <c r="K26" i="167" s="1"/>
  <c r="K38" i="38"/>
  <c r="C26" i="97"/>
  <c r="E27" i="97"/>
  <c r="J27" i="97"/>
  <c r="K27" i="97" s="1"/>
  <c r="K39" i="121"/>
  <c r="K41" i="9"/>
  <c r="I46" i="12"/>
  <c r="J45" i="12"/>
  <c r="K39" i="3"/>
  <c r="K40" i="167"/>
  <c r="C27" i="56"/>
  <c r="E28" i="56"/>
  <c r="J28" i="56"/>
  <c r="K28" i="56" s="1"/>
  <c r="K38" i="174"/>
  <c r="K39" i="87"/>
  <c r="I42" i="54"/>
  <c r="J41" i="54"/>
  <c r="C25" i="94"/>
  <c r="E26" i="94"/>
  <c r="J26" i="94"/>
  <c r="K26" i="94" s="1"/>
  <c r="J41" i="19"/>
  <c r="K40" i="19" s="1"/>
  <c r="I42" i="19"/>
  <c r="E26" i="25"/>
  <c r="C25" i="25"/>
  <c r="J26" i="25"/>
  <c r="K26" i="25" s="1"/>
  <c r="CM28" i="2"/>
  <c r="E27" i="119"/>
  <c r="C26" i="119"/>
  <c r="J27" i="119"/>
  <c r="K27" i="119" s="1"/>
  <c r="K40" i="86"/>
  <c r="C24" i="159"/>
  <c r="E25" i="159"/>
  <c r="J25" i="159"/>
  <c r="K25" i="159" s="1"/>
  <c r="K41" i="152"/>
  <c r="C26" i="154"/>
  <c r="E27" i="154"/>
  <c r="J27" i="154"/>
  <c r="K27" i="154" s="1"/>
  <c r="IJ27" i="2"/>
  <c r="I41" i="140"/>
  <c r="J40" i="140"/>
  <c r="K39" i="49"/>
  <c r="E26" i="113"/>
  <c r="C25" i="113"/>
  <c r="J26" i="113"/>
  <c r="K26" i="113" s="1"/>
  <c r="E27" i="20"/>
  <c r="C26" i="20"/>
  <c r="J27" i="20"/>
  <c r="K27" i="20" s="1"/>
  <c r="FK28" i="2"/>
  <c r="C25" i="128"/>
  <c r="E26" i="128"/>
  <c r="J26" i="128"/>
  <c r="K26" i="128" s="1"/>
  <c r="DT27" i="2"/>
  <c r="C25" i="19"/>
  <c r="E26" i="19"/>
  <c r="J26" i="19"/>
  <c r="K26" i="19" s="1"/>
  <c r="M28" i="2"/>
  <c r="K38" i="160"/>
  <c r="J41" i="86"/>
  <c r="I42" i="86"/>
  <c r="K41" i="113"/>
  <c r="E25" i="37"/>
  <c r="C24" i="37"/>
  <c r="J25" i="37"/>
  <c r="K25" i="37" s="1"/>
  <c r="I44" i="26"/>
  <c r="J43" i="26"/>
  <c r="K42" i="26" s="1"/>
  <c r="E25" i="62"/>
  <c r="C24" i="62"/>
  <c r="J25" i="62"/>
  <c r="K25" i="62" s="1"/>
  <c r="I43" i="66"/>
  <c r="J42" i="66"/>
  <c r="CB28" i="2"/>
  <c r="I42" i="114"/>
  <c r="J41" i="114"/>
  <c r="K40" i="114" s="1"/>
  <c r="E27" i="88"/>
  <c r="C26" i="88"/>
  <c r="J27" i="88"/>
  <c r="K27" i="88" s="1"/>
  <c r="J40" i="69"/>
  <c r="K39" i="69" s="1"/>
  <c r="I41" i="69"/>
  <c r="K43" i="12"/>
  <c r="E28" i="107"/>
  <c r="C27" i="107"/>
  <c r="BE27" i="2" s="1"/>
  <c r="J28" i="107"/>
  <c r="K28" i="107" s="1"/>
  <c r="C25" i="103"/>
  <c r="E26" i="103"/>
  <c r="J26" i="103"/>
  <c r="K26" i="103" s="1"/>
  <c r="E27" i="33"/>
  <c r="C26" i="33"/>
  <c r="J27" i="33"/>
  <c r="K27" i="33" s="1"/>
  <c r="J41" i="88"/>
  <c r="I42" i="88"/>
  <c r="I45" i="14"/>
  <c r="J44" i="14"/>
  <c r="E25" i="124"/>
  <c r="C24" i="124"/>
  <c r="J25" i="124"/>
  <c r="K25" i="124" s="1"/>
  <c r="J42" i="139"/>
  <c r="I43" i="139"/>
  <c r="K41" i="135"/>
  <c r="K57" i="150"/>
  <c r="E28" i="172"/>
  <c r="C27" i="172"/>
  <c r="J28" i="172"/>
  <c r="K28" i="172" s="1"/>
  <c r="I43" i="113"/>
  <c r="J42" i="113"/>
  <c r="E25" i="86"/>
  <c r="C24" i="86"/>
  <c r="J25" i="86"/>
  <c r="K25" i="86" s="1"/>
  <c r="J40" i="166"/>
  <c r="K39" i="166" s="1"/>
  <c r="I41" i="166"/>
  <c r="C26" i="63"/>
  <c r="E27" i="63"/>
  <c r="J27" i="63"/>
  <c r="K27" i="63" s="1"/>
  <c r="J42" i="115"/>
  <c r="I43" i="115"/>
  <c r="K41" i="66"/>
  <c r="K41" i="132"/>
  <c r="J43" i="132"/>
  <c r="K42" i="132" s="1"/>
  <c r="I44" i="132"/>
  <c r="I46" i="133"/>
  <c r="J45" i="133"/>
  <c r="K44" i="133" s="1"/>
  <c r="C24" i="120"/>
  <c r="E25" i="120"/>
  <c r="J25" i="120"/>
  <c r="K25" i="120" s="1"/>
  <c r="K39" i="50"/>
  <c r="K38" i="69"/>
  <c r="C25" i="129"/>
  <c r="E26" i="129"/>
  <c r="J26" i="129"/>
  <c r="K26" i="129" s="1"/>
  <c r="DS26" i="2"/>
  <c r="K42" i="128"/>
  <c r="K38" i="11"/>
  <c r="E25" i="173"/>
  <c r="C24" i="173"/>
  <c r="J25" i="173"/>
  <c r="K25" i="173" s="1"/>
  <c r="K41" i="16"/>
  <c r="J40" i="147"/>
  <c r="K39" i="147" s="1"/>
  <c r="I41" i="147"/>
  <c r="K38" i="141"/>
  <c r="I41" i="40"/>
  <c r="J40" i="40"/>
  <c r="K39" i="40" s="1"/>
  <c r="C26" i="31"/>
  <c r="E27" i="31"/>
  <c r="CA27" i="2"/>
  <c r="J27" i="31"/>
  <c r="K27" i="31" s="1"/>
  <c r="E28" i="90"/>
  <c r="C27" i="90"/>
  <c r="J28" i="90"/>
  <c r="K28" i="90" s="1"/>
  <c r="I42" i="169"/>
  <c r="J41" i="169"/>
  <c r="K40" i="169" s="1"/>
  <c r="I44" i="128"/>
  <c r="J43" i="128"/>
  <c r="C26" i="96"/>
  <c r="E27" i="96"/>
  <c r="J27" i="96"/>
  <c r="K27" i="96" s="1"/>
  <c r="I43" i="23"/>
  <c r="J42" i="23"/>
  <c r="I44" i="156"/>
  <c r="J43" i="156"/>
  <c r="E27" i="23"/>
  <c r="C26" i="23"/>
  <c r="J27" i="23"/>
  <c r="K27" i="23" s="1"/>
  <c r="E27" i="48"/>
  <c r="C26" i="48"/>
  <c r="J27" i="48"/>
  <c r="K27" i="48" s="1"/>
  <c r="I41" i="90"/>
  <c r="J40" i="90"/>
  <c r="K39" i="90" s="1"/>
  <c r="AI28" i="1"/>
  <c r="E25" i="84"/>
  <c r="C24" i="84"/>
  <c r="J25" i="84"/>
  <c r="K25" i="84" s="1"/>
  <c r="I41" i="171"/>
  <c r="J40" i="171"/>
  <c r="K39" i="171" s="1"/>
  <c r="C27" i="121"/>
  <c r="E28" i="121"/>
  <c r="J28" i="121"/>
  <c r="K28" i="121" s="1"/>
  <c r="Y29" i="1"/>
  <c r="K40" i="92"/>
  <c r="C23" i="111"/>
  <c r="E24" i="111"/>
  <c r="J24" i="111"/>
  <c r="K24" i="111" s="1"/>
  <c r="I43" i="41"/>
  <c r="J42" i="41"/>
  <c r="HY28" i="2"/>
  <c r="E27" i="38"/>
  <c r="C26" i="38"/>
  <c r="J27" i="38"/>
  <c r="K27" i="38" s="1"/>
  <c r="J40" i="105"/>
  <c r="K39" i="105" s="1"/>
  <c r="I41" i="105"/>
  <c r="C26" i="21"/>
  <c r="E27" i="21"/>
  <c r="J27" i="21"/>
  <c r="K27" i="21" s="1"/>
  <c r="I41" i="58"/>
  <c r="J40" i="58"/>
  <c r="K39" i="58" s="1"/>
  <c r="K41" i="23"/>
  <c r="K42" i="156"/>
  <c r="I44" i="78"/>
  <c r="J43" i="78"/>
  <c r="K42" i="78" s="1"/>
  <c r="E27" i="15"/>
  <c r="C26" i="15"/>
  <c r="J27" i="15"/>
  <c r="K27" i="15" s="1"/>
  <c r="E27" i="108"/>
  <c r="C26" i="108"/>
  <c r="J27" i="108"/>
  <c r="K27" i="108" s="1"/>
  <c r="E26" i="65"/>
  <c r="C25" i="65"/>
  <c r="J26" i="65"/>
  <c r="K26" i="65" s="1"/>
  <c r="C25" i="137"/>
  <c r="E26" i="137"/>
  <c r="J26" i="137"/>
  <c r="K26" i="137" s="1"/>
  <c r="C27" i="158"/>
  <c r="E28" i="158"/>
  <c r="J28" i="158"/>
  <c r="K28" i="158" s="1"/>
  <c r="C27" i="136"/>
  <c r="E28" i="136"/>
  <c r="J28" i="136"/>
  <c r="K28" i="136" s="1"/>
  <c r="E27" i="164"/>
  <c r="C26" i="164"/>
  <c r="J27" i="164"/>
  <c r="K27" i="164" s="1"/>
  <c r="I43" i="60"/>
  <c r="J42" i="60"/>
  <c r="K41" i="60" s="1"/>
  <c r="C24" i="171"/>
  <c r="E25" i="171"/>
  <c r="J25" i="171"/>
  <c r="K25" i="171" s="1"/>
  <c r="J42" i="68"/>
  <c r="I43" i="68"/>
  <c r="C26" i="162"/>
  <c r="E27" i="162"/>
  <c r="J27" i="162"/>
  <c r="K27" i="162" s="1"/>
  <c r="E27" i="153"/>
  <c r="C26" i="153"/>
  <c r="J27" i="153"/>
  <c r="K27" i="153" s="1"/>
  <c r="K39" i="116"/>
  <c r="K39" i="76"/>
  <c r="K42" i="42"/>
  <c r="C26" i="169"/>
  <c r="E27" i="169"/>
  <c r="HY27" i="2"/>
  <c r="J27" i="169"/>
  <c r="K27" i="169" s="1"/>
  <c r="I46" i="15"/>
  <c r="J45" i="15"/>
  <c r="K41" i="13"/>
  <c r="K39" i="102"/>
  <c r="K40" i="63"/>
  <c r="E28" i="100"/>
  <c r="C27" i="100"/>
  <c r="J28" i="100"/>
  <c r="K28" i="100" s="1"/>
  <c r="K41" i="101"/>
  <c r="J41" i="97"/>
  <c r="K40" i="97" s="1"/>
  <c r="I42" i="97"/>
  <c r="I42" i="108"/>
  <c r="J41" i="108"/>
  <c r="K40" i="108" s="1"/>
  <c r="IU27" i="2"/>
  <c r="C26" i="156" l="1"/>
  <c r="E27" i="156"/>
  <c r="J27" i="156"/>
  <c r="K27" i="156" s="1"/>
  <c r="E26" i="149"/>
  <c r="J26" i="149"/>
  <c r="K26" i="149" s="1"/>
  <c r="C25" i="149"/>
  <c r="J27" i="130"/>
  <c r="K27" i="130" s="1"/>
  <c r="C26" i="130"/>
  <c r="E27" i="130"/>
  <c r="C21" i="98"/>
  <c r="J22" i="98"/>
  <c r="K22" i="98" s="1"/>
  <c r="E22" i="98"/>
  <c r="C26" i="74"/>
  <c r="E27" i="74"/>
  <c r="J27" i="74"/>
  <c r="K27" i="74" s="1"/>
  <c r="E26" i="61"/>
  <c r="C25" i="61"/>
  <c r="J26" i="61"/>
  <c r="K26" i="61" s="1"/>
  <c r="J26" i="59"/>
  <c r="K26" i="59" s="1"/>
  <c r="E26" i="59"/>
  <c r="C25" i="59"/>
  <c r="AI27" i="2"/>
  <c r="E27" i="150"/>
  <c r="J27" i="150"/>
  <c r="K27" i="150" s="1"/>
  <c r="C26" i="150"/>
  <c r="AJ27" i="2"/>
  <c r="BF27" i="2"/>
  <c r="I44" i="113"/>
  <c r="J43" i="113"/>
  <c r="C24" i="167"/>
  <c r="E25" i="167"/>
  <c r="J25" i="167"/>
  <c r="K25" i="167" s="1"/>
  <c r="I43" i="119"/>
  <c r="J42" i="119"/>
  <c r="C26" i="152"/>
  <c r="M26" i="2" s="1"/>
  <c r="E27" i="152"/>
  <c r="J27" i="152"/>
  <c r="K27" i="152" s="1"/>
  <c r="E27" i="49"/>
  <c r="C26" i="49"/>
  <c r="J27" i="49"/>
  <c r="K27" i="49" s="1"/>
  <c r="K41" i="116"/>
  <c r="K44" i="59"/>
  <c r="I42" i="130"/>
  <c r="J41" i="130"/>
  <c r="HP66" i="2"/>
  <c r="BR66" i="2"/>
  <c r="FX66" i="2"/>
  <c r="BG66" i="2"/>
  <c r="FM66" i="2"/>
  <c r="FB66" i="2"/>
  <c r="IW66" i="2"/>
  <c r="DU66" i="2"/>
  <c r="CC66" i="2"/>
  <c r="EF66" i="2"/>
  <c r="GT66" i="2"/>
  <c r="CN66" i="2"/>
  <c r="HE66" i="2"/>
  <c r="AV66" i="2"/>
  <c r="AK66" i="2"/>
  <c r="IL66" i="2"/>
  <c r="IA66" i="2"/>
  <c r="CY66" i="2"/>
  <c r="O66" i="2"/>
  <c r="DJ66" i="2"/>
  <c r="EQ66" i="2"/>
  <c r="Z66" i="2"/>
  <c r="E25" i="112"/>
  <c r="C24" i="112"/>
  <c r="J25" i="112"/>
  <c r="K25" i="112" s="1"/>
  <c r="I44" i="118"/>
  <c r="J43" i="118"/>
  <c r="K42" i="118" s="1"/>
  <c r="E26" i="125"/>
  <c r="C25" i="125"/>
  <c r="J26" i="125"/>
  <c r="K26" i="125" s="1"/>
  <c r="E20" i="82"/>
  <c r="C19" i="82"/>
  <c r="J20" i="82"/>
  <c r="K20" i="82" s="1"/>
  <c r="I46" i="79"/>
  <c r="J45" i="79"/>
  <c r="DT26" i="2"/>
  <c r="E25" i="128"/>
  <c r="C24" i="128"/>
  <c r="J25" i="128"/>
  <c r="K25" i="128" s="1"/>
  <c r="E25" i="81"/>
  <c r="C24" i="81"/>
  <c r="J25" i="81"/>
  <c r="K25" i="81" s="1"/>
  <c r="HO27" i="2"/>
  <c r="I43" i="116"/>
  <c r="J42" i="116"/>
  <c r="J42" i="170"/>
  <c r="K41" i="170" s="1"/>
  <c r="I43" i="170"/>
  <c r="E25" i="144"/>
  <c r="C24" i="144"/>
  <c r="J25" i="144"/>
  <c r="K25" i="144" s="1"/>
  <c r="K40" i="130"/>
  <c r="AK66" i="1"/>
  <c r="D66" i="1"/>
  <c r="O66" i="1"/>
  <c r="BR66" i="1"/>
  <c r="Z66" i="1"/>
  <c r="CC66" i="1"/>
  <c r="AV66" i="1"/>
  <c r="C25" i="78"/>
  <c r="E26" i="78"/>
  <c r="J26" i="78"/>
  <c r="K26" i="78" s="1"/>
  <c r="I43" i="50"/>
  <c r="J42" i="50"/>
  <c r="K41" i="50" s="1"/>
  <c r="I45" i="89"/>
  <c r="J44" i="89"/>
  <c r="C24" i="118"/>
  <c r="E25" i="118"/>
  <c r="J25" i="118"/>
  <c r="K25" i="118" s="1"/>
  <c r="I44" i="41"/>
  <c r="J43" i="41"/>
  <c r="K42" i="41" s="1"/>
  <c r="C26" i="172"/>
  <c r="E27" i="172"/>
  <c r="J27" i="172"/>
  <c r="K27" i="172" s="1"/>
  <c r="I43" i="114"/>
  <c r="J42" i="114"/>
  <c r="K40" i="119"/>
  <c r="E25" i="66"/>
  <c r="C24" i="66"/>
  <c r="J25" i="66"/>
  <c r="K25" i="66" s="1"/>
  <c r="I44" i="124"/>
  <c r="J43" i="124"/>
  <c r="K42" i="124" s="1"/>
  <c r="I44" i="37"/>
  <c r="J43" i="37"/>
  <c r="K42" i="37" s="1"/>
  <c r="J42" i="39"/>
  <c r="I43" i="39"/>
  <c r="GH66" i="2"/>
  <c r="GI66" i="2"/>
  <c r="J42" i="4"/>
  <c r="I43" i="4"/>
  <c r="C24" i="110"/>
  <c r="E25" i="110"/>
  <c r="J25" i="110"/>
  <c r="K25" i="110" s="1"/>
  <c r="K43" i="89"/>
  <c r="J43" i="44"/>
  <c r="I44" i="44"/>
  <c r="C24" i="9"/>
  <c r="E25" i="9"/>
  <c r="J25" i="9"/>
  <c r="K25" i="9" s="1"/>
  <c r="C26" i="170"/>
  <c r="E27" i="170"/>
  <c r="J27" i="170"/>
  <c r="K27" i="170" s="1"/>
  <c r="E27" i="158"/>
  <c r="C26" i="158"/>
  <c r="J27" i="158"/>
  <c r="K27" i="158" s="1"/>
  <c r="C25" i="96"/>
  <c r="E26" i="96"/>
  <c r="J26" i="96"/>
  <c r="K26" i="96" s="1"/>
  <c r="FL28" i="2"/>
  <c r="J42" i="85"/>
  <c r="I43" i="85"/>
  <c r="I45" i="117"/>
  <c r="J44" i="117"/>
  <c r="J42" i="103"/>
  <c r="K41" i="103" s="1"/>
  <c r="I43" i="103"/>
  <c r="I42" i="38"/>
  <c r="J41" i="38"/>
  <c r="C21" i="30"/>
  <c r="E22" i="30"/>
  <c r="J22" i="30"/>
  <c r="K22" i="30" s="1"/>
  <c r="BG66" i="1"/>
  <c r="I46" i="24"/>
  <c r="E26" i="35"/>
  <c r="C25" i="35"/>
  <c r="J26" i="35"/>
  <c r="K26" i="35" s="1"/>
  <c r="J41" i="35"/>
  <c r="I42" i="35"/>
  <c r="FW28" i="2"/>
  <c r="I45" i="164"/>
  <c r="J44" i="164"/>
  <c r="K43" i="164" s="1"/>
  <c r="K40" i="38"/>
  <c r="C64" i="24"/>
  <c r="E65" i="24"/>
  <c r="GG65" i="2"/>
  <c r="BE65" i="1"/>
  <c r="C65" i="2"/>
  <c r="C65" i="1"/>
  <c r="I42" i="109"/>
  <c r="J41" i="109"/>
  <c r="E25" i="60"/>
  <c r="C24" i="60"/>
  <c r="J25" i="60"/>
  <c r="K25" i="60" s="1"/>
  <c r="I45" i="135"/>
  <c r="J44" i="135"/>
  <c r="I44" i="129"/>
  <c r="J43" i="129"/>
  <c r="K42" i="129" s="1"/>
  <c r="I44" i="10"/>
  <c r="J43" i="10"/>
  <c r="K42" i="10" s="1"/>
  <c r="J41" i="100"/>
  <c r="K40" i="100" s="1"/>
  <c r="I42" i="100"/>
  <c r="C25" i="89"/>
  <c r="E26" i="89"/>
  <c r="J26" i="89"/>
  <c r="K26" i="89" s="1"/>
  <c r="HZ27" i="2"/>
  <c r="E23" i="111"/>
  <c r="C22" i="111"/>
  <c r="J23" i="111"/>
  <c r="K23" i="111" s="1"/>
  <c r="K40" i="35"/>
  <c r="C26" i="46"/>
  <c r="E27" i="46"/>
  <c r="J27" i="46"/>
  <c r="K27" i="46" s="1"/>
  <c r="E24" i="73"/>
  <c r="C23" i="73"/>
  <c r="J24" i="73"/>
  <c r="K24" i="73" s="1"/>
  <c r="CX27" i="2"/>
  <c r="E25" i="83"/>
  <c r="C24" i="83"/>
  <c r="J25" i="83"/>
  <c r="K25" i="83" s="1"/>
  <c r="I43" i="153"/>
  <c r="J42" i="153"/>
  <c r="E25" i="25"/>
  <c r="C24" i="25"/>
  <c r="J25" i="25"/>
  <c r="K25" i="25" s="1"/>
  <c r="I44" i="25"/>
  <c r="J43" i="25"/>
  <c r="K42" i="25" s="1"/>
  <c r="E25" i="137"/>
  <c r="C24" i="137"/>
  <c r="J25" i="137"/>
  <c r="K25" i="137" s="1"/>
  <c r="J44" i="128"/>
  <c r="K43" i="128" s="1"/>
  <c r="I45" i="128"/>
  <c r="E26" i="20"/>
  <c r="C25" i="20"/>
  <c r="J26" i="20"/>
  <c r="K26" i="20" s="1"/>
  <c r="I43" i="19"/>
  <c r="J42" i="19"/>
  <c r="I42" i="141"/>
  <c r="J41" i="141"/>
  <c r="K40" i="141" s="1"/>
  <c r="C23" i="39"/>
  <c r="E24" i="39"/>
  <c r="J24" i="39"/>
  <c r="K24" i="39" s="1"/>
  <c r="K40" i="17"/>
  <c r="E27" i="42"/>
  <c r="C26" i="42"/>
  <c r="J27" i="42"/>
  <c r="K27" i="42" s="1"/>
  <c r="FV27" i="2"/>
  <c r="C24" i="116"/>
  <c r="E25" i="116"/>
  <c r="J25" i="116"/>
  <c r="K25" i="116" s="1"/>
  <c r="C23" i="115"/>
  <c r="E24" i="115"/>
  <c r="J24" i="115"/>
  <c r="K24" i="115" s="1"/>
  <c r="I42" i="148"/>
  <c r="J41" i="148"/>
  <c r="K40" i="148" s="1"/>
  <c r="J42" i="33"/>
  <c r="K41" i="33" s="1"/>
  <c r="I43" i="33"/>
  <c r="C24" i="129"/>
  <c r="E25" i="129"/>
  <c r="J25" i="129"/>
  <c r="K25" i="129" s="1"/>
  <c r="DS25" i="2"/>
  <c r="E26" i="169"/>
  <c r="C25" i="169"/>
  <c r="J26" i="169"/>
  <c r="K26" i="169" s="1"/>
  <c r="I44" i="139"/>
  <c r="J43" i="139"/>
  <c r="K42" i="139" s="1"/>
  <c r="I44" i="66"/>
  <c r="J43" i="66"/>
  <c r="K41" i="19"/>
  <c r="C23" i="127"/>
  <c r="E24" i="127"/>
  <c r="J24" i="127"/>
  <c r="K24" i="127" s="1"/>
  <c r="C21" i="157"/>
  <c r="E22" i="157"/>
  <c r="J22" i="157"/>
  <c r="K22" i="157" s="1"/>
  <c r="C21" i="87"/>
  <c r="E22" i="87"/>
  <c r="J22" i="87"/>
  <c r="K22" i="87" s="1"/>
  <c r="J41" i="17"/>
  <c r="I42" i="17"/>
  <c r="E25" i="67"/>
  <c r="C24" i="67"/>
  <c r="J25" i="67"/>
  <c r="K25" i="67" s="1"/>
  <c r="I61" i="150"/>
  <c r="J60" i="150"/>
  <c r="C21" i="32"/>
  <c r="E22" i="32"/>
  <c r="J22" i="32"/>
  <c r="K22" i="32" s="1"/>
  <c r="K41" i="44"/>
  <c r="C24" i="54"/>
  <c r="E25" i="54"/>
  <c r="J25" i="54"/>
  <c r="K25" i="54" s="1"/>
  <c r="E26" i="76"/>
  <c r="C25" i="76"/>
  <c r="J26" i="76"/>
  <c r="K26" i="76" s="1"/>
  <c r="E26" i="151"/>
  <c r="C25" i="151"/>
  <c r="J26" i="151"/>
  <c r="K26" i="151" s="1"/>
  <c r="K43" i="48"/>
  <c r="K59" i="150"/>
  <c r="I42" i="34"/>
  <c r="J41" i="34"/>
  <c r="K40" i="34" s="1"/>
  <c r="I45" i="16"/>
  <c r="J44" i="16"/>
  <c r="K43" i="16" s="1"/>
  <c r="I43" i="70"/>
  <c r="J42" i="70"/>
  <c r="K41" i="70" s="1"/>
  <c r="I43" i="123"/>
  <c r="J42" i="123"/>
  <c r="K41" i="123" s="1"/>
  <c r="J46" i="46"/>
  <c r="K45" i="46" s="1"/>
  <c r="I47" i="46"/>
  <c r="E23" i="34"/>
  <c r="C22" i="34"/>
  <c r="J23" i="34"/>
  <c r="K23" i="34" s="1"/>
  <c r="E24" i="120"/>
  <c r="C23" i="120"/>
  <c r="J24" i="120"/>
  <c r="K24" i="120" s="1"/>
  <c r="E24" i="62"/>
  <c r="C23" i="62"/>
  <c r="J24" i="62"/>
  <c r="K24" i="62" s="1"/>
  <c r="C24" i="113"/>
  <c r="E25" i="113"/>
  <c r="J25" i="113"/>
  <c r="K25" i="113" s="1"/>
  <c r="E23" i="102"/>
  <c r="C22" i="102"/>
  <c r="J23" i="102"/>
  <c r="K23" i="102" s="1"/>
  <c r="I45" i="48"/>
  <c r="J44" i="48"/>
  <c r="I43" i="3"/>
  <c r="J42" i="3"/>
  <c r="I42" i="143"/>
  <c r="J41" i="143"/>
  <c r="K40" i="143" s="1"/>
  <c r="C26" i="91"/>
  <c r="E27" i="91"/>
  <c r="J27" i="91"/>
  <c r="K27" i="91" s="1"/>
  <c r="E24" i="40"/>
  <c r="C23" i="40"/>
  <c r="J24" i="40"/>
  <c r="K24" i="40" s="1"/>
  <c r="I45" i="127"/>
  <c r="J44" i="127"/>
  <c r="K43" i="127" s="1"/>
  <c r="E27" i="90"/>
  <c r="C26" i="90"/>
  <c r="J27" i="90"/>
  <c r="K27" i="90" s="1"/>
  <c r="C23" i="124"/>
  <c r="E24" i="124"/>
  <c r="J24" i="124"/>
  <c r="K24" i="124" s="1"/>
  <c r="E25" i="94"/>
  <c r="C24" i="94"/>
  <c r="J25" i="94"/>
  <c r="K25" i="94" s="1"/>
  <c r="I42" i="65"/>
  <c r="J41" i="65"/>
  <c r="E27" i="3"/>
  <c r="C26" i="3"/>
  <c r="J27" i="3"/>
  <c r="K27" i="3" s="1"/>
  <c r="J42" i="49"/>
  <c r="K41" i="49" s="1"/>
  <c r="I43" i="49"/>
  <c r="K40" i="125"/>
  <c r="C24" i="18"/>
  <c r="E25" i="18"/>
  <c r="J25" i="18"/>
  <c r="K25" i="18" s="1"/>
  <c r="I42" i="163"/>
  <c r="J41" i="163"/>
  <c r="K40" i="163" s="1"/>
  <c r="K43" i="59"/>
  <c r="K41" i="3"/>
  <c r="I43" i="31"/>
  <c r="J42" i="31"/>
  <c r="K41" i="31" s="1"/>
  <c r="I45" i="62"/>
  <c r="J44" i="62"/>
  <c r="J41" i="8"/>
  <c r="I42" i="8"/>
  <c r="C25" i="77"/>
  <c r="E26" i="77"/>
  <c r="J26" i="77"/>
  <c r="K26" i="77" s="1"/>
  <c r="I43" i="52"/>
  <c r="J42" i="52"/>
  <c r="K41" i="52" s="1"/>
  <c r="GS28" i="2"/>
  <c r="E26" i="108"/>
  <c r="C25" i="108"/>
  <c r="J26" i="108"/>
  <c r="K26" i="108" s="1"/>
  <c r="I47" i="133"/>
  <c r="J46" i="133"/>
  <c r="K45" i="133" s="1"/>
  <c r="E26" i="44"/>
  <c r="C25" i="44"/>
  <c r="J26" i="44"/>
  <c r="K26" i="44" s="1"/>
  <c r="I42" i="125"/>
  <c r="J41" i="125"/>
  <c r="C22" i="165"/>
  <c r="E23" i="165"/>
  <c r="J23" i="165"/>
  <c r="K23" i="165" s="1"/>
  <c r="EE28" i="2"/>
  <c r="K58" i="150"/>
  <c r="K39" i="130"/>
  <c r="I44" i="99"/>
  <c r="J43" i="99"/>
  <c r="K42" i="99" s="1"/>
  <c r="E27" i="93"/>
  <c r="C26" i="93"/>
  <c r="J27" i="93"/>
  <c r="K27" i="93" s="1"/>
  <c r="K39" i="34"/>
  <c r="E25" i="68"/>
  <c r="C24" i="68"/>
  <c r="J25" i="68"/>
  <c r="K25" i="68" s="1"/>
  <c r="J41" i="81"/>
  <c r="I42" i="81"/>
  <c r="E24" i="47"/>
  <c r="C23" i="47"/>
  <c r="J24" i="47"/>
  <c r="K24" i="47" s="1"/>
  <c r="C26" i="109"/>
  <c r="E27" i="109"/>
  <c r="ED27" i="2"/>
  <c r="J27" i="109"/>
  <c r="K27" i="109" s="1"/>
  <c r="E26" i="140"/>
  <c r="C25" i="140"/>
  <c r="J26" i="140"/>
  <c r="K26" i="140" s="1"/>
  <c r="J45" i="27"/>
  <c r="I46" i="27"/>
  <c r="C23" i="141"/>
  <c r="E24" i="141"/>
  <c r="J24" i="141"/>
  <c r="K24" i="141" s="1"/>
  <c r="K43" i="77"/>
  <c r="C23" i="85"/>
  <c r="E24" i="85"/>
  <c r="J24" i="85"/>
  <c r="K24" i="85" s="1"/>
  <c r="E26" i="13"/>
  <c r="C25" i="13"/>
  <c r="J26" i="13"/>
  <c r="K26" i="13" s="1"/>
  <c r="I45" i="152"/>
  <c r="J44" i="152"/>
  <c r="K43" i="152" s="1"/>
  <c r="C25" i="36"/>
  <c r="E26" i="36"/>
  <c r="J26" i="36"/>
  <c r="K26" i="36" s="1"/>
  <c r="I47" i="75"/>
  <c r="J46" i="75"/>
  <c r="I46" i="71"/>
  <c r="J45" i="71"/>
  <c r="K44" i="71" s="1"/>
  <c r="J41" i="45"/>
  <c r="K40" i="45" s="1"/>
  <c r="I42" i="45"/>
  <c r="HO28" i="2"/>
  <c r="J42" i="154"/>
  <c r="I43" i="154"/>
  <c r="K42" i="77"/>
  <c r="I45" i="77"/>
  <c r="J44" i="77"/>
  <c r="BQ28" i="2"/>
  <c r="K43" i="13"/>
  <c r="J42" i="168"/>
  <c r="K41" i="168" s="1"/>
  <c r="I43" i="168"/>
  <c r="I45" i="107"/>
  <c r="J44" i="107"/>
  <c r="K43" i="107" s="1"/>
  <c r="K40" i="153"/>
  <c r="K45" i="75"/>
  <c r="E27" i="14"/>
  <c r="C26" i="14"/>
  <c r="J27" i="14"/>
  <c r="K27" i="14" s="1"/>
  <c r="CB27" i="2"/>
  <c r="J42" i="88"/>
  <c r="K41" i="88" s="1"/>
  <c r="I43" i="88"/>
  <c r="I42" i="140"/>
  <c r="J41" i="140"/>
  <c r="K40" i="140" s="1"/>
  <c r="E25" i="161"/>
  <c r="C24" i="161"/>
  <c r="J25" i="161"/>
  <c r="K25" i="161" s="1"/>
  <c r="DI27" i="2"/>
  <c r="J44" i="13"/>
  <c r="I45" i="13"/>
  <c r="K40" i="50"/>
  <c r="K42" i="135"/>
  <c r="E26" i="101"/>
  <c r="C25" i="101"/>
  <c r="J26" i="101"/>
  <c r="K26" i="101" s="1"/>
  <c r="I43" i="54"/>
  <c r="J42" i="54"/>
  <c r="J41" i="43"/>
  <c r="K40" i="43" s="1"/>
  <c r="I42" i="43"/>
  <c r="FA27" i="2"/>
  <c r="J43" i="157"/>
  <c r="K42" i="157" s="1"/>
  <c r="I44" i="157"/>
  <c r="I44" i="18"/>
  <c r="J43" i="18"/>
  <c r="E27" i="52"/>
  <c r="C26" i="52"/>
  <c r="BP27" i="2"/>
  <c r="J27" i="52"/>
  <c r="K27" i="52" s="1"/>
  <c r="J42" i="131"/>
  <c r="I43" i="131"/>
  <c r="I47" i="145"/>
  <c r="J46" i="145"/>
  <c r="K45" i="145" s="1"/>
  <c r="C24" i="65"/>
  <c r="E25" i="65"/>
  <c r="J25" i="65"/>
  <c r="K25" i="65" s="1"/>
  <c r="C26" i="121"/>
  <c r="E27" i="121"/>
  <c r="J27" i="121"/>
  <c r="K27" i="121" s="1"/>
  <c r="J44" i="26"/>
  <c r="I45" i="26"/>
  <c r="C25" i="15"/>
  <c r="E26" i="15"/>
  <c r="J26" i="15"/>
  <c r="K26" i="15" s="1"/>
  <c r="I42" i="171"/>
  <c r="J41" i="171"/>
  <c r="IK27" i="2"/>
  <c r="E27" i="27"/>
  <c r="C26" i="27"/>
  <c r="J27" i="27"/>
  <c r="K27" i="27" s="1"/>
  <c r="K43" i="71"/>
  <c r="J43" i="93"/>
  <c r="I44" i="93"/>
  <c r="I44" i="165"/>
  <c r="J43" i="165"/>
  <c r="K42" i="165" s="1"/>
  <c r="E26" i="162"/>
  <c r="C25" i="162"/>
  <c r="J26" i="162"/>
  <c r="K26" i="162" s="1"/>
  <c r="E24" i="84"/>
  <c r="C23" i="84"/>
  <c r="J24" i="84"/>
  <c r="K24" i="84" s="1"/>
  <c r="C25" i="31"/>
  <c r="E26" i="31"/>
  <c r="J26" i="31"/>
  <c r="K26" i="31" s="1"/>
  <c r="I44" i="115"/>
  <c r="J43" i="115"/>
  <c r="K42" i="115" s="1"/>
  <c r="E26" i="134"/>
  <c r="C25" i="134"/>
  <c r="EZ26" i="2"/>
  <c r="J26" i="134"/>
  <c r="K26" i="134" s="1"/>
  <c r="I45" i="136"/>
  <c r="J44" i="136"/>
  <c r="E25" i="57"/>
  <c r="C24" i="57"/>
  <c r="J25" i="57"/>
  <c r="K25" i="57" s="1"/>
  <c r="C25" i="133"/>
  <c r="E26" i="133"/>
  <c r="J26" i="133"/>
  <c r="K26" i="133" s="1"/>
  <c r="DH26" i="2"/>
  <c r="K41" i="165"/>
  <c r="I45" i="29"/>
  <c r="J44" i="29"/>
  <c r="K40" i="39"/>
  <c r="E26" i="70"/>
  <c r="C25" i="70"/>
  <c r="J26" i="70"/>
  <c r="K26" i="70" s="1"/>
  <c r="I43" i="126"/>
  <c r="J42" i="126"/>
  <c r="C22" i="43"/>
  <c r="E23" i="43"/>
  <c r="J23" i="43"/>
  <c r="K23" i="43" s="1"/>
  <c r="E24" i="123"/>
  <c r="C23" i="123"/>
  <c r="J24" i="123"/>
  <c r="K24" i="123" s="1"/>
  <c r="C24" i="11"/>
  <c r="E25" i="11"/>
  <c r="J25" i="11"/>
  <c r="K25" i="11" s="1"/>
  <c r="K43" i="136"/>
  <c r="I44" i="30"/>
  <c r="J43" i="30"/>
  <c r="E24" i="26"/>
  <c r="C23" i="26"/>
  <c r="J24" i="26"/>
  <c r="K24" i="26" s="1"/>
  <c r="K39" i="38"/>
  <c r="J45" i="22"/>
  <c r="I46" i="22"/>
  <c r="K41" i="18"/>
  <c r="E24" i="72"/>
  <c r="C23" i="72"/>
  <c r="J24" i="72"/>
  <c r="K24" i="72" s="1"/>
  <c r="E26" i="95"/>
  <c r="C25" i="95"/>
  <c r="J26" i="95"/>
  <c r="K26" i="95" s="1"/>
  <c r="J41" i="102"/>
  <c r="K40" i="102" s="1"/>
  <c r="I42" i="102"/>
  <c r="K41" i="41"/>
  <c r="I42" i="40"/>
  <c r="J41" i="40"/>
  <c r="C25" i="33"/>
  <c r="E26" i="33"/>
  <c r="J26" i="33"/>
  <c r="K26" i="33" s="1"/>
  <c r="E24" i="37"/>
  <c r="C23" i="37"/>
  <c r="J24" i="37"/>
  <c r="K24" i="37" s="1"/>
  <c r="E26" i="154"/>
  <c r="C25" i="154"/>
  <c r="J26" i="154"/>
  <c r="K26" i="154" s="1"/>
  <c r="IJ26" i="2"/>
  <c r="C24" i="126"/>
  <c r="E25" i="126"/>
  <c r="J25" i="126"/>
  <c r="K25" i="126" s="1"/>
  <c r="E26" i="122"/>
  <c r="C25" i="122"/>
  <c r="J26" i="122"/>
  <c r="K26" i="122" s="1"/>
  <c r="CB28" i="1"/>
  <c r="I45" i="9"/>
  <c r="J44" i="9"/>
  <c r="E25" i="5"/>
  <c r="C24" i="5"/>
  <c r="J25" i="5"/>
  <c r="K25" i="5" s="1"/>
  <c r="I43" i="5"/>
  <c r="J42" i="5"/>
  <c r="K41" i="56"/>
  <c r="K40" i="138"/>
  <c r="I43" i="73"/>
  <c r="J42" i="73"/>
  <c r="I43" i="104"/>
  <c r="J42" i="104"/>
  <c r="I44" i="173"/>
  <c r="J43" i="173"/>
  <c r="K39" i="140"/>
  <c r="CL27" i="2"/>
  <c r="C26" i="56"/>
  <c r="E27" i="56"/>
  <c r="J27" i="56"/>
  <c r="K27" i="56" s="1"/>
  <c r="I44" i="72"/>
  <c r="J43" i="72"/>
  <c r="C23" i="168"/>
  <c r="E24" i="168"/>
  <c r="J24" i="168"/>
  <c r="K24" i="168" s="1"/>
  <c r="I44" i="63"/>
  <c r="J43" i="63"/>
  <c r="E26" i="80"/>
  <c r="C25" i="80"/>
  <c r="J26" i="80"/>
  <c r="K26" i="80" s="1"/>
  <c r="J42" i="56"/>
  <c r="I43" i="56"/>
  <c r="J46" i="134"/>
  <c r="K45" i="134" s="1"/>
  <c r="I47" i="134"/>
  <c r="I42" i="95"/>
  <c r="J41" i="95"/>
  <c r="K40" i="95" s="1"/>
  <c r="E27" i="143"/>
  <c r="C26" i="143"/>
  <c r="J27" i="143"/>
  <c r="K27" i="143" s="1"/>
  <c r="I43" i="57"/>
  <c r="J42" i="57"/>
  <c r="K41" i="57" s="1"/>
  <c r="AJ28" i="1"/>
  <c r="C25" i="117"/>
  <c r="E26" i="117"/>
  <c r="J26" i="117"/>
  <c r="K26" i="117" s="1"/>
  <c r="E27" i="6"/>
  <c r="CA27" i="1"/>
  <c r="C26" i="6"/>
  <c r="K43" i="9"/>
  <c r="K39" i="43"/>
  <c r="E27" i="55"/>
  <c r="C26" i="55"/>
  <c r="J27" i="55"/>
  <c r="K27" i="55" s="1"/>
  <c r="I43" i="162"/>
  <c r="J42" i="162"/>
  <c r="K41" i="162" s="1"/>
  <c r="K40" i="170"/>
  <c r="I43" i="151"/>
  <c r="J42" i="151"/>
  <c r="K41" i="151" s="1"/>
  <c r="I44" i="83"/>
  <c r="J43" i="83"/>
  <c r="E23" i="105"/>
  <c r="C22" i="105"/>
  <c r="J23" i="105"/>
  <c r="K23" i="105" s="1"/>
  <c r="J41" i="36"/>
  <c r="I42" i="36"/>
  <c r="I42" i="160"/>
  <c r="J41" i="160"/>
  <c r="K40" i="160" s="1"/>
  <c r="E25" i="139"/>
  <c r="C24" i="139"/>
  <c r="J25" i="139"/>
  <c r="K25" i="139" s="1"/>
  <c r="J45" i="94"/>
  <c r="I46" i="94"/>
  <c r="J44" i="78"/>
  <c r="I45" i="78"/>
  <c r="Y28" i="2"/>
  <c r="K41" i="84"/>
  <c r="I43" i="161"/>
  <c r="J42" i="161"/>
  <c r="I44" i="158"/>
  <c r="J43" i="158"/>
  <c r="J44" i="51"/>
  <c r="K43" i="51" s="1"/>
  <c r="I45" i="51"/>
  <c r="K41" i="111"/>
  <c r="I42" i="96"/>
  <c r="J41" i="96"/>
  <c r="E24" i="106"/>
  <c r="C23" i="106"/>
  <c r="J24" i="106"/>
  <c r="K24" i="106" s="1"/>
  <c r="I43" i="20"/>
  <c r="J42" i="20"/>
  <c r="J43" i="149"/>
  <c r="I44" i="149"/>
  <c r="K42" i="83"/>
  <c r="K44" i="15"/>
  <c r="K42" i="98"/>
  <c r="IV27" i="2"/>
  <c r="E24" i="171"/>
  <c r="C23" i="171"/>
  <c r="J24" i="171"/>
  <c r="K24" i="171" s="1"/>
  <c r="I43" i="84"/>
  <c r="J42" i="84"/>
  <c r="K42" i="117"/>
  <c r="C24" i="148"/>
  <c r="E25" i="148"/>
  <c r="J25" i="148"/>
  <c r="K25" i="148" s="1"/>
  <c r="I43" i="111"/>
  <c r="J42" i="111"/>
  <c r="C25" i="147"/>
  <c r="E26" i="147"/>
  <c r="J26" i="147"/>
  <c r="K26" i="147" s="1"/>
  <c r="K41" i="80"/>
  <c r="E26" i="145"/>
  <c r="C25" i="145"/>
  <c r="J26" i="145"/>
  <c r="K26" i="145" s="1"/>
  <c r="I43" i="137"/>
  <c r="J42" i="137"/>
  <c r="K41" i="137" s="1"/>
  <c r="E23" i="45"/>
  <c r="C22" i="45"/>
  <c r="J23" i="45"/>
  <c r="K23" i="45" s="1"/>
  <c r="I43" i="21"/>
  <c r="J42" i="21"/>
  <c r="E25" i="17"/>
  <c r="C24" i="17"/>
  <c r="J25" i="17"/>
  <c r="K25" i="17" s="1"/>
  <c r="K40" i="20"/>
  <c r="J46" i="15"/>
  <c r="I47" i="15"/>
  <c r="I43" i="169"/>
  <c r="J42" i="169"/>
  <c r="E26" i="153"/>
  <c r="C25" i="153"/>
  <c r="J26" i="153"/>
  <c r="K26" i="153" s="1"/>
  <c r="J44" i="132"/>
  <c r="I45" i="132"/>
  <c r="K40" i="171"/>
  <c r="J45" i="14"/>
  <c r="K44" i="14" s="1"/>
  <c r="I46" i="14"/>
  <c r="I43" i="86"/>
  <c r="J42" i="86"/>
  <c r="J41" i="58"/>
  <c r="K40" i="58" s="1"/>
  <c r="I42" i="58"/>
  <c r="C24" i="103"/>
  <c r="E25" i="103"/>
  <c r="J25" i="103"/>
  <c r="K25" i="103" s="1"/>
  <c r="E24" i="159"/>
  <c r="C23" i="159"/>
  <c r="J24" i="159"/>
  <c r="K24" i="159" s="1"/>
  <c r="I47" i="12"/>
  <c r="J46" i="12"/>
  <c r="K45" i="12" s="1"/>
  <c r="C24" i="104"/>
  <c r="E25" i="104"/>
  <c r="J25" i="104"/>
  <c r="K25" i="104" s="1"/>
  <c r="C23" i="69"/>
  <c r="E24" i="69"/>
  <c r="J24" i="69"/>
  <c r="K24" i="69" s="1"/>
  <c r="I43" i="80"/>
  <c r="J42" i="80"/>
  <c r="I42" i="47"/>
  <c r="J41" i="47"/>
  <c r="K40" i="47" s="1"/>
  <c r="E26" i="132"/>
  <c r="C25" i="132"/>
  <c r="J26" i="132"/>
  <c r="K26" i="132" s="1"/>
  <c r="K39" i="110"/>
  <c r="K41" i="54"/>
  <c r="E27" i="12"/>
  <c r="C26" i="12"/>
  <c r="X27" i="2"/>
  <c r="M27" i="1"/>
  <c r="J27" i="12"/>
  <c r="K27" i="12" s="1"/>
  <c r="I45" i="101"/>
  <c r="J44" i="101"/>
  <c r="C24" i="135"/>
  <c r="E25" i="135"/>
  <c r="J25" i="135"/>
  <c r="K25" i="135" s="1"/>
  <c r="I42" i="64"/>
  <c r="J41" i="64"/>
  <c r="C21" i="166"/>
  <c r="E22" i="166"/>
  <c r="J22" i="166"/>
  <c r="K22" i="166" s="1"/>
  <c r="C25" i="142"/>
  <c r="E26" i="142"/>
  <c r="J26" i="142"/>
  <c r="K26" i="142" s="1"/>
  <c r="K40" i="5"/>
  <c r="I42" i="91"/>
  <c r="J41" i="91"/>
  <c r="I42" i="110"/>
  <c r="J41" i="110"/>
  <c r="K40" i="110" s="1"/>
  <c r="K40" i="11"/>
  <c r="K40" i="131"/>
  <c r="K40" i="166"/>
  <c r="N28" i="2"/>
  <c r="K41" i="87"/>
  <c r="K40" i="87"/>
  <c r="AU28" i="1"/>
  <c r="J43" i="28"/>
  <c r="K42" i="28" s="1"/>
  <c r="I44" i="28"/>
  <c r="K40" i="111"/>
  <c r="C24" i="64"/>
  <c r="E25" i="64"/>
  <c r="J25" i="64"/>
  <c r="K25" i="64" s="1"/>
  <c r="J41" i="11"/>
  <c r="I42" i="11"/>
  <c r="HD28" i="2"/>
  <c r="I45" i="142"/>
  <c r="J44" i="142"/>
  <c r="K43" i="142" s="1"/>
  <c r="I43" i="144"/>
  <c r="J42" i="144"/>
  <c r="K41" i="144" s="1"/>
  <c r="K43" i="132"/>
  <c r="I44" i="68"/>
  <c r="J43" i="68"/>
  <c r="K41" i="161"/>
  <c r="C25" i="164"/>
  <c r="E26" i="164"/>
  <c r="J26" i="164"/>
  <c r="K26" i="164" s="1"/>
  <c r="J41" i="105"/>
  <c r="K40" i="105" s="1"/>
  <c r="I42" i="105"/>
  <c r="E26" i="23"/>
  <c r="C25" i="23"/>
  <c r="J26" i="23"/>
  <c r="K26" i="23" s="1"/>
  <c r="J42" i="87"/>
  <c r="I43" i="87"/>
  <c r="E27" i="7"/>
  <c r="C26" i="7"/>
  <c r="AT27" i="1"/>
  <c r="J27" i="7"/>
  <c r="K27" i="7" s="1"/>
  <c r="I46" i="32"/>
  <c r="J45" i="32"/>
  <c r="K44" i="32" s="1"/>
  <c r="J42" i="155"/>
  <c r="K41" i="155" s="1"/>
  <c r="I43" i="155"/>
  <c r="C22" i="160"/>
  <c r="E23" i="160"/>
  <c r="J23" i="160"/>
  <c r="K23" i="160" s="1"/>
  <c r="C26" i="174"/>
  <c r="HY26" i="2" s="1"/>
  <c r="E27" i="174"/>
  <c r="J27" i="174"/>
  <c r="K27" i="174" s="1"/>
  <c r="J45" i="82"/>
  <c r="K44" i="82" s="1"/>
  <c r="I46" i="82"/>
  <c r="J46" i="61"/>
  <c r="K45" i="61" s="1"/>
  <c r="I47" i="61"/>
  <c r="C24" i="16"/>
  <c r="E25" i="16"/>
  <c r="J25" i="16"/>
  <c r="K25" i="16" s="1"/>
  <c r="BQ28" i="1"/>
  <c r="N27" i="2"/>
  <c r="J42" i="97"/>
  <c r="K41" i="97" s="1"/>
  <c r="I43" i="97"/>
  <c r="E24" i="173"/>
  <c r="C23" i="173"/>
  <c r="J24" i="173"/>
  <c r="K24" i="173" s="1"/>
  <c r="E24" i="86"/>
  <c r="C23" i="86"/>
  <c r="J24" i="86"/>
  <c r="K24" i="86" s="1"/>
  <c r="I42" i="69"/>
  <c r="J41" i="69"/>
  <c r="EO27" i="2"/>
  <c r="C25" i="114"/>
  <c r="E26" i="114"/>
  <c r="J26" i="114"/>
  <c r="K26" i="114" s="1"/>
  <c r="I43" i="76"/>
  <c r="J42" i="76"/>
  <c r="K43" i="82"/>
  <c r="C26" i="58"/>
  <c r="CA26" i="2" s="1"/>
  <c r="E27" i="58"/>
  <c r="J27" i="58"/>
  <c r="K27" i="58" s="1"/>
  <c r="C22" i="131"/>
  <c r="E23" i="131"/>
  <c r="J23" i="131"/>
  <c r="K23" i="131" s="1"/>
  <c r="E26" i="71"/>
  <c r="C25" i="71"/>
  <c r="J26" i="71"/>
  <c r="K26" i="71" s="1"/>
  <c r="E27" i="8"/>
  <c r="C26" i="8"/>
  <c r="HC27" i="2"/>
  <c r="BP27" i="1"/>
  <c r="J27" i="8"/>
  <c r="K27" i="8" s="1"/>
  <c r="I47" i="7"/>
  <c r="J46" i="7"/>
  <c r="K45" i="7" s="1"/>
  <c r="E25" i="99"/>
  <c r="C24" i="99"/>
  <c r="J25" i="99"/>
  <c r="K25" i="99" s="1"/>
  <c r="C26" i="53"/>
  <c r="E27" i="53"/>
  <c r="J27" i="53"/>
  <c r="K27" i="53" s="1"/>
  <c r="I42" i="147"/>
  <c r="J41" i="147"/>
  <c r="K40" i="147" s="1"/>
  <c r="C25" i="63"/>
  <c r="E26" i="63"/>
  <c r="J26" i="63"/>
  <c r="K26" i="63" s="1"/>
  <c r="K41" i="86"/>
  <c r="K41" i="68"/>
  <c r="K40" i="69"/>
  <c r="E25" i="19"/>
  <c r="C24" i="19"/>
  <c r="J25" i="19"/>
  <c r="K25" i="19" s="1"/>
  <c r="K40" i="54"/>
  <c r="I42" i="146"/>
  <c r="J41" i="146"/>
  <c r="I45" i="172"/>
  <c r="J44" i="172"/>
  <c r="K43" i="172" s="1"/>
  <c r="K40" i="174"/>
  <c r="AU28" i="2"/>
  <c r="K40" i="162"/>
  <c r="K40" i="116"/>
  <c r="I46" i="42"/>
  <c r="J45" i="42"/>
  <c r="K44" i="42" s="1"/>
  <c r="I43" i="121"/>
  <c r="J42" i="121"/>
  <c r="J41" i="55"/>
  <c r="I42" i="55"/>
  <c r="K39" i="148"/>
  <c r="K40" i="80"/>
  <c r="C26" i="92"/>
  <c r="HN26" i="2" s="1"/>
  <c r="E27" i="92"/>
  <c r="J27" i="92"/>
  <c r="K27" i="92" s="1"/>
  <c r="C26" i="155"/>
  <c r="CL26" i="2" s="1"/>
  <c r="E27" i="155"/>
  <c r="J27" i="155"/>
  <c r="K27" i="155" s="1"/>
  <c r="K41" i="10"/>
  <c r="K40" i="57"/>
  <c r="E27" i="100"/>
  <c r="C26" i="100"/>
  <c r="J27" i="100"/>
  <c r="K27" i="100" s="1"/>
  <c r="E26" i="97"/>
  <c r="C25" i="97"/>
  <c r="J26" i="97"/>
  <c r="K26" i="97" s="1"/>
  <c r="I42" i="174"/>
  <c r="J41" i="174"/>
  <c r="E26" i="41"/>
  <c r="C25" i="41"/>
  <c r="J26" i="41"/>
  <c r="K26" i="41" s="1"/>
  <c r="K40" i="112"/>
  <c r="J43" i="159"/>
  <c r="K42" i="159" s="1"/>
  <c r="I44" i="159"/>
  <c r="C24" i="75"/>
  <c r="E25" i="75"/>
  <c r="J25" i="75"/>
  <c r="K25" i="75" s="1"/>
  <c r="E24" i="163"/>
  <c r="C23" i="163"/>
  <c r="J24" i="163"/>
  <c r="K24" i="163" s="1"/>
  <c r="E26" i="10"/>
  <c r="C25" i="10"/>
  <c r="J26" i="10"/>
  <c r="K26" i="10" s="1"/>
  <c r="K41" i="129"/>
  <c r="Y28" i="1"/>
  <c r="N28" i="1"/>
  <c r="E26" i="21"/>
  <c r="C25" i="21"/>
  <c r="J26" i="21"/>
  <c r="K26" i="21" s="1"/>
  <c r="E26" i="38"/>
  <c r="C25" i="38"/>
  <c r="J26" i="38"/>
  <c r="K26" i="38" s="1"/>
  <c r="I45" i="156"/>
  <c r="J44" i="156"/>
  <c r="K41" i="139"/>
  <c r="K44" i="12"/>
  <c r="I45" i="122"/>
  <c r="J44" i="122"/>
  <c r="K43" i="122" s="1"/>
  <c r="E27" i="28"/>
  <c r="C26" i="28"/>
  <c r="J27" i="28"/>
  <c r="K27" i="28" s="1"/>
  <c r="I44" i="92"/>
  <c r="J43" i="92"/>
  <c r="K40" i="88"/>
  <c r="K39" i="100"/>
  <c r="FK27" i="2"/>
  <c r="J43" i="167"/>
  <c r="K42" i="167" s="1"/>
  <c r="I44" i="167"/>
  <c r="C26" i="50"/>
  <c r="E27" i="50"/>
  <c r="AT27" i="2"/>
  <c r="J27" i="50"/>
  <c r="K27" i="50" s="1"/>
  <c r="K40" i="155"/>
  <c r="I42" i="112"/>
  <c r="J41" i="112"/>
  <c r="E22" i="146"/>
  <c r="C21" i="146"/>
  <c r="J22" i="146"/>
  <c r="K22" i="146" s="1"/>
  <c r="K42" i="92"/>
  <c r="K41" i="92"/>
  <c r="E24" i="51"/>
  <c r="C23" i="51"/>
  <c r="J24" i="51"/>
  <c r="K24" i="51" s="1"/>
  <c r="K39" i="95"/>
  <c r="E25" i="22"/>
  <c r="C24" i="22"/>
  <c r="J25" i="22"/>
  <c r="K25" i="22" s="1"/>
  <c r="C21" i="138"/>
  <c r="E22" i="138"/>
  <c r="J22" i="138"/>
  <c r="K22" i="138" s="1"/>
  <c r="I43" i="106"/>
  <c r="J42" i="106"/>
  <c r="K41" i="106" s="1"/>
  <c r="GR27" i="2"/>
  <c r="I43" i="138"/>
  <c r="J42" i="138"/>
  <c r="K41" i="138" s="1"/>
  <c r="J41" i="90"/>
  <c r="K40" i="90" s="1"/>
  <c r="I42" i="90"/>
  <c r="E25" i="4"/>
  <c r="C24" i="4"/>
  <c r="J25" i="4"/>
  <c r="K25" i="4" s="1"/>
  <c r="J43" i="60"/>
  <c r="I44" i="60"/>
  <c r="E26" i="48"/>
  <c r="C25" i="48"/>
  <c r="J26" i="48"/>
  <c r="K26" i="48" s="1"/>
  <c r="K41" i="115"/>
  <c r="K43" i="14"/>
  <c r="J42" i="108"/>
  <c r="I43" i="108"/>
  <c r="I42" i="166"/>
  <c r="J41" i="166"/>
  <c r="C26" i="107"/>
  <c r="E27" i="107"/>
  <c r="J27" i="107"/>
  <c r="K27" i="107" s="1"/>
  <c r="E27" i="136"/>
  <c r="C26" i="136"/>
  <c r="J27" i="136"/>
  <c r="K27" i="136" s="1"/>
  <c r="HZ28" i="2"/>
  <c r="J43" i="23"/>
  <c r="I44" i="23"/>
  <c r="K42" i="113"/>
  <c r="C25" i="88"/>
  <c r="E26" i="88"/>
  <c r="FK26" i="2"/>
  <c r="J26" i="88"/>
  <c r="K26" i="88" s="1"/>
  <c r="E26" i="119"/>
  <c r="C25" i="119"/>
  <c r="J26" i="119"/>
  <c r="K26" i="119" s="1"/>
  <c r="I43" i="53"/>
  <c r="J42" i="53"/>
  <c r="K41" i="25"/>
  <c r="I45" i="98"/>
  <c r="J44" i="98"/>
  <c r="K42" i="48"/>
  <c r="I47" i="74"/>
  <c r="J46" i="74"/>
  <c r="K41" i="37"/>
  <c r="E26" i="79"/>
  <c r="C25" i="79"/>
  <c r="J26" i="79"/>
  <c r="K26" i="79" s="1"/>
  <c r="K39" i="143"/>
  <c r="K42" i="29"/>
  <c r="CW26" i="2"/>
  <c r="I43" i="67"/>
  <c r="J42" i="67"/>
  <c r="K39" i="36"/>
  <c r="I42" i="120"/>
  <c r="J41" i="120"/>
  <c r="E27" i="29"/>
  <c r="C26" i="29"/>
  <c r="J27" i="29"/>
  <c r="K27" i="29" s="1"/>
  <c r="X27" i="1"/>
  <c r="AI27" i="1"/>
  <c r="E26" i="156" l="1"/>
  <c r="C25" i="156"/>
  <c r="J26" i="156"/>
  <c r="K26" i="156" s="1"/>
  <c r="E25" i="149"/>
  <c r="C24" i="149"/>
  <c r="J25" i="149"/>
  <c r="K25" i="149" s="1"/>
  <c r="C25" i="130"/>
  <c r="E26" i="130"/>
  <c r="J26" i="130"/>
  <c r="K26" i="130" s="1"/>
  <c r="E21" i="98"/>
  <c r="C20" i="98"/>
  <c r="J21" i="98"/>
  <c r="K21" i="98" s="1"/>
  <c r="C25" i="74"/>
  <c r="J26" i="74"/>
  <c r="K26" i="74" s="1"/>
  <c r="E26" i="74"/>
  <c r="E25" i="61"/>
  <c r="C24" i="61"/>
  <c r="J25" i="61"/>
  <c r="K25" i="61" s="1"/>
  <c r="J25" i="59"/>
  <c r="K25" i="59" s="1"/>
  <c r="E25" i="59"/>
  <c r="C24" i="59"/>
  <c r="E26" i="150"/>
  <c r="C25" i="150"/>
  <c r="J26" i="150"/>
  <c r="K26" i="150" s="1"/>
  <c r="CB26" i="2"/>
  <c r="HZ26" i="2"/>
  <c r="CM26" i="2"/>
  <c r="HO26" i="2"/>
  <c r="J42" i="174"/>
  <c r="I43" i="174"/>
  <c r="E26" i="53"/>
  <c r="C25" i="53"/>
  <c r="J26" i="53"/>
  <c r="K26" i="53" s="1"/>
  <c r="J43" i="155"/>
  <c r="K42" i="155" s="1"/>
  <c r="I44" i="155"/>
  <c r="J44" i="165"/>
  <c r="I45" i="165"/>
  <c r="E23" i="47"/>
  <c r="C22" i="47"/>
  <c r="J23" i="47"/>
  <c r="K23" i="47" s="1"/>
  <c r="C24" i="108"/>
  <c r="E25" i="108"/>
  <c r="J25" i="108"/>
  <c r="K25" i="108" s="1"/>
  <c r="E23" i="127"/>
  <c r="C22" i="127"/>
  <c r="J23" i="127"/>
  <c r="K23" i="127" s="1"/>
  <c r="K41" i="38"/>
  <c r="J43" i="50"/>
  <c r="K42" i="50" s="1"/>
  <c r="I44" i="50"/>
  <c r="C22" i="69"/>
  <c r="E23" i="69"/>
  <c r="J23" i="69"/>
  <c r="K23" i="69" s="1"/>
  <c r="I44" i="169"/>
  <c r="J43" i="169"/>
  <c r="K42" i="169" s="1"/>
  <c r="I47" i="94"/>
  <c r="J46" i="94"/>
  <c r="K45" i="94" s="1"/>
  <c r="I45" i="63"/>
  <c r="J44" i="63"/>
  <c r="K43" i="63" s="1"/>
  <c r="E23" i="72"/>
  <c r="C22" i="72"/>
  <c r="J23" i="72"/>
  <c r="K23" i="72" s="1"/>
  <c r="J44" i="93"/>
  <c r="K43" i="93" s="1"/>
  <c r="I45" i="93"/>
  <c r="I45" i="18"/>
  <c r="J44" i="18"/>
  <c r="K43" i="18" s="1"/>
  <c r="K41" i="140"/>
  <c r="I48" i="75"/>
  <c r="J47" i="75"/>
  <c r="K41" i="65"/>
  <c r="J42" i="38"/>
  <c r="I43" i="38"/>
  <c r="K41" i="120"/>
  <c r="K43" i="92"/>
  <c r="K41" i="121"/>
  <c r="I48" i="15"/>
  <c r="J47" i="15"/>
  <c r="K46" i="15" s="1"/>
  <c r="E23" i="171"/>
  <c r="C22" i="171"/>
  <c r="J23" i="171"/>
  <c r="K23" i="171" s="1"/>
  <c r="J45" i="29"/>
  <c r="K44" i="29" s="1"/>
  <c r="I46" i="29"/>
  <c r="I45" i="157"/>
  <c r="J44" i="157"/>
  <c r="I43" i="140"/>
  <c r="J42" i="140"/>
  <c r="J42" i="81"/>
  <c r="I43" i="81"/>
  <c r="J42" i="65"/>
  <c r="I43" i="65"/>
  <c r="J43" i="103"/>
  <c r="I44" i="103"/>
  <c r="I47" i="79"/>
  <c r="J46" i="79"/>
  <c r="E25" i="48"/>
  <c r="C24" i="48"/>
  <c r="J25" i="48"/>
  <c r="K25" i="48" s="1"/>
  <c r="I43" i="120"/>
  <c r="J42" i="120"/>
  <c r="I45" i="92"/>
  <c r="J44" i="92"/>
  <c r="E21" i="138"/>
  <c r="C20" i="138"/>
  <c r="J21" i="138"/>
  <c r="K21" i="138" s="1"/>
  <c r="E26" i="28"/>
  <c r="C25" i="28"/>
  <c r="J26" i="28"/>
  <c r="K26" i="28" s="1"/>
  <c r="C22" i="86"/>
  <c r="E23" i="86"/>
  <c r="J23" i="86"/>
  <c r="K23" i="86" s="1"/>
  <c r="I47" i="32"/>
  <c r="J46" i="32"/>
  <c r="I43" i="64"/>
  <c r="J42" i="64"/>
  <c r="E26" i="6"/>
  <c r="C25" i="6"/>
  <c r="CA26" i="1"/>
  <c r="IU26" i="2"/>
  <c r="C24" i="122"/>
  <c r="E25" i="122"/>
  <c r="J25" i="122"/>
  <c r="K25" i="122" s="1"/>
  <c r="K43" i="157"/>
  <c r="I44" i="88"/>
  <c r="J43" i="88"/>
  <c r="K41" i="81"/>
  <c r="C24" i="151"/>
  <c r="E25" i="151"/>
  <c r="J25" i="151"/>
  <c r="K25" i="151" s="1"/>
  <c r="E24" i="60"/>
  <c r="C23" i="60"/>
  <c r="J24" i="60"/>
  <c r="K24" i="60" s="1"/>
  <c r="I44" i="39"/>
  <c r="J43" i="39"/>
  <c r="K42" i="39" s="1"/>
  <c r="E25" i="78"/>
  <c r="C24" i="78"/>
  <c r="J25" i="78"/>
  <c r="K25" i="78" s="1"/>
  <c r="E24" i="75"/>
  <c r="C23" i="75"/>
  <c r="J24" i="75"/>
  <c r="K24" i="75" s="1"/>
  <c r="I43" i="69"/>
  <c r="J42" i="69"/>
  <c r="E24" i="64"/>
  <c r="C23" i="64"/>
  <c r="J24" i="64"/>
  <c r="K24" i="64" s="1"/>
  <c r="C20" i="166"/>
  <c r="E21" i="166"/>
  <c r="J21" i="166"/>
  <c r="K21" i="166" s="1"/>
  <c r="E26" i="136"/>
  <c r="C25" i="136"/>
  <c r="J26" i="136"/>
  <c r="K26" i="136" s="1"/>
  <c r="I44" i="121"/>
  <c r="J43" i="121"/>
  <c r="C23" i="99"/>
  <c r="E24" i="99"/>
  <c r="J24" i="99"/>
  <c r="K24" i="99" s="1"/>
  <c r="K41" i="67"/>
  <c r="I44" i="67"/>
  <c r="J43" i="67"/>
  <c r="I45" i="159"/>
  <c r="J44" i="159"/>
  <c r="K43" i="159" s="1"/>
  <c r="I47" i="42"/>
  <c r="J46" i="42"/>
  <c r="K45" i="42" s="1"/>
  <c r="K40" i="64"/>
  <c r="E24" i="139"/>
  <c r="C23" i="139"/>
  <c r="J24" i="139"/>
  <c r="K24" i="139" s="1"/>
  <c r="CB27" i="1"/>
  <c r="E23" i="168"/>
  <c r="C22" i="168"/>
  <c r="J23" i="168"/>
  <c r="K23" i="168" s="1"/>
  <c r="J46" i="22"/>
  <c r="K45" i="22" s="1"/>
  <c r="I47" i="22"/>
  <c r="DI26" i="2"/>
  <c r="E25" i="36"/>
  <c r="C24" i="36"/>
  <c r="J25" i="36"/>
  <c r="K25" i="36" s="1"/>
  <c r="C23" i="94"/>
  <c r="E24" i="94"/>
  <c r="J24" i="94"/>
  <c r="K24" i="94" s="1"/>
  <c r="I46" i="48"/>
  <c r="J45" i="48"/>
  <c r="J44" i="66"/>
  <c r="I45" i="66"/>
  <c r="C22" i="39"/>
  <c r="E23" i="39"/>
  <c r="J23" i="39"/>
  <c r="K23" i="39" s="1"/>
  <c r="C18" i="82"/>
  <c r="E19" i="82"/>
  <c r="J19" i="82"/>
  <c r="K19" i="82" s="1"/>
  <c r="E24" i="22"/>
  <c r="C23" i="22"/>
  <c r="J24" i="22"/>
  <c r="K24" i="22" s="1"/>
  <c r="K44" i="122"/>
  <c r="I48" i="7"/>
  <c r="J47" i="7"/>
  <c r="AU27" i="1"/>
  <c r="K43" i="72"/>
  <c r="E26" i="27"/>
  <c r="C25" i="27"/>
  <c r="J26" i="27"/>
  <c r="K26" i="27" s="1"/>
  <c r="K42" i="52"/>
  <c r="C22" i="73"/>
  <c r="E23" i="73"/>
  <c r="J23" i="73"/>
  <c r="K23" i="73" s="1"/>
  <c r="I45" i="72"/>
  <c r="J44" i="72"/>
  <c r="I43" i="43"/>
  <c r="J42" i="43"/>
  <c r="K41" i="43" s="1"/>
  <c r="J45" i="152"/>
  <c r="K44" i="152" s="1"/>
  <c r="I46" i="152"/>
  <c r="E24" i="68"/>
  <c r="C23" i="68"/>
  <c r="J24" i="68"/>
  <c r="K24" i="68" s="1"/>
  <c r="J43" i="52"/>
  <c r="I44" i="52"/>
  <c r="C24" i="76"/>
  <c r="E25" i="76"/>
  <c r="J25" i="76"/>
  <c r="K25" i="76" s="1"/>
  <c r="J44" i="139"/>
  <c r="K43" i="139" s="1"/>
  <c r="I45" i="139"/>
  <c r="I43" i="141"/>
  <c r="J42" i="141"/>
  <c r="K41" i="141" s="1"/>
  <c r="J42" i="109"/>
  <c r="I43" i="109"/>
  <c r="I46" i="117"/>
  <c r="J45" i="117"/>
  <c r="E26" i="7"/>
  <c r="C25" i="7"/>
  <c r="AT26" i="1"/>
  <c r="J26" i="7"/>
  <c r="K26" i="7" s="1"/>
  <c r="E24" i="17"/>
  <c r="C23" i="17"/>
  <c r="J24" i="17"/>
  <c r="K24" i="17" s="1"/>
  <c r="BQ27" i="1"/>
  <c r="C22" i="173"/>
  <c r="E23" i="173"/>
  <c r="J23" i="173"/>
  <c r="K23" i="173" s="1"/>
  <c r="I45" i="28"/>
  <c r="J44" i="28"/>
  <c r="C23" i="104"/>
  <c r="E24" i="104"/>
  <c r="J24" i="104"/>
  <c r="K24" i="104" s="1"/>
  <c r="E24" i="126"/>
  <c r="C23" i="126"/>
  <c r="J24" i="126"/>
  <c r="K24" i="126" s="1"/>
  <c r="K43" i="29"/>
  <c r="E25" i="133"/>
  <c r="C24" i="133"/>
  <c r="J25" i="133"/>
  <c r="K25" i="133" s="1"/>
  <c r="DH25" i="2"/>
  <c r="E22" i="102"/>
  <c r="C21" i="102"/>
  <c r="J22" i="102"/>
  <c r="K22" i="102" s="1"/>
  <c r="K41" i="169"/>
  <c r="D65" i="1"/>
  <c r="O65" i="1"/>
  <c r="AK65" i="1"/>
  <c r="Z65" i="1"/>
  <c r="CC65" i="1"/>
  <c r="BR65" i="1"/>
  <c r="AV65" i="1"/>
  <c r="I45" i="37"/>
  <c r="J44" i="37"/>
  <c r="K43" i="37" s="1"/>
  <c r="E25" i="125"/>
  <c r="C24" i="125"/>
  <c r="J25" i="125"/>
  <c r="K25" i="125" s="1"/>
  <c r="I43" i="130"/>
  <c r="J42" i="130"/>
  <c r="K41" i="130" s="1"/>
  <c r="CX26" i="2"/>
  <c r="C25" i="107"/>
  <c r="E26" i="107"/>
  <c r="J26" i="107"/>
  <c r="K26" i="107" s="1"/>
  <c r="I46" i="122"/>
  <c r="J45" i="122"/>
  <c r="C23" i="135"/>
  <c r="E24" i="135"/>
  <c r="J24" i="135"/>
  <c r="K24" i="135" s="1"/>
  <c r="J42" i="166"/>
  <c r="I43" i="166"/>
  <c r="BE26" i="2"/>
  <c r="HD27" i="2"/>
  <c r="I44" i="87"/>
  <c r="J43" i="87"/>
  <c r="K43" i="28"/>
  <c r="K43" i="101"/>
  <c r="K41" i="21"/>
  <c r="I43" i="160"/>
  <c r="J42" i="160"/>
  <c r="K41" i="160" s="1"/>
  <c r="C24" i="117"/>
  <c r="E25" i="117"/>
  <c r="J25" i="117"/>
  <c r="K25" i="117" s="1"/>
  <c r="IK26" i="2"/>
  <c r="E26" i="14"/>
  <c r="C25" i="14"/>
  <c r="J26" i="14"/>
  <c r="K26" i="14" s="1"/>
  <c r="E25" i="13"/>
  <c r="C24" i="13"/>
  <c r="J25" i="13"/>
  <c r="K25" i="13" s="1"/>
  <c r="IU25" i="2"/>
  <c r="E23" i="124"/>
  <c r="C22" i="124"/>
  <c r="J23" i="124"/>
  <c r="K23" i="124" s="1"/>
  <c r="I44" i="19"/>
  <c r="J43" i="19"/>
  <c r="K42" i="19" s="1"/>
  <c r="DU65" i="2"/>
  <c r="D65" i="2"/>
  <c r="DJ65" i="2"/>
  <c r="CY65" i="2"/>
  <c r="FB65" i="2"/>
  <c r="CN65" i="2"/>
  <c r="AK65" i="2"/>
  <c r="Z65" i="2"/>
  <c r="EQ65" i="2"/>
  <c r="GT65" i="2"/>
  <c r="O65" i="2"/>
  <c r="CC65" i="2"/>
  <c r="FM65" i="2"/>
  <c r="FX65" i="2"/>
  <c r="BR65" i="2"/>
  <c r="IL65" i="2"/>
  <c r="HE65" i="2"/>
  <c r="IW65" i="2"/>
  <c r="BG65" i="2"/>
  <c r="HP65" i="2"/>
  <c r="EF65" i="2"/>
  <c r="IA65" i="2"/>
  <c r="AV65" i="2"/>
  <c r="I46" i="101"/>
  <c r="J45" i="101"/>
  <c r="K44" i="101" s="1"/>
  <c r="J43" i="21"/>
  <c r="I44" i="21"/>
  <c r="I43" i="36"/>
  <c r="J42" i="36"/>
  <c r="K41" i="36" s="1"/>
  <c r="E26" i="56"/>
  <c r="C25" i="56"/>
  <c r="J26" i="56"/>
  <c r="K26" i="56" s="1"/>
  <c r="E23" i="26"/>
  <c r="C22" i="26"/>
  <c r="J23" i="26"/>
  <c r="K23" i="26" s="1"/>
  <c r="E24" i="57"/>
  <c r="C23" i="57"/>
  <c r="J24" i="57"/>
  <c r="K24" i="57" s="1"/>
  <c r="C24" i="77"/>
  <c r="E25" i="77"/>
  <c r="J25" i="77"/>
  <c r="K25" i="77" s="1"/>
  <c r="K40" i="65"/>
  <c r="E26" i="46"/>
  <c r="C25" i="46"/>
  <c r="J26" i="46"/>
  <c r="K26" i="46" s="1"/>
  <c r="AI26" i="1"/>
  <c r="BG65" i="1"/>
  <c r="BF65" i="1"/>
  <c r="I44" i="85"/>
  <c r="J43" i="85"/>
  <c r="K42" i="85" s="1"/>
  <c r="J44" i="124"/>
  <c r="K43" i="124" s="1"/>
  <c r="I45" i="124"/>
  <c r="I44" i="97"/>
  <c r="J43" i="97"/>
  <c r="J47" i="12"/>
  <c r="K46" i="12" s="1"/>
  <c r="I48" i="12"/>
  <c r="CM27" i="2"/>
  <c r="C24" i="154"/>
  <c r="E25" i="154"/>
  <c r="J25" i="154"/>
  <c r="K25" i="154" s="1"/>
  <c r="IJ25" i="2"/>
  <c r="E26" i="93"/>
  <c r="C25" i="93"/>
  <c r="J26" i="93"/>
  <c r="K26" i="93" s="1"/>
  <c r="J42" i="8"/>
  <c r="I43" i="8"/>
  <c r="E24" i="54"/>
  <c r="C23" i="54"/>
  <c r="J24" i="54"/>
  <c r="K24" i="54" s="1"/>
  <c r="E25" i="169"/>
  <c r="C24" i="169"/>
  <c r="J25" i="169"/>
  <c r="K25" i="169" s="1"/>
  <c r="C24" i="20"/>
  <c r="E25" i="20"/>
  <c r="J25" i="20"/>
  <c r="K25" i="20" s="1"/>
  <c r="GH65" i="2"/>
  <c r="GI65" i="2"/>
  <c r="J44" i="118"/>
  <c r="K43" i="118" s="1"/>
  <c r="I45" i="118"/>
  <c r="C25" i="8"/>
  <c r="E26" i="8"/>
  <c r="HC26" i="2"/>
  <c r="BP26" i="1"/>
  <c r="J26" i="8"/>
  <c r="K26" i="8" s="1"/>
  <c r="E25" i="79"/>
  <c r="C24" i="79"/>
  <c r="J25" i="79"/>
  <c r="K25" i="79" s="1"/>
  <c r="I46" i="156"/>
  <c r="J45" i="156"/>
  <c r="K44" i="156" s="1"/>
  <c r="K41" i="174"/>
  <c r="E25" i="23"/>
  <c r="C24" i="23"/>
  <c r="J25" i="23"/>
  <c r="K25" i="23" s="1"/>
  <c r="N27" i="1"/>
  <c r="E22" i="45"/>
  <c r="C21" i="45"/>
  <c r="J22" i="45"/>
  <c r="K22" i="45" s="1"/>
  <c r="K44" i="94"/>
  <c r="K43" i="30"/>
  <c r="K44" i="136"/>
  <c r="I43" i="171"/>
  <c r="J42" i="171"/>
  <c r="K41" i="171" s="1"/>
  <c r="K42" i="54"/>
  <c r="K41" i="8"/>
  <c r="C25" i="90"/>
  <c r="CL25" i="2" s="1"/>
  <c r="E26" i="90"/>
  <c r="J26" i="90"/>
  <c r="K26" i="90" s="1"/>
  <c r="C23" i="66"/>
  <c r="E24" i="66"/>
  <c r="J24" i="66"/>
  <c r="K24" i="66" s="1"/>
  <c r="Y27" i="2"/>
  <c r="J44" i="149"/>
  <c r="K43" i="149" s="1"/>
  <c r="I45" i="149"/>
  <c r="E22" i="105"/>
  <c r="C21" i="105"/>
  <c r="J22" i="105"/>
  <c r="K22" i="105" s="1"/>
  <c r="I45" i="30"/>
  <c r="J44" i="30"/>
  <c r="I46" i="136"/>
  <c r="J45" i="136"/>
  <c r="J43" i="54"/>
  <c r="I44" i="54"/>
  <c r="K44" i="62"/>
  <c r="C23" i="113"/>
  <c r="E24" i="113"/>
  <c r="J24" i="113"/>
  <c r="K24" i="113" s="1"/>
  <c r="DT25" i="2"/>
  <c r="K42" i="66"/>
  <c r="E64" i="24"/>
  <c r="C63" i="24"/>
  <c r="GG64" i="2"/>
  <c r="BE64" i="1"/>
  <c r="C64" i="2"/>
  <c r="C64" i="1"/>
  <c r="K41" i="39"/>
  <c r="J44" i="173"/>
  <c r="K43" i="173" s="1"/>
  <c r="I45" i="173"/>
  <c r="E23" i="37"/>
  <c r="C22" i="37"/>
  <c r="J23" i="37"/>
  <c r="K23" i="37" s="1"/>
  <c r="I46" i="62"/>
  <c r="J45" i="62"/>
  <c r="I46" i="128"/>
  <c r="J45" i="128"/>
  <c r="CW25" i="2"/>
  <c r="C25" i="49"/>
  <c r="E26" i="49"/>
  <c r="J26" i="49"/>
  <c r="K26" i="49" s="1"/>
  <c r="FA26" i="2"/>
  <c r="E25" i="15"/>
  <c r="C24" i="15"/>
  <c r="J25" i="15"/>
  <c r="K25" i="15" s="1"/>
  <c r="I46" i="107"/>
  <c r="J45" i="107"/>
  <c r="K44" i="107" s="1"/>
  <c r="J44" i="99"/>
  <c r="K43" i="99" s="1"/>
  <c r="I45" i="99"/>
  <c r="E23" i="62"/>
  <c r="C22" i="62"/>
  <c r="J23" i="62"/>
  <c r="K23" i="62" s="1"/>
  <c r="E21" i="32"/>
  <c r="C20" i="32"/>
  <c r="J21" i="32"/>
  <c r="K21" i="32" s="1"/>
  <c r="E22" i="111"/>
  <c r="C21" i="111"/>
  <c r="J22" i="111"/>
  <c r="K22" i="111" s="1"/>
  <c r="K41" i="85"/>
  <c r="C23" i="112"/>
  <c r="E24" i="112"/>
  <c r="J24" i="112"/>
  <c r="K24" i="112" s="1"/>
  <c r="E23" i="159"/>
  <c r="C22" i="159"/>
  <c r="J23" i="159"/>
  <c r="K23" i="159" s="1"/>
  <c r="J43" i="20"/>
  <c r="K42" i="20" s="1"/>
  <c r="I44" i="20"/>
  <c r="K40" i="36"/>
  <c r="I44" i="104"/>
  <c r="J43" i="104"/>
  <c r="C24" i="134"/>
  <c r="E25" i="134"/>
  <c r="EZ25" i="2"/>
  <c r="J25" i="134"/>
  <c r="K25" i="134" s="1"/>
  <c r="I46" i="26"/>
  <c r="J45" i="26"/>
  <c r="K44" i="26" s="1"/>
  <c r="C24" i="101"/>
  <c r="E25" i="101"/>
  <c r="J25" i="101"/>
  <c r="K25" i="101" s="1"/>
  <c r="J43" i="168"/>
  <c r="K42" i="168" s="1"/>
  <c r="I44" i="168"/>
  <c r="E23" i="85"/>
  <c r="C22" i="85"/>
  <c r="J23" i="85"/>
  <c r="K23" i="85" s="1"/>
  <c r="I44" i="31"/>
  <c r="J43" i="31"/>
  <c r="J45" i="127"/>
  <c r="I46" i="127"/>
  <c r="E24" i="129"/>
  <c r="C23" i="129"/>
  <c r="J24" i="129"/>
  <c r="K24" i="129" s="1"/>
  <c r="DS24" i="2"/>
  <c r="J45" i="164"/>
  <c r="K44" i="164" s="1"/>
  <c r="I46" i="164"/>
  <c r="C24" i="96"/>
  <c r="E25" i="96"/>
  <c r="J25" i="96"/>
  <c r="K25" i="96" s="1"/>
  <c r="E24" i="144"/>
  <c r="C23" i="144"/>
  <c r="J24" i="144"/>
  <c r="K24" i="144" s="1"/>
  <c r="C24" i="145"/>
  <c r="CW24" i="2" s="1"/>
  <c r="E25" i="145"/>
  <c r="J25" i="145"/>
  <c r="K25" i="145" s="1"/>
  <c r="N26" i="2"/>
  <c r="C23" i="11"/>
  <c r="E24" i="11"/>
  <c r="J24" i="11"/>
  <c r="K24" i="11" s="1"/>
  <c r="I44" i="33"/>
  <c r="J43" i="33"/>
  <c r="K42" i="33" s="1"/>
  <c r="E24" i="137"/>
  <c r="C23" i="137"/>
  <c r="J24" i="137"/>
  <c r="K24" i="137" s="1"/>
  <c r="I44" i="114"/>
  <c r="J43" i="114"/>
  <c r="I46" i="172"/>
  <c r="J45" i="172"/>
  <c r="I46" i="98"/>
  <c r="J45" i="98"/>
  <c r="K44" i="98" s="1"/>
  <c r="C23" i="19"/>
  <c r="E24" i="19"/>
  <c r="J24" i="19"/>
  <c r="K24" i="19" s="1"/>
  <c r="C24" i="164"/>
  <c r="E25" i="164"/>
  <c r="J25" i="164"/>
  <c r="K25" i="164" s="1"/>
  <c r="C23" i="103"/>
  <c r="E24" i="103"/>
  <c r="J24" i="103"/>
  <c r="K24" i="103" s="1"/>
  <c r="C22" i="106"/>
  <c r="E23" i="106"/>
  <c r="J23" i="106"/>
  <c r="K23" i="106" s="1"/>
  <c r="J43" i="73"/>
  <c r="K42" i="73" s="1"/>
  <c r="I44" i="73"/>
  <c r="C22" i="120"/>
  <c r="E23" i="120"/>
  <c r="J23" i="120"/>
  <c r="K23" i="120" s="1"/>
  <c r="C25" i="158"/>
  <c r="E26" i="158"/>
  <c r="J26" i="158"/>
  <c r="K26" i="158" s="1"/>
  <c r="I44" i="170"/>
  <c r="J43" i="170"/>
  <c r="C25" i="152"/>
  <c r="E26" i="152"/>
  <c r="J26" i="152"/>
  <c r="K26" i="152" s="1"/>
  <c r="I43" i="112"/>
  <c r="J42" i="112"/>
  <c r="J42" i="58"/>
  <c r="K41" i="58" s="1"/>
  <c r="I43" i="58"/>
  <c r="J44" i="83"/>
  <c r="K43" i="83" s="1"/>
  <c r="I45" i="83"/>
  <c r="E25" i="33"/>
  <c r="C24" i="33"/>
  <c r="M25" i="2"/>
  <c r="J25" i="33"/>
  <c r="K25" i="33" s="1"/>
  <c r="E23" i="123"/>
  <c r="C22" i="123"/>
  <c r="J23" i="123"/>
  <c r="K23" i="123" s="1"/>
  <c r="K43" i="115"/>
  <c r="J61" i="150"/>
  <c r="K60" i="150" s="1"/>
  <c r="I62" i="150"/>
  <c r="K41" i="148"/>
  <c r="K43" i="117"/>
  <c r="K43" i="98"/>
  <c r="C20" i="146"/>
  <c r="E21" i="146"/>
  <c r="J21" i="146"/>
  <c r="K21" i="146" s="1"/>
  <c r="K41" i="108"/>
  <c r="E25" i="132"/>
  <c r="C24" i="132"/>
  <c r="J25" i="132"/>
  <c r="K25" i="132" s="1"/>
  <c r="I45" i="115"/>
  <c r="J44" i="115"/>
  <c r="E26" i="121"/>
  <c r="C25" i="121"/>
  <c r="J26" i="121"/>
  <c r="K26" i="121" s="1"/>
  <c r="J45" i="13"/>
  <c r="K44" i="13" s="1"/>
  <c r="I46" i="13"/>
  <c r="C22" i="141"/>
  <c r="E23" i="141"/>
  <c r="J23" i="141"/>
  <c r="K23" i="141" s="1"/>
  <c r="I43" i="148"/>
  <c r="J42" i="148"/>
  <c r="I45" i="25"/>
  <c r="J44" i="25"/>
  <c r="K43" i="25" s="1"/>
  <c r="J42" i="35"/>
  <c r="K41" i="35" s="1"/>
  <c r="I43" i="35"/>
  <c r="E26" i="172"/>
  <c r="C25" i="172"/>
  <c r="J26" i="172"/>
  <c r="K26" i="172" s="1"/>
  <c r="I44" i="53"/>
  <c r="J43" i="53"/>
  <c r="K42" i="53" s="1"/>
  <c r="K43" i="156"/>
  <c r="I48" i="61"/>
  <c r="J47" i="61"/>
  <c r="K42" i="60"/>
  <c r="J42" i="96"/>
  <c r="I43" i="96"/>
  <c r="I44" i="151"/>
  <c r="J43" i="151"/>
  <c r="E26" i="143"/>
  <c r="C25" i="143"/>
  <c r="J26" i="143"/>
  <c r="K26" i="143" s="1"/>
  <c r="J42" i="40"/>
  <c r="I43" i="40"/>
  <c r="J46" i="27"/>
  <c r="K45" i="27" s="1"/>
  <c r="I47" i="27"/>
  <c r="J42" i="163"/>
  <c r="I43" i="163"/>
  <c r="E23" i="40"/>
  <c r="C22" i="40"/>
  <c r="J23" i="40"/>
  <c r="K23" i="40" s="1"/>
  <c r="C21" i="34"/>
  <c r="E22" i="34"/>
  <c r="J22" i="34"/>
  <c r="K22" i="34" s="1"/>
  <c r="C23" i="67"/>
  <c r="E24" i="67"/>
  <c r="J24" i="67"/>
  <c r="K24" i="67" s="1"/>
  <c r="K43" i="41"/>
  <c r="I44" i="116"/>
  <c r="J43" i="116"/>
  <c r="I44" i="119"/>
  <c r="J43" i="119"/>
  <c r="E26" i="100"/>
  <c r="C25" i="100"/>
  <c r="J26" i="100"/>
  <c r="K26" i="100" s="1"/>
  <c r="AU27" i="2"/>
  <c r="C24" i="147"/>
  <c r="E25" i="147"/>
  <c r="J25" i="147"/>
  <c r="K25" i="147" s="1"/>
  <c r="K42" i="68"/>
  <c r="K42" i="18"/>
  <c r="J45" i="77"/>
  <c r="I46" i="77"/>
  <c r="C21" i="165"/>
  <c r="E22" i="165"/>
  <c r="J22" i="165"/>
  <c r="K22" i="165" s="1"/>
  <c r="E24" i="25"/>
  <c r="C23" i="25"/>
  <c r="J24" i="25"/>
  <c r="K24" i="25" s="1"/>
  <c r="E25" i="89"/>
  <c r="C24" i="89"/>
  <c r="J25" i="89"/>
  <c r="K25" i="89" s="1"/>
  <c r="C25" i="170"/>
  <c r="E26" i="170"/>
  <c r="J26" i="170"/>
  <c r="K26" i="170" s="1"/>
  <c r="J44" i="41"/>
  <c r="I45" i="41"/>
  <c r="E23" i="51"/>
  <c r="C22" i="51"/>
  <c r="J23" i="51"/>
  <c r="K23" i="51" s="1"/>
  <c r="E25" i="41"/>
  <c r="C24" i="41"/>
  <c r="J25" i="41"/>
  <c r="K25" i="41" s="1"/>
  <c r="E25" i="71"/>
  <c r="C24" i="71"/>
  <c r="J25" i="71"/>
  <c r="K25" i="71" s="1"/>
  <c r="E25" i="38"/>
  <c r="C24" i="38"/>
  <c r="J25" i="38"/>
  <c r="K25" i="38" s="1"/>
  <c r="E22" i="131"/>
  <c r="C21" i="131"/>
  <c r="J22" i="131"/>
  <c r="K22" i="131" s="1"/>
  <c r="E26" i="58"/>
  <c r="C25" i="58"/>
  <c r="CA25" i="2" s="1"/>
  <c r="J26" i="58"/>
  <c r="K26" i="58" s="1"/>
  <c r="E24" i="16"/>
  <c r="C23" i="16"/>
  <c r="J24" i="16"/>
  <c r="K24" i="16" s="1"/>
  <c r="C23" i="4"/>
  <c r="E24" i="4"/>
  <c r="J24" i="4"/>
  <c r="K24" i="4" s="1"/>
  <c r="I45" i="68"/>
  <c r="J44" i="68"/>
  <c r="K43" i="68" s="1"/>
  <c r="E25" i="119"/>
  <c r="C24" i="119"/>
  <c r="J25" i="119"/>
  <c r="K25" i="119" s="1"/>
  <c r="K41" i="95"/>
  <c r="C23" i="65"/>
  <c r="E24" i="65"/>
  <c r="J24" i="65"/>
  <c r="K24" i="65" s="1"/>
  <c r="K40" i="8"/>
  <c r="I48" i="46"/>
  <c r="J47" i="46"/>
  <c r="I43" i="17"/>
  <c r="J42" i="17"/>
  <c r="E23" i="115"/>
  <c r="C22" i="115"/>
  <c r="J23" i="115"/>
  <c r="K23" i="115" s="1"/>
  <c r="J42" i="100"/>
  <c r="I43" i="100"/>
  <c r="E25" i="35"/>
  <c r="C24" i="35"/>
  <c r="J25" i="35"/>
  <c r="K25" i="35" s="1"/>
  <c r="K45" i="15"/>
  <c r="J43" i="57"/>
  <c r="K42" i="57" s="1"/>
  <c r="I44" i="57"/>
  <c r="EO26" i="2"/>
  <c r="I47" i="82"/>
  <c r="J46" i="82"/>
  <c r="K45" i="82" s="1"/>
  <c r="I43" i="47"/>
  <c r="J42" i="47"/>
  <c r="I44" i="86"/>
  <c r="J43" i="86"/>
  <c r="K42" i="149"/>
  <c r="K40" i="96"/>
  <c r="I43" i="90"/>
  <c r="J42" i="90"/>
  <c r="K41" i="90" s="1"/>
  <c r="C25" i="50"/>
  <c r="E26" i="50"/>
  <c r="AT26" i="2"/>
  <c r="J26" i="50"/>
  <c r="K26" i="50" s="1"/>
  <c r="I44" i="76"/>
  <c r="J43" i="76"/>
  <c r="K41" i="110"/>
  <c r="K40" i="40"/>
  <c r="K41" i="20"/>
  <c r="K42" i="63"/>
  <c r="I43" i="95"/>
  <c r="J42" i="95"/>
  <c r="I44" i="5"/>
  <c r="J43" i="5"/>
  <c r="K42" i="5" s="1"/>
  <c r="E25" i="31"/>
  <c r="C24" i="31"/>
  <c r="J25" i="31"/>
  <c r="K25" i="31" s="1"/>
  <c r="K44" i="27"/>
  <c r="AI26" i="2"/>
  <c r="J42" i="125"/>
  <c r="I43" i="125"/>
  <c r="K43" i="62"/>
  <c r="K46" i="46"/>
  <c r="K41" i="17"/>
  <c r="E24" i="167"/>
  <c r="C23" i="167"/>
  <c r="J24" i="167"/>
  <c r="K24" i="167" s="1"/>
  <c r="K42" i="76"/>
  <c r="I46" i="51"/>
  <c r="J45" i="51"/>
  <c r="K44" i="51" s="1"/>
  <c r="K41" i="53"/>
  <c r="K41" i="76"/>
  <c r="J43" i="144"/>
  <c r="I44" i="144"/>
  <c r="I43" i="110"/>
  <c r="J42" i="110"/>
  <c r="J46" i="14"/>
  <c r="I47" i="14"/>
  <c r="I48" i="134"/>
  <c r="J47" i="134"/>
  <c r="K46" i="134" s="1"/>
  <c r="K42" i="173"/>
  <c r="E22" i="43"/>
  <c r="C21" i="43"/>
  <c r="J22" i="43"/>
  <c r="K22" i="43" s="1"/>
  <c r="I48" i="145"/>
  <c r="J47" i="145"/>
  <c r="J43" i="154"/>
  <c r="I44" i="154"/>
  <c r="C24" i="140"/>
  <c r="E25" i="140"/>
  <c r="AI25" i="2"/>
  <c r="J25" i="140"/>
  <c r="K25" i="140" s="1"/>
  <c r="K40" i="81"/>
  <c r="E24" i="18"/>
  <c r="C23" i="18"/>
  <c r="J24" i="18"/>
  <c r="K24" i="18" s="1"/>
  <c r="I47" i="24"/>
  <c r="C23" i="9"/>
  <c r="E24" i="9"/>
  <c r="J24" i="9"/>
  <c r="K24" i="9" s="1"/>
  <c r="E24" i="81"/>
  <c r="C23" i="81"/>
  <c r="J24" i="81"/>
  <c r="K24" i="81" s="1"/>
  <c r="J44" i="60"/>
  <c r="I45" i="60"/>
  <c r="K45" i="74"/>
  <c r="C22" i="84"/>
  <c r="E23" i="84"/>
  <c r="J23" i="84"/>
  <c r="K23" i="84" s="1"/>
  <c r="K41" i="126"/>
  <c r="J43" i="123"/>
  <c r="K42" i="123" s="1"/>
  <c r="I44" i="123"/>
  <c r="K42" i="153"/>
  <c r="I45" i="10"/>
  <c r="J44" i="10"/>
  <c r="K43" i="10" s="1"/>
  <c r="I45" i="44"/>
  <c r="J44" i="44"/>
  <c r="K43" i="44" s="1"/>
  <c r="E24" i="118"/>
  <c r="C23" i="118"/>
  <c r="J24" i="118"/>
  <c r="K24" i="118" s="1"/>
  <c r="I45" i="113"/>
  <c r="J44" i="113"/>
  <c r="K43" i="113" s="1"/>
  <c r="I44" i="111"/>
  <c r="J43" i="111"/>
  <c r="K42" i="111" s="1"/>
  <c r="J42" i="102"/>
  <c r="I43" i="102"/>
  <c r="J43" i="138"/>
  <c r="I44" i="138"/>
  <c r="J44" i="167"/>
  <c r="I45" i="167"/>
  <c r="E25" i="63"/>
  <c r="C24" i="63"/>
  <c r="J25" i="63"/>
  <c r="K25" i="63" s="1"/>
  <c r="E25" i="114"/>
  <c r="C24" i="114"/>
  <c r="J25" i="114"/>
  <c r="K25" i="114" s="1"/>
  <c r="J45" i="142"/>
  <c r="K44" i="142" s="1"/>
  <c r="I46" i="142"/>
  <c r="J42" i="91"/>
  <c r="K41" i="91" s="1"/>
  <c r="I43" i="91"/>
  <c r="J43" i="56"/>
  <c r="I44" i="56"/>
  <c r="C23" i="5"/>
  <c r="E24" i="5"/>
  <c r="J24" i="5"/>
  <c r="K24" i="5" s="1"/>
  <c r="J43" i="126"/>
  <c r="K42" i="126" s="1"/>
  <c r="I44" i="126"/>
  <c r="I44" i="131"/>
  <c r="J43" i="131"/>
  <c r="K42" i="131" s="1"/>
  <c r="K42" i="93"/>
  <c r="C24" i="44"/>
  <c r="E25" i="44"/>
  <c r="J25" i="44"/>
  <c r="K25" i="44" s="1"/>
  <c r="J43" i="49"/>
  <c r="K42" i="49" s="1"/>
  <c r="I44" i="49"/>
  <c r="C20" i="87"/>
  <c r="E21" i="87"/>
  <c r="J21" i="87"/>
  <c r="K21" i="87" s="1"/>
  <c r="I44" i="153"/>
  <c r="J43" i="153"/>
  <c r="K40" i="109"/>
  <c r="K41" i="119"/>
  <c r="J42" i="105"/>
  <c r="K41" i="105" s="1"/>
  <c r="I43" i="105"/>
  <c r="I43" i="146"/>
  <c r="J42" i="146"/>
  <c r="K41" i="146" s="1"/>
  <c r="E25" i="21"/>
  <c r="C24" i="21"/>
  <c r="J25" i="21"/>
  <c r="K25" i="21" s="1"/>
  <c r="E25" i="88"/>
  <c r="C24" i="88"/>
  <c r="J25" i="88"/>
  <c r="K25" i="88" s="1"/>
  <c r="I46" i="132"/>
  <c r="J45" i="132"/>
  <c r="K44" i="132" s="1"/>
  <c r="J43" i="161"/>
  <c r="I44" i="161"/>
  <c r="C25" i="55"/>
  <c r="E26" i="55"/>
  <c r="J26" i="55"/>
  <c r="K26" i="55" s="1"/>
  <c r="K42" i="56"/>
  <c r="K41" i="104"/>
  <c r="K43" i="78"/>
  <c r="EE27" i="2"/>
  <c r="E26" i="91"/>
  <c r="C25" i="91"/>
  <c r="J26" i="91"/>
  <c r="K26" i="91" s="1"/>
  <c r="I44" i="70"/>
  <c r="J43" i="70"/>
  <c r="K42" i="70" s="1"/>
  <c r="I45" i="129"/>
  <c r="J44" i="129"/>
  <c r="K43" i="129" s="1"/>
  <c r="K41" i="4"/>
  <c r="K44" i="79"/>
  <c r="E24" i="128"/>
  <c r="C23" i="128"/>
  <c r="J24" i="128"/>
  <c r="K24" i="128" s="1"/>
  <c r="K42" i="138"/>
  <c r="I44" i="162"/>
  <c r="J43" i="162"/>
  <c r="K42" i="162" s="1"/>
  <c r="K40" i="146"/>
  <c r="Y27" i="1"/>
  <c r="K40" i="120"/>
  <c r="FL27" i="2"/>
  <c r="E23" i="163"/>
  <c r="C22" i="163"/>
  <c r="J23" i="163"/>
  <c r="K23" i="163" s="1"/>
  <c r="C25" i="92"/>
  <c r="HN25" i="2" s="1"/>
  <c r="E26" i="92"/>
  <c r="J26" i="92"/>
  <c r="K26" i="92" s="1"/>
  <c r="J42" i="147"/>
  <c r="I43" i="147"/>
  <c r="EP27" i="2"/>
  <c r="J43" i="80"/>
  <c r="K42" i="80" s="1"/>
  <c r="I44" i="80"/>
  <c r="E24" i="148"/>
  <c r="C23" i="148"/>
  <c r="J24" i="148"/>
  <c r="K24" i="148" s="1"/>
  <c r="K41" i="5"/>
  <c r="K42" i="30"/>
  <c r="K41" i="73"/>
  <c r="E25" i="70"/>
  <c r="C24" i="70"/>
  <c r="J25" i="70"/>
  <c r="K25" i="70" s="1"/>
  <c r="I43" i="45"/>
  <c r="J42" i="45"/>
  <c r="K43" i="26"/>
  <c r="C23" i="116"/>
  <c r="E24" i="116"/>
  <c r="J24" i="116"/>
  <c r="K24" i="116" s="1"/>
  <c r="K41" i="153"/>
  <c r="K42" i="44"/>
  <c r="GR26" i="2"/>
  <c r="J43" i="137"/>
  <c r="I44" i="137"/>
  <c r="E25" i="10"/>
  <c r="C24" i="10"/>
  <c r="J25" i="10"/>
  <c r="K25" i="10" s="1"/>
  <c r="E26" i="155"/>
  <c r="C25" i="155"/>
  <c r="J26" i="155"/>
  <c r="K26" i="155" s="1"/>
  <c r="K45" i="14"/>
  <c r="C25" i="174"/>
  <c r="E26" i="174"/>
  <c r="J26" i="174"/>
  <c r="K26" i="174" s="1"/>
  <c r="J44" i="23"/>
  <c r="K43" i="23" s="1"/>
  <c r="I45" i="23"/>
  <c r="I43" i="11"/>
  <c r="J42" i="11"/>
  <c r="K42" i="72"/>
  <c r="E25" i="162"/>
  <c r="C24" i="162"/>
  <c r="J25" i="162"/>
  <c r="K25" i="162" s="1"/>
  <c r="BQ27" i="2"/>
  <c r="K41" i="45"/>
  <c r="E26" i="109"/>
  <c r="C25" i="109"/>
  <c r="ED26" i="2"/>
  <c r="J26" i="109"/>
  <c r="K26" i="109" s="1"/>
  <c r="J42" i="143"/>
  <c r="I43" i="143"/>
  <c r="I46" i="16"/>
  <c r="J45" i="16"/>
  <c r="E21" i="157"/>
  <c r="C20" i="157"/>
  <c r="J21" i="157"/>
  <c r="K21" i="157" s="1"/>
  <c r="FW27" i="2"/>
  <c r="E24" i="83"/>
  <c r="C23" i="83"/>
  <c r="J24" i="83"/>
  <c r="K24" i="83" s="1"/>
  <c r="K41" i="114"/>
  <c r="I44" i="108"/>
  <c r="J43" i="108"/>
  <c r="AJ27" i="1"/>
  <c r="K40" i="55"/>
  <c r="K41" i="11"/>
  <c r="E25" i="142"/>
  <c r="C24" i="142"/>
  <c r="J25" i="142"/>
  <c r="K25" i="142" s="1"/>
  <c r="K40" i="91"/>
  <c r="E25" i="153"/>
  <c r="C24" i="153"/>
  <c r="J25" i="153"/>
  <c r="K25" i="153" s="1"/>
  <c r="K42" i="84"/>
  <c r="K42" i="158"/>
  <c r="E25" i="80"/>
  <c r="C24" i="80"/>
  <c r="J25" i="80"/>
  <c r="K25" i="80" s="1"/>
  <c r="E25" i="95"/>
  <c r="C24" i="95"/>
  <c r="J25" i="95"/>
  <c r="K25" i="95" s="1"/>
  <c r="K41" i="131"/>
  <c r="C25" i="52"/>
  <c r="E26" i="52"/>
  <c r="BP26" i="2"/>
  <c r="J26" i="52"/>
  <c r="K26" i="52" s="1"/>
  <c r="K41" i="154"/>
  <c r="J47" i="133"/>
  <c r="K46" i="133" s="1"/>
  <c r="I48" i="133"/>
  <c r="K42" i="3"/>
  <c r="J45" i="135"/>
  <c r="K44" i="135" s="1"/>
  <c r="I46" i="135"/>
  <c r="E24" i="110"/>
  <c r="C23" i="110"/>
  <c r="J24" i="110"/>
  <c r="K24" i="110" s="1"/>
  <c r="I46" i="89"/>
  <c r="J45" i="89"/>
  <c r="K44" i="89" s="1"/>
  <c r="E26" i="12"/>
  <c r="C25" i="12"/>
  <c r="X26" i="2"/>
  <c r="M26" i="1"/>
  <c r="J26" i="12"/>
  <c r="K26" i="12" s="1"/>
  <c r="J47" i="74"/>
  <c r="I48" i="74"/>
  <c r="C24" i="97"/>
  <c r="E25" i="97"/>
  <c r="EO25" i="2"/>
  <c r="J25" i="97"/>
  <c r="K25" i="97" s="1"/>
  <c r="FL26" i="2"/>
  <c r="J44" i="158"/>
  <c r="I45" i="158"/>
  <c r="GS27" i="2"/>
  <c r="C25" i="29"/>
  <c r="E26" i="29"/>
  <c r="J26" i="29"/>
  <c r="K26" i="29" s="1"/>
  <c r="I44" i="106"/>
  <c r="J43" i="106"/>
  <c r="K42" i="106" s="1"/>
  <c r="K42" i="23"/>
  <c r="I43" i="55"/>
  <c r="J42" i="55"/>
  <c r="K41" i="55" s="1"/>
  <c r="C21" i="160"/>
  <c r="E22" i="160"/>
  <c r="J22" i="160"/>
  <c r="K22" i="160" s="1"/>
  <c r="J43" i="84"/>
  <c r="I44" i="84"/>
  <c r="I46" i="78"/>
  <c r="J45" i="78"/>
  <c r="K44" i="78" s="1"/>
  <c r="J45" i="9"/>
  <c r="K44" i="9" s="1"/>
  <c r="I46" i="9"/>
  <c r="K44" i="22"/>
  <c r="K43" i="165"/>
  <c r="C23" i="161"/>
  <c r="E24" i="161"/>
  <c r="J24" i="161"/>
  <c r="K24" i="161" s="1"/>
  <c r="I47" i="71"/>
  <c r="J46" i="71"/>
  <c r="K45" i="71" s="1"/>
  <c r="E26" i="3"/>
  <c r="C25" i="3"/>
  <c r="J26" i="3"/>
  <c r="K26" i="3" s="1"/>
  <c r="I44" i="3"/>
  <c r="J43" i="3"/>
  <c r="I43" i="34"/>
  <c r="J42" i="34"/>
  <c r="C25" i="42"/>
  <c r="E26" i="42"/>
  <c r="J26" i="42"/>
  <c r="K26" i="42" s="1"/>
  <c r="FV26" i="2"/>
  <c r="K43" i="135"/>
  <c r="E21" i="30"/>
  <c r="C20" i="30"/>
  <c r="J21" i="30"/>
  <c r="K21" i="30" s="1"/>
  <c r="I44" i="4"/>
  <c r="J43" i="4"/>
  <c r="X26" i="1"/>
  <c r="J25" i="156" l="1"/>
  <c r="K25" i="156" s="1"/>
  <c r="E25" i="156"/>
  <c r="C24" i="156"/>
  <c r="C23" i="149"/>
  <c r="E24" i="149"/>
  <c r="J24" i="149"/>
  <c r="K24" i="149" s="1"/>
  <c r="C24" i="130"/>
  <c r="E25" i="130"/>
  <c r="J25" i="130"/>
  <c r="K25" i="130" s="1"/>
  <c r="C19" i="98"/>
  <c r="E20" i="98"/>
  <c r="J20" i="98"/>
  <c r="K20" i="98" s="1"/>
  <c r="E25" i="74"/>
  <c r="C24" i="74"/>
  <c r="J25" i="74"/>
  <c r="K25" i="74" s="1"/>
  <c r="J24" i="61"/>
  <c r="K24" i="61" s="1"/>
  <c r="C23" i="61"/>
  <c r="E24" i="61"/>
  <c r="C23" i="59"/>
  <c r="E24" i="59"/>
  <c r="J24" i="59"/>
  <c r="K24" i="59" s="1"/>
  <c r="J25" i="150"/>
  <c r="K25" i="150" s="1"/>
  <c r="C24" i="150"/>
  <c r="E25" i="150"/>
  <c r="CB25" i="2"/>
  <c r="HO25" i="2"/>
  <c r="CX24" i="2"/>
  <c r="J44" i="106"/>
  <c r="I45" i="106"/>
  <c r="E23" i="129"/>
  <c r="C22" i="129"/>
  <c r="J23" i="129"/>
  <c r="K23" i="129" s="1"/>
  <c r="DS23" i="2"/>
  <c r="C23" i="77"/>
  <c r="E24" i="77"/>
  <c r="J24" i="77"/>
  <c r="K24" i="77" s="1"/>
  <c r="E22" i="73"/>
  <c r="C21" i="73"/>
  <c r="J22" i="73"/>
  <c r="K22" i="73" s="1"/>
  <c r="E23" i="94"/>
  <c r="C22" i="94"/>
  <c r="J23" i="94"/>
  <c r="K23" i="94" s="1"/>
  <c r="C22" i="99"/>
  <c r="E23" i="99"/>
  <c r="J23" i="99"/>
  <c r="K23" i="99" s="1"/>
  <c r="C23" i="48"/>
  <c r="E24" i="48"/>
  <c r="J24" i="48"/>
  <c r="K24" i="48" s="1"/>
  <c r="J43" i="146"/>
  <c r="I44" i="146"/>
  <c r="AJ25" i="2"/>
  <c r="I47" i="142"/>
  <c r="J46" i="142"/>
  <c r="K45" i="142" s="1"/>
  <c r="J45" i="41"/>
  <c r="K44" i="41" s="1"/>
  <c r="I46" i="41"/>
  <c r="I45" i="119"/>
  <c r="J44" i="119"/>
  <c r="C23" i="132"/>
  <c r="E24" i="132"/>
  <c r="J24" i="132"/>
  <c r="K24" i="132" s="1"/>
  <c r="J44" i="170"/>
  <c r="I45" i="170"/>
  <c r="I47" i="172"/>
  <c r="J46" i="172"/>
  <c r="I47" i="128"/>
  <c r="J46" i="128"/>
  <c r="K45" i="128" s="1"/>
  <c r="AU26" i="1"/>
  <c r="J43" i="105"/>
  <c r="K42" i="105" s="1"/>
  <c r="I44" i="105"/>
  <c r="I44" i="34"/>
  <c r="J43" i="34"/>
  <c r="K42" i="34" s="1"/>
  <c r="I45" i="108"/>
  <c r="J44" i="108"/>
  <c r="C21" i="84"/>
  <c r="E22" i="84"/>
  <c r="J22" i="84"/>
  <c r="K22" i="84" s="1"/>
  <c r="C23" i="140"/>
  <c r="E24" i="140"/>
  <c r="J24" i="140"/>
  <c r="K24" i="140" s="1"/>
  <c r="I45" i="86"/>
  <c r="J44" i="86"/>
  <c r="K43" i="86" s="1"/>
  <c r="I49" i="61"/>
  <c r="J48" i="61"/>
  <c r="K47" i="61" s="1"/>
  <c r="J46" i="127"/>
  <c r="I47" i="127"/>
  <c r="K45" i="62"/>
  <c r="I47" i="156"/>
  <c r="J46" i="156"/>
  <c r="K45" i="156" s="1"/>
  <c r="E23" i="57"/>
  <c r="C22" i="57"/>
  <c r="J23" i="57"/>
  <c r="K23" i="57" s="1"/>
  <c r="E25" i="7"/>
  <c r="C24" i="7"/>
  <c r="AT25" i="1"/>
  <c r="J25" i="7"/>
  <c r="K25" i="7" s="1"/>
  <c r="E24" i="36"/>
  <c r="C23" i="36"/>
  <c r="J24" i="36"/>
  <c r="K24" i="36" s="1"/>
  <c r="I45" i="121"/>
  <c r="J44" i="121"/>
  <c r="K43" i="121" s="1"/>
  <c r="J44" i="88"/>
  <c r="K43" i="88" s="1"/>
  <c r="I45" i="88"/>
  <c r="K46" i="79"/>
  <c r="C23" i="108"/>
  <c r="E24" i="108"/>
  <c r="J24" i="108"/>
  <c r="K24" i="108" s="1"/>
  <c r="I45" i="114"/>
  <c r="J44" i="114"/>
  <c r="K43" i="114" s="1"/>
  <c r="K45" i="127"/>
  <c r="C22" i="112"/>
  <c r="E23" i="112"/>
  <c r="J23" i="112"/>
  <c r="K23" i="112" s="1"/>
  <c r="I47" i="62"/>
  <c r="J46" i="62"/>
  <c r="E21" i="105"/>
  <c r="C20" i="105"/>
  <c r="J21" i="105"/>
  <c r="K21" i="105" s="1"/>
  <c r="J47" i="79"/>
  <c r="I48" i="79"/>
  <c r="I44" i="125"/>
  <c r="J43" i="125"/>
  <c r="K42" i="125" s="1"/>
  <c r="K42" i="108"/>
  <c r="J44" i="87"/>
  <c r="K43" i="87" s="1"/>
  <c r="I45" i="87"/>
  <c r="K42" i="88"/>
  <c r="E25" i="136"/>
  <c r="C24" i="136"/>
  <c r="J25" i="136"/>
  <c r="K25" i="136" s="1"/>
  <c r="I45" i="103"/>
  <c r="J44" i="103"/>
  <c r="K43" i="103" s="1"/>
  <c r="I49" i="75"/>
  <c r="J48" i="75"/>
  <c r="E22" i="47"/>
  <c r="C21" i="47"/>
  <c r="J22" i="47"/>
  <c r="K22" i="47" s="1"/>
  <c r="E24" i="114"/>
  <c r="C23" i="114"/>
  <c r="J24" i="114"/>
  <c r="K24" i="114" s="1"/>
  <c r="I45" i="70"/>
  <c r="J44" i="70"/>
  <c r="K43" i="70" s="1"/>
  <c r="AJ26" i="2"/>
  <c r="E25" i="170"/>
  <c r="C24" i="170"/>
  <c r="J25" i="170"/>
  <c r="K25" i="170" s="1"/>
  <c r="I45" i="53"/>
  <c r="J44" i="53"/>
  <c r="C22" i="137"/>
  <c r="E23" i="137"/>
  <c r="J23" i="137"/>
  <c r="K23" i="137" s="1"/>
  <c r="I45" i="31"/>
  <c r="J44" i="31"/>
  <c r="I46" i="149"/>
  <c r="J45" i="149"/>
  <c r="IK25" i="2"/>
  <c r="E22" i="26"/>
  <c r="C21" i="26"/>
  <c r="J22" i="26"/>
  <c r="K22" i="26" s="1"/>
  <c r="E21" i="102"/>
  <c r="C20" i="102"/>
  <c r="J21" i="102"/>
  <c r="K21" i="102" s="1"/>
  <c r="E23" i="128"/>
  <c r="C22" i="128"/>
  <c r="J23" i="128"/>
  <c r="K23" i="128" s="1"/>
  <c r="I45" i="80"/>
  <c r="J44" i="80"/>
  <c r="K43" i="80" s="1"/>
  <c r="CM25" i="2"/>
  <c r="I49" i="145"/>
  <c r="J48" i="145"/>
  <c r="J47" i="82"/>
  <c r="I48" i="82"/>
  <c r="I46" i="68"/>
  <c r="J45" i="68"/>
  <c r="K44" i="68" s="1"/>
  <c r="K42" i="119"/>
  <c r="C23" i="79"/>
  <c r="E24" i="79"/>
  <c r="J24" i="79"/>
  <c r="K24" i="79" s="1"/>
  <c r="E25" i="27"/>
  <c r="C24" i="27"/>
  <c r="IJ24" i="2" s="1"/>
  <c r="J25" i="27"/>
  <c r="K25" i="27" s="1"/>
  <c r="E24" i="122"/>
  <c r="C23" i="122"/>
  <c r="J24" i="122"/>
  <c r="K24" i="122" s="1"/>
  <c r="J43" i="65"/>
  <c r="I44" i="65"/>
  <c r="K46" i="75"/>
  <c r="E25" i="52"/>
  <c r="C24" i="52"/>
  <c r="BP25" i="2"/>
  <c r="J25" i="52"/>
  <c r="K25" i="52" s="1"/>
  <c r="E25" i="3"/>
  <c r="C24" i="3"/>
  <c r="J25" i="3"/>
  <c r="K25" i="3" s="1"/>
  <c r="I46" i="158"/>
  <c r="J45" i="158"/>
  <c r="K44" i="158" s="1"/>
  <c r="E25" i="174"/>
  <c r="C24" i="174"/>
  <c r="J25" i="174"/>
  <c r="K25" i="174" s="1"/>
  <c r="C24" i="91"/>
  <c r="E25" i="91"/>
  <c r="J25" i="91"/>
  <c r="K25" i="91" s="1"/>
  <c r="K46" i="145"/>
  <c r="K46" i="61"/>
  <c r="K42" i="116"/>
  <c r="E20" i="146"/>
  <c r="C19" i="146"/>
  <c r="J20" i="146"/>
  <c r="K20" i="146" s="1"/>
  <c r="E22" i="85"/>
  <c r="C21" i="85"/>
  <c r="J22" i="85"/>
  <c r="K22" i="85" s="1"/>
  <c r="E21" i="111"/>
  <c r="C20" i="111"/>
  <c r="J21" i="111"/>
  <c r="K21" i="111" s="1"/>
  <c r="E22" i="37"/>
  <c r="C21" i="37"/>
  <c r="J22" i="37"/>
  <c r="K22" i="37" s="1"/>
  <c r="BF26" i="2"/>
  <c r="I47" i="117"/>
  <c r="J46" i="117"/>
  <c r="I48" i="22"/>
  <c r="J47" i="22"/>
  <c r="IV26" i="2"/>
  <c r="K42" i="65"/>
  <c r="J45" i="18"/>
  <c r="K44" i="18" s="1"/>
  <c r="I46" i="18"/>
  <c r="I45" i="153"/>
  <c r="J44" i="153"/>
  <c r="K43" i="153" s="1"/>
  <c r="E24" i="63"/>
  <c r="C23" i="63"/>
  <c r="J24" i="63"/>
  <c r="K24" i="63" s="1"/>
  <c r="C20" i="43"/>
  <c r="E21" i="43"/>
  <c r="J21" i="43"/>
  <c r="K21" i="43" s="1"/>
  <c r="C23" i="89"/>
  <c r="E24" i="89"/>
  <c r="J24" i="89"/>
  <c r="K24" i="89" s="1"/>
  <c r="E23" i="67"/>
  <c r="C22" i="67"/>
  <c r="J23" i="67"/>
  <c r="K23" i="67" s="1"/>
  <c r="I45" i="33"/>
  <c r="J44" i="33"/>
  <c r="K43" i="33" s="1"/>
  <c r="E24" i="154"/>
  <c r="C23" i="154"/>
  <c r="J24" i="154"/>
  <c r="K24" i="154" s="1"/>
  <c r="E25" i="56"/>
  <c r="C24" i="56"/>
  <c r="J25" i="56"/>
  <c r="K25" i="56" s="1"/>
  <c r="I44" i="166"/>
  <c r="J43" i="166"/>
  <c r="DI25" i="2"/>
  <c r="I44" i="109"/>
  <c r="J43" i="109"/>
  <c r="K42" i="109" s="1"/>
  <c r="K46" i="22"/>
  <c r="C19" i="166"/>
  <c r="E20" i="166"/>
  <c r="J20" i="166"/>
  <c r="K20" i="166" s="1"/>
  <c r="CB26" i="1"/>
  <c r="I44" i="81"/>
  <c r="J43" i="81"/>
  <c r="K42" i="81" s="1"/>
  <c r="J45" i="93"/>
  <c r="K44" i="93" s="1"/>
  <c r="I46" i="93"/>
  <c r="I46" i="165"/>
  <c r="J45" i="165"/>
  <c r="E24" i="119"/>
  <c r="C23" i="119"/>
  <c r="J24" i="119"/>
  <c r="K24" i="119" s="1"/>
  <c r="E24" i="95"/>
  <c r="C23" i="95"/>
  <c r="J24" i="95"/>
  <c r="K24" i="95" s="1"/>
  <c r="EP26" i="2"/>
  <c r="E25" i="172"/>
  <c r="C24" i="172"/>
  <c r="J25" i="172"/>
  <c r="K25" i="172" s="1"/>
  <c r="K42" i="170"/>
  <c r="E22" i="120"/>
  <c r="C21" i="120"/>
  <c r="J22" i="120"/>
  <c r="K22" i="120" s="1"/>
  <c r="J44" i="168"/>
  <c r="I45" i="168"/>
  <c r="K44" i="128"/>
  <c r="J45" i="173"/>
  <c r="I46" i="173"/>
  <c r="BQ26" i="1"/>
  <c r="E25" i="6"/>
  <c r="C24" i="6"/>
  <c r="CA25" i="1"/>
  <c r="K44" i="165"/>
  <c r="J44" i="3"/>
  <c r="K43" i="3" s="1"/>
  <c r="I45" i="3"/>
  <c r="E25" i="29"/>
  <c r="C24" i="29"/>
  <c r="J25" i="29"/>
  <c r="K25" i="29" s="1"/>
  <c r="X25" i="1"/>
  <c r="BQ26" i="2"/>
  <c r="K46" i="71"/>
  <c r="E25" i="155"/>
  <c r="C24" i="155"/>
  <c r="J25" i="155"/>
  <c r="K25" i="155" s="1"/>
  <c r="J43" i="147"/>
  <c r="I44" i="147"/>
  <c r="J45" i="167"/>
  <c r="K44" i="167" s="1"/>
  <c r="I46" i="167"/>
  <c r="J45" i="60"/>
  <c r="I46" i="60"/>
  <c r="E24" i="31"/>
  <c r="C23" i="31"/>
  <c r="J24" i="31"/>
  <c r="K24" i="31" s="1"/>
  <c r="I45" i="57"/>
  <c r="J44" i="57"/>
  <c r="C22" i="4"/>
  <c r="E23" i="4"/>
  <c r="J23" i="4"/>
  <c r="K23" i="4" s="1"/>
  <c r="J44" i="73"/>
  <c r="K43" i="73" s="1"/>
  <c r="I45" i="73"/>
  <c r="K43" i="168"/>
  <c r="K44" i="173"/>
  <c r="HD26" i="2"/>
  <c r="C23" i="133"/>
  <c r="E24" i="133"/>
  <c r="J24" i="133"/>
  <c r="K24" i="133" s="1"/>
  <c r="DH24" i="2"/>
  <c r="K42" i="141"/>
  <c r="E22" i="168"/>
  <c r="C21" i="168"/>
  <c r="J22" i="168"/>
  <c r="K22" i="168" s="1"/>
  <c r="E23" i="64"/>
  <c r="C22" i="64"/>
  <c r="J23" i="64"/>
  <c r="K23" i="64" s="1"/>
  <c r="I46" i="129"/>
  <c r="J45" i="129"/>
  <c r="I45" i="116"/>
  <c r="J44" i="116"/>
  <c r="E23" i="83"/>
  <c r="C22" i="83"/>
  <c r="J23" i="83"/>
  <c r="K23" i="83" s="1"/>
  <c r="J47" i="71"/>
  <c r="I48" i="71"/>
  <c r="E20" i="87"/>
  <c r="C19" i="87"/>
  <c r="J20" i="87"/>
  <c r="K20" i="87" s="1"/>
  <c r="K44" i="60"/>
  <c r="K43" i="57"/>
  <c r="E23" i="25"/>
  <c r="C22" i="25"/>
  <c r="J23" i="25"/>
  <c r="K23" i="25" s="1"/>
  <c r="E21" i="34"/>
  <c r="C20" i="34"/>
  <c r="J21" i="34"/>
  <c r="K21" i="34" s="1"/>
  <c r="J43" i="35"/>
  <c r="K42" i="35" s="1"/>
  <c r="I44" i="35"/>
  <c r="E20" i="32"/>
  <c r="C19" i="32"/>
  <c r="J20" i="32"/>
  <c r="K20" i="32" s="1"/>
  <c r="E23" i="66"/>
  <c r="C22" i="66"/>
  <c r="J23" i="66"/>
  <c r="K23" i="66" s="1"/>
  <c r="I44" i="36"/>
  <c r="J43" i="36"/>
  <c r="J43" i="141"/>
  <c r="I44" i="141"/>
  <c r="I44" i="140"/>
  <c r="J43" i="140"/>
  <c r="K42" i="140" s="1"/>
  <c r="C24" i="8"/>
  <c r="E25" i="8"/>
  <c r="HC25" i="2"/>
  <c r="BP25" i="1"/>
  <c r="J25" i="8"/>
  <c r="K25" i="8" s="1"/>
  <c r="J48" i="12"/>
  <c r="K47" i="12" s="1"/>
  <c r="I49" i="12"/>
  <c r="I45" i="21"/>
  <c r="J44" i="21"/>
  <c r="K43" i="21" s="1"/>
  <c r="I45" i="19"/>
  <c r="J44" i="19"/>
  <c r="K43" i="19" s="1"/>
  <c r="E23" i="135"/>
  <c r="C22" i="135"/>
  <c r="J23" i="135"/>
  <c r="K23" i="135" s="1"/>
  <c r="I46" i="139"/>
  <c r="J45" i="139"/>
  <c r="K44" i="139" s="1"/>
  <c r="K47" i="7"/>
  <c r="E22" i="72"/>
  <c r="C21" i="72"/>
  <c r="J22" i="72"/>
  <c r="K22" i="72" s="1"/>
  <c r="I44" i="11"/>
  <c r="J43" i="11"/>
  <c r="I46" i="23"/>
  <c r="J45" i="23"/>
  <c r="K44" i="23" s="1"/>
  <c r="I45" i="154"/>
  <c r="J44" i="154"/>
  <c r="J44" i="138"/>
  <c r="I45" i="138"/>
  <c r="I49" i="134"/>
  <c r="J48" i="134"/>
  <c r="K47" i="134" s="1"/>
  <c r="C22" i="16"/>
  <c r="E23" i="16"/>
  <c r="J23" i="16"/>
  <c r="K23" i="16" s="1"/>
  <c r="C23" i="80"/>
  <c r="E24" i="80"/>
  <c r="J24" i="80"/>
  <c r="K24" i="80" s="1"/>
  <c r="E20" i="157"/>
  <c r="C19" i="157"/>
  <c r="J20" i="157"/>
  <c r="K20" i="157" s="1"/>
  <c r="E24" i="10"/>
  <c r="C23" i="10"/>
  <c r="J24" i="10"/>
  <c r="K24" i="10" s="1"/>
  <c r="I45" i="49"/>
  <c r="J44" i="49"/>
  <c r="K43" i="49" s="1"/>
  <c r="K43" i="138"/>
  <c r="I45" i="5"/>
  <c r="J44" i="5"/>
  <c r="I63" i="150"/>
  <c r="J62" i="150"/>
  <c r="K61" i="150" s="1"/>
  <c r="C22" i="11"/>
  <c r="E23" i="11"/>
  <c r="J23" i="11"/>
  <c r="K23" i="11" s="1"/>
  <c r="E24" i="101"/>
  <c r="C23" i="101"/>
  <c r="J24" i="101"/>
  <c r="K24" i="101" s="1"/>
  <c r="D64" i="1"/>
  <c r="BR64" i="1"/>
  <c r="Z64" i="1"/>
  <c r="O64" i="1"/>
  <c r="AK64" i="1"/>
  <c r="AV64" i="1"/>
  <c r="CC64" i="1"/>
  <c r="I46" i="118"/>
  <c r="J45" i="118"/>
  <c r="J48" i="7"/>
  <c r="I49" i="7"/>
  <c r="J43" i="64"/>
  <c r="K42" i="64" s="1"/>
  <c r="I44" i="64"/>
  <c r="J45" i="157"/>
  <c r="K44" i="157" s="1"/>
  <c r="I46" i="157"/>
  <c r="J44" i="155"/>
  <c r="K43" i="155" s="1"/>
  <c r="I45" i="155"/>
  <c r="EP25" i="2"/>
  <c r="E24" i="97"/>
  <c r="C23" i="97"/>
  <c r="EO24" i="2"/>
  <c r="J24" i="97"/>
  <c r="K24" i="97" s="1"/>
  <c r="E25" i="92"/>
  <c r="C24" i="92"/>
  <c r="J25" i="92"/>
  <c r="K25" i="92" s="1"/>
  <c r="I44" i="102"/>
  <c r="J43" i="102"/>
  <c r="K42" i="102" s="1"/>
  <c r="E23" i="81"/>
  <c r="C22" i="81"/>
  <c r="J23" i="81"/>
  <c r="K23" i="81" s="1"/>
  <c r="K43" i="158"/>
  <c r="K42" i="95"/>
  <c r="E22" i="40"/>
  <c r="C21" i="40"/>
  <c r="J22" i="40"/>
  <c r="K22" i="40" s="1"/>
  <c r="I46" i="25"/>
  <c r="J45" i="25"/>
  <c r="K44" i="25" s="1"/>
  <c r="E22" i="62"/>
  <c r="C21" i="62"/>
  <c r="J22" i="62"/>
  <c r="K22" i="62" s="1"/>
  <c r="D64" i="2"/>
  <c r="DU64" i="2"/>
  <c r="FM64" i="2"/>
  <c r="CC64" i="2"/>
  <c r="O64" i="2"/>
  <c r="DJ64" i="2"/>
  <c r="IL64" i="2"/>
  <c r="FB64" i="2"/>
  <c r="BG64" i="2"/>
  <c r="IW64" i="2"/>
  <c r="HP64" i="2"/>
  <c r="CY64" i="2"/>
  <c r="IA64" i="2"/>
  <c r="EQ64" i="2"/>
  <c r="CN64" i="2"/>
  <c r="FX64" i="2"/>
  <c r="EF64" i="2"/>
  <c r="AV64" i="2"/>
  <c r="HE64" i="2"/>
  <c r="GT64" i="2"/>
  <c r="BR64" i="2"/>
  <c r="Z64" i="2"/>
  <c r="AK64" i="2"/>
  <c r="E25" i="90"/>
  <c r="C24" i="90"/>
  <c r="J25" i="90"/>
  <c r="K25" i="90" s="1"/>
  <c r="K44" i="118"/>
  <c r="E22" i="124"/>
  <c r="C21" i="124"/>
  <c r="J22" i="124"/>
  <c r="K22" i="124" s="1"/>
  <c r="J46" i="122"/>
  <c r="I47" i="122"/>
  <c r="E23" i="126"/>
  <c r="C22" i="126"/>
  <c r="J23" i="126"/>
  <c r="K23" i="126" s="1"/>
  <c r="I44" i="69"/>
  <c r="J43" i="69"/>
  <c r="K42" i="69" s="1"/>
  <c r="K46" i="32"/>
  <c r="I45" i="137"/>
  <c r="J44" i="137"/>
  <c r="K43" i="137" s="1"/>
  <c r="J43" i="95"/>
  <c r="I44" i="95"/>
  <c r="E24" i="35"/>
  <c r="C23" i="35"/>
  <c r="J24" i="35"/>
  <c r="K24" i="35" s="1"/>
  <c r="C24" i="58"/>
  <c r="E25" i="58"/>
  <c r="J25" i="58"/>
  <c r="K25" i="58" s="1"/>
  <c r="E21" i="165"/>
  <c r="C20" i="165"/>
  <c r="J21" i="165"/>
  <c r="K21" i="165" s="1"/>
  <c r="I47" i="26"/>
  <c r="J46" i="26"/>
  <c r="K45" i="26" s="1"/>
  <c r="BG64" i="1"/>
  <c r="BF64" i="1"/>
  <c r="J44" i="97"/>
  <c r="I45" i="97"/>
  <c r="C22" i="139"/>
  <c r="E23" i="139"/>
  <c r="J23" i="139"/>
  <c r="K23" i="139" s="1"/>
  <c r="J47" i="32"/>
  <c r="I48" i="32"/>
  <c r="I47" i="29"/>
  <c r="J46" i="29"/>
  <c r="K45" i="29" s="1"/>
  <c r="I46" i="63"/>
  <c r="J45" i="63"/>
  <c r="K44" i="63" s="1"/>
  <c r="K41" i="69"/>
  <c r="E23" i="161"/>
  <c r="C22" i="161"/>
  <c r="J23" i="161"/>
  <c r="K23" i="161" s="1"/>
  <c r="I49" i="74"/>
  <c r="J48" i="74"/>
  <c r="K47" i="74" s="1"/>
  <c r="I47" i="16"/>
  <c r="J46" i="16"/>
  <c r="K45" i="16" s="1"/>
  <c r="C21" i="163"/>
  <c r="E22" i="163"/>
  <c r="J22" i="163"/>
  <c r="K22" i="163" s="1"/>
  <c r="J43" i="163"/>
  <c r="I44" i="163"/>
  <c r="J43" i="148"/>
  <c r="I44" i="148"/>
  <c r="K44" i="127"/>
  <c r="GI64" i="2"/>
  <c r="GH64" i="2"/>
  <c r="K46" i="59"/>
  <c r="I47" i="101"/>
  <c r="J46" i="101"/>
  <c r="IV25" i="2"/>
  <c r="C23" i="76"/>
  <c r="E24" i="76"/>
  <c r="J24" i="76"/>
  <c r="K24" i="76" s="1"/>
  <c r="E23" i="75"/>
  <c r="C22" i="75"/>
  <c r="J23" i="75"/>
  <c r="K23" i="75" s="1"/>
  <c r="J43" i="47"/>
  <c r="K42" i="47" s="1"/>
  <c r="I44" i="47"/>
  <c r="K43" i="53"/>
  <c r="E25" i="158"/>
  <c r="C24" i="158"/>
  <c r="J25" i="158"/>
  <c r="K25" i="158" s="1"/>
  <c r="I48" i="14"/>
  <c r="J47" i="14"/>
  <c r="K46" i="14" s="1"/>
  <c r="I44" i="143"/>
  <c r="J43" i="143"/>
  <c r="GS26" i="2"/>
  <c r="E24" i="44"/>
  <c r="C23" i="44"/>
  <c r="J24" i="44"/>
  <c r="K24" i="44" s="1"/>
  <c r="J44" i="111"/>
  <c r="I45" i="111"/>
  <c r="J43" i="100"/>
  <c r="I44" i="100"/>
  <c r="J46" i="77"/>
  <c r="I47" i="77"/>
  <c r="K42" i="163"/>
  <c r="K41" i="163"/>
  <c r="E22" i="123"/>
  <c r="C21" i="123"/>
  <c r="J22" i="123"/>
  <c r="K22" i="123" s="1"/>
  <c r="FA25" i="2"/>
  <c r="K42" i="31"/>
  <c r="E63" i="24"/>
  <c r="C62" i="24"/>
  <c r="GG63" i="2"/>
  <c r="BE63" i="1"/>
  <c r="C63" i="1"/>
  <c r="C63" i="2"/>
  <c r="K42" i="87"/>
  <c r="E25" i="107"/>
  <c r="C24" i="107"/>
  <c r="BE24" i="2" s="1"/>
  <c r="J25" i="107"/>
  <c r="K25" i="107" s="1"/>
  <c r="I45" i="52"/>
  <c r="J44" i="52"/>
  <c r="K43" i="52" s="1"/>
  <c r="E23" i="22"/>
  <c r="C22" i="22"/>
  <c r="J23" i="22"/>
  <c r="K23" i="22" s="1"/>
  <c r="J47" i="94"/>
  <c r="K46" i="94" s="1"/>
  <c r="I48" i="94"/>
  <c r="C24" i="53"/>
  <c r="E25" i="53"/>
  <c r="J25" i="53"/>
  <c r="K25" i="53" s="1"/>
  <c r="C24" i="55"/>
  <c r="E25" i="55"/>
  <c r="J25" i="55"/>
  <c r="K25" i="55" s="1"/>
  <c r="E23" i="9"/>
  <c r="C22" i="9"/>
  <c r="J23" i="9"/>
  <c r="K23" i="9" s="1"/>
  <c r="E21" i="131"/>
  <c r="C20" i="131"/>
  <c r="J21" i="131"/>
  <c r="K21" i="131" s="1"/>
  <c r="I48" i="27"/>
  <c r="J47" i="27"/>
  <c r="E22" i="106"/>
  <c r="C21" i="106"/>
  <c r="J22" i="106"/>
  <c r="K22" i="106" s="1"/>
  <c r="I46" i="99"/>
  <c r="J45" i="99"/>
  <c r="I44" i="171"/>
  <c r="J43" i="171"/>
  <c r="K42" i="171" s="1"/>
  <c r="K45" i="59"/>
  <c r="E24" i="13"/>
  <c r="C23" i="13"/>
  <c r="J24" i="13"/>
  <c r="K24" i="13" s="1"/>
  <c r="IU24" i="2"/>
  <c r="C21" i="86"/>
  <c r="E22" i="86"/>
  <c r="J22" i="86"/>
  <c r="K22" i="86" s="1"/>
  <c r="K46" i="27"/>
  <c r="C23" i="145"/>
  <c r="E24" i="145"/>
  <c r="J24" i="145"/>
  <c r="K24" i="145" s="1"/>
  <c r="E24" i="134"/>
  <c r="C23" i="134"/>
  <c r="EZ24" i="2"/>
  <c r="J24" i="134"/>
  <c r="K24" i="134" s="1"/>
  <c r="I46" i="124"/>
  <c r="J45" i="124"/>
  <c r="K44" i="124" s="1"/>
  <c r="C22" i="104"/>
  <c r="E23" i="104"/>
  <c r="J23" i="104"/>
  <c r="K23" i="104" s="1"/>
  <c r="E24" i="78"/>
  <c r="C23" i="78"/>
  <c r="J24" i="78"/>
  <c r="K24" i="78" s="1"/>
  <c r="E22" i="171"/>
  <c r="C21" i="171"/>
  <c r="J22" i="171"/>
  <c r="K22" i="171" s="1"/>
  <c r="I45" i="169"/>
  <c r="J44" i="169"/>
  <c r="K43" i="169" s="1"/>
  <c r="M25" i="1"/>
  <c r="E25" i="12"/>
  <c r="C24" i="12"/>
  <c r="X25" i="2"/>
  <c r="J25" i="12"/>
  <c r="K25" i="12" s="1"/>
  <c r="J44" i="131"/>
  <c r="I45" i="131"/>
  <c r="I48" i="24"/>
  <c r="K44" i="77"/>
  <c r="E22" i="141"/>
  <c r="C21" i="141"/>
  <c r="J22" i="141"/>
  <c r="K22" i="141" s="1"/>
  <c r="N25" i="2"/>
  <c r="K42" i="137"/>
  <c r="E24" i="20"/>
  <c r="C23" i="20"/>
  <c r="J24" i="20"/>
  <c r="K24" i="20" s="1"/>
  <c r="E23" i="68"/>
  <c r="C22" i="68"/>
  <c r="J23" i="68"/>
  <c r="K23" i="68" s="1"/>
  <c r="E25" i="42"/>
  <c r="C24" i="42"/>
  <c r="J25" i="42"/>
  <c r="K25" i="42" s="1"/>
  <c r="FV25" i="2"/>
  <c r="Y26" i="1"/>
  <c r="I45" i="126"/>
  <c r="J44" i="126"/>
  <c r="E23" i="118"/>
  <c r="C22" i="118"/>
  <c r="J23" i="118"/>
  <c r="K23" i="118" s="1"/>
  <c r="K42" i="144"/>
  <c r="E24" i="38"/>
  <c r="C23" i="38"/>
  <c r="J24" i="38"/>
  <c r="K24" i="38" s="1"/>
  <c r="I47" i="13"/>
  <c r="J46" i="13"/>
  <c r="K45" i="13" s="1"/>
  <c r="E24" i="33"/>
  <c r="C23" i="33"/>
  <c r="J24" i="33"/>
  <c r="K24" i="33" s="1"/>
  <c r="C22" i="103"/>
  <c r="E23" i="103"/>
  <c r="J23" i="103"/>
  <c r="K23" i="103" s="1"/>
  <c r="J44" i="104"/>
  <c r="I45" i="104"/>
  <c r="I47" i="107"/>
  <c r="J46" i="107"/>
  <c r="K43" i="85"/>
  <c r="E25" i="14"/>
  <c r="C24" i="14"/>
  <c r="J25" i="14"/>
  <c r="K25" i="14" s="1"/>
  <c r="J43" i="130"/>
  <c r="I44" i="130"/>
  <c r="J45" i="28"/>
  <c r="K44" i="28" s="1"/>
  <c r="I46" i="28"/>
  <c r="E18" i="82"/>
  <c r="C17" i="82"/>
  <c r="J18" i="82"/>
  <c r="K18" i="82" s="1"/>
  <c r="K46" i="7"/>
  <c r="C24" i="28"/>
  <c r="E25" i="28"/>
  <c r="J25" i="28"/>
  <c r="K25" i="28" s="1"/>
  <c r="K47" i="15"/>
  <c r="J43" i="174"/>
  <c r="I44" i="174"/>
  <c r="E23" i="148"/>
  <c r="C22" i="148"/>
  <c r="J23" i="148"/>
  <c r="K23" i="148" s="1"/>
  <c r="J46" i="9"/>
  <c r="K45" i="9" s="1"/>
  <c r="I47" i="9"/>
  <c r="J46" i="78"/>
  <c r="K45" i="78" s="1"/>
  <c r="I47" i="78"/>
  <c r="C24" i="109"/>
  <c r="E25" i="109"/>
  <c r="ED25" i="2"/>
  <c r="J25" i="109"/>
  <c r="K25" i="109" s="1"/>
  <c r="K43" i="126"/>
  <c r="K42" i="17"/>
  <c r="I44" i="40"/>
  <c r="J43" i="40"/>
  <c r="K42" i="40" s="1"/>
  <c r="E23" i="144"/>
  <c r="C22" i="144"/>
  <c r="J23" i="144"/>
  <c r="K23" i="144" s="1"/>
  <c r="HY25" i="2"/>
  <c r="I45" i="85"/>
  <c r="J44" i="85"/>
  <c r="J46" i="152"/>
  <c r="I47" i="152"/>
  <c r="I45" i="39"/>
  <c r="J44" i="39"/>
  <c r="K43" i="39" s="1"/>
  <c r="I49" i="15"/>
  <c r="J48" i="15"/>
  <c r="E22" i="69"/>
  <c r="C21" i="69"/>
  <c r="J22" i="69"/>
  <c r="K22" i="69" s="1"/>
  <c r="K42" i="174"/>
  <c r="N26" i="1"/>
  <c r="C21" i="115"/>
  <c r="E22" i="115"/>
  <c r="J22" i="115"/>
  <c r="K22" i="115" s="1"/>
  <c r="J44" i="84"/>
  <c r="K43" i="84" s="1"/>
  <c r="I45" i="84"/>
  <c r="K44" i="44"/>
  <c r="K43" i="76"/>
  <c r="J43" i="17"/>
  <c r="I44" i="17"/>
  <c r="C23" i="147"/>
  <c r="E24" i="147"/>
  <c r="J24" i="147"/>
  <c r="K24" i="147" s="1"/>
  <c r="I46" i="83"/>
  <c r="J45" i="83"/>
  <c r="C23" i="15"/>
  <c r="E24" i="15"/>
  <c r="J24" i="15"/>
  <c r="K24" i="15" s="1"/>
  <c r="E21" i="45"/>
  <c r="C20" i="45"/>
  <c r="J21" i="45"/>
  <c r="K21" i="45" s="1"/>
  <c r="C23" i="169"/>
  <c r="E24" i="169"/>
  <c r="HY24" i="2"/>
  <c r="J24" i="169"/>
  <c r="K24" i="169" s="1"/>
  <c r="E24" i="125"/>
  <c r="C23" i="125"/>
  <c r="J24" i="125"/>
  <c r="K24" i="125" s="1"/>
  <c r="J47" i="42"/>
  <c r="K46" i="42" s="1"/>
  <c r="I48" i="42"/>
  <c r="K42" i="103"/>
  <c r="K41" i="64"/>
  <c r="K42" i="121"/>
  <c r="I45" i="144"/>
  <c r="J44" i="144"/>
  <c r="K43" i="144" s="1"/>
  <c r="EE26" i="2"/>
  <c r="E24" i="142"/>
  <c r="C23" i="142"/>
  <c r="J24" i="142"/>
  <c r="K24" i="142" s="1"/>
  <c r="C22" i="116"/>
  <c r="E23" i="116"/>
  <c r="J23" i="116"/>
  <c r="K23" i="116" s="1"/>
  <c r="J46" i="132"/>
  <c r="K45" i="132" s="1"/>
  <c r="I47" i="132"/>
  <c r="J46" i="89"/>
  <c r="I47" i="89"/>
  <c r="K44" i="16"/>
  <c r="K41" i="102"/>
  <c r="J44" i="4"/>
  <c r="K43" i="4" s="1"/>
  <c r="I45" i="4"/>
  <c r="K41" i="143"/>
  <c r="K41" i="147"/>
  <c r="I46" i="44"/>
  <c r="J45" i="44"/>
  <c r="J44" i="76"/>
  <c r="I45" i="76"/>
  <c r="C23" i="71"/>
  <c r="E24" i="71"/>
  <c r="J24" i="71"/>
  <c r="K24" i="71" s="1"/>
  <c r="K42" i="86"/>
  <c r="E25" i="121"/>
  <c r="C24" i="121"/>
  <c r="J25" i="121"/>
  <c r="K25" i="121" s="1"/>
  <c r="E24" i="164"/>
  <c r="C23" i="164"/>
  <c r="J24" i="164"/>
  <c r="K24" i="164" s="1"/>
  <c r="K42" i="114"/>
  <c r="E23" i="113"/>
  <c r="C22" i="113"/>
  <c r="J23" i="113"/>
  <c r="K23" i="113" s="1"/>
  <c r="K45" i="32"/>
  <c r="K41" i="47"/>
  <c r="C24" i="143"/>
  <c r="E25" i="143"/>
  <c r="J25" i="143"/>
  <c r="K25" i="143" s="1"/>
  <c r="AJ26" i="1"/>
  <c r="C21" i="173"/>
  <c r="E22" i="173"/>
  <c r="J22" i="173"/>
  <c r="K22" i="173" s="1"/>
  <c r="J43" i="43"/>
  <c r="K42" i="43" s="1"/>
  <c r="I44" i="43"/>
  <c r="C21" i="39"/>
  <c r="E22" i="39"/>
  <c r="J22" i="39"/>
  <c r="K22" i="39" s="1"/>
  <c r="I46" i="159"/>
  <c r="J45" i="159"/>
  <c r="K44" i="159" s="1"/>
  <c r="E23" i="60"/>
  <c r="C22" i="60"/>
  <c r="J23" i="60"/>
  <c r="K23" i="60" s="1"/>
  <c r="E20" i="138"/>
  <c r="C19" i="138"/>
  <c r="J20" i="138"/>
  <c r="K20" i="138" s="1"/>
  <c r="I45" i="50"/>
  <c r="J44" i="50"/>
  <c r="I46" i="113"/>
  <c r="J45" i="113"/>
  <c r="K44" i="113" s="1"/>
  <c r="J43" i="110"/>
  <c r="I44" i="110"/>
  <c r="C22" i="110"/>
  <c r="E23" i="110"/>
  <c r="J23" i="110"/>
  <c r="K23" i="110" s="1"/>
  <c r="FK25" i="2"/>
  <c r="I49" i="46"/>
  <c r="J48" i="46"/>
  <c r="K47" i="46" s="1"/>
  <c r="I44" i="58"/>
  <c r="J43" i="58"/>
  <c r="E20" i="30"/>
  <c r="C19" i="30"/>
  <c r="J20" i="30"/>
  <c r="K20" i="30" s="1"/>
  <c r="I45" i="162"/>
  <c r="J44" i="162"/>
  <c r="K43" i="162" s="1"/>
  <c r="C23" i="88"/>
  <c r="E24" i="88"/>
  <c r="FK24" i="2"/>
  <c r="J24" i="88"/>
  <c r="K24" i="88" s="1"/>
  <c r="J45" i="10"/>
  <c r="K44" i="10" s="1"/>
  <c r="I46" i="10"/>
  <c r="J46" i="51"/>
  <c r="I47" i="51"/>
  <c r="AU26" i="2"/>
  <c r="K42" i="58"/>
  <c r="I45" i="20"/>
  <c r="J44" i="20"/>
  <c r="I45" i="54"/>
  <c r="J44" i="54"/>
  <c r="E23" i="54"/>
  <c r="C22" i="54"/>
  <c r="J23" i="54"/>
  <c r="K23" i="54" s="1"/>
  <c r="I46" i="37"/>
  <c r="J45" i="37"/>
  <c r="K44" i="37" s="1"/>
  <c r="J45" i="66"/>
  <c r="I46" i="66"/>
  <c r="C23" i="153"/>
  <c r="E24" i="153"/>
  <c r="J24" i="153"/>
  <c r="K24" i="153" s="1"/>
  <c r="Y26" i="2"/>
  <c r="J44" i="161"/>
  <c r="K43" i="161" s="1"/>
  <c r="I45" i="161"/>
  <c r="K43" i="131"/>
  <c r="J43" i="45"/>
  <c r="I44" i="45"/>
  <c r="E23" i="5"/>
  <c r="C22" i="5"/>
  <c r="J23" i="5"/>
  <c r="K23" i="5" s="1"/>
  <c r="BE25" i="2"/>
  <c r="I46" i="115"/>
  <c r="J45" i="115"/>
  <c r="K42" i="112"/>
  <c r="E23" i="19"/>
  <c r="C22" i="19"/>
  <c r="J23" i="19"/>
  <c r="K23" i="19" s="1"/>
  <c r="C23" i="96"/>
  <c r="E24" i="96"/>
  <c r="J24" i="96"/>
  <c r="K24" i="96" s="1"/>
  <c r="K42" i="104"/>
  <c r="C24" i="46"/>
  <c r="E25" i="46"/>
  <c r="J25" i="46"/>
  <c r="K25" i="46" s="1"/>
  <c r="AI25" i="1"/>
  <c r="E24" i="117"/>
  <c r="C23" i="117"/>
  <c r="J24" i="117"/>
  <c r="K24" i="117" s="1"/>
  <c r="J45" i="72"/>
  <c r="I46" i="72"/>
  <c r="K44" i="66"/>
  <c r="I45" i="67"/>
  <c r="J44" i="67"/>
  <c r="K43" i="67" s="1"/>
  <c r="K43" i="66"/>
  <c r="K42" i="4"/>
  <c r="I45" i="56"/>
  <c r="J44" i="56"/>
  <c r="J44" i="123"/>
  <c r="K43" i="123" s="1"/>
  <c r="I45" i="123"/>
  <c r="C22" i="18"/>
  <c r="E23" i="18"/>
  <c r="J23" i="18"/>
  <c r="K23" i="18" s="1"/>
  <c r="E25" i="50"/>
  <c r="C24" i="50"/>
  <c r="AT25" i="2"/>
  <c r="J25" i="50"/>
  <c r="K25" i="50" s="1"/>
  <c r="K41" i="125"/>
  <c r="E24" i="41"/>
  <c r="C23" i="41"/>
  <c r="J24" i="41"/>
  <c r="K24" i="41" s="1"/>
  <c r="J44" i="151"/>
  <c r="K43" i="151" s="1"/>
  <c r="I45" i="151"/>
  <c r="K41" i="40"/>
  <c r="I44" i="112"/>
  <c r="J43" i="112"/>
  <c r="K41" i="112"/>
  <c r="I47" i="164"/>
  <c r="J46" i="164"/>
  <c r="K45" i="164" s="1"/>
  <c r="E24" i="23"/>
  <c r="C23" i="23"/>
  <c r="J24" i="23"/>
  <c r="K24" i="23" s="1"/>
  <c r="I44" i="8"/>
  <c r="J43" i="8"/>
  <c r="K41" i="166"/>
  <c r="K44" i="117"/>
  <c r="I46" i="92"/>
  <c r="J45" i="92"/>
  <c r="K45" i="79"/>
  <c r="C20" i="160"/>
  <c r="E21" i="160"/>
  <c r="J21" i="160"/>
  <c r="K21" i="160" s="1"/>
  <c r="J46" i="135"/>
  <c r="K45" i="135" s="1"/>
  <c r="I47" i="135"/>
  <c r="E24" i="162"/>
  <c r="C23" i="162"/>
  <c r="J24" i="162"/>
  <c r="K24" i="162" s="1"/>
  <c r="FW26" i="2"/>
  <c r="I44" i="55"/>
  <c r="J43" i="55"/>
  <c r="K41" i="34"/>
  <c r="K43" i="167"/>
  <c r="E24" i="70"/>
  <c r="C23" i="70"/>
  <c r="J24" i="70"/>
  <c r="K24" i="70" s="1"/>
  <c r="E24" i="21"/>
  <c r="C23" i="21"/>
  <c r="J24" i="21"/>
  <c r="K24" i="21" s="1"/>
  <c r="C22" i="167"/>
  <c r="E23" i="167"/>
  <c r="J23" i="167"/>
  <c r="K23" i="167" s="1"/>
  <c r="K42" i="90"/>
  <c r="E25" i="100"/>
  <c r="C24" i="100"/>
  <c r="J25" i="100"/>
  <c r="K25" i="100" s="1"/>
  <c r="I44" i="96"/>
  <c r="J43" i="96"/>
  <c r="K42" i="151"/>
  <c r="K43" i="60"/>
  <c r="I47" i="136"/>
  <c r="J46" i="136"/>
  <c r="K45" i="136" s="1"/>
  <c r="I44" i="160"/>
  <c r="J43" i="160"/>
  <c r="K42" i="160" s="1"/>
  <c r="K41" i="109"/>
  <c r="J46" i="48"/>
  <c r="K45" i="48" s="1"/>
  <c r="I47" i="48"/>
  <c r="K42" i="67"/>
  <c r="J43" i="38"/>
  <c r="I44" i="38"/>
  <c r="J43" i="90"/>
  <c r="I44" i="90"/>
  <c r="K41" i="96"/>
  <c r="DT24" i="2"/>
  <c r="E22" i="159"/>
  <c r="C21" i="159"/>
  <c r="J22" i="159"/>
  <c r="K22" i="159" s="1"/>
  <c r="C24" i="49"/>
  <c r="E25" i="49"/>
  <c r="J25" i="49"/>
  <c r="K25" i="49" s="1"/>
  <c r="K42" i="97"/>
  <c r="C22" i="17"/>
  <c r="E23" i="17"/>
  <c r="J23" i="17"/>
  <c r="K23" i="17" s="1"/>
  <c r="C23" i="151"/>
  <c r="E24" i="151"/>
  <c r="J24" i="151"/>
  <c r="K24" i="151" s="1"/>
  <c r="I44" i="120"/>
  <c r="J43" i="120"/>
  <c r="K42" i="120" s="1"/>
  <c r="E22" i="127"/>
  <c r="C21" i="127"/>
  <c r="J22" i="127"/>
  <c r="K22" i="127" s="1"/>
  <c r="K42" i="161"/>
  <c r="K42" i="154"/>
  <c r="K43" i="106"/>
  <c r="J48" i="133"/>
  <c r="K47" i="133" s="1"/>
  <c r="I49" i="133"/>
  <c r="K42" i="11"/>
  <c r="K42" i="146"/>
  <c r="I44" i="91"/>
  <c r="J43" i="91"/>
  <c r="K42" i="91" s="1"/>
  <c r="K41" i="100"/>
  <c r="E23" i="65"/>
  <c r="C22" i="65"/>
  <c r="J23" i="65"/>
  <c r="K23" i="65" s="1"/>
  <c r="C21" i="51"/>
  <c r="E22" i="51"/>
  <c r="J22" i="51"/>
  <c r="K22" i="51" s="1"/>
  <c r="K46" i="74"/>
  <c r="C24" i="152"/>
  <c r="M24" i="2" s="1"/>
  <c r="E25" i="152"/>
  <c r="J25" i="152"/>
  <c r="K25" i="152" s="1"/>
  <c r="I47" i="98"/>
  <c r="J46" i="98"/>
  <c r="K45" i="98" s="1"/>
  <c r="CX25" i="2"/>
  <c r="I46" i="30"/>
  <c r="J45" i="30"/>
  <c r="K44" i="30" s="1"/>
  <c r="K44" i="172"/>
  <c r="C24" i="93"/>
  <c r="E25" i="93"/>
  <c r="J25" i="93"/>
  <c r="K25" i="93" s="1"/>
  <c r="K42" i="21"/>
  <c r="K44" i="48"/>
  <c r="GR25" i="2"/>
  <c r="E24" i="156" l="1"/>
  <c r="C23" i="156"/>
  <c r="J24" i="156"/>
  <c r="K24" i="156" s="1"/>
  <c r="J23" i="149"/>
  <c r="K23" i="149" s="1"/>
  <c r="E23" i="149"/>
  <c r="C22" i="149"/>
  <c r="E24" i="130"/>
  <c r="C23" i="130"/>
  <c r="J24" i="130"/>
  <c r="K24" i="130" s="1"/>
  <c r="C18" i="98"/>
  <c r="E19" i="98"/>
  <c r="J19" i="98"/>
  <c r="K19" i="98" s="1"/>
  <c r="C23" i="74"/>
  <c r="E24" i="74"/>
  <c r="J24" i="74"/>
  <c r="K24" i="74" s="1"/>
  <c r="C22" i="61"/>
  <c r="E23" i="61"/>
  <c r="J23" i="61"/>
  <c r="K23" i="61" s="1"/>
  <c r="C22" i="59"/>
  <c r="E23" i="59"/>
  <c r="J23" i="59"/>
  <c r="K23" i="59" s="1"/>
  <c r="C23" i="150"/>
  <c r="E24" i="150"/>
  <c r="J24" i="150"/>
  <c r="K24" i="150" s="1"/>
  <c r="N24" i="2"/>
  <c r="IK24" i="2"/>
  <c r="C23" i="109"/>
  <c r="E24" i="109"/>
  <c r="ED24" i="2"/>
  <c r="J24" i="109"/>
  <c r="K24" i="109" s="1"/>
  <c r="E23" i="96"/>
  <c r="C22" i="96"/>
  <c r="J23" i="96"/>
  <c r="K23" i="96" s="1"/>
  <c r="I47" i="44"/>
  <c r="J46" i="44"/>
  <c r="K45" i="44" s="1"/>
  <c r="E23" i="38"/>
  <c r="C22" i="38"/>
  <c r="J23" i="38"/>
  <c r="K23" i="38" s="1"/>
  <c r="FA24" i="2"/>
  <c r="E23" i="31"/>
  <c r="C22" i="31"/>
  <c r="J23" i="31"/>
  <c r="K23" i="31" s="1"/>
  <c r="I46" i="153"/>
  <c r="J45" i="153"/>
  <c r="C23" i="91"/>
  <c r="E24" i="91"/>
  <c r="J24" i="91"/>
  <c r="K24" i="91" s="1"/>
  <c r="C23" i="170"/>
  <c r="E24" i="170"/>
  <c r="J24" i="170"/>
  <c r="K24" i="170" s="1"/>
  <c r="E23" i="48"/>
  <c r="C22" i="48"/>
  <c r="J23" i="48"/>
  <c r="K23" i="48" s="1"/>
  <c r="J49" i="133"/>
  <c r="K48" i="133" s="1"/>
  <c r="I50" i="133"/>
  <c r="C22" i="153"/>
  <c r="E23" i="153"/>
  <c r="J23" i="153"/>
  <c r="K23" i="153" s="1"/>
  <c r="I48" i="48"/>
  <c r="J47" i="48"/>
  <c r="C22" i="151"/>
  <c r="E23" i="151"/>
  <c r="J23" i="151"/>
  <c r="K23" i="151" s="1"/>
  <c r="AU25" i="2"/>
  <c r="C23" i="50"/>
  <c r="E24" i="50"/>
  <c r="AT24" i="2"/>
  <c r="J24" i="50"/>
  <c r="K24" i="50" s="1"/>
  <c r="E24" i="143"/>
  <c r="C23" i="143"/>
  <c r="J24" i="143"/>
  <c r="K24" i="143" s="1"/>
  <c r="HZ24" i="2"/>
  <c r="J49" i="15"/>
  <c r="K48" i="15" s="1"/>
  <c r="I50" i="15"/>
  <c r="C20" i="141"/>
  <c r="E21" i="141"/>
  <c r="J21" i="141"/>
  <c r="K21" i="141" s="1"/>
  <c r="C22" i="134"/>
  <c r="E23" i="134"/>
  <c r="EZ23" i="2"/>
  <c r="J23" i="134"/>
  <c r="K23" i="134" s="1"/>
  <c r="E22" i="9"/>
  <c r="C21" i="9"/>
  <c r="J22" i="9"/>
  <c r="K22" i="9" s="1"/>
  <c r="E22" i="161"/>
  <c r="C21" i="161"/>
  <c r="J22" i="161"/>
  <c r="K22" i="161" s="1"/>
  <c r="I46" i="137"/>
  <c r="J45" i="137"/>
  <c r="K44" i="137" s="1"/>
  <c r="C22" i="101"/>
  <c r="E23" i="101"/>
  <c r="J23" i="101"/>
  <c r="K23" i="101" s="1"/>
  <c r="K44" i="116"/>
  <c r="I46" i="168"/>
  <c r="J45" i="168"/>
  <c r="K43" i="154"/>
  <c r="I47" i="68"/>
  <c r="J46" i="68"/>
  <c r="K45" i="68" s="1"/>
  <c r="C21" i="57"/>
  <c r="E22" i="57"/>
  <c r="J22" i="57"/>
  <c r="K22" i="57" s="1"/>
  <c r="J45" i="54"/>
  <c r="K44" i="54" s="1"/>
  <c r="I46" i="54"/>
  <c r="K44" i="39"/>
  <c r="E21" i="123"/>
  <c r="C20" i="123"/>
  <c r="J21" i="123"/>
  <c r="K21" i="123" s="1"/>
  <c r="C23" i="92"/>
  <c r="E24" i="92"/>
  <c r="J24" i="92"/>
  <c r="K24" i="92" s="1"/>
  <c r="I46" i="154"/>
  <c r="J45" i="154"/>
  <c r="K44" i="154" s="1"/>
  <c r="K43" i="36"/>
  <c r="I46" i="116"/>
  <c r="J45" i="116"/>
  <c r="I47" i="60"/>
  <c r="J46" i="60"/>
  <c r="I47" i="18"/>
  <c r="J46" i="18"/>
  <c r="I49" i="82"/>
  <c r="J48" i="82"/>
  <c r="I46" i="4"/>
  <c r="J45" i="4"/>
  <c r="E23" i="169"/>
  <c r="C22" i="169"/>
  <c r="HY23" i="2"/>
  <c r="J23" i="169"/>
  <c r="K23" i="169" s="1"/>
  <c r="I46" i="39"/>
  <c r="J45" i="39"/>
  <c r="J44" i="36"/>
  <c r="I45" i="36"/>
  <c r="K45" i="129"/>
  <c r="K45" i="60"/>
  <c r="J44" i="166"/>
  <c r="K43" i="166" s="1"/>
  <c r="I45" i="166"/>
  <c r="C23" i="174"/>
  <c r="E24" i="174"/>
  <c r="J24" i="174"/>
  <c r="K24" i="174" s="1"/>
  <c r="K46" i="82"/>
  <c r="E22" i="99"/>
  <c r="C21" i="99"/>
  <c r="J22" i="99"/>
  <c r="K22" i="99" s="1"/>
  <c r="J44" i="96"/>
  <c r="K43" i="96" s="1"/>
  <c r="I45" i="96"/>
  <c r="I46" i="20"/>
  <c r="J45" i="20"/>
  <c r="E24" i="28"/>
  <c r="C23" i="28"/>
  <c r="J24" i="28"/>
  <c r="K24" i="28" s="1"/>
  <c r="J46" i="23"/>
  <c r="I47" i="23"/>
  <c r="I47" i="129"/>
  <c r="J46" i="129"/>
  <c r="J46" i="167"/>
  <c r="I47" i="167"/>
  <c r="E21" i="120"/>
  <c r="C20" i="120"/>
  <c r="J21" i="120"/>
  <c r="K21" i="120" s="1"/>
  <c r="I48" i="156"/>
  <c r="J47" i="156"/>
  <c r="K46" i="156" s="1"/>
  <c r="J47" i="152"/>
  <c r="K46" i="152" s="1"/>
  <c r="I48" i="152"/>
  <c r="E22" i="118"/>
  <c r="C21" i="118"/>
  <c r="J22" i="118"/>
  <c r="K22" i="118" s="1"/>
  <c r="I49" i="24"/>
  <c r="E23" i="145"/>
  <c r="C22" i="145"/>
  <c r="J23" i="145"/>
  <c r="K23" i="145" s="1"/>
  <c r="J46" i="63"/>
  <c r="K45" i="63" s="1"/>
  <c r="I47" i="63"/>
  <c r="EP24" i="2"/>
  <c r="E22" i="11"/>
  <c r="C21" i="11"/>
  <c r="J22" i="11"/>
  <c r="K22" i="11" s="1"/>
  <c r="E22" i="66"/>
  <c r="C21" i="66"/>
  <c r="J22" i="66"/>
  <c r="K22" i="66" s="1"/>
  <c r="E24" i="56"/>
  <c r="C23" i="56"/>
  <c r="J24" i="56"/>
  <c r="K24" i="56" s="1"/>
  <c r="K45" i="158"/>
  <c r="I50" i="145"/>
  <c r="J49" i="145"/>
  <c r="E22" i="94"/>
  <c r="C21" i="94"/>
  <c r="J22" i="94"/>
  <c r="K22" i="94" s="1"/>
  <c r="I47" i="115"/>
  <c r="J46" i="115"/>
  <c r="K45" i="115" s="1"/>
  <c r="J45" i="131"/>
  <c r="K44" i="131" s="1"/>
  <c r="I46" i="131"/>
  <c r="C23" i="55"/>
  <c r="E24" i="55"/>
  <c r="J24" i="55"/>
  <c r="K24" i="55" s="1"/>
  <c r="I48" i="77"/>
  <c r="J47" i="77"/>
  <c r="K46" i="77" s="1"/>
  <c r="E22" i="75"/>
  <c r="C21" i="75"/>
  <c r="J22" i="75"/>
  <c r="K22" i="75" s="1"/>
  <c r="K46" i="29"/>
  <c r="J44" i="69"/>
  <c r="K43" i="69" s="1"/>
  <c r="I45" i="69"/>
  <c r="E23" i="97"/>
  <c r="C22" i="97"/>
  <c r="J23" i="97"/>
  <c r="K23" i="97" s="1"/>
  <c r="I45" i="11"/>
  <c r="J44" i="11"/>
  <c r="K43" i="11" s="1"/>
  <c r="J44" i="147"/>
  <c r="I45" i="147"/>
  <c r="J46" i="158"/>
  <c r="I47" i="158"/>
  <c r="K47" i="145"/>
  <c r="C19" i="105"/>
  <c r="E20" i="105"/>
  <c r="J20" i="105"/>
  <c r="K20" i="105" s="1"/>
  <c r="J47" i="127"/>
  <c r="I48" i="127"/>
  <c r="C19" i="45"/>
  <c r="E20" i="45"/>
  <c r="J20" i="45"/>
  <c r="K20" i="45" s="1"/>
  <c r="C23" i="100"/>
  <c r="E24" i="100"/>
  <c r="J24" i="100"/>
  <c r="K24" i="100" s="1"/>
  <c r="K45" i="92"/>
  <c r="C21" i="18"/>
  <c r="E22" i="18"/>
  <c r="J22" i="18"/>
  <c r="K22" i="18" s="1"/>
  <c r="K44" i="115"/>
  <c r="K45" i="113"/>
  <c r="C23" i="49"/>
  <c r="AI23" i="2" s="1"/>
  <c r="E24" i="49"/>
  <c r="J24" i="49"/>
  <c r="K24" i="49" s="1"/>
  <c r="J46" i="92"/>
  <c r="I47" i="92"/>
  <c r="I46" i="123"/>
  <c r="J45" i="123"/>
  <c r="J46" i="113"/>
  <c r="I47" i="113"/>
  <c r="I48" i="89"/>
  <c r="J47" i="89"/>
  <c r="I48" i="29"/>
  <c r="J47" i="29"/>
  <c r="I64" i="150"/>
  <c r="J63" i="150"/>
  <c r="K62" i="150" s="1"/>
  <c r="C21" i="64"/>
  <c r="E22" i="64"/>
  <c r="J22" i="64"/>
  <c r="K22" i="64" s="1"/>
  <c r="K43" i="147"/>
  <c r="K47" i="22"/>
  <c r="K46" i="127"/>
  <c r="E22" i="113"/>
  <c r="C21" i="113"/>
  <c r="J22" i="113"/>
  <c r="K22" i="113" s="1"/>
  <c r="K46" i="89"/>
  <c r="I46" i="85"/>
  <c r="J45" i="85"/>
  <c r="E17" i="82"/>
  <c r="C16" i="82"/>
  <c r="J17" i="82"/>
  <c r="K17" i="82" s="1"/>
  <c r="I46" i="126"/>
  <c r="J45" i="126"/>
  <c r="K44" i="126" s="1"/>
  <c r="I45" i="100"/>
  <c r="J44" i="100"/>
  <c r="K43" i="100" s="1"/>
  <c r="I49" i="32"/>
  <c r="J48" i="32"/>
  <c r="K47" i="32" s="1"/>
  <c r="C21" i="126"/>
  <c r="E22" i="126"/>
  <c r="J22" i="126"/>
  <c r="K22" i="126" s="1"/>
  <c r="C20" i="72"/>
  <c r="E21" i="72"/>
  <c r="J21" i="72"/>
  <c r="K21" i="72" s="1"/>
  <c r="C18" i="32"/>
  <c r="E19" i="32"/>
  <c r="J19" i="32"/>
  <c r="K19" i="32" s="1"/>
  <c r="E24" i="172"/>
  <c r="C23" i="172"/>
  <c r="J24" i="172"/>
  <c r="K24" i="172" s="1"/>
  <c r="I49" i="22"/>
  <c r="J48" i="22"/>
  <c r="K44" i="80"/>
  <c r="J45" i="70"/>
  <c r="I46" i="70"/>
  <c r="C20" i="73"/>
  <c r="E21" i="73"/>
  <c r="J21" i="73"/>
  <c r="K21" i="73" s="1"/>
  <c r="K44" i="20"/>
  <c r="I48" i="51"/>
  <c r="J47" i="51"/>
  <c r="K46" i="51" s="1"/>
  <c r="I46" i="50"/>
  <c r="J45" i="50"/>
  <c r="K44" i="50" s="1"/>
  <c r="E23" i="15"/>
  <c r="C22" i="15"/>
  <c r="J23" i="15"/>
  <c r="K23" i="15" s="1"/>
  <c r="HZ25" i="2"/>
  <c r="C23" i="53"/>
  <c r="E24" i="53"/>
  <c r="J24" i="53"/>
  <c r="K24" i="53" s="1"/>
  <c r="C23" i="155"/>
  <c r="E24" i="155"/>
  <c r="J24" i="155"/>
  <c r="K24" i="155" s="1"/>
  <c r="E23" i="154"/>
  <c r="C22" i="154"/>
  <c r="J23" i="154"/>
  <c r="K23" i="154" s="1"/>
  <c r="I46" i="80"/>
  <c r="J45" i="80"/>
  <c r="J47" i="62"/>
  <c r="K46" i="62" s="1"/>
  <c r="I48" i="62"/>
  <c r="J46" i="28"/>
  <c r="I47" i="28"/>
  <c r="Y25" i="2"/>
  <c r="E21" i="86"/>
  <c r="C20" i="86"/>
  <c r="J21" i="86"/>
  <c r="K21" i="86" s="1"/>
  <c r="I49" i="94"/>
  <c r="J48" i="94"/>
  <c r="K47" i="94" s="1"/>
  <c r="E23" i="76"/>
  <c r="C22" i="76"/>
  <c r="J23" i="76"/>
  <c r="K23" i="76" s="1"/>
  <c r="I48" i="122"/>
  <c r="J47" i="122"/>
  <c r="K46" i="122" s="1"/>
  <c r="I46" i="155"/>
  <c r="J45" i="155"/>
  <c r="K44" i="155" s="1"/>
  <c r="I46" i="5"/>
  <c r="J45" i="5"/>
  <c r="K44" i="5" s="1"/>
  <c r="E21" i="168"/>
  <c r="C20" i="168"/>
  <c r="J21" i="168"/>
  <c r="K21" i="168" s="1"/>
  <c r="J47" i="117"/>
  <c r="K46" i="117" s="1"/>
  <c r="I48" i="117"/>
  <c r="C23" i="3"/>
  <c r="E24" i="3"/>
  <c r="J24" i="3"/>
  <c r="K24" i="3" s="1"/>
  <c r="C22" i="114"/>
  <c r="E23" i="114"/>
  <c r="J23" i="114"/>
  <c r="K23" i="114" s="1"/>
  <c r="J49" i="61"/>
  <c r="I50" i="61"/>
  <c r="I48" i="128"/>
  <c r="J47" i="128"/>
  <c r="C21" i="65"/>
  <c r="E22" i="65"/>
  <c r="J22" i="65"/>
  <c r="K22" i="65" s="1"/>
  <c r="E22" i="167"/>
  <c r="C21" i="167"/>
  <c r="J22" i="167"/>
  <c r="K22" i="167" s="1"/>
  <c r="E22" i="5"/>
  <c r="C21" i="5"/>
  <c r="J22" i="5"/>
  <c r="K22" i="5" s="1"/>
  <c r="I47" i="10"/>
  <c r="J46" i="10"/>
  <c r="K45" i="10" s="1"/>
  <c r="J47" i="132"/>
  <c r="K46" i="132" s="1"/>
  <c r="I48" i="132"/>
  <c r="I47" i="83"/>
  <c r="J46" i="83"/>
  <c r="K45" i="83" s="1"/>
  <c r="C21" i="144"/>
  <c r="E22" i="144"/>
  <c r="J22" i="144"/>
  <c r="K22" i="144" s="1"/>
  <c r="C23" i="12"/>
  <c r="M24" i="1"/>
  <c r="E24" i="12"/>
  <c r="X24" i="2"/>
  <c r="J24" i="12"/>
  <c r="K24" i="12" s="1"/>
  <c r="I46" i="111"/>
  <c r="J45" i="111"/>
  <c r="J44" i="35"/>
  <c r="I45" i="35"/>
  <c r="E22" i="128"/>
  <c r="C21" i="128"/>
  <c r="J22" i="128"/>
  <c r="K22" i="128" s="1"/>
  <c r="CW23" i="2"/>
  <c r="K43" i="116"/>
  <c r="IV24" i="2"/>
  <c r="K44" i="111"/>
  <c r="C21" i="139"/>
  <c r="E22" i="139"/>
  <c r="J22" i="139"/>
  <c r="K22" i="139" s="1"/>
  <c r="C20" i="62"/>
  <c r="E21" i="62"/>
  <c r="J21" i="62"/>
  <c r="K21" i="62" s="1"/>
  <c r="J46" i="157"/>
  <c r="K45" i="157" s="1"/>
  <c r="I47" i="157"/>
  <c r="J45" i="33"/>
  <c r="K44" i="33" s="1"/>
  <c r="I46" i="33"/>
  <c r="J47" i="172"/>
  <c r="I48" i="172"/>
  <c r="E23" i="77"/>
  <c r="C22" i="77"/>
  <c r="J23" i="77"/>
  <c r="K23" i="77" s="1"/>
  <c r="K44" i="123"/>
  <c r="E19" i="138"/>
  <c r="C18" i="138"/>
  <c r="J19" i="138"/>
  <c r="K19" i="138" s="1"/>
  <c r="I45" i="130"/>
  <c r="J44" i="130"/>
  <c r="K43" i="130" s="1"/>
  <c r="K43" i="56"/>
  <c r="I45" i="8"/>
  <c r="J44" i="8"/>
  <c r="K43" i="8" s="1"/>
  <c r="K44" i="92"/>
  <c r="I45" i="45"/>
  <c r="J44" i="45"/>
  <c r="K43" i="45" s="1"/>
  <c r="N25" i="1"/>
  <c r="E22" i="22"/>
  <c r="C21" i="22"/>
  <c r="J22" i="22"/>
  <c r="K22" i="22" s="1"/>
  <c r="K45" i="101"/>
  <c r="E21" i="124"/>
  <c r="C20" i="124"/>
  <c r="J21" i="124"/>
  <c r="K21" i="124" s="1"/>
  <c r="J45" i="49"/>
  <c r="K44" i="49" s="1"/>
  <c r="I46" i="49"/>
  <c r="DI24" i="2"/>
  <c r="C22" i="95"/>
  <c r="E23" i="95"/>
  <c r="J23" i="95"/>
  <c r="K23" i="95" s="1"/>
  <c r="BQ25" i="2"/>
  <c r="C20" i="47"/>
  <c r="E21" i="47"/>
  <c r="J21" i="47"/>
  <c r="K21" i="47" s="1"/>
  <c r="E22" i="112"/>
  <c r="C21" i="112"/>
  <c r="J22" i="112"/>
  <c r="K22" i="112" s="1"/>
  <c r="I46" i="170"/>
  <c r="J45" i="170"/>
  <c r="K44" i="170" s="1"/>
  <c r="C20" i="159"/>
  <c r="E21" i="159"/>
  <c r="J21" i="159"/>
  <c r="K21" i="159" s="1"/>
  <c r="FL24" i="2"/>
  <c r="FW25" i="2"/>
  <c r="E23" i="13"/>
  <c r="C22" i="13"/>
  <c r="J23" i="13"/>
  <c r="K23" i="13" s="1"/>
  <c r="E23" i="44"/>
  <c r="C22" i="44"/>
  <c r="J23" i="44"/>
  <c r="K23" i="44" s="1"/>
  <c r="J47" i="101"/>
  <c r="I48" i="101"/>
  <c r="I46" i="97"/>
  <c r="J45" i="97"/>
  <c r="I45" i="64"/>
  <c r="J44" i="64"/>
  <c r="I47" i="139"/>
  <c r="J46" i="139"/>
  <c r="K45" i="139" s="1"/>
  <c r="E20" i="34"/>
  <c r="C19" i="34"/>
  <c r="J20" i="34"/>
  <c r="K20" i="34" s="1"/>
  <c r="Y25" i="1"/>
  <c r="E22" i="67"/>
  <c r="C21" i="67"/>
  <c r="J22" i="67"/>
  <c r="K22" i="67" s="1"/>
  <c r="E21" i="37"/>
  <c r="C20" i="37"/>
  <c r="J21" i="37"/>
  <c r="K21" i="37" s="1"/>
  <c r="E24" i="52"/>
  <c r="C23" i="52"/>
  <c r="BP24" i="2"/>
  <c r="J24" i="52"/>
  <c r="K24" i="52" s="1"/>
  <c r="J45" i="86"/>
  <c r="K44" i="86" s="1"/>
  <c r="I46" i="86"/>
  <c r="DT23" i="2"/>
  <c r="I45" i="91"/>
  <c r="J44" i="91"/>
  <c r="K43" i="91" s="1"/>
  <c r="E23" i="147"/>
  <c r="C22" i="147"/>
  <c r="J23" i="147"/>
  <c r="K23" i="147" s="1"/>
  <c r="I45" i="40"/>
  <c r="J44" i="40"/>
  <c r="K43" i="40" s="1"/>
  <c r="E24" i="14"/>
  <c r="C23" i="14"/>
  <c r="J24" i="14"/>
  <c r="K24" i="14" s="1"/>
  <c r="J45" i="169"/>
  <c r="I46" i="169"/>
  <c r="K44" i="97"/>
  <c r="K43" i="97"/>
  <c r="E23" i="10"/>
  <c r="C22" i="10"/>
  <c r="J23" i="10"/>
  <c r="K23" i="10" s="1"/>
  <c r="E20" i="102"/>
  <c r="C19" i="102"/>
  <c r="J20" i="102"/>
  <c r="K20" i="102" s="1"/>
  <c r="I48" i="98"/>
  <c r="J47" i="98"/>
  <c r="K46" i="98" s="1"/>
  <c r="C23" i="42"/>
  <c r="E24" i="42"/>
  <c r="J24" i="42"/>
  <c r="K24" i="42" s="1"/>
  <c r="FV24" i="2"/>
  <c r="J45" i="52"/>
  <c r="I46" i="52"/>
  <c r="E22" i="135"/>
  <c r="C21" i="135"/>
  <c r="J22" i="135"/>
  <c r="K22" i="135" s="1"/>
  <c r="C22" i="133"/>
  <c r="E23" i="133"/>
  <c r="J23" i="133"/>
  <c r="K23" i="133" s="1"/>
  <c r="DH23" i="2"/>
  <c r="E24" i="29"/>
  <c r="C23" i="29"/>
  <c r="J24" i="29"/>
  <c r="K24" i="29" s="1"/>
  <c r="X24" i="1"/>
  <c r="E23" i="119"/>
  <c r="C22" i="119"/>
  <c r="J23" i="119"/>
  <c r="K23" i="119" s="1"/>
  <c r="HN24" i="2"/>
  <c r="I50" i="75"/>
  <c r="J49" i="75"/>
  <c r="K48" i="75" s="1"/>
  <c r="I46" i="114"/>
  <c r="J45" i="114"/>
  <c r="K44" i="114" s="1"/>
  <c r="AI24" i="2"/>
  <c r="E22" i="129"/>
  <c r="C21" i="129"/>
  <c r="J22" i="129"/>
  <c r="K22" i="129" s="1"/>
  <c r="DS22" i="2"/>
  <c r="E22" i="17"/>
  <c r="C21" i="17"/>
  <c r="J22" i="17"/>
  <c r="K22" i="17" s="1"/>
  <c r="E22" i="110"/>
  <c r="C21" i="110"/>
  <c r="J22" i="110"/>
  <c r="K22" i="110" s="1"/>
  <c r="K44" i="4"/>
  <c r="I46" i="56"/>
  <c r="J45" i="56"/>
  <c r="K44" i="56" s="1"/>
  <c r="C21" i="60"/>
  <c r="E22" i="60"/>
  <c r="J22" i="60"/>
  <c r="K22" i="60" s="1"/>
  <c r="J44" i="90"/>
  <c r="I45" i="90"/>
  <c r="K44" i="83"/>
  <c r="E23" i="142"/>
  <c r="C22" i="142"/>
  <c r="J23" i="142"/>
  <c r="K23" i="142" s="1"/>
  <c r="C20" i="171"/>
  <c r="E21" i="171"/>
  <c r="J21" i="171"/>
  <c r="K21" i="171" s="1"/>
  <c r="I50" i="7"/>
  <c r="J49" i="7"/>
  <c r="E22" i="25"/>
  <c r="C21" i="25"/>
  <c r="J22" i="25"/>
  <c r="K22" i="25" s="1"/>
  <c r="K42" i="36"/>
  <c r="E20" i="111"/>
  <c r="C19" i="111"/>
  <c r="J20" i="111"/>
  <c r="K20" i="111" s="1"/>
  <c r="E23" i="132"/>
  <c r="C22" i="132"/>
  <c r="J23" i="132"/>
  <c r="K23" i="132" s="1"/>
  <c r="J45" i="162"/>
  <c r="K44" i="162" s="1"/>
  <c r="I46" i="162"/>
  <c r="I45" i="171"/>
  <c r="J44" i="171"/>
  <c r="E24" i="107"/>
  <c r="C23" i="107"/>
  <c r="J24" i="107"/>
  <c r="K24" i="107" s="1"/>
  <c r="E24" i="90"/>
  <c r="C23" i="90"/>
  <c r="J24" i="90"/>
  <c r="K24" i="90" s="1"/>
  <c r="K48" i="7"/>
  <c r="E19" i="157"/>
  <c r="C18" i="157"/>
  <c r="J19" i="157"/>
  <c r="K19" i="157" s="1"/>
  <c r="K44" i="19"/>
  <c r="I46" i="3"/>
  <c r="J45" i="3"/>
  <c r="I45" i="65"/>
  <c r="J44" i="65"/>
  <c r="K43" i="65" s="1"/>
  <c r="E21" i="26"/>
  <c r="C20" i="26"/>
  <c r="J21" i="26"/>
  <c r="K21" i="26" s="1"/>
  <c r="I46" i="103"/>
  <c r="J45" i="103"/>
  <c r="K44" i="103" s="1"/>
  <c r="C22" i="140"/>
  <c r="E23" i="140"/>
  <c r="J23" i="140"/>
  <c r="K23" i="140" s="1"/>
  <c r="K45" i="172"/>
  <c r="E23" i="21"/>
  <c r="C22" i="21"/>
  <c r="J23" i="21"/>
  <c r="K23" i="21" s="1"/>
  <c r="I48" i="164"/>
  <c r="J47" i="164"/>
  <c r="K46" i="164" s="1"/>
  <c r="K42" i="45"/>
  <c r="C23" i="121"/>
  <c r="E24" i="121"/>
  <c r="J24" i="121"/>
  <c r="K24" i="121" s="1"/>
  <c r="EE25" i="2"/>
  <c r="J47" i="107"/>
  <c r="K46" i="107" s="1"/>
  <c r="I48" i="107"/>
  <c r="C21" i="68"/>
  <c r="E22" i="68"/>
  <c r="J22" i="68"/>
  <c r="K22" i="68" s="1"/>
  <c r="I45" i="143"/>
  <c r="J44" i="143"/>
  <c r="K43" i="143" s="1"/>
  <c r="J44" i="148"/>
  <c r="I45" i="148"/>
  <c r="I48" i="26"/>
  <c r="J47" i="26"/>
  <c r="I46" i="19"/>
  <c r="J45" i="19"/>
  <c r="K44" i="3"/>
  <c r="J46" i="165"/>
  <c r="I47" i="165"/>
  <c r="C22" i="89"/>
  <c r="E23" i="89"/>
  <c r="J23" i="89"/>
  <c r="K23" i="89" s="1"/>
  <c r="HN23" i="2"/>
  <c r="C22" i="108"/>
  <c r="E23" i="108"/>
  <c r="J23" i="108"/>
  <c r="K23" i="108" s="1"/>
  <c r="K43" i="170"/>
  <c r="K42" i="96"/>
  <c r="J45" i="161"/>
  <c r="K44" i="161" s="1"/>
  <c r="I46" i="161"/>
  <c r="J44" i="17"/>
  <c r="I45" i="17"/>
  <c r="I47" i="72"/>
  <c r="J46" i="72"/>
  <c r="I47" i="159"/>
  <c r="J46" i="159"/>
  <c r="K45" i="159" s="1"/>
  <c r="I45" i="38"/>
  <c r="J44" i="38"/>
  <c r="K43" i="38" s="1"/>
  <c r="K45" i="89"/>
  <c r="J45" i="104"/>
  <c r="K44" i="104" s="1"/>
  <c r="I46" i="104"/>
  <c r="E23" i="78"/>
  <c r="C22" i="78"/>
  <c r="J23" i="78"/>
  <c r="K23" i="78" s="1"/>
  <c r="I47" i="99"/>
  <c r="J46" i="99"/>
  <c r="K43" i="148"/>
  <c r="K42" i="148"/>
  <c r="J46" i="25"/>
  <c r="K45" i="25" s="1"/>
  <c r="I47" i="25"/>
  <c r="K45" i="122"/>
  <c r="I47" i="93"/>
  <c r="J46" i="93"/>
  <c r="K45" i="93" s="1"/>
  <c r="C20" i="85"/>
  <c r="E21" i="85"/>
  <c r="J21" i="85"/>
  <c r="K21" i="85" s="1"/>
  <c r="C23" i="136"/>
  <c r="E24" i="136"/>
  <c r="J24" i="136"/>
  <c r="K24" i="136" s="1"/>
  <c r="J45" i="119"/>
  <c r="I46" i="119"/>
  <c r="K43" i="119"/>
  <c r="J44" i="163"/>
  <c r="I45" i="163"/>
  <c r="I46" i="21"/>
  <c r="J45" i="21"/>
  <c r="K44" i="21" s="1"/>
  <c r="E23" i="122"/>
  <c r="C22" i="122"/>
  <c r="J23" i="122"/>
  <c r="K23" i="122" s="1"/>
  <c r="I46" i="88"/>
  <c r="J45" i="88"/>
  <c r="E21" i="84"/>
  <c r="C20" i="84"/>
  <c r="J21" i="84"/>
  <c r="K21" i="84" s="1"/>
  <c r="I47" i="41"/>
  <c r="J46" i="41"/>
  <c r="K45" i="41" s="1"/>
  <c r="C22" i="70"/>
  <c r="E23" i="70"/>
  <c r="J23" i="70"/>
  <c r="K23" i="70" s="1"/>
  <c r="I45" i="43"/>
  <c r="J44" i="43"/>
  <c r="K43" i="43" s="1"/>
  <c r="I46" i="144"/>
  <c r="J45" i="144"/>
  <c r="K44" i="144" s="1"/>
  <c r="I48" i="78"/>
  <c r="J47" i="78"/>
  <c r="K42" i="130"/>
  <c r="E21" i="106"/>
  <c r="C20" i="106"/>
  <c r="J21" i="106"/>
  <c r="K21" i="106" s="1"/>
  <c r="K47" i="59"/>
  <c r="E20" i="165"/>
  <c r="C19" i="165"/>
  <c r="J20" i="165"/>
  <c r="K20" i="165" s="1"/>
  <c r="C22" i="80"/>
  <c r="E23" i="80"/>
  <c r="J23" i="80"/>
  <c r="K23" i="80" s="1"/>
  <c r="J49" i="12"/>
  <c r="K48" i="12" s="1"/>
  <c r="I50" i="12"/>
  <c r="I46" i="73"/>
  <c r="J45" i="73"/>
  <c r="K44" i="73" s="1"/>
  <c r="C19" i="43"/>
  <c r="E20" i="43"/>
  <c r="J20" i="43"/>
  <c r="K20" i="43" s="1"/>
  <c r="K44" i="88"/>
  <c r="I46" i="106"/>
  <c r="J45" i="106"/>
  <c r="K44" i="106" s="1"/>
  <c r="E21" i="51"/>
  <c r="C20" i="51"/>
  <c r="J21" i="51"/>
  <c r="K21" i="51" s="1"/>
  <c r="AJ25" i="1"/>
  <c r="K43" i="111"/>
  <c r="C20" i="40"/>
  <c r="E21" i="40"/>
  <c r="J21" i="40"/>
  <c r="K21" i="40" s="1"/>
  <c r="K45" i="118"/>
  <c r="CB25" i="1"/>
  <c r="I45" i="81"/>
  <c r="J44" i="81"/>
  <c r="K43" i="81" s="1"/>
  <c r="I47" i="149"/>
  <c r="J46" i="149"/>
  <c r="K45" i="149" s="1"/>
  <c r="J45" i="87"/>
  <c r="I46" i="87"/>
  <c r="I46" i="84"/>
  <c r="J45" i="84"/>
  <c r="I49" i="14"/>
  <c r="J48" i="14"/>
  <c r="K47" i="14" s="1"/>
  <c r="J44" i="112"/>
  <c r="I45" i="112"/>
  <c r="E21" i="127"/>
  <c r="C20" i="127"/>
  <c r="J21" i="127"/>
  <c r="K21" i="127" s="1"/>
  <c r="C21" i="103"/>
  <c r="E22" i="103"/>
  <c r="J22" i="103"/>
  <c r="K22" i="103" s="1"/>
  <c r="D63" i="2"/>
  <c r="DU63" i="2"/>
  <c r="AK63" i="2"/>
  <c r="HP63" i="2"/>
  <c r="CY63" i="2"/>
  <c r="O63" i="2"/>
  <c r="FB63" i="2"/>
  <c r="CN63" i="2"/>
  <c r="EQ63" i="2"/>
  <c r="IA63" i="2"/>
  <c r="CC63" i="2"/>
  <c r="IW63" i="2"/>
  <c r="DJ63" i="2"/>
  <c r="Z63" i="2"/>
  <c r="GT63" i="2"/>
  <c r="BG63" i="2"/>
  <c r="AV63" i="2"/>
  <c r="EF63" i="2"/>
  <c r="BR63" i="2"/>
  <c r="FX63" i="2"/>
  <c r="IL63" i="2"/>
  <c r="FM63" i="2"/>
  <c r="HE63" i="2"/>
  <c r="I47" i="118"/>
  <c r="J46" i="118"/>
  <c r="E19" i="87"/>
  <c r="C18" i="87"/>
  <c r="J19" i="87"/>
  <c r="K19" i="87" s="1"/>
  <c r="E24" i="6"/>
  <c r="C23" i="6"/>
  <c r="CA24" i="1"/>
  <c r="C18" i="146"/>
  <c r="E19" i="146"/>
  <c r="J19" i="146"/>
  <c r="K19" i="146" s="1"/>
  <c r="E24" i="27"/>
  <c r="C23" i="27"/>
  <c r="IJ23" i="2" s="1"/>
  <c r="J24" i="27"/>
  <c r="K24" i="27" s="1"/>
  <c r="K44" i="87"/>
  <c r="J45" i="121"/>
  <c r="K44" i="121" s="1"/>
  <c r="I46" i="121"/>
  <c r="K44" i="129"/>
  <c r="GR24" i="2"/>
  <c r="J45" i="151"/>
  <c r="K44" i="151" s="1"/>
  <c r="I46" i="151"/>
  <c r="E19" i="30"/>
  <c r="C18" i="30"/>
  <c r="J19" i="30"/>
  <c r="K19" i="30" s="1"/>
  <c r="J46" i="66"/>
  <c r="K45" i="66" s="1"/>
  <c r="I47" i="66"/>
  <c r="E21" i="115"/>
  <c r="C20" i="115"/>
  <c r="J21" i="115"/>
  <c r="K21" i="115" s="1"/>
  <c r="K42" i="143"/>
  <c r="C22" i="20"/>
  <c r="E23" i="20"/>
  <c r="J23" i="20"/>
  <c r="K23" i="20" s="1"/>
  <c r="I49" i="27"/>
  <c r="J48" i="27"/>
  <c r="D63" i="1"/>
  <c r="AV63" i="1"/>
  <c r="BR63" i="1"/>
  <c r="O63" i="1"/>
  <c r="CC63" i="1"/>
  <c r="Z63" i="1"/>
  <c r="AK63" i="1"/>
  <c r="BQ25" i="1"/>
  <c r="I46" i="31"/>
  <c r="J45" i="31"/>
  <c r="J47" i="142"/>
  <c r="K46" i="142" s="1"/>
  <c r="I48" i="142"/>
  <c r="K43" i="90"/>
  <c r="K46" i="48"/>
  <c r="C22" i="71"/>
  <c r="E23" i="71"/>
  <c r="J23" i="71"/>
  <c r="K23" i="71" s="1"/>
  <c r="K42" i="38"/>
  <c r="E24" i="46"/>
  <c r="C23" i="46"/>
  <c r="J24" i="46"/>
  <c r="K24" i="46" s="1"/>
  <c r="I46" i="76"/>
  <c r="J45" i="76"/>
  <c r="I49" i="42"/>
  <c r="J48" i="42"/>
  <c r="I48" i="9"/>
  <c r="J47" i="9"/>
  <c r="K46" i="9" s="1"/>
  <c r="K45" i="77"/>
  <c r="BG63" i="1"/>
  <c r="BF63" i="1"/>
  <c r="E21" i="163"/>
  <c r="C20" i="163"/>
  <c r="J21" i="163"/>
  <c r="K21" i="163" s="1"/>
  <c r="E24" i="58"/>
  <c r="C23" i="58"/>
  <c r="CA23" i="2" s="1"/>
  <c r="J24" i="58"/>
  <c r="K24" i="58" s="1"/>
  <c r="E22" i="16"/>
  <c r="C21" i="16"/>
  <c r="J22" i="16"/>
  <c r="K22" i="16" s="1"/>
  <c r="HD25" i="2"/>
  <c r="K42" i="147"/>
  <c r="K45" i="117"/>
  <c r="K43" i="31"/>
  <c r="E23" i="36"/>
  <c r="C22" i="36"/>
  <c r="J23" i="36"/>
  <c r="K23" i="36" s="1"/>
  <c r="J45" i="108"/>
  <c r="I46" i="108"/>
  <c r="E23" i="164"/>
  <c r="C22" i="164"/>
  <c r="J23" i="164"/>
  <c r="K23" i="164" s="1"/>
  <c r="K43" i="50"/>
  <c r="I45" i="160"/>
  <c r="J44" i="160"/>
  <c r="K43" i="160" s="1"/>
  <c r="C22" i="162"/>
  <c r="E23" i="162"/>
  <c r="J23" i="162"/>
  <c r="K23" i="162" s="1"/>
  <c r="BF24" i="2"/>
  <c r="K43" i="54"/>
  <c r="K44" i="72"/>
  <c r="I45" i="58"/>
  <c r="J44" i="58"/>
  <c r="K43" i="58" s="1"/>
  <c r="E21" i="173"/>
  <c r="C20" i="173"/>
  <c r="J21" i="173"/>
  <c r="K21" i="173" s="1"/>
  <c r="K47" i="42"/>
  <c r="E23" i="33"/>
  <c r="C22" i="33"/>
  <c r="J23" i="33"/>
  <c r="K23" i="33" s="1"/>
  <c r="K45" i="107"/>
  <c r="C21" i="104"/>
  <c r="E22" i="104"/>
  <c r="J22" i="104"/>
  <c r="K22" i="104" s="1"/>
  <c r="GH63" i="2"/>
  <c r="GI63" i="2"/>
  <c r="C23" i="158"/>
  <c r="E24" i="158"/>
  <c r="J24" i="158"/>
  <c r="K24" i="158" s="1"/>
  <c r="K46" i="16"/>
  <c r="K43" i="5"/>
  <c r="I49" i="71"/>
  <c r="J48" i="71"/>
  <c r="K47" i="71" s="1"/>
  <c r="C21" i="4"/>
  <c r="E22" i="4"/>
  <c r="J22" i="4"/>
  <c r="K22" i="4" s="1"/>
  <c r="K42" i="166"/>
  <c r="CL24" i="2"/>
  <c r="GS25" i="2"/>
  <c r="I45" i="55"/>
  <c r="J44" i="55"/>
  <c r="K43" i="55" s="1"/>
  <c r="K46" i="78"/>
  <c r="K43" i="104"/>
  <c r="E20" i="131"/>
  <c r="C19" i="131"/>
  <c r="J20" i="131"/>
  <c r="K20" i="131" s="1"/>
  <c r="C61" i="24"/>
  <c r="E62" i="24"/>
  <c r="GG62" i="2"/>
  <c r="BE62" i="1"/>
  <c r="C62" i="2"/>
  <c r="C62" i="1"/>
  <c r="I48" i="16"/>
  <c r="J47" i="16"/>
  <c r="E23" i="35"/>
  <c r="C22" i="35"/>
  <c r="J23" i="35"/>
  <c r="K23" i="35" s="1"/>
  <c r="E22" i="81"/>
  <c r="C21" i="81"/>
  <c r="J22" i="81"/>
  <c r="K22" i="81" s="1"/>
  <c r="C23" i="8"/>
  <c r="E24" i="8"/>
  <c r="HC24" i="2"/>
  <c r="BP24" i="1"/>
  <c r="J24" i="8"/>
  <c r="K24" i="8" s="1"/>
  <c r="C18" i="166"/>
  <c r="E19" i="166"/>
  <c r="J19" i="166"/>
  <c r="K19" i="166" s="1"/>
  <c r="E22" i="137"/>
  <c r="C21" i="137"/>
  <c r="J22" i="137"/>
  <c r="K22" i="137" s="1"/>
  <c r="J44" i="34"/>
  <c r="K43" i="34" s="1"/>
  <c r="I45" i="34"/>
  <c r="I45" i="146"/>
  <c r="J44" i="146"/>
  <c r="K43" i="146" s="1"/>
  <c r="C21" i="19"/>
  <c r="E22" i="19"/>
  <c r="J22" i="19"/>
  <c r="K22" i="19" s="1"/>
  <c r="C19" i="160"/>
  <c r="E20" i="160"/>
  <c r="J20" i="160"/>
  <c r="K20" i="160" s="1"/>
  <c r="I45" i="110"/>
  <c r="J44" i="110"/>
  <c r="E24" i="152"/>
  <c r="C23" i="152"/>
  <c r="J24" i="152"/>
  <c r="K24" i="152" s="1"/>
  <c r="E22" i="116"/>
  <c r="C21" i="116"/>
  <c r="J22" i="116"/>
  <c r="K22" i="116" s="1"/>
  <c r="J45" i="67"/>
  <c r="K44" i="67" s="1"/>
  <c r="I46" i="67"/>
  <c r="E23" i="88"/>
  <c r="C22" i="88"/>
  <c r="FK23" i="2"/>
  <c r="J23" i="88"/>
  <c r="K23" i="88" s="1"/>
  <c r="E24" i="93"/>
  <c r="C23" i="93"/>
  <c r="J24" i="93"/>
  <c r="K24" i="93" s="1"/>
  <c r="K43" i="120"/>
  <c r="K45" i="152"/>
  <c r="I50" i="46"/>
  <c r="J49" i="46"/>
  <c r="K48" i="46" s="1"/>
  <c r="I47" i="124"/>
  <c r="J46" i="124"/>
  <c r="K45" i="124" s="1"/>
  <c r="K48" i="74"/>
  <c r="J49" i="134"/>
  <c r="I50" i="134"/>
  <c r="I46" i="57"/>
  <c r="J45" i="57"/>
  <c r="K44" i="57" s="1"/>
  <c r="E23" i="63"/>
  <c r="C22" i="63"/>
  <c r="J23" i="63"/>
  <c r="K23" i="63" s="1"/>
  <c r="CL23" i="2"/>
  <c r="E23" i="79"/>
  <c r="C22" i="79"/>
  <c r="J23" i="79"/>
  <c r="K23" i="79" s="1"/>
  <c r="I45" i="125"/>
  <c r="J44" i="125"/>
  <c r="K43" i="125" s="1"/>
  <c r="AU25" i="1"/>
  <c r="J44" i="105"/>
  <c r="I45" i="105"/>
  <c r="AI24" i="1"/>
  <c r="I45" i="120"/>
  <c r="J44" i="120"/>
  <c r="K42" i="8"/>
  <c r="C22" i="41"/>
  <c r="E23" i="41"/>
  <c r="BE23" i="2"/>
  <c r="J23" i="41"/>
  <c r="K23" i="41" s="1"/>
  <c r="K46" i="136"/>
  <c r="K42" i="55"/>
  <c r="K43" i="20"/>
  <c r="I47" i="37"/>
  <c r="J46" i="37"/>
  <c r="E22" i="148"/>
  <c r="C21" i="148"/>
  <c r="J22" i="148"/>
  <c r="K22" i="148" s="1"/>
  <c r="I47" i="30"/>
  <c r="J46" i="30"/>
  <c r="K45" i="30" s="1"/>
  <c r="I48" i="136"/>
  <c r="J47" i="136"/>
  <c r="I48" i="135"/>
  <c r="J47" i="135"/>
  <c r="K45" i="51"/>
  <c r="E23" i="125"/>
  <c r="C22" i="125"/>
  <c r="J23" i="125"/>
  <c r="K23" i="125" s="1"/>
  <c r="C20" i="69"/>
  <c r="E21" i="69"/>
  <c r="J21" i="69"/>
  <c r="K21" i="69" s="1"/>
  <c r="J47" i="13"/>
  <c r="K46" i="13" s="1"/>
  <c r="I48" i="13"/>
  <c r="K44" i="99"/>
  <c r="K42" i="100"/>
  <c r="I45" i="47"/>
  <c r="J44" i="47"/>
  <c r="K43" i="47" s="1"/>
  <c r="I50" i="74"/>
  <c r="J49" i="74"/>
  <c r="I45" i="95"/>
  <c r="J44" i="95"/>
  <c r="I46" i="138"/>
  <c r="J45" i="138"/>
  <c r="I45" i="140"/>
  <c r="J44" i="140"/>
  <c r="GR23" i="2"/>
  <c r="I47" i="173"/>
  <c r="J46" i="173"/>
  <c r="K44" i="149"/>
  <c r="I46" i="53"/>
  <c r="J45" i="53"/>
  <c r="K44" i="53" s="1"/>
  <c r="K47" i="75"/>
  <c r="E24" i="7"/>
  <c r="AT24" i="1"/>
  <c r="C23" i="7"/>
  <c r="EO23" i="2" s="1"/>
  <c r="J24" i="7"/>
  <c r="K24" i="7" s="1"/>
  <c r="BF25" i="2"/>
  <c r="E23" i="23"/>
  <c r="C22" i="23"/>
  <c r="J23" i="23"/>
  <c r="K23" i="23" s="1"/>
  <c r="K43" i="112"/>
  <c r="E23" i="117"/>
  <c r="C22" i="117"/>
  <c r="J23" i="117"/>
  <c r="K23" i="117" s="1"/>
  <c r="E21" i="39"/>
  <c r="C20" i="39"/>
  <c r="J21" i="39"/>
  <c r="K21" i="39" s="1"/>
  <c r="K46" i="135"/>
  <c r="E22" i="54"/>
  <c r="C21" i="54"/>
  <c r="J22" i="54"/>
  <c r="K22" i="54" s="1"/>
  <c r="FL25" i="2"/>
  <c r="I45" i="174"/>
  <c r="J44" i="174"/>
  <c r="K43" i="174" s="1"/>
  <c r="K42" i="110"/>
  <c r="K43" i="95"/>
  <c r="I45" i="102"/>
  <c r="J44" i="102"/>
  <c r="K43" i="102" s="1"/>
  <c r="K44" i="138"/>
  <c r="I45" i="141"/>
  <c r="J44" i="141"/>
  <c r="K43" i="141" s="1"/>
  <c r="C21" i="83"/>
  <c r="E22" i="83"/>
  <c r="J22" i="83"/>
  <c r="K22" i="83" s="1"/>
  <c r="CA24" i="2"/>
  <c r="J44" i="109"/>
  <c r="K43" i="109" s="1"/>
  <c r="I45" i="109"/>
  <c r="K44" i="153"/>
  <c r="J48" i="79"/>
  <c r="I49" i="79"/>
  <c r="K43" i="108"/>
  <c r="J23" i="156" l="1"/>
  <c r="K23" i="156" s="1"/>
  <c r="C22" i="156"/>
  <c r="E23" i="156"/>
  <c r="C21" i="149"/>
  <c r="J22" i="149"/>
  <c r="K22" i="149" s="1"/>
  <c r="E22" i="149"/>
  <c r="C22" i="130"/>
  <c r="E23" i="130"/>
  <c r="J23" i="130"/>
  <c r="K23" i="130" s="1"/>
  <c r="E18" i="98"/>
  <c r="C17" i="98"/>
  <c r="J18" i="98"/>
  <c r="K18" i="98" s="1"/>
  <c r="J23" i="74"/>
  <c r="K23" i="74" s="1"/>
  <c r="E23" i="74"/>
  <c r="C22" i="74"/>
  <c r="E22" i="61"/>
  <c r="J22" i="61"/>
  <c r="K22" i="61" s="1"/>
  <c r="C21" i="61"/>
  <c r="C21" i="59"/>
  <c r="E22" i="59"/>
  <c r="J22" i="59"/>
  <c r="K22" i="59" s="1"/>
  <c r="E23" i="150"/>
  <c r="C22" i="150"/>
  <c r="J23" i="150"/>
  <c r="K23" i="150" s="1"/>
  <c r="IK23" i="2"/>
  <c r="CB23" i="2"/>
  <c r="EP23" i="2"/>
  <c r="E23" i="152"/>
  <c r="C22" i="152"/>
  <c r="M22" i="2" s="1"/>
  <c r="J23" i="152"/>
  <c r="K23" i="152" s="1"/>
  <c r="E23" i="6"/>
  <c r="C22" i="6"/>
  <c r="CA23" i="1"/>
  <c r="IU23" i="2"/>
  <c r="J47" i="93"/>
  <c r="K46" i="93" s="1"/>
  <c r="I48" i="93"/>
  <c r="Y24" i="1"/>
  <c r="I48" i="139"/>
  <c r="J47" i="139"/>
  <c r="CX23" i="2"/>
  <c r="E21" i="167"/>
  <c r="C20" i="167"/>
  <c r="J21" i="167"/>
  <c r="K21" i="167" s="1"/>
  <c r="J49" i="94"/>
  <c r="I50" i="94"/>
  <c r="J45" i="11"/>
  <c r="I46" i="11"/>
  <c r="I48" i="129"/>
  <c r="J47" i="129"/>
  <c r="I47" i="39"/>
  <c r="J46" i="39"/>
  <c r="K45" i="39" s="1"/>
  <c r="K46" i="173"/>
  <c r="J48" i="164"/>
  <c r="K47" i="164" s="1"/>
  <c r="I49" i="164"/>
  <c r="C19" i="47"/>
  <c r="E20" i="47"/>
  <c r="J20" i="47"/>
  <c r="K20" i="47" s="1"/>
  <c r="C21" i="15"/>
  <c r="E22" i="15"/>
  <c r="J22" i="15"/>
  <c r="K22" i="15" s="1"/>
  <c r="I46" i="100"/>
  <c r="J45" i="100"/>
  <c r="K44" i="100" s="1"/>
  <c r="I47" i="123"/>
  <c r="J46" i="123"/>
  <c r="E21" i="66"/>
  <c r="C20" i="66"/>
  <c r="J21" i="66"/>
  <c r="K21" i="66" s="1"/>
  <c r="J47" i="23"/>
  <c r="I48" i="23"/>
  <c r="J46" i="144"/>
  <c r="I47" i="144"/>
  <c r="E22" i="108"/>
  <c r="C21" i="108"/>
  <c r="J22" i="108"/>
  <c r="K22" i="108" s="1"/>
  <c r="I48" i="173"/>
  <c r="J47" i="173"/>
  <c r="E22" i="35"/>
  <c r="C21" i="35"/>
  <c r="J22" i="35"/>
  <c r="K22" i="35" s="1"/>
  <c r="E22" i="164"/>
  <c r="C21" i="164"/>
  <c r="J22" i="164"/>
  <c r="K22" i="164" s="1"/>
  <c r="J49" i="27"/>
  <c r="K48" i="27" s="1"/>
  <c r="I50" i="27"/>
  <c r="E20" i="51"/>
  <c r="C19" i="51"/>
  <c r="J20" i="51"/>
  <c r="K20" i="51" s="1"/>
  <c r="J45" i="171"/>
  <c r="I46" i="171"/>
  <c r="C22" i="29"/>
  <c r="E23" i="29"/>
  <c r="J23" i="29"/>
  <c r="K23" i="29" s="1"/>
  <c r="X23" i="1"/>
  <c r="C22" i="14"/>
  <c r="E23" i="14"/>
  <c r="J23" i="14"/>
  <c r="K23" i="14" s="1"/>
  <c r="I46" i="64"/>
  <c r="J45" i="64"/>
  <c r="C20" i="128"/>
  <c r="E21" i="128"/>
  <c r="J21" i="128"/>
  <c r="K21" i="128" s="1"/>
  <c r="E20" i="86"/>
  <c r="C19" i="86"/>
  <c r="J20" i="86"/>
  <c r="K20" i="86" s="1"/>
  <c r="I48" i="92"/>
  <c r="J47" i="92"/>
  <c r="K46" i="92" s="1"/>
  <c r="HZ23" i="2"/>
  <c r="C20" i="57"/>
  <c r="E21" i="57"/>
  <c r="J21" i="57"/>
  <c r="K21" i="57" s="1"/>
  <c r="E23" i="143"/>
  <c r="C22" i="143"/>
  <c r="J23" i="143"/>
  <c r="K23" i="143" s="1"/>
  <c r="J46" i="57"/>
  <c r="I47" i="57"/>
  <c r="I50" i="42"/>
  <c r="J49" i="42"/>
  <c r="E18" i="87"/>
  <c r="C17" i="87"/>
  <c r="J18" i="87"/>
  <c r="K18" i="87" s="1"/>
  <c r="E20" i="127"/>
  <c r="C19" i="127"/>
  <c r="J20" i="127"/>
  <c r="K20" i="127" s="1"/>
  <c r="J45" i="43"/>
  <c r="K44" i="43" s="1"/>
  <c r="I46" i="43"/>
  <c r="I48" i="25"/>
  <c r="J47" i="25"/>
  <c r="K46" i="25" s="1"/>
  <c r="HO23" i="2"/>
  <c r="C21" i="21"/>
  <c r="E22" i="21"/>
  <c r="J22" i="21"/>
  <c r="K22" i="21" s="1"/>
  <c r="E18" i="138"/>
  <c r="C17" i="138"/>
  <c r="J18" i="138"/>
  <c r="K18" i="138" s="1"/>
  <c r="I47" i="126"/>
  <c r="J46" i="126"/>
  <c r="C21" i="169"/>
  <c r="E22" i="169"/>
  <c r="J22" i="169"/>
  <c r="K22" i="169" s="1"/>
  <c r="E23" i="91"/>
  <c r="C22" i="91"/>
  <c r="J23" i="91"/>
  <c r="K23" i="91" s="1"/>
  <c r="GS23" i="2"/>
  <c r="E23" i="158"/>
  <c r="C22" i="158"/>
  <c r="J23" i="158"/>
  <c r="K23" i="158" s="1"/>
  <c r="I48" i="37"/>
  <c r="J47" i="37"/>
  <c r="K43" i="140"/>
  <c r="J46" i="162"/>
  <c r="I47" i="162"/>
  <c r="I46" i="90"/>
  <c r="J45" i="90"/>
  <c r="DI23" i="2"/>
  <c r="J46" i="97"/>
  <c r="I47" i="97"/>
  <c r="E21" i="65"/>
  <c r="C20" i="65"/>
  <c r="J21" i="65"/>
  <c r="K21" i="65" s="1"/>
  <c r="J46" i="50"/>
  <c r="I47" i="50"/>
  <c r="E22" i="97"/>
  <c r="C21" i="97"/>
  <c r="J22" i="97"/>
  <c r="K22" i="97" s="1"/>
  <c r="J47" i="68"/>
  <c r="I48" i="68"/>
  <c r="K45" i="153"/>
  <c r="C20" i="103"/>
  <c r="E21" i="103"/>
  <c r="J21" i="103"/>
  <c r="K21" i="103" s="1"/>
  <c r="J45" i="110"/>
  <c r="I46" i="110"/>
  <c r="I46" i="140"/>
  <c r="J45" i="140"/>
  <c r="I51" i="134"/>
  <c r="J50" i="134"/>
  <c r="J48" i="16"/>
  <c r="I49" i="16"/>
  <c r="I47" i="108"/>
  <c r="J46" i="108"/>
  <c r="I47" i="76"/>
  <c r="J46" i="76"/>
  <c r="K45" i="76" s="1"/>
  <c r="E22" i="20"/>
  <c r="C21" i="20"/>
  <c r="J22" i="20"/>
  <c r="K22" i="20" s="1"/>
  <c r="K46" i="118"/>
  <c r="J45" i="112"/>
  <c r="K44" i="112" s="1"/>
  <c r="I46" i="112"/>
  <c r="I47" i="106"/>
  <c r="J46" i="106"/>
  <c r="K45" i="106" s="1"/>
  <c r="K45" i="162"/>
  <c r="K44" i="90"/>
  <c r="I46" i="40"/>
  <c r="J45" i="40"/>
  <c r="I49" i="101"/>
  <c r="J48" i="101"/>
  <c r="K47" i="101" s="1"/>
  <c r="I46" i="35"/>
  <c r="J45" i="35"/>
  <c r="K44" i="35" s="1"/>
  <c r="E16" i="82"/>
  <c r="C15" i="82"/>
  <c r="J16" i="82"/>
  <c r="K16" i="82" s="1"/>
  <c r="E21" i="11"/>
  <c r="C20" i="11"/>
  <c r="J21" i="11"/>
  <c r="K21" i="11" s="1"/>
  <c r="E23" i="28"/>
  <c r="C22" i="28"/>
  <c r="J23" i="28"/>
  <c r="K23" i="28" s="1"/>
  <c r="J46" i="153"/>
  <c r="I47" i="153"/>
  <c r="E21" i="54"/>
  <c r="C20" i="54"/>
  <c r="J21" i="54"/>
  <c r="K21" i="54" s="1"/>
  <c r="J47" i="118"/>
  <c r="I48" i="118"/>
  <c r="C21" i="70"/>
  <c r="E22" i="70"/>
  <c r="J22" i="70"/>
  <c r="K22" i="70" s="1"/>
  <c r="E22" i="89"/>
  <c r="C21" i="89"/>
  <c r="J22" i="89"/>
  <c r="K22" i="89" s="1"/>
  <c r="E22" i="95"/>
  <c r="C21" i="95"/>
  <c r="J22" i="95"/>
  <c r="K22" i="95" s="1"/>
  <c r="I49" i="128"/>
  <c r="J48" i="128"/>
  <c r="I48" i="28"/>
  <c r="J47" i="28"/>
  <c r="K46" i="28" s="1"/>
  <c r="J48" i="51"/>
  <c r="K47" i="51" s="1"/>
  <c r="I49" i="51"/>
  <c r="C22" i="49"/>
  <c r="E23" i="49"/>
  <c r="J23" i="49"/>
  <c r="K23" i="49" s="1"/>
  <c r="I46" i="69"/>
  <c r="J45" i="69"/>
  <c r="I47" i="4"/>
  <c r="J46" i="4"/>
  <c r="K45" i="4" s="1"/>
  <c r="AU24" i="2"/>
  <c r="E19" i="160"/>
  <c r="C18" i="160"/>
  <c r="J19" i="160"/>
  <c r="K19" i="160" s="1"/>
  <c r="I48" i="165"/>
  <c r="J47" i="165"/>
  <c r="K46" i="165" s="1"/>
  <c r="AJ23" i="2"/>
  <c r="E22" i="133"/>
  <c r="C21" i="133"/>
  <c r="J22" i="133"/>
  <c r="K22" i="133" s="1"/>
  <c r="DH22" i="2"/>
  <c r="C21" i="147"/>
  <c r="E22" i="147"/>
  <c r="J22" i="147"/>
  <c r="K22" i="147" s="1"/>
  <c r="I51" i="61"/>
  <c r="J50" i="61"/>
  <c r="K49" i="61" s="1"/>
  <c r="K44" i="69"/>
  <c r="K45" i="20"/>
  <c r="J46" i="168"/>
  <c r="I47" i="168"/>
  <c r="I49" i="9"/>
  <c r="J48" i="9"/>
  <c r="K45" i="108"/>
  <c r="J49" i="79"/>
  <c r="K48" i="79" s="1"/>
  <c r="I50" i="79"/>
  <c r="C20" i="60"/>
  <c r="E21" i="60"/>
  <c r="J21" i="60"/>
  <c r="K21" i="60" s="1"/>
  <c r="E22" i="44"/>
  <c r="C21" i="44"/>
  <c r="J22" i="44"/>
  <c r="K22" i="44" s="1"/>
  <c r="C21" i="77"/>
  <c r="E22" i="77"/>
  <c r="J22" i="77"/>
  <c r="K22" i="77" s="1"/>
  <c r="J46" i="85"/>
  <c r="K45" i="85" s="1"/>
  <c r="I47" i="85"/>
  <c r="I47" i="20"/>
  <c r="J46" i="20"/>
  <c r="E23" i="50"/>
  <c r="C22" i="50"/>
  <c r="X22" i="1" s="1"/>
  <c r="AT23" i="2"/>
  <c r="J23" i="50"/>
  <c r="K23" i="50" s="1"/>
  <c r="E22" i="31"/>
  <c r="C21" i="31"/>
  <c r="J22" i="31"/>
  <c r="K22" i="31" s="1"/>
  <c r="E22" i="63"/>
  <c r="C21" i="63"/>
  <c r="J22" i="63"/>
  <c r="K22" i="63" s="1"/>
  <c r="D62" i="2"/>
  <c r="CY62" i="2"/>
  <c r="DU62" i="2"/>
  <c r="AK62" i="2"/>
  <c r="CN62" i="2"/>
  <c r="IW62" i="2"/>
  <c r="DJ62" i="2"/>
  <c r="FB62" i="2"/>
  <c r="IL62" i="2"/>
  <c r="HP62" i="2"/>
  <c r="EQ62" i="2"/>
  <c r="FM62" i="2"/>
  <c r="O62" i="2"/>
  <c r="GT62" i="2"/>
  <c r="FX62" i="2"/>
  <c r="BG62" i="2"/>
  <c r="CC62" i="2"/>
  <c r="Z62" i="2"/>
  <c r="EF62" i="2"/>
  <c r="IA62" i="2"/>
  <c r="BR62" i="2"/>
  <c r="AV62" i="2"/>
  <c r="HE62" i="2"/>
  <c r="K44" i="95"/>
  <c r="J47" i="124"/>
  <c r="I48" i="124"/>
  <c r="GI62" i="2"/>
  <c r="GH62" i="2"/>
  <c r="E23" i="46"/>
  <c r="C22" i="46"/>
  <c r="J23" i="46"/>
  <c r="K23" i="46" s="1"/>
  <c r="I50" i="14"/>
  <c r="J49" i="14"/>
  <c r="K48" i="14" s="1"/>
  <c r="J47" i="99"/>
  <c r="K46" i="99" s="1"/>
  <c r="I48" i="99"/>
  <c r="E22" i="140"/>
  <c r="C21" i="140"/>
  <c r="J22" i="140"/>
  <c r="K22" i="140" s="1"/>
  <c r="E22" i="132"/>
  <c r="C21" i="132"/>
  <c r="J22" i="132"/>
  <c r="K22" i="132" s="1"/>
  <c r="E21" i="135"/>
  <c r="C20" i="135"/>
  <c r="J21" i="135"/>
  <c r="K21" i="135" s="1"/>
  <c r="J45" i="96"/>
  <c r="I46" i="96"/>
  <c r="D62" i="1"/>
  <c r="O62" i="1"/>
  <c r="BR62" i="1"/>
  <c r="AK62" i="1"/>
  <c r="AV62" i="1"/>
  <c r="CC62" i="1"/>
  <c r="Z62" i="1"/>
  <c r="BG62" i="1"/>
  <c r="BF62" i="1"/>
  <c r="E21" i="104"/>
  <c r="C20" i="104"/>
  <c r="J21" i="104"/>
  <c r="K21" i="104" s="1"/>
  <c r="C21" i="36"/>
  <c r="E22" i="36"/>
  <c r="J22" i="36"/>
  <c r="K22" i="36" s="1"/>
  <c r="E20" i="115"/>
  <c r="C19" i="115"/>
  <c r="J20" i="115"/>
  <c r="K20" i="115" s="1"/>
  <c r="E21" i="19"/>
  <c r="C20" i="19"/>
  <c r="J21" i="19"/>
  <c r="K21" i="19" s="1"/>
  <c r="J47" i="66"/>
  <c r="K46" i="66" s="1"/>
  <c r="I48" i="66"/>
  <c r="E20" i="84"/>
  <c r="C19" i="84"/>
  <c r="J20" i="84"/>
  <c r="K20" i="84" s="1"/>
  <c r="I47" i="56"/>
  <c r="J46" i="56"/>
  <c r="I46" i="91"/>
  <c r="J45" i="91"/>
  <c r="J46" i="49"/>
  <c r="I47" i="49"/>
  <c r="I49" i="172"/>
  <c r="J48" i="172"/>
  <c r="J46" i="111"/>
  <c r="K45" i="111" s="1"/>
  <c r="I47" i="111"/>
  <c r="K46" i="128"/>
  <c r="E21" i="75"/>
  <c r="C20" i="75"/>
  <c r="J21" i="75"/>
  <c r="K21" i="75" s="1"/>
  <c r="J47" i="63"/>
  <c r="I48" i="63"/>
  <c r="K44" i="96"/>
  <c r="I48" i="41"/>
  <c r="J47" i="41"/>
  <c r="K45" i="37"/>
  <c r="I46" i="109"/>
  <c r="J45" i="109"/>
  <c r="E61" i="24"/>
  <c r="C60" i="24"/>
  <c r="GG61" i="2"/>
  <c r="BE61" i="1"/>
  <c r="C61" i="1"/>
  <c r="C61" i="2"/>
  <c r="M23" i="2"/>
  <c r="I47" i="84"/>
  <c r="J46" i="84"/>
  <c r="C18" i="43"/>
  <c r="E19" i="43"/>
  <c r="J19" i="43"/>
  <c r="K19" i="43" s="1"/>
  <c r="C21" i="78"/>
  <c r="E22" i="78"/>
  <c r="J22" i="78"/>
  <c r="K22" i="78" s="1"/>
  <c r="I47" i="19"/>
  <c r="J46" i="19"/>
  <c r="K45" i="19" s="1"/>
  <c r="I47" i="103"/>
  <c r="J46" i="103"/>
  <c r="K45" i="103" s="1"/>
  <c r="I47" i="52"/>
  <c r="J46" i="52"/>
  <c r="C21" i="13"/>
  <c r="E22" i="13"/>
  <c r="J22" i="13"/>
  <c r="K22" i="13" s="1"/>
  <c r="IU22" i="2"/>
  <c r="K47" i="172"/>
  <c r="C21" i="114"/>
  <c r="E22" i="114"/>
  <c r="J22" i="114"/>
  <c r="K22" i="114" s="1"/>
  <c r="K48" i="61"/>
  <c r="C19" i="73"/>
  <c r="E20" i="73"/>
  <c r="J20" i="73"/>
  <c r="K20" i="73" s="1"/>
  <c r="C20" i="113"/>
  <c r="E21" i="113"/>
  <c r="J21" i="113"/>
  <c r="K21" i="113" s="1"/>
  <c r="K46" i="63"/>
  <c r="I50" i="82"/>
  <c r="J49" i="82"/>
  <c r="C20" i="148"/>
  <c r="E21" i="148"/>
  <c r="J21" i="148"/>
  <c r="K21" i="148" s="1"/>
  <c r="J46" i="138"/>
  <c r="I47" i="138"/>
  <c r="E20" i="39"/>
  <c r="C19" i="39"/>
  <c r="J20" i="39"/>
  <c r="K20" i="39" s="1"/>
  <c r="I46" i="95"/>
  <c r="J45" i="95"/>
  <c r="I51" i="74"/>
  <c r="J50" i="74"/>
  <c r="K49" i="74" s="1"/>
  <c r="BF23" i="2"/>
  <c r="I46" i="146"/>
  <c r="J45" i="146"/>
  <c r="K44" i="146" s="1"/>
  <c r="E22" i="33"/>
  <c r="C21" i="33"/>
  <c r="J22" i="33"/>
  <c r="K22" i="33" s="1"/>
  <c r="K45" i="52"/>
  <c r="I47" i="33"/>
  <c r="J46" i="33"/>
  <c r="K45" i="33" s="1"/>
  <c r="I49" i="62"/>
  <c r="J48" i="62"/>
  <c r="E21" i="18"/>
  <c r="C20" i="18"/>
  <c r="J21" i="18"/>
  <c r="K21" i="18" s="1"/>
  <c r="E21" i="99"/>
  <c r="C20" i="99"/>
  <c r="J21" i="99"/>
  <c r="K21" i="99" s="1"/>
  <c r="E22" i="101"/>
  <c r="C21" i="101"/>
  <c r="J22" i="101"/>
  <c r="K22" i="101" s="1"/>
  <c r="J45" i="34"/>
  <c r="K44" i="34" s="1"/>
  <c r="I46" i="34"/>
  <c r="C18" i="131"/>
  <c r="E19" i="131"/>
  <c r="J19" i="131"/>
  <c r="K19" i="131" s="1"/>
  <c r="C17" i="30"/>
  <c r="E18" i="30"/>
  <c r="J18" i="30"/>
  <c r="K18" i="30" s="1"/>
  <c r="J46" i="88"/>
  <c r="K45" i="88" s="1"/>
  <c r="I47" i="88"/>
  <c r="I47" i="104"/>
  <c r="J46" i="104"/>
  <c r="E20" i="26"/>
  <c r="C19" i="26"/>
  <c r="J20" i="26"/>
  <c r="K20" i="26" s="1"/>
  <c r="E19" i="111"/>
  <c r="C18" i="111"/>
  <c r="J19" i="111"/>
  <c r="K19" i="111" s="1"/>
  <c r="E21" i="110"/>
  <c r="C20" i="110"/>
  <c r="J21" i="110"/>
  <c r="K21" i="110" s="1"/>
  <c r="FW24" i="2"/>
  <c r="K44" i="169"/>
  <c r="Y24" i="2"/>
  <c r="J46" i="70"/>
  <c r="K45" i="70" s="1"/>
  <c r="I47" i="70"/>
  <c r="J48" i="77"/>
  <c r="K47" i="77" s="1"/>
  <c r="I49" i="77"/>
  <c r="E22" i="145"/>
  <c r="C21" i="145"/>
  <c r="J22" i="145"/>
  <c r="K22" i="145" s="1"/>
  <c r="J47" i="18"/>
  <c r="I48" i="18"/>
  <c r="J46" i="73"/>
  <c r="I47" i="73"/>
  <c r="J48" i="26"/>
  <c r="K47" i="26" s="1"/>
  <c r="I49" i="26"/>
  <c r="J46" i="86"/>
  <c r="K45" i="86" s="1"/>
  <c r="I47" i="86"/>
  <c r="E20" i="124"/>
  <c r="C19" i="124"/>
  <c r="J20" i="124"/>
  <c r="K20" i="124" s="1"/>
  <c r="K43" i="35"/>
  <c r="K44" i="70"/>
  <c r="J46" i="137"/>
  <c r="K45" i="137" s="1"/>
  <c r="I47" i="137"/>
  <c r="E22" i="151"/>
  <c r="C21" i="151"/>
  <c r="J22" i="151"/>
  <c r="K22" i="151" s="1"/>
  <c r="E22" i="117"/>
  <c r="C21" i="117"/>
  <c r="J22" i="117"/>
  <c r="K22" i="117" s="1"/>
  <c r="I51" i="46"/>
  <c r="J50" i="46"/>
  <c r="K49" i="46" s="1"/>
  <c r="J46" i="151"/>
  <c r="K45" i="151" s="1"/>
  <c r="I47" i="151"/>
  <c r="E22" i="122"/>
  <c r="C21" i="122"/>
  <c r="J22" i="122"/>
  <c r="K22" i="122" s="1"/>
  <c r="J45" i="148"/>
  <c r="K44" i="148" s="1"/>
  <c r="I46" i="148"/>
  <c r="N24" i="1"/>
  <c r="I47" i="80"/>
  <c r="J46" i="80"/>
  <c r="K45" i="80" s="1"/>
  <c r="I50" i="24"/>
  <c r="K44" i="168"/>
  <c r="C21" i="38"/>
  <c r="E22" i="38"/>
  <c r="J22" i="38"/>
  <c r="K22" i="38" s="1"/>
  <c r="I47" i="87"/>
  <c r="J46" i="87"/>
  <c r="I51" i="12"/>
  <c r="J50" i="12"/>
  <c r="K49" i="12" s="1"/>
  <c r="K44" i="76"/>
  <c r="AI23" i="1"/>
  <c r="C21" i="71"/>
  <c r="E22" i="71"/>
  <c r="J22" i="71"/>
  <c r="K22" i="71" s="1"/>
  <c r="I46" i="65"/>
  <c r="J45" i="65"/>
  <c r="K44" i="65" s="1"/>
  <c r="E23" i="42"/>
  <c r="C22" i="42"/>
  <c r="J23" i="42"/>
  <c r="K23" i="42" s="1"/>
  <c r="FV23" i="2"/>
  <c r="I48" i="157"/>
  <c r="J47" i="157"/>
  <c r="K46" i="157" s="1"/>
  <c r="E23" i="12"/>
  <c r="M23" i="1"/>
  <c r="C22" i="12"/>
  <c r="X23" i="2"/>
  <c r="J23" i="12"/>
  <c r="K23" i="12" s="1"/>
  <c r="E23" i="3"/>
  <c r="C22" i="3"/>
  <c r="J23" i="3"/>
  <c r="K23" i="3" s="1"/>
  <c r="E23" i="100"/>
  <c r="C22" i="100"/>
  <c r="J23" i="100"/>
  <c r="K23" i="100" s="1"/>
  <c r="C22" i="55"/>
  <c r="E23" i="55"/>
  <c r="J23" i="55"/>
  <c r="K23" i="55" s="1"/>
  <c r="I49" i="48"/>
  <c r="J48" i="48"/>
  <c r="K47" i="48" s="1"/>
  <c r="I46" i="120"/>
  <c r="J45" i="120"/>
  <c r="C20" i="137"/>
  <c r="E21" i="137"/>
  <c r="J21" i="137"/>
  <c r="K21" i="137" s="1"/>
  <c r="K45" i="165"/>
  <c r="E21" i="25"/>
  <c r="C20" i="25"/>
  <c r="J21" i="25"/>
  <c r="K21" i="25" s="1"/>
  <c r="C20" i="17"/>
  <c r="E21" i="17"/>
  <c r="J21" i="17"/>
  <c r="K21" i="17" s="1"/>
  <c r="K47" i="98"/>
  <c r="BQ24" i="2"/>
  <c r="K46" i="101"/>
  <c r="K45" i="28"/>
  <c r="J48" i="117"/>
  <c r="K47" i="117" s="1"/>
  <c r="I49" i="117"/>
  <c r="I50" i="22"/>
  <c r="J49" i="22"/>
  <c r="K48" i="22" s="1"/>
  <c r="I47" i="131"/>
  <c r="J46" i="131"/>
  <c r="I48" i="60"/>
  <c r="J47" i="60"/>
  <c r="E21" i="161"/>
  <c r="C20" i="161"/>
  <c r="J21" i="161"/>
  <c r="K21" i="161" s="1"/>
  <c r="AJ24" i="1"/>
  <c r="J45" i="55"/>
  <c r="I46" i="55"/>
  <c r="GS24" i="2"/>
  <c r="I48" i="149"/>
  <c r="J47" i="149"/>
  <c r="I46" i="38"/>
  <c r="J45" i="38"/>
  <c r="K44" i="38" s="1"/>
  <c r="I46" i="143"/>
  <c r="J45" i="143"/>
  <c r="J48" i="98"/>
  <c r="I49" i="98"/>
  <c r="C22" i="52"/>
  <c r="E23" i="52"/>
  <c r="BP23" i="2"/>
  <c r="J23" i="52"/>
  <c r="K23" i="52" s="1"/>
  <c r="K45" i="131"/>
  <c r="E21" i="118"/>
  <c r="C20" i="118"/>
  <c r="J21" i="118"/>
  <c r="K21" i="118" s="1"/>
  <c r="E22" i="23"/>
  <c r="C21" i="23"/>
  <c r="J22" i="23"/>
  <c r="K22" i="23" s="1"/>
  <c r="C19" i="173"/>
  <c r="E20" i="173"/>
  <c r="J20" i="173"/>
  <c r="K20" i="173" s="1"/>
  <c r="I49" i="142"/>
  <c r="J48" i="142"/>
  <c r="C21" i="80"/>
  <c r="E22" i="80"/>
  <c r="J22" i="80"/>
  <c r="K22" i="80" s="1"/>
  <c r="J46" i="21"/>
  <c r="K45" i="21" s="1"/>
  <c r="I47" i="21"/>
  <c r="K45" i="99"/>
  <c r="I47" i="3"/>
  <c r="J46" i="3"/>
  <c r="K45" i="3" s="1"/>
  <c r="DT22" i="2"/>
  <c r="C20" i="22"/>
  <c r="E21" i="22"/>
  <c r="J21" i="22"/>
  <c r="K21" i="22" s="1"/>
  <c r="C21" i="154"/>
  <c r="E22" i="154"/>
  <c r="J22" i="154"/>
  <c r="K22" i="154" s="1"/>
  <c r="C22" i="172"/>
  <c r="E23" i="172"/>
  <c r="J23" i="172"/>
  <c r="K23" i="172" s="1"/>
  <c r="E21" i="64"/>
  <c r="C20" i="64"/>
  <c r="J21" i="64"/>
  <c r="K21" i="64" s="1"/>
  <c r="E19" i="45"/>
  <c r="C18" i="45"/>
  <c r="J19" i="45"/>
  <c r="K19" i="45" s="1"/>
  <c r="K47" i="82"/>
  <c r="J46" i="116"/>
  <c r="I47" i="116"/>
  <c r="E22" i="153"/>
  <c r="C21" i="153"/>
  <c r="J22" i="153"/>
  <c r="K22" i="153" s="1"/>
  <c r="K47" i="142"/>
  <c r="I46" i="81"/>
  <c r="J45" i="81"/>
  <c r="K44" i="81" s="1"/>
  <c r="I46" i="163"/>
  <c r="J45" i="163"/>
  <c r="K44" i="163" s="1"/>
  <c r="J50" i="7"/>
  <c r="I51" i="7"/>
  <c r="E20" i="62"/>
  <c r="C19" i="62"/>
  <c r="J20" i="62"/>
  <c r="K20" i="62" s="1"/>
  <c r="E21" i="144"/>
  <c r="C20" i="144"/>
  <c r="J21" i="144"/>
  <c r="K21" i="144" s="1"/>
  <c r="C19" i="168"/>
  <c r="E20" i="168"/>
  <c r="J20" i="168"/>
  <c r="K20" i="168" s="1"/>
  <c r="K46" i="115"/>
  <c r="I49" i="152"/>
  <c r="J48" i="152"/>
  <c r="E21" i="9"/>
  <c r="C20" i="9"/>
  <c r="J21" i="9"/>
  <c r="K21" i="9" s="1"/>
  <c r="J47" i="44"/>
  <c r="K46" i="44" s="1"/>
  <c r="I48" i="44"/>
  <c r="K44" i="108"/>
  <c r="J46" i="121"/>
  <c r="K45" i="121" s="1"/>
  <c r="I47" i="121"/>
  <c r="C18" i="165"/>
  <c r="E19" i="165"/>
  <c r="J19" i="165"/>
  <c r="K19" i="165" s="1"/>
  <c r="J47" i="159"/>
  <c r="K46" i="159" s="1"/>
  <c r="I48" i="159"/>
  <c r="E21" i="129"/>
  <c r="C20" i="129"/>
  <c r="J21" i="129"/>
  <c r="K21" i="129" s="1"/>
  <c r="DS21" i="2"/>
  <c r="C19" i="37"/>
  <c r="E20" i="37"/>
  <c r="J20" i="37"/>
  <c r="K20" i="37" s="1"/>
  <c r="I65" i="150"/>
  <c r="J64" i="150"/>
  <c r="K63" i="150" s="1"/>
  <c r="I49" i="127"/>
  <c r="J48" i="127"/>
  <c r="I48" i="115"/>
  <c r="J47" i="115"/>
  <c r="K48" i="59"/>
  <c r="K44" i="105"/>
  <c r="C17" i="166"/>
  <c r="E18" i="166"/>
  <c r="J18" i="166"/>
  <c r="K18" i="166" s="1"/>
  <c r="I46" i="58"/>
  <c r="J45" i="58"/>
  <c r="K46" i="72"/>
  <c r="C20" i="68"/>
  <c r="E21" i="68"/>
  <c r="J21" i="68"/>
  <c r="K21" i="68" s="1"/>
  <c r="C17" i="157"/>
  <c r="E18" i="157"/>
  <c r="J18" i="157"/>
  <c r="K18" i="157" s="1"/>
  <c r="C18" i="102"/>
  <c r="E19" i="102"/>
  <c r="J19" i="102"/>
  <c r="K19" i="102" s="1"/>
  <c r="C19" i="159"/>
  <c r="E20" i="159"/>
  <c r="J20" i="159"/>
  <c r="K20" i="159" s="1"/>
  <c r="I48" i="83"/>
  <c r="J47" i="83"/>
  <c r="K47" i="127"/>
  <c r="K43" i="110"/>
  <c r="E23" i="174"/>
  <c r="C22" i="174"/>
  <c r="HY22" i="2" s="1"/>
  <c r="J23" i="174"/>
  <c r="K23" i="174" s="1"/>
  <c r="I47" i="154"/>
  <c r="J46" i="154"/>
  <c r="I51" i="133"/>
  <c r="J50" i="133"/>
  <c r="K49" i="133" s="1"/>
  <c r="E22" i="96"/>
  <c r="C21" i="96"/>
  <c r="J22" i="96"/>
  <c r="K22" i="96" s="1"/>
  <c r="K45" i="173"/>
  <c r="J46" i="31"/>
  <c r="I47" i="31"/>
  <c r="K43" i="163"/>
  <c r="I47" i="119"/>
  <c r="J46" i="119"/>
  <c r="I48" i="72"/>
  <c r="J47" i="72"/>
  <c r="I49" i="107"/>
  <c r="J48" i="107"/>
  <c r="K47" i="107" s="1"/>
  <c r="AJ24" i="2"/>
  <c r="E21" i="139"/>
  <c r="C20" i="139"/>
  <c r="J21" i="139"/>
  <c r="K21" i="139" s="1"/>
  <c r="J48" i="132"/>
  <c r="I49" i="132"/>
  <c r="J46" i="5"/>
  <c r="I47" i="5"/>
  <c r="C22" i="155"/>
  <c r="E23" i="155"/>
  <c r="J23" i="155"/>
  <c r="K23" i="155" s="1"/>
  <c r="E18" i="32"/>
  <c r="C17" i="32"/>
  <c r="J18" i="32"/>
  <c r="K18" i="32" s="1"/>
  <c r="I49" i="29"/>
  <c r="J48" i="29"/>
  <c r="K47" i="29" s="1"/>
  <c r="E21" i="94"/>
  <c r="C20" i="94"/>
  <c r="J21" i="94"/>
  <c r="K21" i="94" s="1"/>
  <c r="K45" i="18"/>
  <c r="FA23" i="2"/>
  <c r="J45" i="47"/>
  <c r="K44" i="47" s="1"/>
  <c r="I46" i="47"/>
  <c r="C21" i="125"/>
  <c r="E22" i="125"/>
  <c r="J22" i="125"/>
  <c r="K22" i="125" s="1"/>
  <c r="FL23" i="2"/>
  <c r="CM24" i="2"/>
  <c r="K43" i="171"/>
  <c r="E21" i="67"/>
  <c r="C20" i="67"/>
  <c r="J21" i="67"/>
  <c r="K21" i="67" s="1"/>
  <c r="K44" i="45"/>
  <c r="K47" i="132"/>
  <c r="K45" i="155"/>
  <c r="J48" i="156"/>
  <c r="K47" i="156" s="1"/>
  <c r="I49" i="156"/>
  <c r="I46" i="166"/>
  <c r="J45" i="166"/>
  <c r="K44" i="166" s="1"/>
  <c r="E23" i="7"/>
  <c r="C22" i="7"/>
  <c r="EO22" i="2" s="1"/>
  <c r="AT23" i="1"/>
  <c r="J23" i="7"/>
  <c r="K23" i="7" s="1"/>
  <c r="J45" i="125"/>
  <c r="I46" i="125"/>
  <c r="BQ24" i="1"/>
  <c r="I47" i="114"/>
  <c r="J46" i="114"/>
  <c r="E22" i="10"/>
  <c r="C21" i="10"/>
  <c r="J22" i="10"/>
  <c r="K22" i="10" s="1"/>
  <c r="I47" i="170"/>
  <c r="J46" i="170"/>
  <c r="I46" i="45"/>
  <c r="J45" i="45"/>
  <c r="J46" i="155"/>
  <c r="I47" i="155"/>
  <c r="C18" i="105"/>
  <c r="E19" i="105"/>
  <c r="J19" i="105"/>
  <c r="K19" i="105" s="1"/>
  <c r="K49" i="145"/>
  <c r="K48" i="145"/>
  <c r="E23" i="92"/>
  <c r="C22" i="92"/>
  <c r="HN22" i="2" s="1"/>
  <c r="J23" i="92"/>
  <c r="K23" i="92" s="1"/>
  <c r="C21" i="134"/>
  <c r="E22" i="134"/>
  <c r="EZ22" i="2"/>
  <c r="J22" i="134"/>
  <c r="K22" i="134" s="1"/>
  <c r="EE24" i="2"/>
  <c r="I46" i="102"/>
  <c r="J45" i="102"/>
  <c r="K44" i="102" s="1"/>
  <c r="E23" i="90"/>
  <c r="C22" i="90"/>
  <c r="J23" i="90"/>
  <c r="K23" i="90" s="1"/>
  <c r="J47" i="10"/>
  <c r="I48" i="10"/>
  <c r="C19" i="72"/>
  <c r="E20" i="72"/>
  <c r="J20" i="72"/>
  <c r="K20" i="72" s="1"/>
  <c r="J50" i="145"/>
  <c r="I51" i="145"/>
  <c r="E22" i="48"/>
  <c r="C21" i="48"/>
  <c r="J22" i="48"/>
  <c r="K22" i="48" s="1"/>
  <c r="I49" i="13"/>
  <c r="J48" i="13"/>
  <c r="K47" i="13" s="1"/>
  <c r="J45" i="141"/>
  <c r="K44" i="141" s="1"/>
  <c r="I46" i="141"/>
  <c r="E23" i="93"/>
  <c r="C22" i="93"/>
  <c r="J23" i="93"/>
  <c r="K23" i="93" s="1"/>
  <c r="E22" i="88"/>
  <c r="C21" i="88"/>
  <c r="FK22" i="2"/>
  <c r="J22" i="88"/>
  <c r="K22" i="88" s="1"/>
  <c r="C22" i="27"/>
  <c r="E23" i="27"/>
  <c r="J23" i="27"/>
  <c r="K23" i="27" s="1"/>
  <c r="C19" i="106"/>
  <c r="E20" i="106"/>
  <c r="J20" i="106"/>
  <c r="K20" i="106" s="1"/>
  <c r="I49" i="135"/>
  <c r="J48" i="135"/>
  <c r="K47" i="135" s="1"/>
  <c r="C19" i="163"/>
  <c r="E20" i="163"/>
  <c r="J20" i="163"/>
  <c r="K20" i="163" s="1"/>
  <c r="E23" i="136"/>
  <c r="C22" i="136"/>
  <c r="J23" i="136"/>
  <c r="K23" i="136" s="1"/>
  <c r="E20" i="171"/>
  <c r="C19" i="171"/>
  <c r="J20" i="171"/>
  <c r="K20" i="171" s="1"/>
  <c r="J50" i="75"/>
  <c r="K49" i="75" s="1"/>
  <c r="I51" i="75"/>
  <c r="K43" i="64"/>
  <c r="I49" i="122"/>
  <c r="J48" i="122"/>
  <c r="K47" i="122" s="1"/>
  <c r="K44" i="85"/>
  <c r="J47" i="158"/>
  <c r="K46" i="158" s="1"/>
  <c r="I48" i="158"/>
  <c r="E20" i="120"/>
  <c r="C19" i="120"/>
  <c r="J20" i="120"/>
  <c r="K20" i="120" s="1"/>
  <c r="E20" i="123"/>
  <c r="C19" i="123"/>
  <c r="J20" i="123"/>
  <c r="K20" i="123" s="1"/>
  <c r="E23" i="109"/>
  <c r="C22" i="109"/>
  <c r="ED23" i="2"/>
  <c r="J23" i="109"/>
  <c r="K23" i="109" s="1"/>
  <c r="C20" i="16"/>
  <c r="E21" i="16"/>
  <c r="J21" i="16"/>
  <c r="K21" i="16" s="1"/>
  <c r="K43" i="105"/>
  <c r="E23" i="58"/>
  <c r="C22" i="58"/>
  <c r="J23" i="58"/>
  <c r="K23" i="58" s="1"/>
  <c r="K44" i="31"/>
  <c r="E22" i="79"/>
  <c r="C21" i="79"/>
  <c r="J22" i="79"/>
  <c r="K22" i="79" s="1"/>
  <c r="E23" i="8"/>
  <c r="C22" i="8"/>
  <c r="HC23" i="2"/>
  <c r="BP23" i="1"/>
  <c r="J23" i="8"/>
  <c r="K23" i="8" s="1"/>
  <c r="E21" i="4"/>
  <c r="C20" i="4"/>
  <c r="J21" i="4"/>
  <c r="K21" i="4" s="1"/>
  <c r="K46" i="26"/>
  <c r="K43" i="17"/>
  <c r="HO24" i="2"/>
  <c r="CW22" i="2"/>
  <c r="I46" i="8"/>
  <c r="J45" i="8"/>
  <c r="I46" i="36"/>
  <c r="J45" i="36"/>
  <c r="C19" i="141"/>
  <c r="E20" i="141"/>
  <c r="J20" i="141"/>
  <c r="K20" i="141" s="1"/>
  <c r="K47" i="79"/>
  <c r="E21" i="83"/>
  <c r="C20" i="83"/>
  <c r="J21" i="83"/>
  <c r="K21" i="83" s="1"/>
  <c r="I46" i="105"/>
  <c r="J45" i="105"/>
  <c r="AU24" i="1"/>
  <c r="I47" i="67"/>
  <c r="J46" i="67"/>
  <c r="K45" i="67" s="1"/>
  <c r="HD24" i="2"/>
  <c r="I47" i="161"/>
  <c r="J46" i="161"/>
  <c r="I46" i="174"/>
  <c r="J45" i="174"/>
  <c r="K44" i="174" s="1"/>
  <c r="J48" i="136"/>
  <c r="I49" i="136"/>
  <c r="C20" i="116"/>
  <c r="E21" i="116"/>
  <c r="J21" i="116"/>
  <c r="K21" i="116" s="1"/>
  <c r="K48" i="134"/>
  <c r="C21" i="162"/>
  <c r="E22" i="162"/>
  <c r="J22" i="162"/>
  <c r="K22" i="162" s="1"/>
  <c r="E20" i="40"/>
  <c r="C19" i="40"/>
  <c r="J20" i="40"/>
  <c r="K20" i="40" s="1"/>
  <c r="E23" i="121"/>
  <c r="C22" i="121"/>
  <c r="J23" i="121"/>
  <c r="K23" i="121" s="1"/>
  <c r="C18" i="34"/>
  <c r="E19" i="34"/>
  <c r="J19" i="34"/>
  <c r="K19" i="34" s="1"/>
  <c r="E21" i="112"/>
  <c r="C20" i="112"/>
  <c r="CW21" i="2"/>
  <c r="J21" i="112"/>
  <c r="K21" i="112" s="1"/>
  <c r="C20" i="5"/>
  <c r="E21" i="5"/>
  <c r="J21" i="5"/>
  <c r="K21" i="5" s="1"/>
  <c r="E22" i="76"/>
  <c r="C21" i="76"/>
  <c r="J22" i="76"/>
  <c r="K22" i="76" s="1"/>
  <c r="C22" i="53"/>
  <c r="E23" i="53"/>
  <c r="J23" i="53"/>
  <c r="K23" i="53" s="1"/>
  <c r="E21" i="126"/>
  <c r="C20" i="126"/>
  <c r="J21" i="126"/>
  <c r="K21" i="126" s="1"/>
  <c r="I49" i="89"/>
  <c r="J48" i="89"/>
  <c r="K47" i="89" s="1"/>
  <c r="I46" i="147"/>
  <c r="J45" i="147"/>
  <c r="E23" i="56"/>
  <c r="C22" i="56"/>
  <c r="J23" i="56"/>
  <c r="K23" i="56" s="1"/>
  <c r="J47" i="167"/>
  <c r="K46" i="167" s="1"/>
  <c r="I48" i="167"/>
  <c r="K44" i="36"/>
  <c r="I51" i="15"/>
  <c r="J50" i="15"/>
  <c r="K49" i="15" s="1"/>
  <c r="CM23" i="2"/>
  <c r="I50" i="71"/>
  <c r="J49" i="71"/>
  <c r="K48" i="71" s="1"/>
  <c r="K47" i="27"/>
  <c r="J48" i="78"/>
  <c r="K47" i="78" s="1"/>
  <c r="I49" i="78"/>
  <c r="E20" i="85"/>
  <c r="C19" i="85"/>
  <c r="J20" i="85"/>
  <c r="K20" i="85" s="1"/>
  <c r="K44" i="119"/>
  <c r="E22" i="142"/>
  <c r="C21" i="142"/>
  <c r="J22" i="142"/>
  <c r="K22" i="142" s="1"/>
  <c r="E22" i="119"/>
  <c r="C21" i="119"/>
  <c r="J22" i="119"/>
  <c r="K22" i="119" s="1"/>
  <c r="K44" i="52"/>
  <c r="K46" i="172"/>
  <c r="I48" i="113"/>
  <c r="J47" i="113"/>
  <c r="K45" i="23"/>
  <c r="I47" i="54"/>
  <c r="J46" i="54"/>
  <c r="CB24" i="2"/>
  <c r="E22" i="41"/>
  <c r="C21" i="41"/>
  <c r="J22" i="41"/>
  <c r="K22" i="41" s="1"/>
  <c r="C19" i="69"/>
  <c r="E20" i="69"/>
  <c r="J20" i="69"/>
  <c r="K20" i="69" s="1"/>
  <c r="I46" i="17"/>
  <c r="J45" i="17"/>
  <c r="K44" i="17" s="1"/>
  <c r="I47" i="53"/>
  <c r="J46" i="53"/>
  <c r="K45" i="53" s="1"/>
  <c r="E18" i="146"/>
  <c r="C17" i="146"/>
  <c r="J18" i="146"/>
  <c r="K18" i="146" s="1"/>
  <c r="J47" i="30"/>
  <c r="K46" i="30" s="1"/>
  <c r="I48" i="30"/>
  <c r="C20" i="81"/>
  <c r="E21" i="81"/>
  <c r="J21" i="81"/>
  <c r="K21" i="81" s="1"/>
  <c r="J45" i="160"/>
  <c r="K44" i="160" s="1"/>
  <c r="I46" i="160"/>
  <c r="CB24" i="1"/>
  <c r="K44" i="84"/>
  <c r="K45" i="72"/>
  <c r="C22" i="107"/>
  <c r="E23" i="107"/>
  <c r="J23" i="107"/>
  <c r="K23" i="107" s="1"/>
  <c r="I47" i="169"/>
  <c r="J46" i="169"/>
  <c r="K45" i="169" s="1"/>
  <c r="K46" i="139"/>
  <c r="I46" i="130"/>
  <c r="J45" i="130"/>
  <c r="K44" i="130" s="1"/>
  <c r="K48" i="94"/>
  <c r="I50" i="32"/>
  <c r="J49" i="32"/>
  <c r="K48" i="32" s="1"/>
  <c r="K46" i="113"/>
  <c r="K44" i="11"/>
  <c r="K45" i="167"/>
  <c r="K46" i="129"/>
  <c r="K45" i="54"/>
  <c r="C22" i="170"/>
  <c r="E23" i="170"/>
  <c r="J23" i="170"/>
  <c r="K23" i="170" s="1"/>
  <c r="C21" i="156" l="1"/>
  <c r="E22" i="156"/>
  <c r="J22" i="156"/>
  <c r="K22" i="156" s="1"/>
  <c r="J21" i="149"/>
  <c r="K21" i="149" s="1"/>
  <c r="E21" i="149"/>
  <c r="C20" i="149"/>
  <c r="C21" i="130"/>
  <c r="E22" i="130"/>
  <c r="J22" i="130"/>
  <c r="K22" i="130" s="1"/>
  <c r="BE22" i="2"/>
  <c r="C16" i="98"/>
  <c r="E17" i="98"/>
  <c r="J17" i="98"/>
  <c r="K17" i="98" s="1"/>
  <c r="J22" i="74"/>
  <c r="K22" i="74" s="1"/>
  <c r="C21" i="74"/>
  <c r="E22" i="74"/>
  <c r="C20" i="61"/>
  <c r="E21" i="61"/>
  <c r="J21" i="61"/>
  <c r="K21" i="61" s="1"/>
  <c r="E21" i="59"/>
  <c r="C20" i="59"/>
  <c r="J21" i="59"/>
  <c r="K21" i="59" s="1"/>
  <c r="C21" i="150"/>
  <c r="E22" i="150"/>
  <c r="J22" i="150"/>
  <c r="K22" i="150" s="1"/>
  <c r="Y22" i="1"/>
  <c r="BF22" i="2"/>
  <c r="HO22" i="2"/>
  <c r="EP22" i="2"/>
  <c r="HZ22" i="2"/>
  <c r="J47" i="3"/>
  <c r="I48" i="3"/>
  <c r="E22" i="58"/>
  <c r="C21" i="58"/>
  <c r="J22" i="58"/>
  <c r="K22" i="58" s="1"/>
  <c r="E22" i="136"/>
  <c r="C21" i="136"/>
  <c r="J22" i="136"/>
  <c r="K22" i="136" s="1"/>
  <c r="I52" i="145"/>
  <c r="J51" i="145"/>
  <c r="K45" i="45"/>
  <c r="C18" i="62"/>
  <c r="E19" i="62"/>
  <c r="J19" i="62"/>
  <c r="K19" i="62" s="1"/>
  <c r="E20" i="22"/>
  <c r="C19" i="22"/>
  <c r="J20" i="22"/>
  <c r="K20" i="22" s="1"/>
  <c r="I50" i="98"/>
  <c r="J49" i="98"/>
  <c r="K48" i="98" s="1"/>
  <c r="E22" i="100"/>
  <c r="C21" i="100"/>
  <c r="J22" i="100"/>
  <c r="K22" i="100" s="1"/>
  <c r="I52" i="12"/>
  <c r="J51" i="12"/>
  <c r="C19" i="99"/>
  <c r="E20" i="99"/>
  <c r="J20" i="99"/>
  <c r="K20" i="99" s="1"/>
  <c r="CA22" i="2"/>
  <c r="J48" i="113"/>
  <c r="I49" i="113"/>
  <c r="J46" i="147"/>
  <c r="K45" i="147" s="1"/>
  <c r="I47" i="147"/>
  <c r="J46" i="36"/>
  <c r="K45" i="36" s="1"/>
  <c r="I47" i="36"/>
  <c r="I47" i="45"/>
  <c r="J46" i="45"/>
  <c r="E19" i="159"/>
  <c r="C18" i="159"/>
  <c r="J19" i="159"/>
  <c r="K19" i="159" s="1"/>
  <c r="E19" i="37"/>
  <c r="C18" i="37"/>
  <c r="J19" i="37"/>
  <c r="K19" i="37" s="1"/>
  <c r="C20" i="151"/>
  <c r="E21" i="151"/>
  <c r="J21" i="151"/>
  <c r="K21" i="151" s="1"/>
  <c r="I48" i="138"/>
  <c r="J47" i="138"/>
  <c r="K46" i="138" s="1"/>
  <c r="C20" i="78"/>
  <c r="E21" i="78"/>
  <c r="J21" i="78"/>
  <c r="K21" i="78" s="1"/>
  <c r="I49" i="124"/>
  <c r="J48" i="124"/>
  <c r="C20" i="31"/>
  <c r="E21" i="31"/>
  <c r="J21" i="31"/>
  <c r="K21" i="31" s="1"/>
  <c r="J46" i="69"/>
  <c r="I47" i="69"/>
  <c r="E22" i="28"/>
  <c r="C21" i="28"/>
  <c r="J22" i="28"/>
  <c r="K22" i="28" s="1"/>
  <c r="E21" i="21"/>
  <c r="C20" i="21"/>
  <c r="J21" i="21"/>
  <c r="K21" i="21" s="1"/>
  <c r="E21" i="108"/>
  <c r="C20" i="108"/>
  <c r="J21" i="108"/>
  <c r="K21" i="108" s="1"/>
  <c r="I51" i="94"/>
  <c r="J50" i="94"/>
  <c r="K49" i="94" s="1"/>
  <c r="DT21" i="2"/>
  <c r="I52" i="7"/>
  <c r="J51" i="7"/>
  <c r="K50" i="7" s="1"/>
  <c r="J47" i="87"/>
  <c r="K46" i="87" s="1"/>
  <c r="I48" i="87"/>
  <c r="I48" i="111"/>
  <c r="J47" i="111"/>
  <c r="I50" i="9"/>
  <c r="J49" i="9"/>
  <c r="K48" i="9" s="1"/>
  <c r="I52" i="134"/>
  <c r="J51" i="134"/>
  <c r="K50" i="134" s="1"/>
  <c r="E20" i="81"/>
  <c r="C19" i="81"/>
  <c r="J20" i="81"/>
  <c r="K20" i="81" s="1"/>
  <c r="I48" i="137"/>
  <c r="J47" i="137"/>
  <c r="K46" i="111"/>
  <c r="I48" i="168"/>
  <c r="J47" i="168"/>
  <c r="K45" i="140"/>
  <c r="K47" i="16"/>
  <c r="E20" i="128"/>
  <c r="C19" i="128"/>
  <c r="J20" i="128"/>
  <c r="K20" i="128" s="1"/>
  <c r="I48" i="144"/>
  <c r="J47" i="144"/>
  <c r="K46" i="144" s="1"/>
  <c r="E21" i="162"/>
  <c r="C20" i="162"/>
  <c r="J21" i="162"/>
  <c r="K21" i="162" s="1"/>
  <c r="J49" i="89"/>
  <c r="I50" i="89"/>
  <c r="J47" i="170"/>
  <c r="K46" i="170" s="1"/>
  <c r="I48" i="170"/>
  <c r="K49" i="7"/>
  <c r="I49" i="30"/>
  <c r="J48" i="30"/>
  <c r="K47" i="30" s="1"/>
  <c r="C18" i="163"/>
  <c r="E19" i="163"/>
  <c r="J19" i="163"/>
  <c r="K19" i="163" s="1"/>
  <c r="E19" i="72"/>
  <c r="C18" i="72"/>
  <c r="J19" i="72"/>
  <c r="K19" i="72" s="1"/>
  <c r="C17" i="102"/>
  <c r="E18" i="102"/>
  <c r="J18" i="102"/>
  <c r="K18" i="102" s="1"/>
  <c r="C19" i="129"/>
  <c r="E20" i="129"/>
  <c r="J20" i="129"/>
  <c r="K20" i="129" s="1"/>
  <c r="DS20" i="2"/>
  <c r="K46" i="3"/>
  <c r="I47" i="143"/>
  <c r="J46" i="143"/>
  <c r="K46" i="137"/>
  <c r="C17" i="43"/>
  <c r="E18" i="43"/>
  <c r="J18" i="43"/>
  <c r="K18" i="43" s="1"/>
  <c r="AU23" i="2"/>
  <c r="C21" i="49"/>
  <c r="E22" i="49"/>
  <c r="J22" i="49"/>
  <c r="K22" i="49" s="1"/>
  <c r="E20" i="11"/>
  <c r="C19" i="11"/>
  <c r="J20" i="11"/>
  <c r="K20" i="11" s="1"/>
  <c r="I47" i="140"/>
  <c r="J46" i="140"/>
  <c r="K45" i="64"/>
  <c r="C19" i="167"/>
  <c r="E20" i="167"/>
  <c r="J20" i="167"/>
  <c r="K20" i="167" s="1"/>
  <c r="E21" i="38"/>
  <c r="C20" i="38"/>
  <c r="J21" i="38"/>
  <c r="K21" i="38" s="1"/>
  <c r="C19" i="18"/>
  <c r="E20" i="18"/>
  <c r="J20" i="18"/>
  <c r="K20" i="18" s="1"/>
  <c r="E20" i="148"/>
  <c r="C19" i="148"/>
  <c r="J20" i="148"/>
  <c r="K20" i="148" s="1"/>
  <c r="J49" i="172"/>
  <c r="I50" i="172"/>
  <c r="E22" i="50"/>
  <c r="C21" i="50"/>
  <c r="AT22" i="2"/>
  <c r="J22" i="50"/>
  <c r="K22" i="50" s="1"/>
  <c r="I50" i="51"/>
  <c r="J49" i="51"/>
  <c r="K48" i="51" s="1"/>
  <c r="J46" i="110"/>
  <c r="I47" i="110"/>
  <c r="I49" i="25"/>
  <c r="J48" i="25"/>
  <c r="K47" i="25" s="1"/>
  <c r="I47" i="64"/>
  <c r="J46" i="64"/>
  <c r="I49" i="23"/>
  <c r="J48" i="23"/>
  <c r="K47" i="23" s="1"/>
  <c r="E20" i="16"/>
  <c r="C19" i="16"/>
  <c r="J20" i="16"/>
  <c r="K20" i="16" s="1"/>
  <c r="I49" i="10"/>
  <c r="J48" i="10"/>
  <c r="I47" i="47"/>
  <c r="J46" i="47"/>
  <c r="I49" i="159"/>
  <c r="J48" i="159"/>
  <c r="K47" i="159" s="1"/>
  <c r="I47" i="163"/>
  <c r="J46" i="163"/>
  <c r="J46" i="38"/>
  <c r="K45" i="38" s="1"/>
  <c r="I47" i="38"/>
  <c r="I48" i="84"/>
  <c r="J47" i="84"/>
  <c r="K46" i="84" s="1"/>
  <c r="I48" i="49"/>
  <c r="J47" i="49"/>
  <c r="I49" i="37"/>
  <c r="J48" i="37"/>
  <c r="K47" i="37" s="1"/>
  <c r="I47" i="43"/>
  <c r="J46" i="43"/>
  <c r="K45" i="43" s="1"/>
  <c r="C19" i="110"/>
  <c r="E20" i="110"/>
  <c r="J20" i="110"/>
  <c r="K20" i="110" s="1"/>
  <c r="E17" i="146"/>
  <c r="C16" i="146"/>
  <c r="J17" i="146"/>
  <c r="K17" i="146" s="1"/>
  <c r="C20" i="119"/>
  <c r="E21" i="119"/>
  <c r="J21" i="119"/>
  <c r="K21" i="119" s="1"/>
  <c r="E20" i="116"/>
  <c r="C19" i="116"/>
  <c r="J20" i="116"/>
  <c r="K20" i="116" s="1"/>
  <c r="I50" i="135"/>
  <c r="J49" i="135"/>
  <c r="K47" i="10"/>
  <c r="K45" i="47"/>
  <c r="J48" i="72"/>
  <c r="I49" i="72"/>
  <c r="C16" i="157"/>
  <c r="E17" i="157"/>
  <c r="J17" i="157"/>
  <c r="K17" i="157" s="1"/>
  <c r="I48" i="21"/>
  <c r="J47" i="21"/>
  <c r="K46" i="21" s="1"/>
  <c r="I51" i="82"/>
  <c r="J50" i="82"/>
  <c r="K49" i="82" s="1"/>
  <c r="K46" i="49"/>
  <c r="K47" i="28"/>
  <c r="C14" i="82"/>
  <c r="E15" i="82"/>
  <c r="J15" i="82"/>
  <c r="K15" i="82" s="1"/>
  <c r="K46" i="37"/>
  <c r="K44" i="140"/>
  <c r="J49" i="136"/>
  <c r="K48" i="136" s="1"/>
  <c r="I50" i="136"/>
  <c r="I48" i="114"/>
  <c r="J47" i="114"/>
  <c r="K46" i="114" s="1"/>
  <c r="J46" i="81"/>
  <c r="K45" i="81" s="1"/>
  <c r="I47" i="81"/>
  <c r="K47" i="149"/>
  <c r="E20" i="17"/>
  <c r="C19" i="17"/>
  <c r="J20" i="17"/>
  <c r="K20" i="17" s="1"/>
  <c r="C17" i="111"/>
  <c r="E18" i="111"/>
  <c r="J18" i="111"/>
  <c r="K18" i="111" s="1"/>
  <c r="I50" i="62"/>
  <c r="J49" i="62"/>
  <c r="K48" i="62" s="1"/>
  <c r="N23" i="2"/>
  <c r="J48" i="28"/>
  <c r="I49" i="28"/>
  <c r="C21" i="14"/>
  <c r="E22" i="14"/>
  <c r="J22" i="14"/>
  <c r="K22" i="14" s="1"/>
  <c r="GR22" i="2"/>
  <c r="C19" i="66"/>
  <c r="E20" i="66"/>
  <c r="J20" i="66"/>
  <c r="K20" i="66" s="1"/>
  <c r="EE23" i="2"/>
  <c r="J47" i="119"/>
  <c r="K46" i="119" s="1"/>
  <c r="I48" i="119"/>
  <c r="Y23" i="2"/>
  <c r="I51" i="24"/>
  <c r="D61" i="2"/>
  <c r="DU61" i="2"/>
  <c r="CY61" i="2"/>
  <c r="IL61" i="2"/>
  <c r="IA61" i="2"/>
  <c r="DJ61" i="2"/>
  <c r="O61" i="2"/>
  <c r="FB61" i="2"/>
  <c r="CC61" i="2"/>
  <c r="EQ61" i="2"/>
  <c r="HP61" i="2"/>
  <c r="BG61" i="2"/>
  <c r="IW61" i="2"/>
  <c r="FX61" i="2"/>
  <c r="AV61" i="2"/>
  <c r="EF61" i="2"/>
  <c r="FM61" i="2"/>
  <c r="CN61" i="2"/>
  <c r="Z61" i="2"/>
  <c r="BR61" i="2"/>
  <c r="HE61" i="2"/>
  <c r="AK61" i="2"/>
  <c r="GT61" i="2"/>
  <c r="I47" i="91"/>
  <c r="J46" i="91"/>
  <c r="K45" i="91" s="1"/>
  <c r="J46" i="96"/>
  <c r="I47" i="96"/>
  <c r="E22" i="158"/>
  <c r="C21" i="158"/>
  <c r="J22" i="158"/>
  <c r="K22" i="158" s="1"/>
  <c r="C18" i="127"/>
  <c r="E19" i="127"/>
  <c r="J19" i="127"/>
  <c r="K19" i="127" s="1"/>
  <c r="Y23" i="1"/>
  <c r="I49" i="139"/>
  <c r="J48" i="139"/>
  <c r="K47" i="139" s="1"/>
  <c r="E20" i="126"/>
  <c r="C19" i="126"/>
  <c r="J20" i="126"/>
  <c r="K20" i="126" s="1"/>
  <c r="J48" i="149"/>
  <c r="I49" i="149"/>
  <c r="C20" i="142"/>
  <c r="E21" i="142"/>
  <c r="J21" i="142"/>
  <c r="K21" i="142" s="1"/>
  <c r="CX22" i="2"/>
  <c r="E22" i="109"/>
  <c r="C21" i="109"/>
  <c r="ED22" i="2"/>
  <c r="J22" i="109"/>
  <c r="K22" i="109" s="1"/>
  <c r="C21" i="90"/>
  <c r="E22" i="90"/>
  <c r="J22" i="90"/>
  <c r="K22" i="90" s="1"/>
  <c r="C19" i="68"/>
  <c r="E20" i="68"/>
  <c r="J20" i="68"/>
  <c r="K20" i="68" s="1"/>
  <c r="C19" i="25"/>
  <c r="E20" i="25"/>
  <c r="J20" i="25"/>
  <c r="K20" i="25" s="1"/>
  <c r="E22" i="12"/>
  <c r="C21" i="12"/>
  <c r="M22" i="1"/>
  <c r="X22" i="2"/>
  <c r="J22" i="12"/>
  <c r="K22" i="12" s="1"/>
  <c r="E19" i="124"/>
  <c r="C18" i="124"/>
  <c r="J19" i="124"/>
  <c r="K19" i="124" s="1"/>
  <c r="J47" i="33"/>
  <c r="K46" i="33" s="1"/>
  <c r="I48" i="33"/>
  <c r="D61" i="1"/>
  <c r="O61" i="1"/>
  <c r="Z61" i="1"/>
  <c r="AK61" i="1"/>
  <c r="CC61" i="1"/>
  <c r="AV61" i="1"/>
  <c r="BR61" i="1"/>
  <c r="K46" i="56"/>
  <c r="I52" i="61"/>
  <c r="J51" i="61"/>
  <c r="K50" i="61" s="1"/>
  <c r="I50" i="128"/>
  <c r="J49" i="128"/>
  <c r="K48" i="128" s="1"/>
  <c r="K47" i="128"/>
  <c r="C19" i="103"/>
  <c r="E20" i="103"/>
  <c r="J20" i="103"/>
  <c r="K20" i="103" s="1"/>
  <c r="E21" i="76"/>
  <c r="C20" i="76"/>
  <c r="J21" i="76"/>
  <c r="K21" i="76" s="1"/>
  <c r="N23" i="1"/>
  <c r="I48" i="80"/>
  <c r="J47" i="80"/>
  <c r="K46" i="80" s="1"/>
  <c r="E19" i="26"/>
  <c r="C18" i="26"/>
  <c r="J19" i="26"/>
  <c r="K19" i="26" s="1"/>
  <c r="E20" i="113"/>
  <c r="C19" i="113"/>
  <c r="J20" i="113"/>
  <c r="K20" i="113" s="1"/>
  <c r="BG61" i="1"/>
  <c r="BF61" i="1"/>
  <c r="J47" i="56"/>
  <c r="I48" i="56"/>
  <c r="J47" i="20"/>
  <c r="K46" i="20" s="1"/>
  <c r="I48" i="20"/>
  <c r="I48" i="123"/>
  <c r="J47" i="123"/>
  <c r="K46" i="123" s="1"/>
  <c r="J47" i="31"/>
  <c r="K46" i="31" s="1"/>
  <c r="I48" i="31"/>
  <c r="K45" i="102"/>
  <c r="I47" i="125"/>
  <c r="J46" i="125"/>
  <c r="I48" i="121"/>
  <c r="J47" i="121"/>
  <c r="C20" i="153"/>
  <c r="E21" i="153"/>
  <c r="J21" i="153"/>
  <c r="K21" i="153" s="1"/>
  <c r="J46" i="55"/>
  <c r="I47" i="55"/>
  <c r="I48" i="86"/>
  <c r="J47" i="86"/>
  <c r="GI61" i="2"/>
  <c r="GH61" i="2"/>
  <c r="K44" i="91"/>
  <c r="I48" i="85"/>
  <c r="J47" i="85"/>
  <c r="J46" i="35"/>
  <c r="K45" i="35" s="1"/>
  <c r="I47" i="35"/>
  <c r="J48" i="68"/>
  <c r="I49" i="68"/>
  <c r="E17" i="87"/>
  <c r="C16" i="87"/>
  <c r="J17" i="87"/>
  <c r="K17" i="87" s="1"/>
  <c r="E22" i="29"/>
  <c r="C21" i="29"/>
  <c r="J22" i="29"/>
  <c r="K22" i="29" s="1"/>
  <c r="K45" i="163"/>
  <c r="K45" i="174"/>
  <c r="C17" i="165"/>
  <c r="E18" i="165"/>
  <c r="J18" i="165"/>
  <c r="K18" i="165" s="1"/>
  <c r="E21" i="80"/>
  <c r="C20" i="80"/>
  <c r="J21" i="80"/>
  <c r="K21" i="80" s="1"/>
  <c r="J47" i="53"/>
  <c r="K46" i="53" s="1"/>
  <c r="I48" i="53"/>
  <c r="I47" i="174"/>
  <c r="J46" i="174"/>
  <c r="C18" i="123"/>
  <c r="E19" i="123"/>
  <c r="J19" i="123"/>
  <c r="K19" i="123" s="1"/>
  <c r="I47" i="102"/>
  <c r="J46" i="102"/>
  <c r="K45" i="31"/>
  <c r="K44" i="143"/>
  <c r="K46" i="86"/>
  <c r="E60" i="24"/>
  <c r="C59" i="24"/>
  <c r="GG60" i="2"/>
  <c r="BE60" i="1"/>
  <c r="C60" i="2"/>
  <c r="C60" i="1"/>
  <c r="K46" i="85"/>
  <c r="E21" i="147"/>
  <c r="C20" i="147"/>
  <c r="J21" i="147"/>
  <c r="K21" i="147" s="1"/>
  <c r="C20" i="95"/>
  <c r="E21" i="95"/>
  <c r="J21" i="95"/>
  <c r="K21" i="95" s="1"/>
  <c r="K47" i="68"/>
  <c r="I47" i="171"/>
  <c r="J46" i="171"/>
  <c r="I47" i="100"/>
  <c r="J46" i="100"/>
  <c r="E19" i="106"/>
  <c r="C18" i="106"/>
  <c r="J19" i="106"/>
  <c r="K19" i="106" s="1"/>
  <c r="C19" i="94"/>
  <c r="E20" i="94"/>
  <c r="J20" i="94"/>
  <c r="K20" i="94" s="1"/>
  <c r="I49" i="157"/>
  <c r="J48" i="157"/>
  <c r="K47" i="157" s="1"/>
  <c r="E20" i="135"/>
  <c r="C19" i="135"/>
  <c r="J20" i="135"/>
  <c r="K20" i="135" s="1"/>
  <c r="DI22" i="2"/>
  <c r="J49" i="101"/>
  <c r="K48" i="101" s="1"/>
  <c r="I50" i="101"/>
  <c r="K49" i="42"/>
  <c r="I49" i="93"/>
  <c r="J48" i="93"/>
  <c r="AU23" i="1"/>
  <c r="K46" i="149"/>
  <c r="FW23" i="2"/>
  <c r="J47" i="104"/>
  <c r="I48" i="104"/>
  <c r="C20" i="33"/>
  <c r="E21" i="33"/>
  <c r="M21" i="2"/>
  <c r="J21" i="33"/>
  <c r="K21" i="33" s="1"/>
  <c r="E19" i="84"/>
  <c r="C18" i="84"/>
  <c r="J19" i="84"/>
  <c r="K19" i="84" s="1"/>
  <c r="C21" i="91"/>
  <c r="E22" i="91"/>
  <c r="J22" i="91"/>
  <c r="K22" i="91" s="1"/>
  <c r="J50" i="42"/>
  <c r="I51" i="42"/>
  <c r="J46" i="17"/>
  <c r="K45" i="17" s="1"/>
  <c r="I47" i="17"/>
  <c r="E19" i="85"/>
  <c r="C18" i="85"/>
  <c r="J19" i="85"/>
  <c r="K19" i="85" s="1"/>
  <c r="J47" i="161"/>
  <c r="K46" i="161" s="1"/>
  <c r="I48" i="161"/>
  <c r="J47" i="116"/>
  <c r="I48" i="116"/>
  <c r="I50" i="26"/>
  <c r="J49" i="26"/>
  <c r="K48" i="26" s="1"/>
  <c r="N22" i="2"/>
  <c r="E19" i="73"/>
  <c r="C18" i="73"/>
  <c r="J19" i="73"/>
  <c r="K19" i="73" s="1"/>
  <c r="K44" i="125"/>
  <c r="C20" i="96"/>
  <c r="E21" i="96"/>
  <c r="J21" i="96"/>
  <c r="K21" i="96" s="1"/>
  <c r="I47" i="58"/>
  <c r="J46" i="58"/>
  <c r="I49" i="44"/>
  <c r="J48" i="44"/>
  <c r="K47" i="44" s="1"/>
  <c r="I51" i="32"/>
  <c r="J50" i="32"/>
  <c r="K49" i="32" s="1"/>
  <c r="I50" i="78"/>
  <c r="J49" i="78"/>
  <c r="K48" i="78" s="1"/>
  <c r="C19" i="5"/>
  <c r="E20" i="5"/>
  <c r="J20" i="5"/>
  <c r="K20" i="5" s="1"/>
  <c r="E19" i="120"/>
  <c r="C18" i="120"/>
  <c r="J19" i="120"/>
  <c r="K19" i="120" s="1"/>
  <c r="E22" i="7"/>
  <c r="C21" i="7"/>
  <c r="AT22" i="1"/>
  <c r="J22" i="7"/>
  <c r="K22" i="7" s="1"/>
  <c r="K44" i="55"/>
  <c r="I47" i="148"/>
  <c r="J46" i="148"/>
  <c r="K45" i="148" s="1"/>
  <c r="K45" i="104"/>
  <c r="I48" i="88"/>
  <c r="J47" i="88"/>
  <c r="K46" i="88" s="1"/>
  <c r="K45" i="56"/>
  <c r="C20" i="133"/>
  <c r="E21" i="133"/>
  <c r="J21" i="133"/>
  <c r="K21" i="133" s="1"/>
  <c r="DH21" i="2"/>
  <c r="I47" i="40"/>
  <c r="J46" i="40"/>
  <c r="E21" i="97"/>
  <c r="C20" i="97"/>
  <c r="J21" i="97"/>
  <c r="K21" i="97" s="1"/>
  <c r="I48" i="57"/>
  <c r="J47" i="57"/>
  <c r="K46" i="57" s="1"/>
  <c r="E21" i="15"/>
  <c r="C20" i="15"/>
  <c r="J21" i="15"/>
  <c r="K21" i="15" s="1"/>
  <c r="K45" i="144"/>
  <c r="C21" i="27"/>
  <c r="E22" i="27"/>
  <c r="J22" i="27"/>
  <c r="K22" i="27" s="1"/>
  <c r="I50" i="142"/>
  <c r="J49" i="142"/>
  <c r="FL22" i="2"/>
  <c r="FA22" i="2"/>
  <c r="J49" i="29"/>
  <c r="K48" i="29" s="1"/>
  <c r="I50" i="29"/>
  <c r="C21" i="42"/>
  <c r="E22" i="42"/>
  <c r="J22" i="42"/>
  <c r="K22" i="42" s="1"/>
  <c r="FV22" i="2"/>
  <c r="I48" i="73"/>
  <c r="J47" i="73"/>
  <c r="K45" i="84"/>
  <c r="C20" i="77"/>
  <c r="E21" i="77"/>
  <c r="J21" i="77"/>
  <c r="K21" i="77" s="1"/>
  <c r="K46" i="68"/>
  <c r="C18" i="51"/>
  <c r="E19" i="51"/>
  <c r="J19" i="51"/>
  <c r="K19" i="51" s="1"/>
  <c r="IV23" i="2"/>
  <c r="E20" i="4"/>
  <c r="C19" i="4"/>
  <c r="J20" i="4"/>
  <c r="K20" i="4" s="1"/>
  <c r="E19" i="69"/>
  <c r="C18" i="69"/>
  <c r="J19" i="69"/>
  <c r="K19" i="69" s="1"/>
  <c r="CX21" i="2"/>
  <c r="J47" i="67"/>
  <c r="K46" i="67" s="1"/>
  <c r="I48" i="67"/>
  <c r="I49" i="158"/>
  <c r="J48" i="158"/>
  <c r="E21" i="88"/>
  <c r="C20" i="88"/>
  <c r="J21" i="88"/>
  <c r="K21" i="88" s="1"/>
  <c r="J51" i="133"/>
  <c r="K50" i="133" s="1"/>
  <c r="I52" i="133"/>
  <c r="C16" i="166"/>
  <c r="E17" i="166"/>
  <c r="J17" i="166"/>
  <c r="K17" i="166" s="1"/>
  <c r="E18" i="45"/>
  <c r="C17" i="45"/>
  <c r="J18" i="45"/>
  <c r="K18" i="45" s="1"/>
  <c r="E19" i="173"/>
  <c r="C18" i="173"/>
  <c r="J19" i="173"/>
  <c r="K19" i="173" s="1"/>
  <c r="K46" i="73"/>
  <c r="K45" i="73"/>
  <c r="J46" i="146"/>
  <c r="I47" i="146"/>
  <c r="C20" i="114"/>
  <c r="E21" i="114"/>
  <c r="J21" i="114"/>
  <c r="K21" i="114" s="1"/>
  <c r="I47" i="109"/>
  <c r="J46" i="109"/>
  <c r="I49" i="66"/>
  <c r="J48" i="66"/>
  <c r="E21" i="132"/>
  <c r="C20" i="132"/>
  <c r="J21" i="132"/>
  <c r="K21" i="132" s="1"/>
  <c r="E21" i="89"/>
  <c r="C20" i="89"/>
  <c r="J21" i="89"/>
  <c r="K21" i="89" s="1"/>
  <c r="I48" i="50"/>
  <c r="J47" i="50"/>
  <c r="K46" i="50" s="1"/>
  <c r="CB23" i="1"/>
  <c r="E22" i="170"/>
  <c r="C21" i="170"/>
  <c r="J22" i="170"/>
  <c r="K22" i="170" s="1"/>
  <c r="C20" i="134"/>
  <c r="E21" i="134"/>
  <c r="EZ21" i="2"/>
  <c r="J21" i="134"/>
  <c r="K21" i="134" s="1"/>
  <c r="J46" i="166"/>
  <c r="K45" i="166" s="1"/>
  <c r="I47" i="166"/>
  <c r="E17" i="32"/>
  <c r="C16" i="32"/>
  <c r="J17" i="32"/>
  <c r="K17" i="32" s="1"/>
  <c r="E20" i="9"/>
  <c r="C19" i="9"/>
  <c r="J20" i="9"/>
  <c r="K20" i="9" s="1"/>
  <c r="C19" i="161"/>
  <c r="E20" i="161"/>
  <c r="J20" i="161"/>
  <c r="K20" i="161" s="1"/>
  <c r="C19" i="137"/>
  <c r="E20" i="137"/>
  <c r="J20" i="137"/>
  <c r="K20" i="137" s="1"/>
  <c r="C20" i="122"/>
  <c r="E21" i="122"/>
  <c r="J21" i="122"/>
  <c r="K21" i="122" s="1"/>
  <c r="C20" i="44"/>
  <c r="E21" i="44"/>
  <c r="J21" i="44"/>
  <c r="K21" i="44" s="1"/>
  <c r="E22" i="143"/>
  <c r="C21" i="143"/>
  <c r="J22" i="143"/>
  <c r="K22" i="143" s="1"/>
  <c r="I51" i="27"/>
  <c r="J50" i="27"/>
  <c r="K49" i="27" s="1"/>
  <c r="E19" i="47"/>
  <c r="C18" i="47"/>
  <c r="J19" i="47"/>
  <c r="K19" i="47" s="1"/>
  <c r="E22" i="6"/>
  <c r="C21" i="6"/>
  <c r="CA22" i="1"/>
  <c r="I51" i="71"/>
  <c r="J50" i="71"/>
  <c r="K49" i="71" s="1"/>
  <c r="BQ23" i="1"/>
  <c r="K44" i="58"/>
  <c r="J49" i="156"/>
  <c r="I50" i="156"/>
  <c r="I48" i="154"/>
  <c r="J47" i="154"/>
  <c r="K46" i="154" s="1"/>
  <c r="E21" i="23"/>
  <c r="C20" i="23"/>
  <c r="J21" i="23"/>
  <c r="K21" i="23" s="1"/>
  <c r="I47" i="65"/>
  <c r="J46" i="65"/>
  <c r="K45" i="65" s="1"/>
  <c r="J48" i="18"/>
  <c r="K47" i="18" s="1"/>
  <c r="I49" i="18"/>
  <c r="K45" i="49"/>
  <c r="J47" i="106"/>
  <c r="I48" i="106"/>
  <c r="K44" i="64"/>
  <c r="E22" i="92"/>
  <c r="C21" i="92"/>
  <c r="J22" i="92"/>
  <c r="K22" i="92" s="1"/>
  <c r="K49" i="59"/>
  <c r="E20" i="64"/>
  <c r="C19" i="64"/>
  <c r="J20" i="64"/>
  <c r="K20" i="64" s="1"/>
  <c r="I47" i="120"/>
  <c r="J46" i="120"/>
  <c r="K45" i="120" s="1"/>
  <c r="I48" i="151"/>
  <c r="J47" i="151"/>
  <c r="C16" i="30"/>
  <c r="E17" i="30"/>
  <c r="J17" i="30"/>
  <c r="K17" i="30" s="1"/>
  <c r="IV22" i="2"/>
  <c r="E20" i="19"/>
  <c r="C19" i="19"/>
  <c r="J20" i="19"/>
  <c r="K20" i="19" s="1"/>
  <c r="AI22" i="2"/>
  <c r="I49" i="165"/>
  <c r="J48" i="165"/>
  <c r="I47" i="112"/>
  <c r="J46" i="112"/>
  <c r="C19" i="65"/>
  <c r="E20" i="65"/>
  <c r="J20" i="65"/>
  <c r="K20" i="65" s="1"/>
  <c r="E21" i="169"/>
  <c r="C20" i="169"/>
  <c r="HY21" i="2"/>
  <c r="J21" i="169"/>
  <c r="K21" i="169" s="1"/>
  <c r="K48" i="42"/>
  <c r="K44" i="171"/>
  <c r="K47" i="9"/>
  <c r="J49" i="107"/>
  <c r="I50" i="107"/>
  <c r="C21" i="8"/>
  <c r="E22" i="8"/>
  <c r="BP22" i="1"/>
  <c r="HC22" i="2"/>
  <c r="J22" i="8"/>
  <c r="K22" i="8" s="1"/>
  <c r="I50" i="122"/>
  <c r="J49" i="122"/>
  <c r="E22" i="93"/>
  <c r="C21" i="93"/>
  <c r="J22" i="93"/>
  <c r="K22" i="93" s="1"/>
  <c r="E22" i="174"/>
  <c r="C21" i="174"/>
  <c r="J22" i="174"/>
  <c r="K22" i="174" s="1"/>
  <c r="K45" i="154"/>
  <c r="I50" i="152"/>
  <c r="J49" i="152"/>
  <c r="K48" i="152" s="1"/>
  <c r="K45" i="116"/>
  <c r="J48" i="60"/>
  <c r="K47" i="60" s="1"/>
  <c r="I49" i="60"/>
  <c r="K46" i="151"/>
  <c r="I52" i="74"/>
  <c r="J51" i="74"/>
  <c r="K50" i="74" s="1"/>
  <c r="I49" i="41"/>
  <c r="J48" i="41"/>
  <c r="C20" i="140"/>
  <c r="E21" i="140"/>
  <c r="J21" i="140"/>
  <c r="K21" i="140" s="1"/>
  <c r="K46" i="41"/>
  <c r="E21" i="70"/>
  <c r="C20" i="70"/>
  <c r="J21" i="70"/>
  <c r="K21" i="70" s="1"/>
  <c r="K45" i="112"/>
  <c r="I50" i="164"/>
  <c r="J49" i="164"/>
  <c r="K48" i="164" s="1"/>
  <c r="C21" i="3"/>
  <c r="E22" i="3"/>
  <c r="J22" i="3"/>
  <c r="K22" i="3" s="1"/>
  <c r="E22" i="53"/>
  <c r="C21" i="53"/>
  <c r="J22" i="53"/>
  <c r="K22" i="53" s="1"/>
  <c r="J46" i="8"/>
  <c r="K45" i="8" s="1"/>
  <c r="I47" i="8"/>
  <c r="I47" i="130"/>
  <c r="J46" i="130"/>
  <c r="K45" i="130" s="1"/>
  <c r="E20" i="112"/>
  <c r="C19" i="112"/>
  <c r="J20" i="112"/>
  <c r="K20" i="112" s="1"/>
  <c r="C20" i="41"/>
  <c r="E21" i="41"/>
  <c r="J21" i="41"/>
  <c r="K21" i="41" s="1"/>
  <c r="E22" i="155"/>
  <c r="C21" i="155"/>
  <c r="J22" i="155"/>
  <c r="K22" i="155" s="1"/>
  <c r="K47" i="152"/>
  <c r="K45" i="87"/>
  <c r="E21" i="145"/>
  <c r="C20" i="145"/>
  <c r="J21" i="145"/>
  <c r="K21" i="145" s="1"/>
  <c r="C19" i="60"/>
  <c r="E20" i="60"/>
  <c r="J20" i="60"/>
  <c r="K20" i="60" s="1"/>
  <c r="I48" i="97"/>
  <c r="J47" i="97"/>
  <c r="C19" i="57"/>
  <c r="E20" i="57"/>
  <c r="J20" i="57"/>
  <c r="K20" i="57" s="1"/>
  <c r="C20" i="164"/>
  <c r="E21" i="164"/>
  <c r="J21" i="164"/>
  <c r="K21" i="164" s="1"/>
  <c r="E22" i="152"/>
  <c r="C21" i="152"/>
  <c r="J22" i="152"/>
  <c r="K22" i="152" s="1"/>
  <c r="I47" i="141"/>
  <c r="J46" i="141"/>
  <c r="K45" i="141" s="1"/>
  <c r="I48" i="5"/>
  <c r="J47" i="5"/>
  <c r="K46" i="5" s="1"/>
  <c r="E20" i="118"/>
  <c r="C19" i="118"/>
  <c r="J20" i="118"/>
  <c r="K20" i="118" s="1"/>
  <c r="E18" i="131"/>
  <c r="C17" i="131"/>
  <c r="J18" i="131"/>
  <c r="K18" i="131" s="1"/>
  <c r="C20" i="13"/>
  <c r="E21" i="13"/>
  <c r="J21" i="13"/>
  <c r="K21" i="13" s="1"/>
  <c r="K46" i="124"/>
  <c r="E19" i="115"/>
  <c r="C18" i="115"/>
  <c r="J19" i="115"/>
  <c r="K19" i="115" s="1"/>
  <c r="I49" i="99"/>
  <c r="J48" i="99"/>
  <c r="I49" i="118"/>
  <c r="J48" i="118"/>
  <c r="J47" i="126"/>
  <c r="K46" i="126" s="1"/>
  <c r="I48" i="126"/>
  <c r="E21" i="79"/>
  <c r="C20" i="79"/>
  <c r="J21" i="79"/>
  <c r="K21" i="79" s="1"/>
  <c r="I52" i="75"/>
  <c r="J51" i="75"/>
  <c r="K45" i="170"/>
  <c r="J48" i="115"/>
  <c r="K47" i="115" s="1"/>
  <c r="I49" i="115"/>
  <c r="C21" i="172"/>
  <c r="E22" i="172"/>
  <c r="J22" i="172"/>
  <c r="K22" i="172" s="1"/>
  <c r="I50" i="77"/>
  <c r="J49" i="77"/>
  <c r="J46" i="34"/>
  <c r="I47" i="34"/>
  <c r="K48" i="82"/>
  <c r="J50" i="79"/>
  <c r="K49" i="79" s="1"/>
  <c r="I51" i="79"/>
  <c r="C17" i="160"/>
  <c r="E18" i="160"/>
  <c r="J18" i="160"/>
  <c r="K18" i="160" s="1"/>
  <c r="K47" i="118"/>
  <c r="E21" i="20"/>
  <c r="C20" i="20"/>
  <c r="J21" i="20"/>
  <c r="K21" i="20" s="1"/>
  <c r="K44" i="40"/>
  <c r="K45" i="50"/>
  <c r="C20" i="125"/>
  <c r="E21" i="125"/>
  <c r="J21" i="125"/>
  <c r="K21" i="125" s="1"/>
  <c r="E20" i="83"/>
  <c r="C19" i="83"/>
  <c r="J20" i="83"/>
  <c r="K20" i="83" s="1"/>
  <c r="K48" i="13"/>
  <c r="I50" i="132"/>
  <c r="J49" i="132"/>
  <c r="K48" i="132" s="1"/>
  <c r="IJ22" i="2"/>
  <c r="J49" i="48"/>
  <c r="I50" i="48"/>
  <c r="K44" i="109"/>
  <c r="I48" i="52"/>
  <c r="J47" i="52"/>
  <c r="K46" i="52" s="1"/>
  <c r="K46" i="23"/>
  <c r="E21" i="35"/>
  <c r="C20" i="35"/>
  <c r="J21" i="35"/>
  <c r="K21" i="35" s="1"/>
  <c r="J47" i="39"/>
  <c r="K46" i="39" s="1"/>
  <c r="I48" i="39"/>
  <c r="C20" i="10"/>
  <c r="E21" i="10"/>
  <c r="J21" i="10"/>
  <c r="K21" i="10" s="1"/>
  <c r="I52" i="15"/>
  <c r="J51" i="15"/>
  <c r="C21" i="121"/>
  <c r="E22" i="121"/>
  <c r="J22" i="121"/>
  <c r="K22" i="121" s="1"/>
  <c r="K47" i="136"/>
  <c r="I50" i="13"/>
  <c r="J49" i="13"/>
  <c r="E20" i="67"/>
  <c r="C19" i="67"/>
  <c r="J20" i="67"/>
  <c r="K20" i="67" s="1"/>
  <c r="K45" i="5"/>
  <c r="J49" i="127"/>
  <c r="I50" i="127"/>
  <c r="E19" i="168"/>
  <c r="C18" i="168"/>
  <c r="J19" i="168"/>
  <c r="K19" i="168" s="1"/>
  <c r="J47" i="131"/>
  <c r="K46" i="131" s="1"/>
  <c r="I48" i="131"/>
  <c r="K46" i="60"/>
  <c r="E21" i="71"/>
  <c r="C20" i="71"/>
  <c r="J21" i="71"/>
  <c r="K21" i="71" s="1"/>
  <c r="I48" i="70"/>
  <c r="J47" i="70"/>
  <c r="K46" i="70" s="1"/>
  <c r="J48" i="63"/>
  <c r="K47" i="63" s="1"/>
  <c r="I49" i="63"/>
  <c r="I51" i="14"/>
  <c r="J50" i="14"/>
  <c r="CL22" i="2"/>
  <c r="C19" i="54"/>
  <c r="E20" i="54"/>
  <c r="J20" i="54"/>
  <c r="K20" i="54" s="1"/>
  <c r="C17" i="34"/>
  <c r="E18" i="34"/>
  <c r="J18" i="34"/>
  <c r="K18" i="34" s="1"/>
  <c r="I47" i="105"/>
  <c r="J46" i="105"/>
  <c r="K44" i="8"/>
  <c r="E19" i="171"/>
  <c r="C18" i="171"/>
  <c r="J19" i="171"/>
  <c r="K19" i="171" s="1"/>
  <c r="E18" i="105"/>
  <c r="C17" i="105"/>
  <c r="J18" i="105"/>
  <c r="K18" i="105" s="1"/>
  <c r="AJ23" i="1"/>
  <c r="J51" i="46"/>
  <c r="I52" i="46"/>
  <c r="C20" i="101"/>
  <c r="E21" i="101"/>
  <c r="J21" i="101"/>
  <c r="K21" i="101" s="1"/>
  <c r="J46" i="95"/>
  <c r="I47" i="95"/>
  <c r="J47" i="103"/>
  <c r="I48" i="103"/>
  <c r="C20" i="36"/>
  <c r="E21" i="36"/>
  <c r="J21" i="36"/>
  <c r="K21" i="36" s="1"/>
  <c r="K49" i="134"/>
  <c r="I48" i="76"/>
  <c r="J47" i="76"/>
  <c r="E17" i="138"/>
  <c r="C16" i="138"/>
  <c r="J17" i="138"/>
  <c r="K17" i="138" s="1"/>
  <c r="I49" i="92"/>
  <c r="J48" i="92"/>
  <c r="K47" i="92" s="1"/>
  <c r="K44" i="110"/>
  <c r="J48" i="129"/>
  <c r="K47" i="129" s="1"/>
  <c r="I49" i="129"/>
  <c r="J47" i="169"/>
  <c r="K46" i="169" s="1"/>
  <c r="I48" i="169"/>
  <c r="J47" i="54"/>
  <c r="K46" i="54" s="1"/>
  <c r="I48" i="54"/>
  <c r="K45" i="119"/>
  <c r="C19" i="139"/>
  <c r="E20" i="139"/>
  <c r="J20" i="139"/>
  <c r="K20" i="139" s="1"/>
  <c r="BQ23" i="2"/>
  <c r="I51" i="22"/>
  <c r="J50" i="22"/>
  <c r="K49" i="22" s="1"/>
  <c r="K47" i="62"/>
  <c r="E22" i="46"/>
  <c r="C21" i="46"/>
  <c r="CL21" i="2" s="1"/>
  <c r="J22" i="46"/>
  <c r="K22" i="46" s="1"/>
  <c r="E21" i="63"/>
  <c r="C20" i="63"/>
  <c r="J21" i="63"/>
  <c r="K21" i="63" s="1"/>
  <c r="K45" i="138"/>
  <c r="K45" i="168"/>
  <c r="I48" i="153"/>
  <c r="J47" i="153"/>
  <c r="K46" i="108"/>
  <c r="I47" i="90"/>
  <c r="J46" i="90"/>
  <c r="K45" i="90" s="1"/>
  <c r="K45" i="126"/>
  <c r="K45" i="57"/>
  <c r="I47" i="11"/>
  <c r="J46" i="11"/>
  <c r="K45" i="11" s="1"/>
  <c r="C21" i="107"/>
  <c r="BE21" i="2" s="1"/>
  <c r="E22" i="107"/>
  <c r="J22" i="107"/>
  <c r="K22" i="107" s="1"/>
  <c r="I49" i="167"/>
  <c r="J48" i="167"/>
  <c r="K47" i="167" s="1"/>
  <c r="AI22" i="1"/>
  <c r="I48" i="155"/>
  <c r="J47" i="155"/>
  <c r="K46" i="155" s="1"/>
  <c r="K45" i="114"/>
  <c r="J48" i="83"/>
  <c r="K47" i="83" s="1"/>
  <c r="I49" i="83"/>
  <c r="I66" i="150"/>
  <c r="J65" i="150"/>
  <c r="K64" i="150" s="1"/>
  <c r="C19" i="144"/>
  <c r="E20" i="144"/>
  <c r="J20" i="144"/>
  <c r="K20" i="144" s="1"/>
  <c r="E21" i="154"/>
  <c r="C20" i="154"/>
  <c r="J21" i="154"/>
  <c r="K21" i="154" s="1"/>
  <c r="IJ21" i="2"/>
  <c r="C21" i="56"/>
  <c r="E22" i="56"/>
  <c r="J22" i="56"/>
  <c r="K22" i="56" s="1"/>
  <c r="E19" i="40"/>
  <c r="C18" i="40"/>
  <c r="J19" i="40"/>
  <c r="K19" i="40" s="1"/>
  <c r="K45" i="161"/>
  <c r="E21" i="48"/>
  <c r="C20" i="48"/>
  <c r="J21" i="48"/>
  <c r="K21" i="48" s="1"/>
  <c r="K46" i="83"/>
  <c r="I50" i="117"/>
  <c r="J49" i="117"/>
  <c r="K48" i="117" s="1"/>
  <c r="C21" i="55"/>
  <c r="E22" i="55"/>
  <c r="J22" i="55"/>
  <c r="K22" i="55" s="1"/>
  <c r="K44" i="120"/>
  <c r="E21" i="117"/>
  <c r="C20" i="117"/>
  <c r="J21" i="117"/>
  <c r="K21" i="117" s="1"/>
  <c r="K46" i="18"/>
  <c r="E19" i="39"/>
  <c r="C18" i="39"/>
  <c r="J19" i="39"/>
  <c r="K19" i="39" s="1"/>
  <c r="I48" i="19"/>
  <c r="J47" i="19"/>
  <c r="C19" i="75"/>
  <c r="E20" i="75"/>
  <c r="J20" i="75"/>
  <c r="K20" i="75" s="1"/>
  <c r="E20" i="104"/>
  <c r="C19" i="104"/>
  <c r="J20" i="104"/>
  <c r="K20" i="104" s="1"/>
  <c r="K46" i="4"/>
  <c r="I48" i="108"/>
  <c r="J47" i="108"/>
  <c r="I48" i="162"/>
  <c r="J47" i="162"/>
  <c r="K45" i="97"/>
  <c r="K47" i="173"/>
  <c r="HD23" i="2"/>
  <c r="I47" i="160"/>
  <c r="J46" i="160"/>
  <c r="K45" i="160" s="1"/>
  <c r="K44" i="147"/>
  <c r="E19" i="141"/>
  <c r="C18" i="141"/>
  <c r="J19" i="141"/>
  <c r="K19" i="141" s="1"/>
  <c r="K46" i="10"/>
  <c r="E22" i="52"/>
  <c r="C21" i="52"/>
  <c r="BP22" i="2"/>
  <c r="J22" i="52"/>
  <c r="K22" i="52" s="1"/>
  <c r="K50" i="12"/>
  <c r="I48" i="4"/>
  <c r="J47" i="4"/>
  <c r="I50" i="16"/>
  <c r="J49" i="16"/>
  <c r="K46" i="162"/>
  <c r="E19" i="86"/>
  <c r="C18" i="86"/>
  <c r="J19" i="86"/>
  <c r="K19" i="86" s="1"/>
  <c r="I49" i="173"/>
  <c r="J48" i="173"/>
  <c r="K45" i="123"/>
  <c r="C20" i="156" l="1"/>
  <c r="E21" i="156"/>
  <c r="J21" i="156"/>
  <c r="K21" i="156" s="1"/>
  <c r="C19" i="149"/>
  <c r="J20" i="149"/>
  <c r="K20" i="149" s="1"/>
  <c r="E20" i="149"/>
  <c r="E21" i="130"/>
  <c r="J21" i="130"/>
  <c r="K21" i="130" s="1"/>
  <c r="C20" i="130"/>
  <c r="C15" i="98"/>
  <c r="E16" i="98"/>
  <c r="J16" i="98"/>
  <c r="K16" i="98" s="1"/>
  <c r="J21" i="74"/>
  <c r="K21" i="74" s="1"/>
  <c r="C20" i="74"/>
  <c r="E21" i="74"/>
  <c r="C19" i="61"/>
  <c r="J20" i="61"/>
  <c r="K20" i="61" s="1"/>
  <c r="E20" i="61"/>
  <c r="E20" i="59"/>
  <c r="C19" i="59"/>
  <c r="J20" i="59"/>
  <c r="K20" i="59" s="1"/>
  <c r="C20" i="150"/>
  <c r="J21" i="150"/>
  <c r="K21" i="150" s="1"/>
  <c r="E21" i="150"/>
  <c r="CM21" i="2"/>
  <c r="BF21" i="2"/>
  <c r="C15" i="138"/>
  <c r="E16" i="138"/>
  <c r="J16" i="138"/>
  <c r="K16" i="138" s="1"/>
  <c r="E21" i="93"/>
  <c r="C20" i="93"/>
  <c r="J21" i="93"/>
  <c r="K21" i="93" s="1"/>
  <c r="E20" i="88"/>
  <c r="C19" i="88"/>
  <c r="J20" i="88"/>
  <c r="K20" i="88" s="1"/>
  <c r="J47" i="40"/>
  <c r="I48" i="40"/>
  <c r="C18" i="94"/>
  <c r="E19" i="94"/>
  <c r="J19" i="94"/>
  <c r="K19" i="94" s="1"/>
  <c r="I48" i="102"/>
  <c r="J47" i="102"/>
  <c r="J48" i="80"/>
  <c r="K47" i="80" s="1"/>
  <c r="I49" i="80"/>
  <c r="Y22" i="2"/>
  <c r="E17" i="43"/>
  <c r="C16" i="43"/>
  <c r="J17" i="43"/>
  <c r="K17" i="43" s="1"/>
  <c r="I49" i="144"/>
  <c r="J48" i="144"/>
  <c r="I51" i="98"/>
  <c r="J50" i="98"/>
  <c r="I51" i="127"/>
  <c r="J50" i="127"/>
  <c r="K49" i="127" s="1"/>
  <c r="J48" i="153"/>
  <c r="I49" i="153"/>
  <c r="I49" i="97"/>
  <c r="J48" i="97"/>
  <c r="K47" i="97" s="1"/>
  <c r="C19" i="122"/>
  <c r="E20" i="122"/>
  <c r="J20" i="122"/>
  <c r="K20" i="122" s="1"/>
  <c r="E20" i="89"/>
  <c r="C19" i="89"/>
  <c r="J20" i="89"/>
  <c r="K20" i="89" s="1"/>
  <c r="I49" i="73"/>
  <c r="J48" i="73"/>
  <c r="DI21" i="2"/>
  <c r="I48" i="58"/>
  <c r="J47" i="58"/>
  <c r="K46" i="58" s="1"/>
  <c r="E18" i="84"/>
  <c r="C17" i="84"/>
  <c r="J18" i="84"/>
  <c r="K18" i="84" s="1"/>
  <c r="N22" i="1"/>
  <c r="C17" i="127"/>
  <c r="E18" i="127"/>
  <c r="J18" i="127"/>
  <c r="K18" i="127" s="1"/>
  <c r="C18" i="17"/>
  <c r="E19" i="17"/>
  <c r="J19" i="17"/>
  <c r="K19" i="17" s="1"/>
  <c r="I48" i="38"/>
  <c r="J47" i="38"/>
  <c r="K46" i="38" s="1"/>
  <c r="C17" i="106"/>
  <c r="E18" i="106"/>
  <c r="J18" i="106"/>
  <c r="K18" i="106" s="1"/>
  <c r="I49" i="86"/>
  <c r="J48" i="86"/>
  <c r="E21" i="12"/>
  <c r="C20" i="12"/>
  <c r="X21" i="2"/>
  <c r="M21" i="1"/>
  <c r="J21" i="12"/>
  <c r="K21" i="12" s="1"/>
  <c r="C18" i="128"/>
  <c r="E19" i="128"/>
  <c r="J19" i="128"/>
  <c r="K19" i="128" s="1"/>
  <c r="E18" i="37"/>
  <c r="C17" i="37"/>
  <c r="J18" i="37"/>
  <c r="K18" i="37" s="1"/>
  <c r="E19" i="22"/>
  <c r="C18" i="22"/>
  <c r="J19" i="22"/>
  <c r="K19" i="22" s="1"/>
  <c r="IK21" i="2"/>
  <c r="I51" i="48"/>
  <c r="J50" i="48"/>
  <c r="K46" i="34"/>
  <c r="E20" i="13"/>
  <c r="C19" i="13"/>
  <c r="J20" i="13"/>
  <c r="K20" i="13" s="1"/>
  <c r="I51" i="122"/>
  <c r="J50" i="122"/>
  <c r="I50" i="158"/>
  <c r="J49" i="158"/>
  <c r="FW22" i="2"/>
  <c r="E18" i="123"/>
  <c r="C17" i="123"/>
  <c r="J18" i="123"/>
  <c r="K18" i="123" s="1"/>
  <c r="I48" i="55"/>
  <c r="J47" i="55"/>
  <c r="K46" i="55" s="1"/>
  <c r="E21" i="158"/>
  <c r="C20" i="158"/>
  <c r="J21" i="158"/>
  <c r="K21" i="158" s="1"/>
  <c r="K46" i="163"/>
  <c r="E19" i="148"/>
  <c r="C18" i="148"/>
  <c r="J19" i="148"/>
  <c r="K19" i="148" s="1"/>
  <c r="I48" i="143"/>
  <c r="J47" i="143"/>
  <c r="K46" i="143" s="1"/>
  <c r="J51" i="94"/>
  <c r="K50" i="94" s="1"/>
  <c r="I52" i="94"/>
  <c r="E16" i="30"/>
  <c r="C15" i="30"/>
  <c r="J16" i="30"/>
  <c r="K16" i="30" s="1"/>
  <c r="E20" i="132"/>
  <c r="C19" i="132"/>
  <c r="J20" i="132"/>
  <c r="K20" i="132" s="1"/>
  <c r="I49" i="67"/>
  <c r="J48" i="67"/>
  <c r="E20" i="133"/>
  <c r="C19" i="133"/>
  <c r="J20" i="133"/>
  <c r="K20" i="133" s="1"/>
  <c r="DH20" i="2"/>
  <c r="C19" i="96"/>
  <c r="E20" i="96"/>
  <c r="J20" i="96"/>
  <c r="K20" i="96" s="1"/>
  <c r="N21" i="2"/>
  <c r="E20" i="76"/>
  <c r="C19" i="76"/>
  <c r="J20" i="76"/>
  <c r="K20" i="76" s="1"/>
  <c r="I52" i="24"/>
  <c r="I48" i="163"/>
  <c r="J47" i="163"/>
  <c r="J47" i="34"/>
  <c r="I48" i="34"/>
  <c r="E20" i="23"/>
  <c r="C19" i="23"/>
  <c r="J20" i="23"/>
  <c r="K20" i="23" s="1"/>
  <c r="E20" i="154"/>
  <c r="C19" i="154"/>
  <c r="J20" i="154"/>
  <c r="K20" i="154" s="1"/>
  <c r="C16" i="34"/>
  <c r="E17" i="34"/>
  <c r="J17" i="34"/>
  <c r="K17" i="34" s="1"/>
  <c r="E19" i="67"/>
  <c r="C18" i="67"/>
  <c r="J19" i="67"/>
  <c r="K19" i="67" s="1"/>
  <c r="I51" i="77"/>
  <c r="J50" i="77"/>
  <c r="E21" i="3"/>
  <c r="C20" i="3"/>
  <c r="J21" i="3"/>
  <c r="K21" i="3" s="1"/>
  <c r="HD22" i="2"/>
  <c r="E19" i="137"/>
  <c r="C18" i="137"/>
  <c r="J19" i="137"/>
  <c r="K19" i="137" s="1"/>
  <c r="J47" i="100"/>
  <c r="K46" i="100" s="1"/>
  <c r="I48" i="100"/>
  <c r="I48" i="81"/>
  <c r="J47" i="81"/>
  <c r="I51" i="135"/>
  <c r="J50" i="135"/>
  <c r="K49" i="135" s="1"/>
  <c r="DT20" i="2"/>
  <c r="C19" i="108"/>
  <c r="E20" i="108"/>
  <c r="J20" i="108"/>
  <c r="K20" i="108" s="1"/>
  <c r="E21" i="56"/>
  <c r="C20" i="56"/>
  <c r="J21" i="56"/>
  <c r="K21" i="56" s="1"/>
  <c r="J47" i="105"/>
  <c r="I48" i="105"/>
  <c r="J50" i="16"/>
  <c r="I51" i="16"/>
  <c r="I49" i="76"/>
  <c r="J48" i="76"/>
  <c r="E19" i="60"/>
  <c r="C18" i="60"/>
  <c r="J19" i="60"/>
  <c r="K19" i="60" s="1"/>
  <c r="I49" i="4"/>
  <c r="J48" i="4"/>
  <c r="C18" i="75"/>
  <c r="E19" i="75"/>
  <c r="J19" i="75"/>
  <c r="K19" i="75" s="1"/>
  <c r="IK22" i="2"/>
  <c r="K48" i="48"/>
  <c r="E20" i="145"/>
  <c r="C19" i="145"/>
  <c r="J20" i="145"/>
  <c r="K20" i="145" s="1"/>
  <c r="BQ22" i="1"/>
  <c r="J48" i="154"/>
  <c r="K47" i="154" s="1"/>
  <c r="I49" i="154"/>
  <c r="E21" i="42"/>
  <c r="C20" i="42"/>
  <c r="J21" i="42"/>
  <c r="K21" i="42" s="1"/>
  <c r="FV21" i="2"/>
  <c r="C19" i="33"/>
  <c r="E20" i="33"/>
  <c r="J20" i="33"/>
  <c r="K20" i="33" s="1"/>
  <c r="I48" i="174"/>
  <c r="J47" i="174"/>
  <c r="C18" i="25"/>
  <c r="E19" i="25"/>
  <c r="J19" i="25"/>
  <c r="K19" i="25" s="1"/>
  <c r="K46" i="81"/>
  <c r="I50" i="159"/>
  <c r="J49" i="159"/>
  <c r="K48" i="159" s="1"/>
  <c r="E18" i="159"/>
  <c r="C17" i="159"/>
  <c r="J18" i="159"/>
  <c r="K18" i="159" s="1"/>
  <c r="C17" i="62"/>
  <c r="E18" i="62"/>
  <c r="J18" i="62"/>
  <c r="K18" i="62" s="1"/>
  <c r="E20" i="63"/>
  <c r="C19" i="63"/>
  <c r="J20" i="63"/>
  <c r="K20" i="63" s="1"/>
  <c r="K48" i="127"/>
  <c r="I51" i="164"/>
  <c r="J50" i="164"/>
  <c r="I49" i="151"/>
  <c r="J48" i="151"/>
  <c r="I51" i="156"/>
  <c r="J50" i="156"/>
  <c r="K49" i="156" s="1"/>
  <c r="J49" i="66"/>
  <c r="K48" i="66" s="1"/>
  <c r="I50" i="66"/>
  <c r="J48" i="88"/>
  <c r="I49" i="88"/>
  <c r="I49" i="104"/>
  <c r="J48" i="104"/>
  <c r="K47" i="104" s="1"/>
  <c r="I48" i="171"/>
  <c r="J47" i="171"/>
  <c r="K46" i="171" s="1"/>
  <c r="I49" i="53"/>
  <c r="J48" i="53"/>
  <c r="K47" i="53" s="1"/>
  <c r="E20" i="153"/>
  <c r="C19" i="153"/>
  <c r="J20" i="153"/>
  <c r="K20" i="153" s="1"/>
  <c r="I48" i="96"/>
  <c r="J47" i="96"/>
  <c r="K46" i="96" s="1"/>
  <c r="I49" i="119"/>
  <c r="J48" i="119"/>
  <c r="K47" i="119" s="1"/>
  <c r="K47" i="72"/>
  <c r="I49" i="168"/>
  <c r="J48" i="168"/>
  <c r="C20" i="8"/>
  <c r="E21" i="8"/>
  <c r="HC21" i="2"/>
  <c r="BP21" i="1"/>
  <c r="J21" i="8"/>
  <c r="K21" i="8" s="1"/>
  <c r="I51" i="29"/>
  <c r="J50" i="29"/>
  <c r="C17" i="73"/>
  <c r="E18" i="73"/>
  <c r="J18" i="73"/>
  <c r="K18" i="73" s="1"/>
  <c r="E19" i="18"/>
  <c r="C18" i="18"/>
  <c r="J19" i="18"/>
  <c r="K19" i="18" s="1"/>
  <c r="E19" i="129"/>
  <c r="C18" i="129"/>
  <c r="J19" i="129"/>
  <c r="K19" i="129" s="1"/>
  <c r="DS19" i="2"/>
  <c r="E20" i="21"/>
  <c r="C19" i="21"/>
  <c r="J20" i="21"/>
  <c r="K20" i="21" s="1"/>
  <c r="I49" i="19"/>
  <c r="J48" i="19"/>
  <c r="K47" i="19" s="1"/>
  <c r="K46" i="76"/>
  <c r="J50" i="132"/>
  <c r="I51" i="132"/>
  <c r="E21" i="172"/>
  <c r="C20" i="172"/>
  <c r="J21" i="172"/>
  <c r="K21" i="172" s="1"/>
  <c r="K45" i="105"/>
  <c r="I48" i="120"/>
  <c r="J47" i="120"/>
  <c r="C18" i="161"/>
  <c r="E19" i="161"/>
  <c r="J19" i="161"/>
  <c r="K19" i="161" s="1"/>
  <c r="J47" i="109"/>
  <c r="K46" i="109" s="1"/>
  <c r="I48" i="109"/>
  <c r="C17" i="69"/>
  <c r="E18" i="69"/>
  <c r="J18" i="69"/>
  <c r="K18" i="69" s="1"/>
  <c r="I49" i="121"/>
  <c r="J48" i="121"/>
  <c r="K47" i="121" s="1"/>
  <c r="C18" i="103"/>
  <c r="E19" i="103"/>
  <c r="J19" i="103"/>
  <c r="K19" i="103" s="1"/>
  <c r="E19" i="68"/>
  <c r="C18" i="68"/>
  <c r="J19" i="68"/>
  <c r="K19" i="68" s="1"/>
  <c r="I49" i="114"/>
  <c r="J48" i="114"/>
  <c r="J47" i="47"/>
  <c r="I48" i="47"/>
  <c r="K47" i="137"/>
  <c r="J47" i="45"/>
  <c r="I48" i="45"/>
  <c r="J52" i="145"/>
  <c r="I53" i="145"/>
  <c r="E19" i="144"/>
  <c r="C18" i="144"/>
  <c r="J19" i="144"/>
  <c r="K19" i="144" s="1"/>
  <c r="E20" i="70"/>
  <c r="C19" i="70"/>
  <c r="J20" i="70"/>
  <c r="K20" i="70" s="1"/>
  <c r="J50" i="107"/>
  <c r="I51" i="107"/>
  <c r="I48" i="148"/>
  <c r="J47" i="148"/>
  <c r="K46" i="148" s="1"/>
  <c r="E20" i="80"/>
  <c r="C19" i="80"/>
  <c r="J20" i="80"/>
  <c r="K20" i="80" s="1"/>
  <c r="I48" i="91"/>
  <c r="J47" i="91"/>
  <c r="K46" i="91" s="1"/>
  <c r="C18" i="116"/>
  <c r="E19" i="116"/>
  <c r="J19" i="116"/>
  <c r="K19" i="116" s="1"/>
  <c r="E20" i="38"/>
  <c r="C19" i="38"/>
  <c r="J20" i="38"/>
  <c r="K20" i="38" s="1"/>
  <c r="I49" i="137"/>
  <c r="J48" i="137"/>
  <c r="K50" i="145"/>
  <c r="E19" i="104"/>
  <c r="C18" i="104"/>
  <c r="J19" i="104"/>
  <c r="K19" i="104" s="1"/>
  <c r="E20" i="36"/>
  <c r="C19" i="36"/>
  <c r="J20" i="36"/>
  <c r="K20" i="36" s="1"/>
  <c r="J50" i="13"/>
  <c r="K49" i="13" s="1"/>
  <c r="I51" i="13"/>
  <c r="E21" i="46"/>
  <c r="C20" i="46"/>
  <c r="J21" i="46"/>
  <c r="K21" i="46" s="1"/>
  <c r="AI21" i="1"/>
  <c r="BQ22" i="2"/>
  <c r="C17" i="39"/>
  <c r="E18" i="39"/>
  <c r="J18" i="39"/>
  <c r="K18" i="39" s="1"/>
  <c r="I49" i="103"/>
  <c r="J48" i="103"/>
  <c r="I50" i="115"/>
  <c r="J49" i="115"/>
  <c r="C20" i="52"/>
  <c r="E21" i="52"/>
  <c r="BP21" i="2"/>
  <c r="J21" i="52"/>
  <c r="K21" i="52" s="1"/>
  <c r="J66" i="150"/>
  <c r="I67" i="150"/>
  <c r="J67" i="150" s="1"/>
  <c r="K46" i="19"/>
  <c r="K47" i="103"/>
  <c r="K48" i="115"/>
  <c r="K49" i="107"/>
  <c r="C18" i="9"/>
  <c r="E19" i="9"/>
  <c r="J19" i="9"/>
  <c r="K19" i="9" s="1"/>
  <c r="I51" i="136"/>
  <c r="J50" i="136"/>
  <c r="K49" i="136" s="1"/>
  <c r="J49" i="10"/>
  <c r="I50" i="10"/>
  <c r="C16" i="102"/>
  <c r="E17" i="102"/>
  <c r="J17" i="102"/>
  <c r="K17" i="102" s="1"/>
  <c r="K45" i="143"/>
  <c r="I48" i="36"/>
  <c r="J47" i="36"/>
  <c r="C20" i="136"/>
  <c r="E21" i="136"/>
  <c r="J21" i="136"/>
  <c r="K21" i="136" s="1"/>
  <c r="C16" i="131"/>
  <c r="E17" i="131"/>
  <c r="J17" i="131"/>
  <c r="K17" i="131" s="1"/>
  <c r="J49" i="83"/>
  <c r="I50" i="83"/>
  <c r="J47" i="95"/>
  <c r="I48" i="95"/>
  <c r="C18" i="54"/>
  <c r="E19" i="54"/>
  <c r="J19" i="54"/>
  <c r="K19" i="54" s="1"/>
  <c r="C20" i="121"/>
  <c r="E21" i="121"/>
  <c r="J21" i="121"/>
  <c r="K21" i="121" s="1"/>
  <c r="E19" i="64"/>
  <c r="C18" i="64"/>
  <c r="J19" i="64"/>
  <c r="K19" i="64" s="1"/>
  <c r="K50" i="71"/>
  <c r="E20" i="114"/>
  <c r="C19" i="114"/>
  <c r="J20" i="114"/>
  <c r="K20" i="114" s="1"/>
  <c r="K46" i="104"/>
  <c r="E20" i="95"/>
  <c r="C19" i="95"/>
  <c r="J20" i="95"/>
  <c r="K20" i="95" s="1"/>
  <c r="J47" i="125"/>
  <c r="K46" i="125" s="1"/>
  <c r="I48" i="125"/>
  <c r="J50" i="128"/>
  <c r="K49" i="128" s="1"/>
  <c r="I51" i="128"/>
  <c r="E21" i="90"/>
  <c r="C20" i="90"/>
  <c r="J21" i="90"/>
  <c r="K21" i="90" s="1"/>
  <c r="K48" i="135"/>
  <c r="K48" i="107"/>
  <c r="E21" i="28"/>
  <c r="C20" i="28"/>
  <c r="J21" i="28"/>
  <c r="K21" i="28" s="1"/>
  <c r="K46" i="36"/>
  <c r="K46" i="95"/>
  <c r="CM22" i="2"/>
  <c r="K51" i="15"/>
  <c r="E19" i="83"/>
  <c r="C18" i="83"/>
  <c r="J19" i="83"/>
  <c r="K19" i="83" s="1"/>
  <c r="J51" i="71"/>
  <c r="I52" i="71"/>
  <c r="J47" i="146"/>
  <c r="I48" i="146"/>
  <c r="K51" i="61"/>
  <c r="J47" i="147"/>
  <c r="K46" i="147" s="1"/>
  <c r="I48" i="147"/>
  <c r="I52" i="22"/>
  <c r="J51" i="22"/>
  <c r="K50" i="22" s="1"/>
  <c r="I53" i="15"/>
  <c r="J52" i="15"/>
  <c r="C18" i="118"/>
  <c r="E19" i="118"/>
  <c r="J19" i="118"/>
  <c r="K19" i="118" s="1"/>
  <c r="C20" i="155"/>
  <c r="CL20" i="2" s="1"/>
  <c r="E21" i="155"/>
  <c r="J21" i="155"/>
  <c r="K21" i="155" s="1"/>
  <c r="AI21" i="2"/>
  <c r="CB22" i="1"/>
  <c r="K46" i="146"/>
  <c r="E19" i="4"/>
  <c r="C18" i="4"/>
  <c r="J19" i="4"/>
  <c r="K19" i="4" s="1"/>
  <c r="I51" i="26"/>
  <c r="J50" i="26"/>
  <c r="K49" i="26" s="1"/>
  <c r="E20" i="147"/>
  <c r="C19" i="147"/>
  <c r="J20" i="147"/>
  <c r="K20" i="147" s="1"/>
  <c r="C16" i="165"/>
  <c r="E17" i="165"/>
  <c r="J17" i="165"/>
  <c r="K17" i="165" s="1"/>
  <c r="I49" i="31"/>
  <c r="J48" i="31"/>
  <c r="K47" i="31" s="1"/>
  <c r="J52" i="61"/>
  <c r="I53" i="61"/>
  <c r="EE22" i="2"/>
  <c r="E19" i="66"/>
  <c r="C18" i="66"/>
  <c r="J19" i="66"/>
  <c r="K19" i="66" s="1"/>
  <c r="E20" i="119"/>
  <c r="C19" i="119"/>
  <c r="J20" i="119"/>
  <c r="K20" i="119" s="1"/>
  <c r="C18" i="16"/>
  <c r="E19" i="16"/>
  <c r="J19" i="16"/>
  <c r="K19" i="16" s="1"/>
  <c r="E19" i="167"/>
  <c r="C18" i="167"/>
  <c r="J19" i="167"/>
  <c r="K19" i="167" s="1"/>
  <c r="E18" i="72"/>
  <c r="C17" i="72"/>
  <c r="J18" i="72"/>
  <c r="K18" i="72" s="1"/>
  <c r="I48" i="69"/>
  <c r="J47" i="69"/>
  <c r="C20" i="58"/>
  <c r="E21" i="58"/>
  <c r="J21" i="58"/>
  <c r="K21" i="58" s="1"/>
  <c r="AU22" i="1"/>
  <c r="I49" i="116"/>
  <c r="J48" i="116"/>
  <c r="E21" i="109"/>
  <c r="C20" i="109"/>
  <c r="ED21" i="2"/>
  <c r="J21" i="109"/>
  <c r="K21" i="109" s="1"/>
  <c r="GS22" i="2"/>
  <c r="I50" i="113"/>
  <c r="J49" i="113"/>
  <c r="E21" i="7"/>
  <c r="C20" i="7"/>
  <c r="AT21" i="1"/>
  <c r="J21" i="7"/>
  <c r="K21" i="7" s="1"/>
  <c r="K47" i="123"/>
  <c r="K45" i="96"/>
  <c r="E16" i="146"/>
  <c r="C15" i="146"/>
  <c r="J16" i="146"/>
  <c r="K16" i="146" s="1"/>
  <c r="E19" i="81"/>
  <c r="C18" i="81"/>
  <c r="J19" i="81"/>
  <c r="K19" i="81" s="1"/>
  <c r="K48" i="113"/>
  <c r="E20" i="140"/>
  <c r="C19" i="140"/>
  <c r="J20" i="140"/>
  <c r="K20" i="140" s="1"/>
  <c r="AJ22" i="1"/>
  <c r="K48" i="41"/>
  <c r="E20" i="169"/>
  <c r="C19" i="169"/>
  <c r="J20" i="169"/>
  <c r="K20" i="169" s="1"/>
  <c r="J50" i="142"/>
  <c r="K49" i="142" s="1"/>
  <c r="I51" i="142"/>
  <c r="J48" i="161"/>
  <c r="I49" i="161"/>
  <c r="I50" i="93"/>
  <c r="J49" i="93"/>
  <c r="K48" i="93" s="1"/>
  <c r="D60" i="1"/>
  <c r="O60" i="1"/>
  <c r="AK60" i="1"/>
  <c r="AV60" i="1"/>
  <c r="Z60" i="1"/>
  <c r="CC60" i="1"/>
  <c r="BR60" i="1"/>
  <c r="K45" i="100"/>
  <c r="J48" i="123"/>
  <c r="I49" i="123"/>
  <c r="I50" i="23"/>
  <c r="J49" i="23"/>
  <c r="K48" i="16"/>
  <c r="K50" i="59"/>
  <c r="C15" i="32"/>
  <c r="E16" i="32"/>
  <c r="J16" i="32"/>
  <c r="K16" i="32" s="1"/>
  <c r="HZ21" i="2"/>
  <c r="E20" i="10"/>
  <c r="C19" i="10"/>
  <c r="J20" i="10"/>
  <c r="K20" i="10" s="1"/>
  <c r="E20" i="125"/>
  <c r="C19" i="125"/>
  <c r="J20" i="125"/>
  <c r="K20" i="125" s="1"/>
  <c r="K48" i="156"/>
  <c r="J47" i="166"/>
  <c r="I48" i="166"/>
  <c r="J52" i="46"/>
  <c r="I53" i="46"/>
  <c r="K46" i="103"/>
  <c r="I49" i="39"/>
  <c r="J48" i="39"/>
  <c r="K47" i="39" s="1"/>
  <c r="C19" i="79"/>
  <c r="E20" i="79"/>
  <c r="J20" i="79"/>
  <c r="K20" i="79" s="1"/>
  <c r="I49" i="5"/>
  <c r="J48" i="5"/>
  <c r="I50" i="41"/>
  <c r="J49" i="41"/>
  <c r="E18" i="47"/>
  <c r="C17" i="47"/>
  <c r="J18" i="47"/>
  <c r="K18" i="47" s="1"/>
  <c r="K46" i="166"/>
  <c r="K47" i="161"/>
  <c r="K45" i="171"/>
  <c r="D60" i="2"/>
  <c r="CY60" i="2"/>
  <c r="DU60" i="2"/>
  <c r="DJ60" i="2"/>
  <c r="IA60" i="2"/>
  <c r="FB60" i="2"/>
  <c r="CN60" i="2"/>
  <c r="BR60" i="2"/>
  <c r="EQ60" i="2"/>
  <c r="O60" i="2"/>
  <c r="FM60" i="2"/>
  <c r="AK60" i="2"/>
  <c r="IL60" i="2"/>
  <c r="AV60" i="2"/>
  <c r="HP60" i="2"/>
  <c r="IW60" i="2"/>
  <c r="FX60" i="2"/>
  <c r="HE60" i="2"/>
  <c r="CC60" i="2"/>
  <c r="BG60" i="2"/>
  <c r="Z60" i="2"/>
  <c r="EF60" i="2"/>
  <c r="GT60" i="2"/>
  <c r="E21" i="14"/>
  <c r="C20" i="14"/>
  <c r="J21" i="14"/>
  <c r="K21" i="14" s="1"/>
  <c r="GR21" i="2"/>
  <c r="C13" i="82"/>
  <c r="E14" i="82"/>
  <c r="J14" i="82"/>
  <c r="K14" i="82" s="1"/>
  <c r="K46" i="64"/>
  <c r="K46" i="140"/>
  <c r="E18" i="163"/>
  <c r="C17" i="163"/>
  <c r="J18" i="163"/>
  <c r="K18" i="163" s="1"/>
  <c r="CA21" i="2"/>
  <c r="K45" i="69"/>
  <c r="K47" i="113"/>
  <c r="E18" i="86"/>
  <c r="C17" i="86"/>
  <c r="J18" i="86"/>
  <c r="K18" i="86" s="1"/>
  <c r="E21" i="6"/>
  <c r="C20" i="6"/>
  <c r="CA21" i="1"/>
  <c r="E21" i="55"/>
  <c r="C20" i="55"/>
  <c r="FK20" i="2" s="1"/>
  <c r="J21" i="55"/>
  <c r="K21" i="55" s="1"/>
  <c r="E19" i="139"/>
  <c r="C18" i="139"/>
  <c r="J19" i="139"/>
  <c r="K19" i="139" s="1"/>
  <c r="K51" i="46"/>
  <c r="K45" i="95"/>
  <c r="C19" i="41"/>
  <c r="E20" i="41"/>
  <c r="J20" i="41"/>
  <c r="K20" i="41" s="1"/>
  <c r="E21" i="92"/>
  <c r="C20" i="92"/>
  <c r="HN20" i="2" s="1"/>
  <c r="J21" i="92"/>
  <c r="K21" i="92" s="1"/>
  <c r="C17" i="173"/>
  <c r="E18" i="173"/>
  <c r="J18" i="173"/>
  <c r="K18" i="173" s="1"/>
  <c r="C17" i="120"/>
  <c r="E18" i="120"/>
  <c r="J18" i="120"/>
  <c r="K18" i="120" s="1"/>
  <c r="BG60" i="1"/>
  <c r="BF60" i="1"/>
  <c r="E21" i="29"/>
  <c r="C20" i="29"/>
  <c r="X20" i="1" s="1"/>
  <c r="J21" i="29"/>
  <c r="K21" i="29" s="1"/>
  <c r="X21" i="1"/>
  <c r="I49" i="20"/>
  <c r="J48" i="20"/>
  <c r="K47" i="20" s="1"/>
  <c r="I50" i="28"/>
  <c r="J49" i="28"/>
  <c r="K48" i="28" s="1"/>
  <c r="I48" i="64"/>
  <c r="J47" i="64"/>
  <c r="J47" i="140"/>
  <c r="I48" i="140"/>
  <c r="C19" i="117"/>
  <c r="E20" i="117"/>
  <c r="J20" i="117"/>
  <c r="K20" i="117" s="1"/>
  <c r="J51" i="14"/>
  <c r="I52" i="14"/>
  <c r="K51" i="75"/>
  <c r="I50" i="167"/>
  <c r="J49" i="167"/>
  <c r="J47" i="160"/>
  <c r="I48" i="160"/>
  <c r="K50" i="15"/>
  <c r="I48" i="141"/>
  <c r="J47" i="141"/>
  <c r="K46" i="141" s="1"/>
  <c r="J52" i="74"/>
  <c r="K51" i="74" s="1"/>
  <c r="I53" i="74"/>
  <c r="FA21" i="2"/>
  <c r="E21" i="27"/>
  <c r="C20" i="27"/>
  <c r="IJ20" i="2" s="1"/>
  <c r="J21" i="27"/>
  <c r="K21" i="27" s="1"/>
  <c r="C17" i="85"/>
  <c r="E18" i="85"/>
  <c r="J18" i="85"/>
  <c r="K18" i="85" s="1"/>
  <c r="I51" i="101"/>
  <c r="J50" i="101"/>
  <c r="K49" i="101" s="1"/>
  <c r="GI60" i="2"/>
  <c r="GH60" i="2"/>
  <c r="E19" i="110"/>
  <c r="C18" i="110"/>
  <c r="J19" i="110"/>
  <c r="K19" i="110" s="1"/>
  <c r="I50" i="30"/>
  <c r="J49" i="30"/>
  <c r="C19" i="31"/>
  <c r="E20" i="31"/>
  <c r="CA20" i="2"/>
  <c r="J20" i="31"/>
  <c r="K20" i="31" s="1"/>
  <c r="J48" i="3"/>
  <c r="I49" i="3"/>
  <c r="I49" i="54"/>
  <c r="J48" i="54"/>
  <c r="K47" i="54" s="1"/>
  <c r="E20" i="35"/>
  <c r="C19" i="35"/>
  <c r="J20" i="35"/>
  <c r="K20" i="35" s="1"/>
  <c r="I49" i="126"/>
  <c r="J48" i="126"/>
  <c r="K47" i="126" s="1"/>
  <c r="C18" i="65"/>
  <c r="E19" i="65"/>
  <c r="J19" i="65"/>
  <c r="K19" i="65" s="1"/>
  <c r="K48" i="122"/>
  <c r="I52" i="27"/>
  <c r="J51" i="27"/>
  <c r="K50" i="27" s="1"/>
  <c r="C58" i="24"/>
  <c r="E59" i="24"/>
  <c r="GG59" i="2"/>
  <c r="BE59" i="1"/>
  <c r="C59" i="2"/>
  <c r="C59" i="1"/>
  <c r="I49" i="56"/>
  <c r="J48" i="56"/>
  <c r="E20" i="142"/>
  <c r="C19" i="142"/>
  <c r="J20" i="142"/>
  <c r="K20" i="142" s="1"/>
  <c r="J49" i="25"/>
  <c r="K48" i="25" s="1"/>
  <c r="I50" i="25"/>
  <c r="C18" i="11"/>
  <c r="E19" i="11"/>
  <c r="J19" i="11"/>
  <c r="K19" i="11" s="1"/>
  <c r="J52" i="134"/>
  <c r="K51" i="134" s="1"/>
  <c r="I53" i="134"/>
  <c r="K47" i="3"/>
  <c r="E18" i="141"/>
  <c r="C17" i="141"/>
  <c r="J18" i="141"/>
  <c r="K18" i="141" s="1"/>
  <c r="I49" i="155"/>
  <c r="J48" i="155"/>
  <c r="K47" i="155" s="1"/>
  <c r="E20" i="101"/>
  <c r="C19" i="101"/>
  <c r="J20" i="101"/>
  <c r="K20" i="101" s="1"/>
  <c r="I50" i="63"/>
  <c r="J49" i="63"/>
  <c r="K48" i="63" s="1"/>
  <c r="I53" i="75"/>
  <c r="J52" i="75"/>
  <c r="I51" i="117"/>
  <c r="J50" i="117"/>
  <c r="K49" i="117" s="1"/>
  <c r="I49" i="70"/>
  <c r="J48" i="70"/>
  <c r="K47" i="70" s="1"/>
  <c r="K50" i="46"/>
  <c r="C19" i="20"/>
  <c r="E20" i="20"/>
  <c r="J20" i="20"/>
  <c r="K20" i="20" s="1"/>
  <c r="C20" i="152"/>
  <c r="E21" i="152"/>
  <c r="J21" i="152"/>
  <c r="K21" i="152" s="1"/>
  <c r="CW20" i="2"/>
  <c r="J49" i="60"/>
  <c r="K48" i="60" s="1"/>
  <c r="I50" i="60"/>
  <c r="E20" i="134"/>
  <c r="C19" i="134"/>
  <c r="EZ20" i="2"/>
  <c r="J20" i="134"/>
  <c r="K20" i="134" s="1"/>
  <c r="E17" i="45"/>
  <c r="C16" i="45"/>
  <c r="J17" i="45"/>
  <c r="K17" i="45" s="1"/>
  <c r="E18" i="51"/>
  <c r="C17" i="51"/>
  <c r="J18" i="51"/>
  <c r="K18" i="51" s="1"/>
  <c r="I48" i="17"/>
  <c r="J47" i="17"/>
  <c r="K46" i="17" s="1"/>
  <c r="C15" i="87"/>
  <c r="E16" i="87"/>
  <c r="J16" i="87"/>
  <c r="K16" i="87" s="1"/>
  <c r="J49" i="149"/>
  <c r="I50" i="149"/>
  <c r="I52" i="82"/>
  <c r="J51" i="82"/>
  <c r="K50" i="82" s="1"/>
  <c r="K46" i="43"/>
  <c r="J49" i="124"/>
  <c r="I50" i="124"/>
  <c r="CB22" i="2"/>
  <c r="K46" i="97"/>
  <c r="C18" i="112"/>
  <c r="E19" i="112"/>
  <c r="CW19" i="2"/>
  <c r="J19" i="112"/>
  <c r="K19" i="112" s="1"/>
  <c r="J47" i="112"/>
  <c r="K46" i="112" s="1"/>
  <c r="I48" i="112"/>
  <c r="E21" i="143"/>
  <c r="C20" i="143"/>
  <c r="J21" i="143"/>
  <c r="K21" i="143" s="1"/>
  <c r="K47" i="158"/>
  <c r="E20" i="15"/>
  <c r="C19" i="15"/>
  <c r="J20" i="15"/>
  <c r="K20" i="15" s="1"/>
  <c r="I48" i="43"/>
  <c r="J47" i="43"/>
  <c r="I48" i="110"/>
  <c r="J47" i="110"/>
  <c r="K46" i="110" s="1"/>
  <c r="I49" i="170"/>
  <c r="J48" i="170"/>
  <c r="J50" i="9"/>
  <c r="K49" i="9" s="1"/>
  <c r="I51" i="9"/>
  <c r="K47" i="169"/>
  <c r="C19" i="71"/>
  <c r="E20" i="71"/>
  <c r="J20" i="71"/>
  <c r="K20" i="71" s="1"/>
  <c r="J48" i="106"/>
  <c r="I49" i="106"/>
  <c r="C18" i="5"/>
  <c r="E19" i="5"/>
  <c r="J19" i="5"/>
  <c r="K19" i="5" s="1"/>
  <c r="J49" i="68"/>
  <c r="K48" i="68" s="1"/>
  <c r="I50" i="68"/>
  <c r="K47" i="124"/>
  <c r="E21" i="107"/>
  <c r="C20" i="107"/>
  <c r="J21" i="107"/>
  <c r="K21" i="107" s="1"/>
  <c r="I49" i="169"/>
  <c r="J48" i="169"/>
  <c r="K49" i="14"/>
  <c r="J49" i="118"/>
  <c r="K48" i="118" s="1"/>
  <c r="I50" i="118"/>
  <c r="J49" i="165"/>
  <c r="K48" i="165" s="1"/>
  <c r="I50" i="165"/>
  <c r="K47" i="106"/>
  <c r="E21" i="170"/>
  <c r="C20" i="170"/>
  <c r="J21" i="170"/>
  <c r="K21" i="170" s="1"/>
  <c r="K47" i="93"/>
  <c r="E19" i="135"/>
  <c r="C18" i="135"/>
  <c r="J19" i="135"/>
  <c r="K19" i="135" s="1"/>
  <c r="J48" i="33"/>
  <c r="K47" i="33" s="1"/>
  <c r="I49" i="33"/>
  <c r="E19" i="126"/>
  <c r="C18" i="126"/>
  <c r="J19" i="126"/>
  <c r="K19" i="126" s="1"/>
  <c r="J48" i="21"/>
  <c r="I49" i="21"/>
  <c r="I50" i="37"/>
  <c r="J49" i="37"/>
  <c r="K49" i="51"/>
  <c r="E21" i="49"/>
  <c r="C20" i="49"/>
  <c r="J21" i="49"/>
  <c r="K21" i="49" s="1"/>
  <c r="I51" i="89"/>
  <c r="J50" i="89"/>
  <c r="C19" i="78"/>
  <c r="E20" i="78"/>
  <c r="J20" i="78"/>
  <c r="K20" i="78" s="1"/>
  <c r="E19" i="99"/>
  <c r="C18" i="99"/>
  <c r="J19" i="99"/>
  <c r="K19" i="99" s="1"/>
  <c r="IU21" i="2"/>
  <c r="E20" i="48"/>
  <c r="C19" i="48"/>
  <c r="J20" i="48"/>
  <c r="K20" i="48" s="1"/>
  <c r="I50" i="129"/>
  <c r="J49" i="129"/>
  <c r="J47" i="11"/>
  <c r="K46" i="11" s="1"/>
  <c r="I48" i="11"/>
  <c r="K48" i="129"/>
  <c r="C16" i="105"/>
  <c r="E17" i="105"/>
  <c r="J17" i="105"/>
  <c r="K17" i="105" s="1"/>
  <c r="K46" i="130"/>
  <c r="J50" i="152"/>
  <c r="K49" i="152" s="1"/>
  <c r="I51" i="152"/>
  <c r="AJ22" i="2"/>
  <c r="K47" i="165"/>
  <c r="K46" i="106"/>
  <c r="E16" i="166"/>
  <c r="C15" i="166"/>
  <c r="J16" i="166"/>
  <c r="K16" i="166" s="1"/>
  <c r="J48" i="57"/>
  <c r="K47" i="57" s="1"/>
  <c r="I49" i="57"/>
  <c r="I51" i="78"/>
  <c r="J50" i="78"/>
  <c r="K49" i="78" s="1"/>
  <c r="I52" i="42"/>
  <c r="J51" i="42"/>
  <c r="K50" i="42" s="1"/>
  <c r="K45" i="55"/>
  <c r="I48" i="35"/>
  <c r="J47" i="35"/>
  <c r="K46" i="35" s="1"/>
  <c r="E19" i="113"/>
  <c r="C18" i="113"/>
  <c r="J19" i="113"/>
  <c r="K19" i="113" s="1"/>
  <c r="K45" i="110"/>
  <c r="J50" i="51"/>
  <c r="I51" i="51"/>
  <c r="K46" i="168"/>
  <c r="K49" i="89"/>
  <c r="J48" i="111"/>
  <c r="K47" i="111" s="1"/>
  <c r="I49" i="111"/>
  <c r="K48" i="83"/>
  <c r="K48" i="99"/>
  <c r="E20" i="164"/>
  <c r="C19" i="164"/>
  <c r="J20" i="164"/>
  <c r="K20" i="164" s="1"/>
  <c r="I53" i="133"/>
  <c r="J52" i="133"/>
  <c r="K51" i="133" s="1"/>
  <c r="E20" i="77"/>
  <c r="C19" i="77"/>
  <c r="J20" i="77"/>
  <c r="K20" i="77" s="1"/>
  <c r="K48" i="157"/>
  <c r="K48" i="142"/>
  <c r="I49" i="138"/>
  <c r="J48" i="138"/>
  <c r="I53" i="12"/>
  <c r="J52" i="12"/>
  <c r="I48" i="130"/>
  <c r="J47" i="130"/>
  <c r="J48" i="162"/>
  <c r="K47" i="162" s="1"/>
  <c r="I49" i="162"/>
  <c r="J49" i="99"/>
  <c r="I50" i="99"/>
  <c r="I48" i="8"/>
  <c r="J47" i="8"/>
  <c r="K46" i="8" s="1"/>
  <c r="C18" i="19"/>
  <c r="E19" i="19"/>
  <c r="J19" i="19"/>
  <c r="K19" i="19" s="1"/>
  <c r="I50" i="18"/>
  <c r="J49" i="18"/>
  <c r="K48" i="18" s="1"/>
  <c r="EO21" i="2"/>
  <c r="J51" i="32"/>
  <c r="K50" i="32" s="1"/>
  <c r="I52" i="32"/>
  <c r="J49" i="157"/>
  <c r="I50" i="157"/>
  <c r="K46" i="121"/>
  <c r="C17" i="124"/>
  <c r="E18" i="124"/>
  <c r="J18" i="124"/>
  <c r="K18" i="124" s="1"/>
  <c r="I50" i="139"/>
  <c r="J49" i="139"/>
  <c r="I51" i="62"/>
  <c r="J50" i="62"/>
  <c r="AU22" i="2"/>
  <c r="C19" i="162"/>
  <c r="E20" i="162"/>
  <c r="J20" i="162"/>
  <c r="K20" i="162" s="1"/>
  <c r="I49" i="87"/>
  <c r="J48" i="87"/>
  <c r="K47" i="87" s="1"/>
  <c r="E17" i="160"/>
  <c r="C16" i="160"/>
  <c r="J17" i="160"/>
  <c r="K17" i="160" s="1"/>
  <c r="C17" i="171"/>
  <c r="E18" i="171"/>
  <c r="J18" i="171"/>
  <c r="K18" i="171" s="1"/>
  <c r="K45" i="34"/>
  <c r="I52" i="79"/>
  <c r="J51" i="79"/>
  <c r="K50" i="79" s="1"/>
  <c r="E20" i="44"/>
  <c r="C19" i="44"/>
  <c r="J20" i="44"/>
  <c r="K20" i="44" s="1"/>
  <c r="K45" i="109"/>
  <c r="C19" i="97"/>
  <c r="E20" i="97"/>
  <c r="EO20" i="2"/>
  <c r="J20" i="97"/>
  <c r="K20" i="97" s="1"/>
  <c r="K46" i="116"/>
  <c r="K45" i="58"/>
  <c r="J48" i="85"/>
  <c r="K47" i="85" s="1"/>
  <c r="I49" i="85"/>
  <c r="C17" i="26"/>
  <c r="E18" i="26"/>
  <c r="J18" i="26"/>
  <c r="K18" i="26" s="1"/>
  <c r="I49" i="49"/>
  <c r="J48" i="49"/>
  <c r="K47" i="49" s="1"/>
  <c r="C20" i="50"/>
  <c r="E21" i="50"/>
  <c r="AT21" i="2"/>
  <c r="J21" i="50"/>
  <c r="K21" i="50" s="1"/>
  <c r="K48" i="172"/>
  <c r="E21" i="100"/>
  <c r="C20" i="100"/>
  <c r="J21" i="100"/>
  <c r="K21" i="100" s="1"/>
  <c r="I49" i="131"/>
  <c r="J48" i="131"/>
  <c r="K47" i="131" s="1"/>
  <c r="I50" i="92"/>
  <c r="J49" i="92"/>
  <c r="K48" i="92" s="1"/>
  <c r="C20" i="174"/>
  <c r="E21" i="174"/>
  <c r="J21" i="174"/>
  <c r="K21" i="174" s="1"/>
  <c r="J49" i="173"/>
  <c r="I50" i="173"/>
  <c r="I49" i="108"/>
  <c r="J48" i="108"/>
  <c r="C17" i="40"/>
  <c r="E18" i="40"/>
  <c r="J18" i="40"/>
  <c r="K18" i="40" s="1"/>
  <c r="J47" i="90"/>
  <c r="I48" i="90"/>
  <c r="E18" i="168"/>
  <c r="C17" i="168"/>
  <c r="J18" i="168"/>
  <c r="K18" i="168" s="1"/>
  <c r="K48" i="77"/>
  <c r="E18" i="115"/>
  <c r="C17" i="115"/>
  <c r="J18" i="115"/>
  <c r="K18" i="115" s="1"/>
  <c r="E19" i="57"/>
  <c r="C18" i="57"/>
  <c r="J19" i="57"/>
  <c r="K19" i="57" s="1"/>
  <c r="K47" i="41"/>
  <c r="K47" i="66"/>
  <c r="I49" i="50"/>
  <c r="J48" i="50"/>
  <c r="K47" i="50" s="1"/>
  <c r="K45" i="146"/>
  <c r="E21" i="91"/>
  <c r="C20" i="91"/>
  <c r="J21" i="91"/>
  <c r="K21" i="91" s="1"/>
  <c r="K45" i="125"/>
  <c r="E16" i="157"/>
  <c r="C15" i="157"/>
  <c r="J16" i="157"/>
  <c r="K16" i="157" s="1"/>
  <c r="K48" i="89"/>
  <c r="E20" i="151"/>
  <c r="C19" i="151"/>
  <c r="J20" i="151"/>
  <c r="K20" i="151" s="1"/>
  <c r="J48" i="52"/>
  <c r="K47" i="52" s="1"/>
  <c r="I49" i="52"/>
  <c r="K46" i="153"/>
  <c r="K50" i="75"/>
  <c r="K47" i="99"/>
  <c r="E21" i="53"/>
  <c r="C20" i="53"/>
  <c r="BE20" i="2" s="1"/>
  <c r="J21" i="53"/>
  <c r="K21" i="53" s="1"/>
  <c r="I48" i="65"/>
  <c r="J47" i="65"/>
  <c r="K46" i="65" s="1"/>
  <c r="HN21" i="2"/>
  <c r="FK21" i="2"/>
  <c r="K46" i="40"/>
  <c r="J49" i="44"/>
  <c r="K48" i="44" s="1"/>
  <c r="I50" i="44"/>
  <c r="K45" i="40"/>
  <c r="K46" i="102"/>
  <c r="E17" i="111"/>
  <c r="C16" i="111"/>
  <c r="J17" i="111"/>
  <c r="K17" i="111" s="1"/>
  <c r="J49" i="72"/>
  <c r="I50" i="72"/>
  <c r="J48" i="84"/>
  <c r="I49" i="84"/>
  <c r="J50" i="172"/>
  <c r="I51" i="172"/>
  <c r="K47" i="144"/>
  <c r="J52" i="7"/>
  <c r="I53" i="7"/>
  <c r="K49" i="98"/>
  <c r="J20" i="156" l="1"/>
  <c r="K20" i="156" s="1"/>
  <c r="C19" i="156"/>
  <c r="E20" i="156"/>
  <c r="C18" i="149"/>
  <c r="E19" i="149"/>
  <c r="J19" i="149"/>
  <c r="K19" i="149" s="1"/>
  <c r="E20" i="130"/>
  <c r="C19" i="130"/>
  <c r="J20" i="130"/>
  <c r="K20" i="130" s="1"/>
  <c r="C14" i="98"/>
  <c r="J15" i="98"/>
  <c r="K15" i="98" s="1"/>
  <c r="E15" i="98"/>
  <c r="AI20" i="1"/>
  <c r="AJ20" i="1" s="1"/>
  <c r="E20" i="74"/>
  <c r="C19" i="74"/>
  <c r="J20" i="74"/>
  <c r="K20" i="74" s="1"/>
  <c r="E19" i="61"/>
  <c r="C18" i="61"/>
  <c r="J19" i="61"/>
  <c r="K19" i="61" s="1"/>
  <c r="E19" i="59"/>
  <c r="C18" i="59"/>
  <c r="J19" i="59"/>
  <c r="K19" i="59" s="1"/>
  <c r="AI20" i="2"/>
  <c r="E20" i="150"/>
  <c r="C19" i="150"/>
  <c r="J20" i="150"/>
  <c r="K20" i="150" s="1"/>
  <c r="K66" i="150"/>
  <c r="K65" i="150"/>
  <c r="FL20" i="2"/>
  <c r="Y20" i="1"/>
  <c r="AJ20" i="2"/>
  <c r="CM20" i="2"/>
  <c r="HO20" i="2"/>
  <c r="BF20" i="2"/>
  <c r="IK20" i="2"/>
  <c r="E20" i="50"/>
  <c r="C19" i="50"/>
  <c r="AT20" i="2"/>
  <c r="J20" i="50"/>
  <c r="K20" i="50" s="1"/>
  <c r="E18" i="135"/>
  <c r="C17" i="135"/>
  <c r="J18" i="135"/>
  <c r="K18" i="135" s="1"/>
  <c r="I50" i="52"/>
  <c r="J49" i="52"/>
  <c r="K48" i="52" s="1"/>
  <c r="I49" i="141"/>
  <c r="J48" i="141"/>
  <c r="E17" i="120"/>
  <c r="C16" i="120"/>
  <c r="J17" i="120"/>
  <c r="K17" i="120" s="1"/>
  <c r="I50" i="31"/>
  <c r="J49" i="31"/>
  <c r="K48" i="31" s="1"/>
  <c r="C16" i="39"/>
  <c r="E17" i="39"/>
  <c r="J17" i="39"/>
  <c r="K17" i="39" s="1"/>
  <c r="I49" i="148"/>
  <c r="J48" i="148"/>
  <c r="I49" i="109"/>
  <c r="J48" i="109"/>
  <c r="K47" i="109" s="1"/>
  <c r="E18" i="137"/>
  <c r="C17" i="137"/>
  <c r="J18" i="137"/>
  <c r="K18" i="137" s="1"/>
  <c r="I53" i="82"/>
  <c r="J52" i="82"/>
  <c r="E17" i="168"/>
  <c r="C16" i="168"/>
  <c r="J17" i="168"/>
  <c r="K17" i="168" s="1"/>
  <c r="J49" i="49"/>
  <c r="I50" i="49"/>
  <c r="K47" i="130"/>
  <c r="CX20" i="2"/>
  <c r="J48" i="90"/>
  <c r="K47" i="90" s="1"/>
  <c r="I49" i="90"/>
  <c r="E19" i="162"/>
  <c r="C18" i="162"/>
  <c r="J19" i="162"/>
  <c r="K19" i="162" s="1"/>
  <c r="J48" i="130"/>
  <c r="I49" i="130"/>
  <c r="J50" i="129"/>
  <c r="K49" i="129" s="1"/>
  <c r="I51" i="129"/>
  <c r="J50" i="124"/>
  <c r="I51" i="124"/>
  <c r="E18" i="11"/>
  <c r="C17" i="11"/>
  <c r="J18" i="11"/>
  <c r="K18" i="11" s="1"/>
  <c r="E17" i="163"/>
  <c r="C16" i="163"/>
  <c r="J17" i="163"/>
  <c r="K17" i="163" s="1"/>
  <c r="I49" i="36"/>
  <c r="J48" i="36"/>
  <c r="J51" i="107"/>
  <c r="I52" i="107"/>
  <c r="I49" i="171"/>
  <c r="J48" i="171"/>
  <c r="I53" i="24"/>
  <c r="K49" i="124"/>
  <c r="I51" i="25"/>
  <c r="J50" i="25"/>
  <c r="K49" i="25" s="1"/>
  <c r="K48" i="104"/>
  <c r="E18" i="75"/>
  <c r="C17" i="75"/>
  <c r="J18" i="75"/>
  <c r="K18" i="75" s="1"/>
  <c r="I50" i="80"/>
  <c r="J49" i="80"/>
  <c r="K48" i="80" s="1"/>
  <c r="E19" i="151"/>
  <c r="C18" i="151"/>
  <c r="J19" i="151"/>
  <c r="K19" i="151" s="1"/>
  <c r="E17" i="26"/>
  <c r="C16" i="26"/>
  <c r="J17" i="26"/>
  <c r="K17" i="26" s="1"/>
  <c r="I54" i="12"/>
  <c r="J53" i="12"/>
  <c r="C19" i="152"/>
  <c r="M19" i="2" s="1"/>
  <c r="E20" i="152"/>
  <c r="J20" i="152"/>
  <c r="K20" i="152" s="1"/>
  <c r="I50" i="116"/>
  <c r="J49" i="116"/>
  <c r="C15" i="165"/>
  <c r="E16" i="165"/>
  <c r="J16" i="165"/>
  <c r="K16" i="165" s="1"/>
  <c r="E19" i="114"/>
  <c r="C18" i="114"/>
  <c r="J19" i="114"/>
  <c r="K19" i="114" s="1"/>
  <c r="AJ21" i="1"/>
  <c r="I50" i="104"/>
  <c r="J49" i="104"/>
  <c r="E18" i="25"/>
  <c r="C17" i="25"/>
  <c r="J18" i="25"/>
  <c r="K18" i="25" s="1"/>
  <c r="E20" i="158"/>
  <c r="C19" i="158"/>
  <c r="J20" i="158"/>
  <c r="K20" i="158" s="1"/>
  <c r="C17" i="128"/>
  <c r="E18" i="128"/>
  <c r="J18" i="128"/>
  <c r="K18" i="128" s="1"/>
  <c r="I50" i="73"/>
  <c r="J49" i="73"/>
  <c r="K48" i="73" s="1"/>
  <c r="C17" i="113"/>
  <c r="E18" i="113"/>
  <c r="J18" i="113"/>
  <c r="K18" i="113" s="1"/>
  <c r="C18" i="48"/>
  <c r="E19" i="48"/>
  <c r="J19" i="48"/>
  <c r="K19" i="48" s="1"/>
  <c r="E19" i="71"/>
  <c r="C18" i="71"/>
  <c r="J19" i="71"/>
  <c r="K19" i="71" s="1"/>
  <c r="CB20" i="2"/>
  <c r="I49" i="160"/>
  <c r="J48" i="160"/>
  <c r="C16" i="173"/>
  <c r="E17" i="173"/>
  <c r="J17" i="173"/>
  <c r="K17" i="173" s="1"/>
  <c r="E15" i="32"/>
  <c r="C14" i="32"/>
  <c r="J15" i="32"/>
  <c r="K15" i="32" s="1"/>
  <c r="I49" i="146"/>
  <c r="J48" i="146"/>
  <c r="K47" i="146" s="1"/>
  <c r="E19" i="70"/>
  <c r="C18" i="70"/>
  <c r="J19" i="70"/>
  <c r="K19" i="70" s="1"/>
  <c r="I50" i="88"/>
  <c r="J49" i="88"/>
  <c r="J49" i="4"/>
  <c r="K48" i="4" s="1"/>
  <c r="I50" i="4"/>
  <c r="C18" i="76"/>
  <c r="E19" i="76"/>
  <c r="J19" i="76"/>
  <c r="K19" i="76" s="1"/>
  <c r="E19" i="140"/>
  <c r="C18" i="140"/>
  <c r="J19" i="140"/>
  <c r="K19" i="140" s="1"/>
  <c r="C18" i="147"/>
  <c r="E19" i="147"/>
  <c r="J19" i="147"/>
  <c r="K19" i="147" s="1"/>
  <c r="C15" i="102"/>
  <c r="E16" i="102"/>
  <c r="J16" i="102"/>
  <c r="K16" i="102" s="1"/>
  <c r="E20" i="46"/>
  <c r="C19" i="46"/>
  <c r="J20" i="46"/>
  <c r="K20" i="46" s="1"/>
  <c r="C17" i="161"/>
  <c r="E18" i="161"/>
  <c r="J18" i="161"/>
  <c r="K18" i="161" s="1"/>
  <c r="I49" i="174"/>
  <c r="J48" i="174"/>
  <c r="K47" i="174" s="1"/>
  <c r="I49" i="102"/>
  <c r="J48" i="102"/>
  <c r="K47" i="102" s="1"/>
  <c r="E17" i="40"/>
  <c r="C16" i="40"/>
  <c r="J17" i="40"/>
  <c r="K17" i="40" s="1"/>
  <c r="C18" i="142"/>
  <c r="E19" i="142"/>
  <c r="J19" i="142"/>
  <c r="K19" i="142" s="1"/>
  <c r="E19" i="31"/>
  <c r="C18" i="31"/>
  <c r="J19" i="31"/>
  <c r="K19" i="31" s="1"/>
  <c r="C19" i="92"/>
  <c r="E20" i="92"/>
  <c r="J20" i="92"/>
  <c r="K20" i="92" s="1"/>
  <c r="J52" i="71"/>
  <c r="I53" i="71"/>
  <c r="J50" i="10"/>
  <c r="I51" i="10"/>
  <c r="J50" i="66"/>
  <c r="I51" i="66"/>
  <c r="E18" i="60"/>
  <c r="C17" i="60"/>
  <c r="J18" i="60"/>
  <c r="K18" i="60" s="1"/>
  <c r="I49" i="55"/>
  <c r="J48" i="55"/>
  <c r="K47" i="55" s="1"/>
  <c r="E19" i="89"/>
  <c r="C18" i="89"/>
  <c r="J19" i="89"/>
  <c r="K19" i="89" s="1"/>
  <c r="E19" i="20"/>
  <c r="C18" i="20"/>
  <c r="J19" i="20"/>
  <c r="K19" i="20" s="1"/>
  <c r="I51" i="167"/>
  <c r="J50" i="167"/>
  <c r="K49" i="167" s="1"/>
  <c r="C12" i="82"/>
  <c r="E13" i="82"/>
  <c r="J13" i="82"/>
  <c r="K13" i="82" s="1"/>
  <c r="E17" i="47"/>
  <c r="C16" i="47"/>
  <c r="J17" i="47"/>
  <c r="K17" i="47" s="1"/>
  <c r="K49" i="23"/>
  <c r="E18" i="64"/>
  <c r="C17" i="64"/>
  <c r="J18" i="64"/>
  <c r="K18" i="64" s="1"/>
  <c r="K46" i="120"/>
  <c r="E18" i="144"/>
  <c r="C17" i="144"/>
  <c r="J18" i="144"/>
  <c r="K18" i="144" s="1"/>
  <c r="J48" i="120"/>
  <c r="I49" i="120"/>
  <c r="E17" i="73"/>
  <c r="C16" i="73"/>
  <c r="J17" i="73"/>
  <c r="K17" i="73" s="1"/>
  <c r="E20" i="3"/>
  <c r="C19" i="3"/>
  <c r="J20" i="3"/>
  <c r="K20" i="3" s="1"/>
  <c r="N21" i="1"/>
  <c r="I54" i="7"/>
  <c r="J53" i="7"/>
  <c r="K52" i="7" s="1"/>
  <c r="I50" i="85"/>
  <c r="J49" i="85"/>
  <c r="K48" i="85" s="1"/>
  <c r="K51" i="7"/>
  <c r="GS21" i="2"/>
  <c r="J50" i="23"/>
  <c r="I51" i="23"/>
  <c r="E20" i="58"/>
  <c r="C19" i="58"/>
  <c r="J20" i="58"/>
  <c r="K20" i="58" s="1"/>
  <c r="I52" i="26"/>
  <c r="J51" i="26"/>
  <c r="K50" i="136"/>
  <c r="I52" i="13"/>
  <c r="J51" i="13"/>
  <c r="K50" i="13" s="1"/>
  <c r="M20" i="2"/>
  <c r="C16" i="123"/>
  <c r="E17" i="123"/>
  <c r="J17" i="123"/>
  <c r="K17" i="123" s="1"/>
  <c r="Y21" i="2"/>
  <c r="E18" i="94"/>
  <c r="C17" i="94"/>
  <c r="J18" i="94"/>
  <c r="K18" i="94" s="1"/>
  <c r="C19" i="170"/>
  <c r="E20" i="170"/>
  <c r="J20" i="170"/>
  <c r="K20" i="170" s="1"/>
  <c r="E18" i="99"/>
  <c r="C17" i="99"/>
  <c r="J18" i="99"/>
  <c r="K18" i="99" s="1"/>
  <c r="I51" i="165"/>
  <c r="J50" i="165"/>
  <c r="J49" i="84"/>
  <c r="I50" i="84"/>
  <c r="C14" i="157"/>
  <c r="E15" i="157"/>
  <c r="J15" i="157"/>
  <c r="K15" i="157" s="1"/>
  <c r="I51" i="173"/>
  <c r="J50" i="173"/>
  <c r="K49" i="173" s="1"/>
  <c r="EP20" i="2"/>
  <c r="J49" i="170"/>
  <c r="K48" i="170" s="1"/>
  <c r="I50" i="170"/>
  <c r="I50" i="56"/>
  <c r="J49" i="56"/>
  <c r="K48" i="56" s="1"/>
  <c r="I51" i="30"/>
  <c r="J50" i="30"/>
  <c r="K49" i="30" s="1"/>
  <c r="I53" i="14"/>
  <c r="J52" i="14"/>
  <c r="K51" i="14" s="1"/>
  <c r="I50" i="123"/>
  <c r="J49" i="123"/>
  <c r="K48" i="123" s="1"/>
  <c r="E18" i="81"/>
  <c r="C17" i="81"/>
  <c r="J18" i="81"/>
  <c r="K18" i="81" s="1"/>
  <c r="I52" i="136"/>
  <c r="J51" i="136"/>
  <c r="I54" i="145"/>
  <c r="J53" i="145"/>
  <c r="K52" i="145" s="1"/>
  <c r="J51" i="29"/>
  <c r="I52" i="29"/>
  <c r="I52" i="156"/>
  <c r="J51" i="156"/>
  <c r="I50" i="76"/>
  <c r="J49" i="76"/>
  <c r="C19" i="12"/>
  <c r="E20" i="12"/>
  <c r="X20" i="2"/>
  <c r="M20" i="1"/>
  <c r="J20" i="12"/>
  <c r="K20" i="12" s="1"/>
  <c r="I53" i="42"/>
  <c r="J52" i="42"/>
  <c r="I51" i="149"/>
  <c r="J50" i="149"/>
  <c r="D59" i="1"/>
  <c r="O59" i="1"/>
  <c r="BR59" i="1"/>
  <c r="Z59" i="1"/>
  <c r="AK59" i="1"/>
  <c r="AV59" i="1"/>
  <c r="CC59" i="1"/>
  <c r="C19" i="14"/>
  <c r="E20" i="14"/>
  <c r="J20" i="14"/>
  <c r="K20" i="14" s="1"/>
  <c r="GR20" i="2"/>
  <c r="I51" i="41"/>
  <c r="J50" i="41"/>
  <c r="K47" i="69"/>
  <c r="C17" i="83"/>
  <c r="E18" i="83"/>
  <c r="J18" i="83"/>
  <c r="K18" i="83" s="1"/>
  <c r="C19" i="172"/>
  <c r="E20" i="172"/>
  <c r="J20" i="172"/>
  <c r="K20" i="172" s="1"/>
  <c r="E19" i="33"/>
  <c r="C18" i="33"/>
  <c r="J19" i="33"/>
  <c r="K19" i="33" s="1"/>
  <c r="J51" i="16"/>
  <c r="I52" i="16"/>
  <c r="E19" i="122"/>
  <c r="C18" i="122"/>
  <c r="J19" i="122"/>
  <c r="K19" i="122" s="1"/>
  <c r="J48" i="40"/>
  <c r="K47" i="40" s="1"/>
  <c r="I49" i="40"/>
  <c r="I51" i="118"/>
  <c r="J50" i="118"/>
  <c r="K49" i="118" s="1"/>
  <c r="J48" i="110"/>
  <c r="K47" i="110" s="1"/>
  <c r="I49" i="110"/>
  <c r="K49" i="149"/>
  <c r="J49" i="70"/>
  <c r="K48" i="70" s="1"/>
  <c r="I50" i="70"/>
  <c r="D59" i="2"/>
  <c r="CY59" i="2"/>
  <c r="DU59" i="2"/>
  <c r="HP59" i="2"/>
  <c r="FM59" i="2"/>
  <c r="IL59" i="2"/>
  <c r="EQ59" i="2"/>
  <c r="DJ59" i="2"/>
  <c r="IW59" i="2"/>
  <c r="IA59" i="2"/>
  <c r="FB59" i="2"/>
  <c r="O59" i="2"/>
  <c r="FX59" i="2"/>
  <c r="CC59" i="2"/>
  <c r="Z59" i="2"/>
  <c r="HE59" i="2"/>
  <c r="EF59" i="2"/>
  <c r="BR59" i="2"/>
  <c r="AK59" i="2"/>
  <c r="AV59" i="2"/>
  <c r="GT59" i="2"/>
  <c r="CN59" i="2"/>
  <c r="BG59" i="2"/>
  <c r="K48" i="23"/>
  <c r="J48" i="69"/>
  <c r="I49" i="69"/>
  <c r="E18" i="4"/>
  <c r="C17" i="4"/>
  <c r="J18" i="4"/>
  <c r="K18" i="4" s="1"/>
  <c r="E19" i="36"/>
  <c r="C18" i="36"/>
  <c r="J19" i="36"/>
  <c r="K19" i="36" s="1"/>
  <c r="I49" i="45"/>
  <c r="J48" i="45"/>
  <c r="I50" i="151"/>
  <c r="J49" i="151"/>
  <c r="K47" i="88"/>
  <c r="J51" i="77"/>
  <c r="K50" i="77" s="1"/>
  <c r="I52" i="77"/>
  <c r="I52" i="78"/>
  <c r="J51" i="78"/>
  <c r="E19" i="78"/>
  <c r="C18" i="78"/>
  <c r="J19" i="78"/>
  <c r="K19" i="78" s="1"/>
  <c r="K47" i="56"/>
  <c r="BG59" i="1"/>
  <c r="BF59" i="1"/>
  <c r="E18" i="110"/>
  <c r="C17" i="110"/>
  <c r="J18" i="110"/>
  <c r="K18" i="110" s="1"/>
  <c r="E19" i="41"/>
  <c r="C18" i="41"/>
  <c r="J19" i="41"/>
  <c r="K19" i="41" s="1"/>
  <c r="I50" i="5"/>
  <c r="J49" i="5"/>
  <c r="J51" i="132"/>
  <c r="K50" i="132" s="1"/>
  <c r="I52" i="132"/>
  <c r="FW21" i="2"/>
  <c r="I49" i="105"/>
  <c r="J48" i="105"/>
  <c r="C18" i="96"/>
  <c r="E19" i="96"/>
  <c r="J19" i="96"/>
  <c r="K19" i="96" s="1"/>
  <c r="I50" i="86"/>
  <c r="J49" i="86"/>
  <c r="K48" i="86" s="1"/>
  <c r="I50" i="97"/>
  <c r="J49" i="97"/>
  <c r="K47" i="73"/>
  <c r="J48" i="35"/>
  <c r="I49" i="35"/>
  <c r="J48" i="43"/>
  <c r="I49" i="43"/>
  <c r="I52" i="117"/>
  <c r="J51" i="117"/>
  <c r="GI59" i="2"/>
  <c r="GH59" i="2"/>
  <c r="E15" i="146"/>
  <c r="C14" i="146"/>
  <c r="J15" i="146"/>
  <c r="K15" i="146" s="1"/>
  <c r="E17" i="72"/>
  <c r="C16" i="72"/>
  <c r="J17" i="72"/>
  <c r="K17" i="72" s="1"/>
  <c r="BQ21" i="1"/>
  <c r="I52" i="164"/>
  <c r="J51" i="164"/>
  <c r="C17" i="67"/>
  <c r="E18" i="67"/>
  <c r="J18" i="67"/>
  <c r="K18" i="67" s="1"/>
  <c r="DI20" i="2"/>
  <c r="I51" i="158"/>
  <c r="J50" i="158"/>
  <c r="K51" i="82"/>
  <c r="I50" i="57"/>
  <c r="J49" i="57"/>
  <c r="K48" i="57" s="1"/>
  <c r="C15" i="111"/>
  <c r="E16" i="111"/>
  <c r="J16" i="111"/>
  <c r="K16" i="111" s="1"/>
  <c r="C19" i="174"/>
  <c r="E20" i="174"/>
  <c r="J20" i="174"/>
  <c r="K20" i="174" s="1"/>
  <c r="I51" i="157"/>
  <c r="J50" i="157"/>
  <c r="K49" i="157" s="1"/>
  <c r="C18" i="77"/>
  <c r="E19" i="77"/>
  <c r="J19" i="77"/>
  <c r="K19" i="77" s="1"/>
  <c r="K48" i="149"/>
  <c r="K46" i="160"/>
  <c r="E19" i="117"/>
  <c r="C18" i="117"/>
  <c r="J19" i="117"/>
  <c r="K19" i="117" s="1"/>
  <c r="E20" i="121"/>
  <c r="C19" i="121"/>
  <c r="J20" i="121"/>
  <c r="K20" i="121" s="1"/>
  <c r="E18" i="9"/>
  <c r="C17" i="9"/>
  <c r="J18" i="9"/>
  <c r="K18" i="9" s="1"/>
  <c r="C17" i="104"/>
  <c r="E18" i="104"/>
  <c r="J18" i="104"/>
  <c r="K18" i="104" s="1"/>
  <c r="J48" i="47"/>
  <c r="K47" i="47" s="1"/>
  <c r="I49" i="47"/>
  <c r="HD21" i="2"/>
  <c r="C19" i="42"/>
  <c r="E20" i="42"/>
  <c r="J20" i="42"/>
  <c r="K20" i="42" s="1"/>
  <c r="FV20" i="2"/>
  <c r="K48" i="84"/>
  <c r="I51" i="72"/>
  <c r="J50" i="72"/>
  <c r="E17" i="124"/>
  <c r="C16" i="124"/>
  <c r="J17" i="124"/>
  <c r="K17" i="124" s="1"/>
  <c r="K50" i="78"/>
  <c r="C19" i="91"/>
  <c r="E20" i="91"/>
  <c r="J20" i="91"/>
  <c r="K20" i="91" s="1"/>
  <c r="E15" i="87"/>
  <c r="C14" i="87"/>
  <c r="J15" i="87"/>
  <c r="K15" i="87" s="1"/>
  <c r="E58" i="24"/>
  <c r="C57" i="24"/>
  <c r="GG58" i="2"/>
  <c r="BE58" i="1"/>
  <c r="C58" i="2"/>
  <c r="C58" i="1"/>
  <c r="K48" i="30"/>
  <c r="C18" i="79"/>
  <c r="E19" i="79"/>
  <c r="J19" i="79"/>
  <c r="K19" i="79" s="1"/>
  <c r="E20" i="56"/>
  <c r="C19" i="56"/>
  <c r="J20" i="56"/>
  <c r="K20" i="56" s="1"/>
  <c r="E19" i="133"/>
  <c r="C18" i="133"/>
  <c r="J19" i="133"/>
  <c r="K19" i="133" s="1"/>
  <c r="DH19" i="2"/>
  <c r="I52" i="122"/>
  <c r="J51" i="122"/>
  <c r="K50" i="122" s="1"/>
  <c r="C16" i="106"/>
  <c r="E17" i="106"/>
  <c r="J17" i="106"/>
  <c r="K17" i="106" s="1"/>
  <c r="C18" i="88"/>
  <c r="E19" i="88"/>
  <c r="J19" i="88"/>
  <c r="K19" i="88" s="1"/>
  <c r="C18" i="44"/>
  <c r="E19" i="44"/>
  <c r="J19" i="44"/>
  <c r="K19" i="44" s="1"/>
  <c r="J53" i="75"/>
  <c r="K52" i="75" s="1"/>
  <c r="I54" i="75"/>
  <c r="E18" i="167"/>
  <c r="C17" i="167"/>
  <c r="J18" i="167"/>
  <c r="K18" i="167" s="1"/>
  <c r="AJ21" i="2"/>
  <c r="J49" i="19"/>
  <c r="I50" i="19"/>
  <c r="E20" i="8"/>
  <c r="C19" i="8"/>
  <c r="BP20" i="1"/>
  <c r="HC20" i="2"/>
  <c r="J20" i="8"/>
  <c r="K20" i="8" s="1"/>
  <c r="K47" i="35"/>
  <c r="I50" i="169"/>
  <c r="J49" i="169"/>
  <c r="I51" i="92"/>
  <c r="J50" i="92"/>
  <c r="J53" i="133"/>
  <c r="K52" i="133" s="1"/>
  <c r="I54" i="133"/>
  <c r="C19" i="49"/>
  <c r="E20" i="49"/>
  <c r="J20" i="49"/>
  <c r="K20" i="49" s="1"/>
  <c r="C19" i="107"/>
  <c r="E20" i="107"/>
  <c r="J20" i="107"/>
  <c r="K20" i="107" s="1"/>
  <c r="E19" i="15"/>
  <c r="C18" i="15"/>
  <c r="J19" i="15"/>
  <c r="K19" i="15" s="1"/>
  <c r="I49" i="17"/>
  <c r="J48" i="17"/>
  <c r="I50" i="39"/>
  <c r="J49" i="39"/>
  <c r="K48" i="39" s="1"/>
  <c r="C17" i="54"/>
  <c r="E18" i="54"/>
  <c r="J18" i="54"/>
  <c r="K18" i="54" s="1"/>
  <c r="J49" i="114"/>
  <c r="I50" i="114"/>
  <c r="K51" i="145"/>
  <c r="K48" i="168"/>
  <c r="I50" i="154"/>
  <c r="J49" i="154"/>
  <c r="E16" i="34"/>
  <c r="C15" i="34"/>
  <c r="J16" i="34"/>
  <c r="K16" i="34" s="1"/>
  <c r="E19" i="13"/>
  <c r="C18" i="13"/>
  <c r="J19" i="13"/>
  <c r="K19" i="13" s="1"/>
  <c r="J48" i="38"/>
  <c r="K47" i="38" s="1"/>
  <c r="I49" i="38"/>
  <c r="E19" i="97"/>
  <c r="C18" i="97"/>
  <c r="EO19" i="2"/>
  <c r="J19" i="97"/>
  <c r="K19" i="97" s="1"/>
  <c r="J51" i="89"/>
  <c r="K50" i="89" s="1"/>
  <c r="I52" i="89"/>
  <c r="I53" i="32"/>
  <c r="J52" i="32"/>
  <c r="K51" i="32" s="1"/>
  <c r="E15" i="166"/>
  <c r="C14" i="166"/>
  <c r="J15" i="166"/>
  <c r="K15" i="166" s="1"/>
  <c r="I49" i="140"/>
  <c r="J48" i="140"/>
  <c r="K47" i="140" s="1"/>
  <c r="J49" i="50"/>
  <c r="K48" i="50" s="1"/>
  <c r="I50" i="50"/>
  <c r="K46" i="90"/>
  <c r="I53" i="79"/>
  <c r="J52" i="79"/>
  <c r="K51" i="79" s="1"/>
  <c r="EP21" i="2"/>
  <c r="I51" i="63"/>
  <c r="J50" i="63"/>
  <c r="I53" i="27"/>
  <c r="J52" i="27"/>
  <c r="K51" i="27" s="1"/>
  <c r="K47" i="64"/>
  <c r="E18" i="139"/>
  <c r="C17" i="139"/>
  <c r="J18" i="139"/>
  <c r="K18" i="139" s="1"/>
  <c r="K47" i="116"/>
  <c r="E20" i="28"/>
  <c r="C19" i="28"/>
  <c r="AI19" i="2" s="1"/>
  <c r="J20" i="28"/>
  <c r="K20" i="28" s="1"/>
  <c r="I49" i="95"/>
  <c r="J48" i="95"/>
  <c r="K47" i="95" s="1"/>
  <c r="J49" i="137"/>
  <c r="K48" i="137" s="1"/>
  <c r="I50" i="137"/>
  <c r="K46" i="45"/>
  <c r="J49" i="168"/>
  <c r="I50" i="168"/>
  <c r="K48" i="154"/>
  <c r="J49" i="67"/>
  <c r="K48" i="67" s="1"/>
  <c r="I50" i="67"/>
  <c r="K46" i="105"/>
  <c r="E20" i="93"/>
  <c r="C19" i="93"/>
  <c r="J20" i="93"/>
  <c r="K20" i="93" s="1"/>
  <c r="K49" i="62"/>
  <c r="K48" i="173"/>
  <c r="E19" i="164"/>
  <c r="C18" i="164"/>
  <c r="J19" i="164"/>
  <c r="K19" i="164" s="1"/>
  <c r="I52" i="101"/>
  <c r="J51" i="101"/>
  <c r="K50" i="101" s="1"/>
  <c r="I49" i="64"/>
  <c r="J48" i="64"/>
  <c r="I54" i="46"/>
  <c r="J53" i="46"/>
  <c r="C19" i="155"/>
  <c r="E20" i="155"/>
  <c r="J20" i="155"/>
  <c r="K20" i="155" s="1"/>
  <c r="E19" i="63"/>
  <c r="C18" i="63"/>
  <c r="J19" i="63"/>
  <c r="K19" i="63" s="1"/>
  <c r="K47" i="151"/>
  <c r="E19" i="108"/>
  <c r="C18" i="108"/>
  <c r="J19" i="108"/>
  <c r="K19" i="108" s="1"/>
  <c r="J49" i="153"/>
  <c r="K48" i="153" s="1"/>
  <c r="I50" i="153"/>
  <c r="K47" i="170"/>
  <c r="E17" i="51"/>
  <c r="C16" i="51"/>
  <c r="J17" i="51"/>
  <c r="K17" i="51" s="1"/>
  <c r="C18" i="101"/>
  <c r="E19" i="101"/>
  <c r="J19" i="101"/>
  <c r="K19" i="101" s="1"/>
  <c r="J50" i="93"/>
  <c r="I51" i="93"/>
  <c r="AU21" i="1"/>
  <c r="E18" i="16"/>
  <c r="C17" i="16"/>
  <c r="J18" i="16"/>
  <c r="K18" i="16" s="1"/>
  <c r="I51" i="83"/>
  <c r="J50" i="83"/>
  <c r="E19" i="38"/>
  <c r="C18" i="38"/>
  <c r="J19" i="38"/>
  <c r="K19" i="38" s="1"/>
  <c r="C17" i="68"/>
  <c r="E18" i="68"/>
  <c r="J18" i="68"/>
  <c r="K18" i="68" s="1"/>
  <c r="C18" i="21"/>
  <c r="E19" i="21"/>
  <c r="J19" i="21"/>
  <c r="K19" i="21" s="1"/>
  <c r="C18" i="154"/>
  <c r="E19" i="154"/>
  <c r="J19" i="154"/>
  <c r="K19" i="154" s="1"/>
  <c r="C18" i="132"/>
  <c r="E19" i="132"/>
  <c r="J19" i="132"/>
  <c r="K19" i="132" s="1"/>
  <c r="E18" i="17"/>
  <c r="C17" i="17"/>
  <c r="J18" i="17"/>
  <c r="K18" i="17" s="1"/>
  <c r="I50" i="138"/>
  <c r="J49" i="138"/>
  <c r="IV21" i="2"/>
  <c r="K48" i="139"/>
  <c r="I51" i="37"/>
  <c r="J50" i="37"/>
  <c r="K49" i="37" s="1"/>
  <c r="I51" i="28"/>
  <c r="J50" i="28"/>
  <c r="K49" i="28" s="1"/>
  <c r="E20" i="55"/>
  <c r="C19" i="55"/>
  <c r="J20" i="55"/>
  <c r="K20" i="55" s="1"/>
  <c r="K48" i="167"/>
  <c r="I50" i="161"/>
  <c r="J49" i="161"/>
  <c r="E20" i="7"/>
  <c r="C19" i="7"/>
  <c r="AT20" i="1"/>
  <c r="J20" i="7"/>
  <c r="K20" i="7" s="1"/>
  <c r="K49" i="83"/>
  <c r="K49" i="77"/>
  <c r="I52" i="48"/>
  <c r="J51" i="48"/>
  <c r="K50" i="48" s="1"/>
  <c r="J51" i="152"/>
  <c r="I52" i="152"/>
  <c r="J49" i="21"/>
  <c r="I50" i="21"/>
  <c r="K48" i="37"/>
  <c r="C16" i="85"/>
  <c r="E17" i="85"/>
  <c r="J17" i="85"/>
  <c r="K17" i="85" s="1"/>
  <c r="I49" i="166"/>
  <c r="J48" i="166"/>
  <c r="K47" i="166" s="1"/>
  <c r="K48" i="161"/>
  <c r="C18" i="119"/>
  <c r="E19" i="119"/>
  <c r="J19" i="119"/>
  <c r="K19" i="119" s="1"/>
  <c r="E18" i="118"/>
  <c r="C17" i="118"/>
  <c r="J18" i="118"/>
  <c r="K18" i="118" s="1"/>
  <c r="BQ21" i="2"/>
  <c r="K48" i="10"/>
  <c r="DT19" i="2"/>
  <c r="K49" i="164"/>
  <c r="K47" i="4"/>
  <c r="K47" i="76"/>
  <c r="I52" i="127"/>
  <c r="J51" i="127"/>
  <c r="K50" i="127" s="1"/>
  <c r="J49" i="108"/>
  <c r="K48" i="108" s="1"/>
  <c r="I50" i="108"/>
  <c r="FL21" i="2"/>
  <c r="E18" i="65"/>
  <c r="C17" i="65"/>
  <c r="J18" i="65"/>
  <c r="K18" i="65" s="1"/>
  <c r="HO21" i="2"/>
  <c r="E18" i="57"/>
  <c r="C17" i="57"/>
  <c r="J18" i="57"/>
  <c r="K18" i="57" s="1"/>
  <c r="E20" i="100"/>
  <c r="C19" i="100"/>
  <c r="J20" i="100"/>
  <c r="K20" i="100" s="1"/>
  <c r="K47" i="108"/>
  <c r="K48" i="21"/>
  <c r="K47" i="21"/>
  <c r="J48" i="112"/>
  <c r="K47" i="112" s="1"/>
  <c r="I49" i="112"/>
  <c r="E16" i="45"/>
  <c r="C15" i="45"/>
  <c r="J16" i="45"/>
  <c r="K16" i="45" s="1"/>
  <c r="I50" i="155"/>
  <c r="J49" i="155"/>
  <c r="K48" i="155" s="1"/>
  <c r="I50" i="20"/>
  <c r="J49" i="20"/>
  <c r="K48" i="20" s="1"/>
  <c r="CB21" i="1"/>
  <c r="J51" i="142"/>
  <c r="I52" i="142"/>
  <c r="K48" i="158"/>
  <c r="E15" i="30"/>
  <c r="C14" i="30"/>
  <c r="J15" i="30"/>
  <c r="K15" i="30" s="1"/>
  <c r="E17" i="127"/>
  <c r="C16" i="127"/>
  <c r="J17" i="127"/>
  <c r="K17" i="127" s="1"/>
  <c r="I51" i="44"/>
  <c r="J50" i="44"/>
  <c r="J50" i="68"/>
  <c r="K49" i="68" s="1"/>
  <c r="I51" i="68"/>
  <c r="J49" i="126"/>
  <c r="K48" i="126" s="1"/>
  <c r="I50" i="126"/>
  <c r="E20" i="27"/>
  <c r="C19" i="27"/>
  <c r="IJ19" i="2" s="1"/>
  <c r="J20" i="27"/>
  <c r="K20" i="27" s="1"/>
  <c r="Y21" i="1"/>
  <c r="C19" i="6"/>
  <c r="CA20" i="1"/>
  <c r="E20" i="6"/>
  <c r="IU20" i="2"/>
  <c r="K50" i="142"/>
  <c r="I54" i="15"/>
  <c r="J53" i="15"/>
  <c r="K52" i="15" s="1"/>
  <c r="E20" i="90"/>
  <c r="C19" i="90"/>
  <c r="J20" i="90"/>
  <c r="K20" i="90" s="1"/>
  <c r="C19" i="52"/>
  <c r="E20" i="52"/>
  <c r="BP20" i="2"/>
  <c r="J20" i="52"/>
  <c r="K20" i="52" s="1"/>
  <c r="C17" i="103"/>
  <c r="E18" i="103"/>
  <c r="J18" i="103"/>
  <c r="K18" i="103" s="1"/>
  <c r="C17" i="129"/>
  <c r="E18" i="129"/>
  <c r="J18" i="129"/>
  <c r="K18" i="129" s="1"/>
  <c r="DS18" i="2"/>
  <c r="I50" i="119"/>
  <c r="J49" i="119"/>
  <c r="K48" i="119" s="1"/>
  <c r="E17" i="62"/>
  <c r="C16" i="62"/>
  <c r="J17" i="62"/>
  <c r="K17" i="62" s="1"/>
  <c r="E19" i="145"/>
  <c r="C18" i="145"/>
  <c r="J19" i="145"/>
  <c r="K19" i="145" s="1"/>
  <c r="J51" i="135"/>
  <c r="K50" i="135" s="1"/>
  <c r="I52" i="135"/>
  <c r="J51" i="98"/>
  <c r="K50" i="98" s="1"/>
  <c r="I52" i="98"/>
  <c r="C14" i="138"/>
  <c r="E15" i="138"/>
  <c r="J15" i="138"/>
  <c r="K15" i="138" s="1"/>
  <c r="J51" i="9"/>
  <c r="K50" i="9" s="1"/>
  <c r="I52" i="9"/>
  <c r="I52" i="172"/>
  <c r="J51" i="172"/>
  <c r="K50" i="172" s="1"/>
  <c r="E17" i="171"/>
  <c r="C16" i="171"/>
  <c r="J17" i="171"/>
  <c r="K17" i="171" s="1"/>
  <c r="E18" i="19"/>
  <c r="C17" i="19"/>
  <c r="J18" i="19"/>
  <c r="K18" i="19" s="1"/>
  <c r="I49" i="65"/>
  <c r="J48" i="65"/>
  <c r="K47" i="65" s="1"/>
  <c r="K51" i="12"/>
  <c r="E18" i="126"/>
  <c r="C17" i="126"/>
  <c r="J18" i="126"/>
  <c r="K18" i="126" s="1"/>
  <c r="E17" i="141"/>
  <c r="C16" i="141"/>
  <c r="J17" i="141"/>
  <c r="K17" i="141" s="1"/>
  <c r="I51" i="113"/>
  <c r="J50" i="113"/>
  <c r="K49" i="113" s="1"/>
  <c r="C17" i="66"/>
  <c r="E18" i="66"/>
  <c r="J18" i="66"/>
  <c r="K18" i="66" s="1"/>
  <c r="K50" i="14"/>
  <c r="K49" i="115"/>
  <c r="C17" i="116"/>
  <c r="E18" i="116"/>
  <c r="J18" i="116"/>
  <c r="K18" i="116" s="1"/>
  <c r="K47" i="81"/>
  <c r="E19" i="23"/>
  <c r="C18" i="23"/>
  <c r="J19" i="23"/>
  <c r="K19" i="23" s="1"/>
  <c r="K49" i="48"/>
  <c r="K49" i="16"/>
  <c r="K47" i="153"/>
  <c r="J51" i="62"/>
  <c r="I52" i="62"/>
  <c r="I51" i="139"/>
  <c r="J50" i="139"/>
  <c r="K49" i="139" s="1"/>
  <c r="K49" i="44"/>
  <c r="I50" i="131"/>
  <c r="J49" i="131"/>
  <c r="J50" i="18"/>
  <c r="K49" i="18" s="1"/>
  <c r="I51" i="18"/>
  <c r="C15" i="160"/>
  <c r="E16" i="160"/>
  <c r="J16" i="160"/>
  <c r="K16" i="160" s="1"/>
  <c r="K47" i="138"/>
  <c r="FA20" i="2"/>
  <c r="E19" i="35"/>
  <c r="C18" i="35"/>
  <c r="J19" i="35"/>
  <c r="K19" i="35" s="1"/>
  <c r="C19" i="29"/>
  <c r="E20" i="29"/>
  <c r="J20" i="29"/>
  <c r="K20" i="29" s="1"/>
  <c r="E19" i="125"/>
  <c r="C18" i="125"/>
  <c r="J19" i="125"/>
  <c r="K19" i="125" s="1"/>
  <c r="HY20" i="2"/>
  <c r="K46" i="69"/>
  <c r="J51" i="128"/>
  <c r="K50" i="128" s="1"/>
  <c r="I52" i="128"/>
  <c r="J50" i="115"/>
  <c r="I51" i="115"/>
  <c r="I50" i="121"/>
  <c r="J49" i="121"/>
  <c r="K48" i="121" s="1"/>
  <c r="J48" i="96"/>
  <c r="K47" i="96" s="1"/>
  <c r="I49" i="96"/>
  <c r="J48" i="81"/>
  <c r="I49" i="81"/>
  <c r="I53" i="94"/>
  <c r="J52" i="94"/>
  <c r="K47" i="86"/>
  <c r="I50" i="144"/>
  <c r="J49" i="144"/>
  <c r="K48" i="144" s="1"/>
  <c r="E20" i="143"/>
  <c r="C19" i="143"/>
  <c r="J20" i="143"/>
  <c r="K20" i="143" s="1"/>
  <c r="C16" i="115"/>
  <c r="E17" i="115"/>
  <c r="J17" i="115"/>
  <c r="K17" i="115" s="1"/>
  <c r="I49" i="8"/>
  <c r="J48" i="8"/>
  <c r="E20" i="53"/>
  <c r="C19" i="53"/>
  <c r="J20" i="53"/>
  <c r="K20" i="53" s="1"/>
  <c r="I51" i="99"/>
  <c r="J50" i="99"/>
  <c r="I50" i="111"/>
  <c r="J49" i="111"/>
  <c r="I50" i="33"/>
  <c r="J49" i="33"/>
  <c r="CX19" i="2"/>
  <c r="E19" i="134"/>
  <c r="C18" i="134"/>
  <c r="EZ19" i="2"/>
  <c r="J19" i="134"/>
  <c r="K19" i="134" s="1"/>
  <c r="C16" i="86"/>
  <c r="E17" i="86"/>
  <c r="J17" i="86"/>
  <c r="K17" i="86" s="1"/>
  <c r="C18" i="169"/>
  <c r="E19" i="169"/>
  <c r="HY19" i="2"/>
  <c r="J19" i="169"/>
  <c r="K19" i="169" s="1"/>
  <c r="I53" i="22"/>
  <c r="J52" i="22"/>
  <c r="K51" i="22" s="1"/>
  <c r="C15" i="131"/>
  <c r="E16" i="131"/>
  <c r="J16" i="131"/>
  <c r="K16" i="131" s="1"/>
  <c r="I49" i="91"/>
  <c r="J48" i="91"/>
  <c r="E17" i="159"/>
  <c r="C16" i="159"/>
  <c r="J17" i="159"/>
  <c r="K17" i="159" s="1"/>
  <c r="K46" i="174"/>
  <c r="K49" i="122"/>
  <c r="K51" i="94"/>
  <c r="C17" i="22"/>
  <c r="E18" i="22"/>
  <c r="J18" i="22"/>
  <c r="K18" i="22" s="1"/>
  <c r="AU21" i="2"/>
  <c r="E16" i="105"/>
  <c r="C15" i="105"/>
  <c r="J16" i="105"/>
  <c r="K16" i="105" s="1"/>
  <c r="K48" i="124"/>
  <c r="I49" i="147"/>
  <c r="J48" i="147"/>
  <c r="I49" i="125"/>
  <c r="J48" i="125"/>
  <c r="K47" i="125" s="1"/>
  <c r="K49" i="132"/>
  <c r="J49" i="103"/>
  <c r="K48" i="103" s="1"/>
  <c r="I50" i="103"/>
  <c r="K49" i="29"/>
  <c r="E18" i="18"/>
  <c r="C17" i="18"/>
  <c r="J18" i="18"/>
  <c r="K18" i="18" s="1"/>
  <c r="E19" i="153"/>
  <c r="C18" i="153"/>
  <c r="J19" i="153"/>
  <c r="K19" i="153" s="1"/>
  <c r="J48" i="100"/>
  <c r="I49" i="100"/>
  <c r="I49" i="34"/>
  <c r="J48" i="34"/>
  <c r="C16" i="84"/>
  <c r="E17" i="84"/>
  <c r="J17" i="84"/>
  <c r="K17" i="84" s="1"/>
  <c r="E16" i="43"/>
  <c r="C15" i="43"/>
  <c r="J16" i="43"/>
  <c r="K16" i="43" s="1"/>
  <c r="E18" i="5"/>
  <c r="C17" i="5"/>
  <c r="J18" i="5"/>
  <c r="K18" i="5" s="1"/>
  <c r="C17" i="112"/>
  <c r="E18" i="112"/>
  <c r="CW18" i="2"/>
  <c r="J18" i="112"/>
  <c r="K18" i="112" s="1"/>
  <c r="J53" i="134"/>
  <c r="I54" i="134"/>
  <c r="I50" i="54"/>
  <c r="J49" i="54"/>
  <c r="I54" i="74"/>
  <c r="J53" i="74"/>
  <c r="K52" i="74" s="1"/>
  <c r="C18" i="10"/>
  <c r="E19" i="10"/>
  <c r="J19" i="10"/>
  <c r="K19" i="10" s="1"/>
  <c r="I54" i="61"/>
  <c r="J53" i="61"/>
  <c r="K52" i="61" s="1"/>
  <c r="E19" i="80"/>
  <c r="C18" i="80"/>
  <c r="J19" i="80"/>
  <c r="K19" i="80" s="1"/>
  <c r="K47" i="168"/>
  <c r="J48" i="143"/>
  <c r="K47" i="143" s="1"/>
  <c r="I49" i="143"/>
  <c r="I49" i="11"/>
  <c r="J48" i="11"/>
  <c r="K47" i="11" s="1"/>
  <c r="I50" i="106"/>
  <c r="J49" i="106"/>
  <c r="K48" i="106" s="1"/>
  <c r="I51" i="60"/>
  <c r="J50" i="60"/>
  <c r="K52" i="134"/>
  <c r="J49" i="3"/>
  <c r="K48" i="3" s="1"/>
  <c r="I50" i="3"/>
  <c r="K47" i="5"/>
  <c r="EE21" i="2"/>
  <c r="K46" i="47"/>
  <c r="K47" i="67"/>
  <c r="E17" i="37"/>
  <c r="C16" i="37"/>
  <c r="J17" i="37"/>
  <c r="K17" i="37" s="1"/>
  <c r="K49" i="172"/>
  <c r="K47" i="84"/>
  <c r="J49" i="87"/>
  <c r="I50" i="87"/>
  <c r="J49" i="162"/>
  <c r="I50" i="162"/>
  <c r="I52" i="51"/>
  <c r="J51" i="51"/>
  <c r="K50" i="51" s="1"/>
  <c r="K47" i="141"/>
  <c r="CB21" i="2"/>
  <c r="E20" i="109"/>
  <c r="C19" i="109"/>
  <c r="ED20" i="2"/>
  <c r="J20" i="109"/>
  <c r="K20" i="109" s="1"/>
  <c r="E19" i="95"/>
  <c r="C18" i="95"/>
  <c r="J19" i="95"/>
  <c r="K19" i="95" s="1"/>
  <c r="E20" i="136"/>
  <c r="C19" i="136"/>
  <c r="J20" i="136"/>
  <c r="K20" i="136" s="1"/>
  <c r="K47" i="148"/>
  <c r="E17" i="69"/>
  <c r="C16" i="69"/>
  <c r="J17" i="69"/>
  <c r="K17" i="69" s="1"/>
  <c r="K47" i="114"/>
  <c r="J49" i="53"/>
  <c r="K48" i="53" s="1"/>
  <c r="I50" i="53"/>
  <c r="I51" i="159"/>
  <c r="J50" i="159"/>
  <c r="K49" i="159" s="1"/>
  <c r="I49" i="163"/>
  <c r="J48" i="163"/>
  <c r="K47" i="163" s="1"/>
  <c r="C17" i="148"/>
  <c r="E18" i="148"/>
  <c r="J18" i="148"/>
  <c r="K18" i="148" s="1"/>
  <c r="J48" i="58"/>
  <c r="K47" i="58" s="1"/>
  <c r="I49" i="58"/>
  <c r="K48" i="72"/>
  <c r="E19" i="156" l="1"/>
  <c r="C18" i="156"/>
  <c r="J19" i="156"/>
  <c r="K19" i="156" s="1"/>
  <c r="C17" i="149"/>
  <c r="E18" i="149"/>
  <c r="J18" i="149"/>
  <c r="K18" i="149" s="1"/>
  <c r="E19" i="130"/>
  <c r="C18" i="130"/>
  <c r="J19" i="130"/>
  <c r="K19" i="130" s="1"/>
  <c r="BE19" i="2"/>
  <c r="C13" i="98"/>
  <c r="J14" i="98"/>
  <c r="K14" i="98" s="1"/>
  <c r="E14" i="98"/>
  <c r="J19" i="74"/>
  <c r="K19" i="74" s="1"/>
  <c r="E19" i="74"/>
  <c r="C18" i="74"/>
  <c r="E18" i="61"/>
  <c r="C17" i="61"/>
  <c r="J18" i="61"/>
  <c r="K18" i="61" s="1"/>
  <c r="E18" i="59"/>
  <c r="C17" i="59"/>
  <c r="J18" i="59"/>
  <c r="K18" i="59" s="1"/>
  <c r="J19" i="150"/>
  <c r="K19" i="150" s="1"/>
  <c r="E19" i="150"/>
  <c r="C18" i="150"/>
  <c r="IK19" i="2"/>
  <c r="BF19" i="2"/>
  <c r="AJ19" i="2"/>
  <c r="I51" i="103"/>
  <c r="J50" i="103"/>
  <c r="K49" i="103" s="1"/>
  <c r="E19" i="109"/>
  <c r="C18" i="109"/>
  <c r="ED19" i="2"/>
  <c r="J19" i="109"/>
  <c r="K19" i="109" s="1"/>
  <c r="I52" i="115"/>
  <c r="J51" i="115"/>
  <c r="I50" i="65"/>
  <c r="J49" i="65"/>
  <c r="K48" i="65" s="1"/>
  <c r="E17" i="129"/>
  <c r="C16" i="129"/>
  <c r="J17" i="129"/>
  <c r="K17" i="129" s="1"/>
  <c r="DS17" i="2"/>
  <c r="J51" i="28"/>
  <c r="I52" i="28"/>
  <c r="E18" i="13"/>
  <c r="C17" i="13"/>
  <c r="J18" i="13"/>
  <c r="K18" i="13" s="1"/>
  <c r="I55" i="133"/>
  <c r="J54" i="133"/>
  <c r="K53" i="133" s="1"/>
  <c r="E18" i="44"/>
  <c r="C17" i="44"/>
  <c r="J18" i="44"/>
  <c r="K18" i="44" s="1"/>
  <c r="E57" i="24"/>
  <c r="C56" i="24"/>
  <c r="GG57" i="2"/>
  <c r="BE57" i="1"/>
  <c r="C57" i="2"/>
  <c r="C57" i="1"/>
  <c r="E19" i="121"/>
  <c r="C18" i="121"/>
  <c r="J19" i="121"/>
  <c r="K19" i="121" s="1"/>
  <c r="K50" i="164"/>
  <c r="E19" i="12"/>
  <c r="C18" i="12"/>
  <c r="X19" i="2"/>
  <c r="M19" i="1"/>
  <c r="J19" i="12"/>
  <c r="K19" i="12" s="1"/>
  <c r="I53" i="13"/>
  <c r="J52" i="13"/>
  <c r="K51" i="13" s="1"/>
  <c r="I52" i="66"/>
  <c r="J51" i="66"/>
  <c r="K50" i="66" s="1"/>
  <c r="I50" i="90"/>
  <c r="J49" i="90"/>
  <c r="E16" i="120"/>
  <c r="C15" i="120"/>
  <c r="J16" i="120"/>
  <c r="K16" i="120" s="1"/>
  <c r="J51" i="159"/>
  <c r="K50" i="159" s="1"/>
  <c r="I52" i="159"/>
  <c r="I51" i="87"/>
  <c r="J50" i="87"/>
  <c r="C17" i="119"/>
  <c r="E18" i="119"/>
  <c r="J18" i="119"/>
  <c r="K18" i="119" s="1"/>
  <c r="C16" i="16"/>
  <c r="E17" i="16"/>
  <c r="J17" i="16"/>
  <c r="K17" i="16" s="1"/>
  <c r="J54" i="46"/>
  <c r="K53" i="46" s="1"/>
  <c r="I55" i="46"/>
  <c r="K50" i="62"/>
  <c r="I53" i="164"/>
  <c r="J52" i="164"/>
  <c r="I53" i="132"/>
  <c r="J52" i="132"/>
  <c r="K51" i="132" s="1"/>
  <c r="I51" i="151"/>
  <c r="J50" i="151"/>
  <c r="C18" i="46"/>
  <c r="E19" i="46"/>
  <c r="J19" i="46"/>
  <c r="K19" i="46" s="1"/>
  <c r="J50" i="53"/>
  <c r="K49" i="53" s="1"/>
  <c r="I51" i="53"/>
  <c r="E17" i="19"/>
  <c r="C16" i="19"/>
  <c r="J17" i="19"/>
  <c r="K17" i="19" s="1"/>
  <c r="E16" i="127"/>
  <c r="C15" i="127"/>
  <c r="J16" i="127"/>
  <c r="K16" i="127" s="1"/>
  <c r="C18" i="100"/>
  <c r="E19" i="100"/>
  <c r="J19" i="100"/>
  <c r="K19" i="100" s="1"/>
  <c r="I52" i="37"/>
  <c r="J51" i="37"/>
  <c r="K52" i="27"/>
  <c r="J50" i="76"/>
  <c r="K49" i="76" s="1"/>
  <c r="I51" i="76"/>
  <c r="J51" i="173"/>
  <c r="K50" i="173" s="1"/>
  <c r="I52" i="173"/>
  <c r="C16" i="144"/>
  <c r="E17" i="144"/>
  <c r="J17" i="144"/>
  <c r="K17" i="144" s="1"/>
  <c r="K47" i="120"/>
  <c r="C13" i="138"/>
  <c r="E14" i="138"/>
  <c r="J14" i="138"/>
  <c r="K14" i="138" s="1"/>
  <c r="J49" i="100"/>
  <c r="I50" i="100"/>
  <c r="C16" i="22"/>
  <c r="E17" i="22"/>
  <c r="J17" i="22"/>
  <c r="K17" i="22" s="1"/>
  <c r="I51" i="33"/>
  <c r="J50" i="33"/>
  <c r="K49" i="33" s="1"/>
  <c r="C16" i="103"/>
  <c r="E17" i="103"/>
  <c r="J17" i="103"/>
  <c r="K17" i="103" s="1"/>
  <c r="I50" i="64"/>
  <c r="J49" i="64"/>
  <c r="K48" i="64" s="1"/>
  <c r="J53" i="27"/>
  <c r="I54" i="27"/>
  <c r="FK19" i="2"/>
  <c r="E18" i="117"/>
  <c r="C17" i="117"/>
  <c r="J18" i="117"/>
  <c r="K18" i="117" s="1"/>
  <c r="K47" i="45"/>
  <c r="J49" i="45"/>
  <c r="I50" i="45"/>
  <c r="I53" i="26"/>
  <c r="J52" i="26"/>
  <c r="I52" i="10"/>
  <c r="J51" i="10"/>
  <c r="E16" i="173"/>
  <c r="C15" i="173"/>
  <c r="J16" i="173"/>
  <c r="K16" i="173" s="1"/>
  <c r="E18" i="114"/>
  <c r="C17" i="114"/>
  <c r="J18" i="114"/>
  <c r="K18" i="114" s="1"/>
  <c r="J49" i="141"/>
  <c r="K48" i="141" s="1"/>
  <c r="I50" i="141"/>
  <c r="J49" i="166"/>
  <c r="K48" i="166" s="1"/>
  <c r="I50" i="166"/>
  <c r="E15" i="34"/>
  <c r="C14" i="34"/>
  <c r="J15" i="34"/>
  <c r="K15" i="34" s="1"/>
  <c r="E14" i="87"/>
  <c r="C13" i="87"/>
  <c r="J14" i="87"/>
  <c r="K14" i="87" s="1"/>
  <c r="C16" i="83"/>
  <c r="E17" i="83"/>
  <c r="J17" i="83"/>
  <c r="K17" i="83" s="1"/>
  <c r="I53" i="156"/>
  <c r="J52" i="156"/>
  <c r="K51" i="156" s="1"/>
  <c r="K50" i="10"/>
  <c r="K48" i="160"/>
  <c r="I52" i="25"/>
  <c r="J51" i="25"/>
  <c r="J54" i="74"/>
  <c r="I55" i="74"/>
  <c r="C17" i="132"/>
  <c r="E18" i="132"/>
  <c r="J18" i="132"/>
  <c r="K18" i="132" s="1"/>
  <c r="J50" i="111"/>
  <c r="I51" i="111"/>
  <c r="BQ20" i="2"/>
  <c r="E14" i="30"/>
  <c r="C13" i="30"/>
  <c r="J14" i="30"/>
  <c r="K14" i="30" s="1"/>
  <c r="E17" i="57"/>
  <c r="C16" i="57"/>
  <c r="J17" i="57"/>
  <c r="K17" i="57" s="1"/>
  <c r="I52" i="93"/>
  <c r="J51" i="93"/>
  <c r="J52" i="101"/>
  <c r="K51" i="101" s="1"/>
  <c r="I53" i="101"/>
  <c r="I52" i="63"/>
  <c r="J51" i="63"/>
  <c r="K50" i="63" s="1"/>
  <c r="J51" i="92"/>
  <c r="I52" i="92"/>
  <c r="C17" i="88"/>
  <c r="E18" i="88"/>
  <c r="J18" i="88"/>
  <c r="K18" i="88" s="1"/>
  <c r="I51" i="5"/>
  <c r="J50" i="5"/>
  <c r="C17" i="36"/>
  <c r="E18" i="36"/>
  <c r="J18" i="36"/>
  <c r="K18" i="36" s="1"/>
  <c r="AI19" i="1"/>
  <c r="I53" i="29"/>
  <c r="J52" i="29"/>
  <c r="K51" i="29" s="1"/>
  <c r="E14" i="157"/>
  <c r="C13" i="157"/>
  <c r="J14" i="157"/>
  <c r="K14" i="157" s="1"/>
  <c r="E19" i="58"/>
  <c r="C18" i="58"/>
  <c r="J19" i="58"/>
  <c r="K19" i="58" s="1"/>
  <c r="K49" i="10"/>
  <c r="J53" i="71"/>
  <c r="K52" i="71" s="1"/>
  <c r="I54" i="71"/>
  <c r="E15" i="102"/>
  <c r="C14" i="102"/>
  <c r="J15" i="102"/>
  <c r="K15" i="102" s="1"/>
  <c r="J49" i="160"/>
  <c r="I50" i="160"/>
  <c r="I53" i="128"/>
  <c r="J52" i="128"/>
  <c r="K48" i="100"/>
  <c r="K49" i="111"/>
  <c r="K47" i="147"/>
  <c r="E16" i="69"/>
  <c r="C15" i="69"/>
  <c r="J16" i="69"/>
  <c r="K16" i="69" s="1"/>
  <c r="HZ20" i="2"/>
  <c r="E18" i="23"/>
  <c r="C17" i="23"/>
  <c r="J18" i="23"/>
  <c r="K18" i="23" s="1"/>
  <c r="C15" i="171"/>
  <c r="E16" i="171"/>
  <c r="J16" i="171"/>
  <c r="K16" i="171" s="1"/>
  <c r="E16" i="72"/>
  <c r="C15" i="72"/>
  <c r="J16" i="72"/>
  <c r="K16" i="72" s="1"/>
  <c r="I51" i="84"/>
  <c r="J50" i="84"/>
  <c r="K49" i="84" s="1"/>
  <c r="I51" i="52"/>
  <c r="J50" i="52"/>
  <c r="K49" i="52" s="1"/>
  <c r="K49" i="87"/>
  <c r="E18" i="80"/>
  <c r="C17" i="80"/>
  <c r="J18" i="80"/>
  <c r="K18" i="80" s="1"/>
  <c r="I50" i="34"/>
  <c r="J49" i="34"/>
  <c r="I55" i="61"/>
  <c r="J54" i="61"/>
  <c r="K53" i="61" s="1"/>
  <c r="I52" i="99"/>
  <c r="J51" i="99"/>
  <c r="C18" i="52"/>
  <c r="E19" i="52"/>
  <c r="BP19" i="2"/>
  <c r="J19" i="52"/>
  <c r="K19" i="52" s="1"/>
  <c r="E16" i="85"/>
  <c r="C15" i="85"/>
  <c r="J16" i="85"/>
  <c r="K16" i="85" s="1"/>
  <c r="K52" i="46"/>
  <c r="E18" i="164"/>
  <c r="C17" i="164"/>
  <c r="J18" i="164"/>
  <c r="K18" i="164" s="1"/>
  <c r="J50" i="154"/>
  <c r="I51" i="154"/>
  <c r="K48" i="169"/>
  <c r="I52" i="23"/>
  <c r="J51" i="23"/>
  <c r="K50" i="23" s="1"/>
  <c r="E17" i="64"/>
  <c r="C16" i="64"/>
  <c r="J17" i="64"/>
  <c r="K17" i="64" s="1"/>
  <c r="E15" i="165"/>
  <c r="C14" i="165"/>
  <c r="J15" i="165"/>
  <c r="K15" i="165" s="1"/>
  <c r="I54" i="24"/>
  <c r="I51" i="49"/>
  <c r="J50" i="49"/>
  <c r="K49" i="49" s="1"/>
  <c r="I51" i="108"/>
  <c r="J50" i="108"/>
  <c r="K49" i="108" s="1"/>
  <c r="I51" i="138"/>
  <c r="J50" i="138"/>
  <c r="I51" i="169"/>
  <c r="J50" i="169"/>
  <c r="K49" i="169" s="1"/>
  <c r="C18" i="91"/>
  <c r="E19" i="91"/>
  <c r="J19" i="91"/>
  <c r="K19" i="91" s="1"/>
  <c r="E18" i="41"/>
  <c r="C17" i="41"/>
  <c r="J18" i="41"/>
  <c r="K18" i="41" s="1"/>
  <c r="I55" i="145"/>
  <c r="J54" i="145"/>
  <c r="E17" i="135"/>
  <c r="C16" i="135"/>
  <c r="J17" i="135"/>
  <c r="K17" i="135" s="1"/>
  <c r="C15" i="37"/>
  <c r="E16" i="37"/>
  <c r="J16" i="37"/>
  <c r="K16" i="37" s="1"/>
  <c r="E18" i="125"/>
  <c r="C17" i="125"/>
  <c r="J18" i="125"/>
  <c r="K18" i="125" s="1"/>
  <c r="C17" i="153"/>
  <c r="E18" i="153"/>
  <c r="J18" i="153"/>
  <c r="K18" i="153" s="1"/>
  <c r="E16" i="159"/>
  <c r="C15" i="159"/>
  <c r="J16" i="159"/>
  <c r="K16" i="159" s="1"/>
  <c r="I53" i="172"/>
  <c r="J52" i="172"/>
  <c r="K51" i="172" s="1"/>
  <c r="E19" i="90"/>
  <c r="C18" i="90"/>
  <c r="J19" i="90"/>
  <c r="K19" i="90" s="1"/>
  <c r="I51" i="21"/>
  <c r="J50" i="21"/>
  <c r="K49" i="21" s="1"/>
  <c r="E14" i="146"/>
  <c r="C13" i="146"/>
  <c r="J14" i="146"/>
  <c r="K14" i="146" s="1"/>
  <c r="I52" i="41"/>
  <c r="J51" i="41"/>
  <c r="K51" i="71"/>
  <c r="E19" i="92"/>
  <c r="C18" i="92"/>
  <c r="J19" i="92"/>
  <c r="K19" i="92" s="1"/>
  <c r="E18" i="147"/>
  <c r="C17" i="147"/>
  <c r="J18" i="147"/>
  <c r="K18" i="147" s="1"/>
  <c r="C17" i="71"/>
  <c r="E18" i="71"/>
  <c r="J18" i="71"/>
  <c r="K18" i="71" s="1"/>
  <c r="J50" i="116"/>
  <c r="I51" i="116"/>
  <c r="I50" i="171"/>
  <c r="J49" i="171"/>
  <c r="K48" i="171" s="1"/>
  <c r="E19" i="53"/>
  <c r="C18" i="53"/>
  <c r="J19" i="53"/>
  <c r="K19" i="53" s="1"/>
  <c r="J53" i="79"/>
  <c r="K52" i="79" s="1"/>
  <c r="I54" i="79"/>
  <c r="I51" i="70"/>
  <c r="J50" i="70"/>
  <c r="E19" i="136"/>
  <c r="C18" i="136"/>
  <c r="J19" i="136"/>
  <c r="K19" i="136" s="1"/>
  <c r="E18" i="10"/>
  <c r="C17" i="10"/>
  <c r="J18" i="10"/>
  <c r="K18" i="10" s="1"/>
  <c r="J52" i="9"/>
  <c r="K51" i="9" s="1"/>
  <c r="I53" i="9"/>
  <c r="I51" i="114"/>
  <c r="J50" i="114"/>
  <c r="K49" i="114" s="1"/>
  <c r="K49" i="70"/>
  <c r="GS20" i="2"/>
  <c r="K50" i="26"/>
  <c r="K48" i="49"/>
  <c r="K48" i="162"/>
  <c r="E17" i="17"/>
  <c r="C16" i="17"/>
  <c r="J17" i="17"/>
  <c r="K17" i="17" s="1"/>
  <c r="C17" i="101"/>
  <c r="E18" i="101"/>
  <c r="J18" i="101"/>
  <c r="K18" i="101" s="1"/>
  <c r="I51" i="50"/>
  <c r="J50" i="50"/>
  <c r="K49" i="50" s="1"/>
  <c r="C15" i="124"/>
  <c r="E16" i="124"/>
  <c r="J16" i="124"/>
  <c r="K16" i="124" s="1"/>
  <c r="E17" i="110"/>
  <c r="C16" i="110"/>
  <c r="J17" i="110"/>
  <c r="K17" i="110" s="1"/>
  <c r="C16" i="4"/>
  <c r="E17" i="4"/>
  <c r="J17" i="4"/>
  <c r="K17" i="4" s="1"/>
  <c r="I53" i="136"/>
  <c r="J52" i="136"/>
  <c r="K51" i="136" s="1"/>
  <c r="I53" i="107"/>
  <c r="J52" i="107"/>
  <c r="I50" i="8"/>
  <c r="J49" i="8"/>
  <c r="K48" i="8" s="1"/>
  <c r="I55" i="15"/>
  <c r="J54" i="15"/>
  <c r="C18" i="93"/>
  <c r="E19" i="93"/>
  <c r="J19" i="93"/>
  <c r="K19" i="93" s="1"/>
  <c r="E16" i="106"/>
  <c r="C15" i="106"/>
  <c r="J16" i="106"/>
  <c r="K16" i="106" s="1"/>
  <c r="C17" i="77"/>
  <c r="E18" i="77"/>
  <c r="J18" i="77"/>
  <c r="K18" i="77" s="1"/>
  <c r="J49" i="110"/>
  <c r="I50" i="110"/>
  <c r="I52" i="165"/>
  <c r="J51" i="165"/>
  <c r="K50" i="165" s="1"/>
  <c r="CA19" i="2"/>
  <c r="E18" i="140"/>
  <c r="C17" i="140"/>
  <c r="J18" i="140"/>
  <c r="K18" i="140" s="1"/>
  <c r="E16" i="168"/>
  <c r="C15" i="168"/>
  <c r="J16" i="168"/>
  <c r="K16" i="168" s="1"/>
  <c r="AU20" i="2"/>
  <c r="E17" i="65"/>
  <c r="C16" i="65"/>
  <c r="J17" i="65"/>
  <c r="K17" i="65" s="1"/>
  <c r="E18" i="95"/>
  <c r="C17" i="95"/>
  <c r="J18" i="95"/>
  <c r="K18" i="95" s="1"/>
  <c r="C15" i="51"/>
  <c r="E16" i="51"/>
  <c r="J16" i="51"/>
  <c r="K16" i="51" s="1"/>
  <c r="K51" i="122"/>
  <c r="K50" i="72"/>
  <c r="K48" i="110"/>
  <c r="E19" i="14"/>
  <c r="C18" i="14"/>
  <c r="GR18" i="2" s="1"/>
  <c r="J19" i="14"/>
  <c r="K19" i="14" s="1"/>
  <c r="GR19" i="2"/>
  <c r="E17" i="81"/>
  <c r="C16" i="81"/>
  <c r="J17" i="81"/>
  <c r="K17" i="81" s="1"/>
  <c r="K48" i="138"/>
  <c r="E16" i="47"/>
  <c r="C15" i="47"/>
  <c r="J16" i="47"/>
  <c r="K16" i="47" s="1"/>
  <c r="E18" i="31"/>
  <c r="C17" i="31"/>
  <c r="J18" i="31"/>
  <c r="K18" i="31" s="1"/>
  <c r="E18" i="48"/>
  <c r="C17" i="48"/>
  <c r="J18" i="48"/>
  <c r="K18" i="48" s="1"/>
  <c r="E19" i="152"/>
  <c r="C18" i="152"/>
  <c r="J19" i="152"/>
  <c r="K19" i="152" s="1"/>
  <c r="E19" i="50"/>
  <c r="C18" i="50"/>
  <c r="AT19" i="2"/>
  <c r="J19" i="50"/>
  <c r="K19" i="50" s="1"/>
  <c r="C16" i="18"/>
  <c r="E17" i="18"/>
  <c r="J17" i="18"/>
  <c r="K17" i="18" s="1"/>
  <c r="E18" i="35"/>
  <c r="C17" i="35"/>
  <c r="J18" i="35"/>
  <c r="K18" i="35" s="1"/>
  <c r="I53" i="142"/>
  <c r="J52" i="142"/>
  <c r="K51" i="142" s="1"/>
  <c r="HD20" i="2"/>
  <c r="I53" i="122"/>
  <c r="J52" i="122"/>
  <c r="J51" i="72"/>
  <c r="I52" i="72"/>
  <c r="I52" i="157"/>
  <c r="J51" i="157"/>
  <c r="K50" i="157" s="1"/>
  <c r="J52" i="117"/>
  <c r="K51" i="117" s="1"/>
  <c r="I53" i="117"/>
  <c r="J49" i="69"/>
  <c r="I50" i="69"/>
  <c r="E17" i="99"/>
  <c r="C16" i="99"/>
  <c r="J17" i="99"/>
  <c r="K17" i="99" s="1"/>
  <c r="K47" i="160"/>
  <c r="I50" i="36"/>
  <c r="J49" i="36"/>
  <c r="K48" i="36" s="1"/>
  <c r="E19" i="29"/>
  <c r="C18" i="29"/>
  <c r="J19" i="29"/>
  <c r="K19" i="29" s="1"/>
  <c r="X19" i="1"/>
  <c r="I50" i="91"/>
  <c r="J49" i="91"/>
  <c r="K48" i="91" s="1"/>
  <c r="E17" i="116"/>
  <c r="C16" i="116"/>
  <c r="J17" i="116"/>
  <c r="K17" i="116" s="1"/>
  <c r="I51" i="54"/>
  <c r="J50" i="54"/>
  <c r="K49" i="54" s="1"/>
  <c r="I55" i="134"/>
  <c r="J54" i="134"/>
  <c r="K53" i="134" s="1"/>
  <c r="E16" i="115"/>
  <c r="C15" i="115"/>
  <c r="J16" i="115"/>
  <c r="K16" i="115" s="1"/>
  <c r="IV20" i="2"/>
  <c r="J52" i="48"/>
  <c r="K51" i="48" s="1"/>
  <c r="I53" i="48"/>
  <c r="I51" i="67"/>
  <c r="J50" i="67"/>
  <c r="I50" i="140"/>
  <c r="J49" i="140"/>
  <c r="E17" i="54"/>
  <c r="C16" i="54"/>
  <c r="J17" i="54"/>
  <c r="K17" i="54" s="1"/>
  <c r="BQ20" i="1"/>
  <c r="DI19" i="2"/>
  <c r="I50" i="43"/>
  <c r="J49" i="43"/>
  <c r="K50" i="117"/>
  <c r="K48" i="69"/>
  <c r="I52" i="118"/>
  <c r="J51" i="118"/>
  <c r="I51" i="85"/>
  <c r="J50" i="85"/>
  <c r="K49" i="85" s="1"/>
  <c r="I55" i="12"/>
  <c r="J54" i="12"/>
  <c r="K53" i="12" s="1"/>
  <c r="K52" i="59"/>
  <c r="K49" i="99"/>
  <c r="C18" i="8"/>
  <c r="BP19" i="1"/>
  <c r="E19" i="8"/>
  <c r="HC19" i="2"/>
  <c r="J19" i="8"/>
  <c r="K19" i="8" s="1"/>
  <c r="I50" i="40"/>
  <c r="J49" i="40"/>
  <c r="I51" i="123"/>
  <c r="J50" i="123"/>
  <c r="E17" i="113"/>
  <c r="C16" i="113"/>
  <c r="J17" i="113"/>
  <c r="K17" i="113" s="1"/>
  <c r="I54" i="82"/>
  <c r="J53" i="82"/>
  <c r="E15" i="131"/>
  <c r="C14" i="131"/>
  <c r="J15" i="131"/>
  <c r="K15" i="131" s="1"/>
  <c r="E19" i="143"/>
  <c r="C18" i="143"/>
  <c r="J19" i="143"/>
  <c r="K19" i="143" s="1"/>
  <c r="I53" i="98"/>
  <c r="J52" i="98"/>
  <c r="CB20" i="1"/>
  <c r="I51" i="153"/>
  <c r="J50" i="153"/>
  <c r="K49" i="153" s="1"/>
  <c r="E14" i="166"/>
  <c r="C13" i="166"/>
  <c r="J14" i="166"/>
  <c r="K14" i="166" s="1"/>
  <c r="J50" i="39"/>
  <c r="I51" i="39"/>
  <c r="E18" i="133"/>
  <c r="C17" i="133"/>
  <c r="J18" i="133"/>
  <c r="K18" i="133" s="1"/>
  <c r="DH18" i="2"/>
  <c r="FW20" i="2"/>
  <c r="E19" i="174"/>
  <c r="C18" i="174"/>
  <c r="J19" i="174"/>
  <c r="K19" i="174" s="1"/>
  <c r="I50" i="35"/>
  <c r="J49" i="35"/>
  <c r="K47" i="43"/>
  <c r="K48" i="5"/>
  <c r="K48" i="40"/>
  <c r="K49" i="41"/>
  <c r="I55" i="7"/>
  <c r="J54" i="7"/>
  <c r="K53" i="7" s="1"/>
  <c r="E12" i="82"/>
  <c r="C11" i="82"/>
  <c r="J12" i="82"/>
  <c r="K12" i="82" s="1"/>
  <c r="C17" i="142"/>
  <c r="E18" i="142"/>
  <c r="J18" i="142"/>
  <c r="K18" i="142" s="1"/>
  <c r="E16" i="26"/>
  <c r="C15" i="26"/>
  <c r="J16" i="26"/>
  <c r="K16" i="26" s="1"/>
  <c r="K53" i="74"/>
  <c r="E17" i="66"/>
  <c r="C16" i="66"/>
  <c r="J17" i="66"/>
  <c r="K17" i="66" s="1"/>
  <c r="K51" i="98"/>
  <c r="E19" i="6"/>
  <c r="C18" i="6"/>
  <c r="CA19" i="1"/>
  <c r="J50" i="168"/>
  <c r="I51" i="168"/>
  <c r="J50" i="19"/>
  <c r="K49" i="19" s="1"/>
  <c r="I51" i="19"/>
  <c r="K48" i="35"/>
  <c r="K52" i="14"/>
  <c r="E19" i="170"/>
  <c r="C18" i="170"/>
  <c r="J19" i="170"/>
  <c r="K19" i="170" s="1"/>
  <c r="K52" i="12"/>
  <c r="E18" i="76"/>
  <c r="C17" i="76"/>
  <c r="J18" i="76"/>
  <c r="K18" i="76" s="1"/>
  <c r="K49" i="73"/>
  <c r="C15" i="163"/>
  <c r="E16" i="163"/>
  <c r="J16" i="163"/>
  <c r="K16" i="163" s="1"/>
  <c r="E17" i="137"/>
  <c r="C16" i="137"/>
  <c r="J17" i="137"/>
  <c r="K17" i="137" s="1"/>
  <c r="I53" i="135"/>
  <c r="J52" i="135"/>
  <c r="I53" i="127"/>
  <c r="J52" i="127"/>
  <c r="K51" i="127" s="1"/>
  <c r="E18" i="122"/>
  <c r="C17" i="122"/>
  <c r="J18" i="122"/>
  <c r="K18" i="122" s="1"/>
  <c r="J53" i="14"/>
  <c r="I54" i="14"/>
  <c r="I52" i="167"/>
  <c r="J51" i="167"/>
  <c r="I51" i="4"/>
  <c r="J50" i="4"/>
  <c r="I51" i="73"/>
  <c r="J50" i="73"/>
  <c r="EE20" i="2"/>
  <c r="E17" i="112"/>
  <c r="C16" i="112"/>
  <c r="J17" i="112"/>
  <c r="K17" i="112" s="1"/>
  <c r="I50" i="125"/>
  <c r="J49" i="125"/>
  <c r="I54" i="22"/>
  <c r="J53" i="22"/>
  <c r="J50" i="144"/>
  <c r="I51" i="144"/>
  <c r="I52" i="113"/>
  <c r="J51" i="113"/>
  <c r="K50" i="113" s="1"/>
  <c r="J50" i="20"/>
  <c r="K49" i="20" s="1"/>
  <c r="I51" i="20"/>
  <c r="C17" i="154"/>
  <c r="E18" i="154"/>
  <c r="J18" i="154"/>
  <c r="K18" i="154" s="1"/>
  <c r="IJ18" i="2"/>
  <c r="E18" i="108"/>
  <c r="C17" i="108"/>
  <c r="J18" i="108"/>
  <c r="K18" i="108" s="1"/>
  <c r="K49" i="63"/>
  <c r="K48" i="114"/>
  <c r="C18" i="56"/>
  <c r="E19" i="56"/>
  <c r="J19" i="56"/>
  <c r="K19" i="56" s="1"/>
  <c r="E19" i="42"/>
  <c r="C18" i="42"/>
  <c r="J19" i="42"/>
  <c r="K19" i="42" s="1"/>
  <c r="FV19" i="2"/>
  <c r="C14" i="111"/>
  <c r="E15" i="111"/>
  <c r="J15" i="111"/>
  <c r="K15" i="111" s="1"/>
  <c r="E18" i="78"/>
  <c r="C17" i="78"/>
  <c r="J18" i="78"/>
  <c r="K18" i="78" s="1"/>
  <c r="C16" i="94"/>
  <c r="E17" i="94"/>
  <c r="J17" i="94"/>
  <c r="K17" i="94" s="1"/>
  <c r="E16" i="40"/>
  <c r="C15" i="40"/>
  <c r="J16" i="40"/>
  <c r="K16" i="40" s="1"/>
  <c r="K49" i="4"/>
  <c r="C17" i="151"/>
  <c r="E18" i="151"/>
  <c r="J18" i="151"/>
  <c r="K18" i="151" s="1"/>
  <c r="K47" i="171"/>
  <c r="I51" i="137"/>
  <c r="J50" i="137"/>
  <c r="I54" i="32"/>
  <c r="J53" i="32"/>
  <c r="K49" i="57"/>
  <c r="I51" i="97"/>
  <c r="J50" i="97"/>
  <c r="K49" i="97" s="1"/>
  <c r="I52" i="30"/>
  <c r="J51" i="30"/>
  <c r="K50" i="30" s="1"/>
  <c r="E18" i="20"/>
  <c r="C17" i="20"/>
  <c r="J18" i="20"/>
  <c r="K18" i="20" s="1"/>
  <c r="C16" i="11"/>
  <c r="E17" i="11"/>
  <c r="J17" i="11"/>
  <c r="K17" i="11" s="1"/>
  <c r="AU20" i="1"/>
  <c r="I53" i="89"/>
  <c r="J52" i="89"/>
  <c r="K51" i="89" s="1"/>
  <c r="J49" i="17"/>
  <c r="K48" i="17" s="1"/>
  <c r="I50" i="17"/>
  <c r="K48" i="19"/>
  <c r="J50" i="57"/>
  <c r="I51" i="57"/>
  <c r="I53" i="16"/>
  <c r="J52" i="16"/>
  <c r="K51" i="16" s="1"/>
  <c r="E17" i="128"/>
  <c r="C16" i="128"/>
  <c r="J17" i="128"/>
  <c r="K17" i="128" s="1"/>
  <c r="J49" i="109"/>
  <c r="I50" i="109"/>
  <c r="I53" i="152"/>
  <c r="J52" i="152"/>
  <c r="K51" i="152" s="1"/>
  <c r="IU19" i="2"/>
  <c r="K48" i="54"/>
  <c r="J53" i="94"/>
  <c r="K52" i="94" s="1"/>
  <c r="I54" i="94"/>
  <c r="I52" i="18"/>
  <c r="J51" i="18"/>
  <c r="I51" i="155"/>
  <c r="J50" i="155"/>
  <c r="K49" i="155" s="1"/>
  <c r="C18" i="7"/>
  <c r="E19" i="7"/>
  <c r="AT19" i="1"/>
  <c r="J19" i="7"/>
  <c r="K19" i="7" s="1"/>
  <c r="E18" i="21"/>
  <c r="C17" i="21"/>
  <c r="J18" i="21"/>
  <c r="K18" i="21" s="1"/>
  <c r="CL19" i="2"/>
  <c r="I50" i="47"/>
  <c r="J49" i="47"/>
  <c r="K48" i="47" s="1"/>
  <c r="J50" i="86"/>
  <c r="K49" i="86" s="1"/>
  <c r="I51" i="86"/>
  <c r="I53" i="78"/>
  <c r="J52" i="78"/>
  <c r="I51" i="56"/>
  <c r="J50" i="56"/>
  <c r="HN19" i="2"/>
  <c r="J49" i="102"/>
  <c r="K48" i="102" s="1"/>
  <c r="I50" i="102"/>
  <c r="I51" i="88"/>
  <c r="J50" i="88"/>
  <c r="K49" i="88" s="1"/>
  <c r="J50" i="80"/>
  <c r="K49" i="80" s="1"/>
  <c r="I51" i="80"/>
  <c r="I52" i="124"/>
  <c r="J51" i="124"/>
  <c r="I50" i="95"/>
  <c r="J49" i="95"/>
  <c r="K48" i="95" s="1"/>
  <c r="C17" i="15"/>
  <c r="E18" i="15"/>
  <c r="J18" i="15"/>
  <c r="K18" i="15" s="1"/>
  <c r="C16" i="167"/>
  <c r="E17" i="167"/>
  <c r="J17" i="167"/>
  <c r="K17" i="167" s="1"/>
  <c r="K49" i="158"/>
  <c r="K49" i="72"/>
  <c r="I52" i="149"/>
  <c r="J51" i="149"/>
  <c r="K50" i="149" s="1"/>
  <c r="E19" i="3"/>
  <c r="C18" i="3"/>
  <c r="J19" i="3"/>
  <c r="K19" i="3" s="1"/>
  <c r="C18" i="158"/>
  <c r="E19" i="158"/>
  <c r="J19" i="158"/>
  <c r="K19" i="158" s="1"/>
  <c r="J49" i="148"/>
  <c r="K48" i="148" s="1"/>
  <c r="I50" i="148"/>
  <c r="K53" i="15"/>
  <c r="I52" i="60"/>
  <c r="J51" i="60"/>
  <c r="K50" i="60" s="1"/>
  <c r="K48" i="33"/>
  <c r="E16" i="62"/>
  <c r="C15" i="62"/>
  <c r="J16" i="62"/>
  <c r="K16" i="62" s="1"/>
  <c r="C14" i="45"/>
  <c r="E15" i="45"/>
  <c r="J15" i="45"/>
  <c r="K15" i="45" s="1"/>
  <c r="C17" i="63"/>
  <c r="E18" i="63"/>
  <c r="J18" i="63"/>
  <c r="K18" i="63" s="1"/>
  <c r="CL18" i="2"/>
  <c r="EP19" i="2"/>
  <c r="I52" i="158"/>
  <c r="J51" i="158"/>
  <c r="K50" i="158" s="1"/>
  <c r="N19" i="2"/>
  <c r="E18" i="89"/>
  <c r="C17" i="89"/>
  <c r="J18" i="89"/>
  <c r="K18" i="89" s="1"/>
  <c r="HN18" i="2"/>
  <c r="K48" i="174"/>
  <c r="C17" i="70"/>
  <c r="E18" i="70"/>
  <c r="J18" i="70"/>
  <c r="K18" i="70" s="1"/>
  <c r="I52" i="129"/>
  <c r="J51" i="129"/>
  <c r="K52" i="22"/>
  <c r="J50" i="106"/>
  <c r="I51" i="106"/>
  <c r="K48" i="87"/>
  <c r="I51" i="131"/>
  <c r="J50" i="131"/>
  <c r="C16" i="126"/>
  <c r="E17" i="126"/>
  <c r="J17" i="126"/>
  <c r="K17" i="126" s="1"/>
  <c r="I51" i="161"/>
  <c r="J50" i="161"/>
  <c r="K49" i="161" s="1"/>
  <c r="E17" i="68"/>
  <c r="C16" i="68"/>
  <c r="J17" i="68"/>
  <c r="K17" i="68" s="1"/>
  <c r="C18" i="28"/>
  <c r="E19" i="28"/>
  <c r="J19" i="28"/>
  <c r="K19" i="28" s="1"/>
  <c r="E18" i="97"/>
  <c r="C17" i="97"/>
  <c r="EO18" i="2"/>
  <c r="J18" i="97"/>
  <c r="K18" i="97" s="1"/>
  <c r="I55" i="75"/>
  <c r="J54" i="75"/>
  <c r="K53" i="75" s="1"/>
  <c r="E18" i="79"/>
  <c r="C17" i="79"/>
  <c r="J18" i="79"/>
  <c r="K18" i="79" s="1"/>
  <c r="K48" i="97"/>
  <c r="E18" i="33"/>
  <c r="C17" i="33"/>
  <c r="J18" i="33"/>
  <c r="K18" i="33" s="1"/>
  <c r="E16" i="123"/>
  <c r="C15" i="123"/>
  <c r="J16" i="123"/>
  <c r="K16" i="123" s="1"/>
  <c r="J49" i="174"/>
  <c r="I50" i="174"/>
  <c r="C16" i="75"/>
  <c r="E17" i="75"/>
  <c r="J17" i="75"/>
  <c r="K17" i="75" s="1"/>
  <c r="K50" i="129"/>
  <c r="K49" i="67"/>
  <c r="HZ19" i="2"/>
  <c r="E17" i="5"/>
  <c r="C16" i="5"/>
  <c r="J17" i="5"/>
  <c r="K17" i="5" s="1"/>
  <c r="C14" i="105"/>
  <c r="E15" i="105"/>
  <c r="J15" i="105"/>
  <c r="K15" i="105" s="1"/>
  <c r="E16" i="86"/>
  <c r="C15" i="86"/>
  <c r="J16" i="86"/>
  <c r="K16" i="86" s="1"/>
  <c r="I50" i="96"/>
  <c r="J49" i="96"/>
  <c r="K48" i="96" s="1"/>
  <c r="I52" i="68"/>
  <c r="J51" i="68"/>
  <c r="K50" i="68" s="1"/>
  <c r="I50" i="112"/>
  <c r="J49" i="112"/>
  <c r="K48" i="112" s="1"/>
  <c r="C16" i="104"/>
  <c r="E17" i="104"/>
  <c r="J17" i="104"/>
  <c r="K17" i="104" s="1"/>
  <c r="E18" i="96"/>
  <c r="C17" i="96"/>
  <c r="J18" i="96"/>
  <c r="K18" i="96" s="1"/>
  <c r="J53" i="42"/>
  <c r="K52" i="42" s="1"/>
  <c r="I54" i="42"/>
  <c r="I51" i="170"/>
  <c r="J50" i="170"/>
  <c r="K49" i="170" s="1"/>
  <c r="K48" i="76"/>
  <c r="K49" i="66"/>
  <c r="K48" i="88"/>
  <c r="I50" i="130"/>
  <c r="J49" i="130"/>
  <c r="E16" i="39"/>
  <c r="C15" i="39"/>
  <c r="J16" i="39"/>
  <c r="K16" i="39" s="1"/>
  <c r="K49" i="3"/>
  <c r="J49" i="147"/>
  <c r="K48" i="147" s="1"/>
  <c r="I50" i="147"/>
  <c r="I51" i="126"/>
  <c r="J50" i="126"/>
  <c r="K49" i="126" s="1"/>
  <c r="I50" i="58"/>
  <c r="J49" i="58"/>
  <c r="K48" i="58" s="1"/>
  <c r="J50" i="119"/>
  <c r="I51" i="119"/>
  <c r="E19" i="107"/>
  <c r="C18" i="107"/>
  <c r="J19" i="107"/>
  <c r="K19" i="107" s="1"/>
  <c r="K47" i="17"/>
  <c r="D58" i="1"/>
  <c r="Z58" i="1"/>
  <c r="AK58" i="1"/>
  <c r="CC58" i="1"/>
  <c r="O58" i="1"/>
  <c r="AV58" i="1"/>
  <c r="BR58" i="1"/>
  <c r="I53" i="77"/>
  <c r="J52" i="77"/>
  <c r="K51" i="77" s="1"/>
  <c r="K48" i="151"/>
  <c r="N20" i="2"/>
  <c r="J49" i="55"/>
  <c r="I50" i="55"/>
  <c r="I50" i="146"/>
  <c r="J49" i="146"/>
  <c r="E17" i="25"/>
  <c r="C16" i="25"/>
  <c r="J17" i="25"/>
  <c r="K17" i="25" s="1"/>
  <c r="K47" i="36"/>
  <c r="C14" i="160"/>
  <c r="E15" i="160"/>
  <c r="J15" i="160"/>
  <c r="K15" i="160" s="1"/>
  <c r="K48" i="111"/>
  <c r="FA19" i="2"/>
  <c r="K50" i="139"/>
  <c r="K47" i="8"/>
  <c r="DT18" i="2"/>
  <c r="K48" i="131"/>
  <c r="E17" i="118"/>
  <c r="C16" i="118"/>
  <c r="J17" i="118"/>
  <c r="K17" i="118" s="1"/>
  <c r="E19" i="55"/>
  <c r="C18" i="55"/>
  <c r="J19" i="55"/>
  <c r="K19" i="55" s="1"/>
  <c r="I50" i="38"/>
  <c r="J49" i="38"/>
  <c r="K49" i="92"/>
  <c r="D58" i="2"/>
  <c r="CY58" i="2"/>
  <c r="DU58" i="2"/>
  <c r="EQ58" i="2"/>
  <c r="AK58" i="2"/>
  <c r="IL58" i="2"/>
  <c r="FB58" i="2"/>
  <c r="O58" i="2"/>
  <c r="DJ58" i="2"/>
  <c r="IW58" i="2"/>
  <c r="CC58" i="2"/>
  <c r="BR58" i="2"/>
  <c r="IA58" i="2"/>
  <c r="CN58" i="2"/>
  <c r="FM58" i="2"/>
  <c r="FX58" i="2"/>
  <c r="BG58" i="2"/>
  <c r="AV58" i="2"/>
  <c r="HP58" i="2"/>
  <c r="HE58" i="2"/>
  <c r="EF58" i="2"/>
  <c r="GT58" i="2"/>
  <c r="Z58" i="2"/>
  <c r="E17" i="9"/>
  <c r="C16" i="9"/>
  <c r="J17" i="9"/>
  <c r="K17" i="9" s="1"/>
  <c r="I50" i="105"/>
  <c r="J49" i="105"/>
  <c r="K48" i="105" s="1"/>
  <c r="N20" i="1"/>
  <c r="K49" i="165"/>
  <c r="K50" i="156"/>
  <c r="E16" i="73"/>
  <c r="C15" i="73"/>
  <c r="J16" i="73"/>
  <c r="K16" i="73" s="1"/>
  <c r="K50" i="107"/>
  <c r="CX18" i="2"/>
  <c r="I51" i="3"/>
  <c r="J50" i="3"/>
  <c r="K48" i="125"/>
  <c r="C17" i="145"/>
  <c r="E18" i="145"/>
  <c r="J18" i="145"/>
  <c r="K18" i="145" s="1"/>
  <c r="E19" i="27"/>
  <c r="C18" i="27"/>
  <c r="J19" i="27"/>
  <c r="K19" i="27" s="1"/>
  <c r="J49" i="81"/>
  <c r="I50" i="81"/>
  <c r="C17" i="38"/>
  <c r="E18" i="38"/>
  <c r="J18" i="38"/>
  <c r="K18" i="38" s="1"/>
  <c r="C16" i="148"/>
  <c r="E17" i="148"/>
  <c r="J17" i="148"/>
  <c r="K17" i="148" s="1"/>
  <c r="J52" i="51"/>
  <c r="I53" i="51"/>
  <c r="K47" i="34"/>
  <c r="C17" i="134"/>
  <c r="E18" i="134"/>
  <c r="EZ18" i="2"/>
  <c r="J18" i="134"/>
  <c r="K18" i="134" s="1"/>
  <c r="E19" i="155"/>
  <c r="C18" i="155"/>
  <c r="J19" i="155"/>
  <c r="K19" i="155" s="1"/>
  <c r="E17" i="139"/>
  <c r="C16" i="139"/>
  <c r="J17" i="139"/>
  <c r="K17" i="139" s="1"/>
  <c r="BF58" i="1"/>
  <c r="BG58" i="1"/>
  <c r="E17" i="67"/>
  <c r="C16" i="67"/>
  <c r="J17" i="67"/>
  <c r="K17" i="67" s="1"/>
  <c r="K50" i="16"/>
  <c r="Y20" i="2"/>
  <c r="K51" i="42"/>
  <c r="K50" i="29"/>
  <c r="E17" i="60"/>
  <c r="C16" i="60"/>
  <c r="J17" i="60"/>
  <c r="K17" i="60" s="1"/>
  <c r="C13" i="32"/>
  <c r="E14" i="32"/>
  <c r="J14" i="32"/>
  <c r="K14" i="32" s="1"/>
  <c r="K48" i="116"/>
  <c r="C17" i="162"/>
  <c r="E18" i="162"/>
  <c r="J18" i="162"/>
  <c r="K18" i="162" s="1"/>
  <c r="I51" i="31"/>
  <c r="J50" i="31"/>
  <c r="E16" i="141"/>
  <c r="C15" i="141"/>
  <c r="J16" i="141"/>
  <c r="K16" i="141" s="1"/>
  <c r="K49" i="106"/>
  <c r="C17" i="169"/>
  <c r="E18" i="169"/>
  <c r="HY18" i="2"/>
  <c r="J18" i="169"/>
  <c r="K18" i="169" s="1"/>
  <c r="K50" i="18"/>
  <c r="K49" i="60"/>
  <c r="J49" i="11"/>
  <c r="K48" i="11" s="1"/>
  <c r="I50" i="11"/>
  <c r="E15" i="43"/>
  <c r="C14" i="43"/>
  <c r="J15" i="43"/>
  <c r="K15" i="43" s="1"/>
  <c r="I50" i="143"/>
  <c r="J49" i="143"/>
  <c r="I51" i="121"/>
  <c r="J50" i="121"/>
  <c r="J51" i="139"/>
  <c r="I52" i="139"/>
  <c r="J49" i="163"/>
  <c r="K48" i="163" s="1"/>
  <c r="I50" i="163"/>
  <c r="J50" i="162"/>
  <c r="I51" i="162"/>
  <c r="K47" i="100"/>
  <c r="C15" i="84"/>
  <c r="E16" i="84"/>
  <c r="J16" i="84"/>
  <c r="K16" i="84" s="1"/>
  <c r="K47" i="91"/>
  <c r="I53" i="62"/>
  <c r="J52" i="62"/>
  <c r="J51" i="44"/>
  <c r="K50" i="44" s="1"/>
  <c r="I52" i="44"/>
  <c r="K50" i="152"/>
  <c r="K50" i="28"/>
  <c r="I52" i="83"/>
  <c r="J51" i="83"/>
  <c r="K50" i="83" s="1"/>
  <c r="K49" i="93"/>
  <c r="C18" i="49"/>
  <c r="E19" i="49"/>
  <c r="J19" i="49"/>
  <c r="K19" i="49" s="1"/>
  <c r="GI58" i="2"/>
  <c r="GH58" i="2"/>
  <c r="K47" i="105"/>
  <c r="E19" i="172"/>
  <c r="C18" i="172"/>
  <c r="J19" i="172"/>
  <c r="K19" i="172" s="1"/>
  <c r="J49" i="120"/>
  <c r="K48" i="120" s="1"/>
  <c r="I50" i="120"/>
  <c r="C16" i="161"/>
  <c r="E17" i="161"/>
  <c r="J17" i="161"/>
  <c r="K17" i="161" s="1"/>
  <c r="J50" i="104"/>
  <c r="K49" i="104" s="1"/>
  <c r="I51" i="104"/>
  <c r="K51" i="59"/>
  <c r="C17" i="156" l="1"/>
  <c r="E18" i="156"/>
  <c r="J18" i="156"/>
  <c r="K18" i="156" s="1"/>
  <c r="E17" i="149"/>
  <c r="C16" i="149"/>
  <c r="J17" i="149"/>
  <c r="K17" i="149" s="1"/>
  <c r="E18" i="130"/>
  <c r="C17" i="130"/>
  <c r="J18" i="130"/>
  <c r="K18" i="130" s="1"/>
  <c r="BE18" i="2"/>
  <c r="J13" i="98"/>
  <c r="K13" i="98" s="1"/>
  <c r="C12" i="98"/>
  <c r="E13" i="98"/>
  <c r="E18" i="74"/>
  <c r="C17" i="74"/>
  <c r="J18" i="74"/>
  <c r="K18" i="74" s="1"/>
  <c r="E17" i="61"/>
  <c r="C16" i="61"/>
  <c r="J17" i="61"/>
  <c r="K17" i="61" s="1"/>
  <c r="J17" i="59"/>
  <c r="K17" i="59" s="1"/>
  <c r="C16" i="59"/>
  <c r="E17" i="59"/>
  <c r="C17" i="150"/>
  <c r="J18" i="150"/>
  <c r="K18" i="150" s="1"/>
  <c r="E18" i="150"/>
  <c r="BF18" i="2"/>
  <c r="GS18" i="2"/>
  <c r="EP18" i="2"/>
  <c r="HO19" i="2"/>
  <c r="I53" i="30"/>
  <c r="J52" i="30"/>
  <c r="I52" i="73"/>
  <c r="J51" i="73"/>
  <c r="K50" i="73" s="1"/>
  <c r="I56" i="7"/>
  <c r="J55" i="7"/>
  <c r="E14" i="131"/>
  <c r="C13" i="131"/>
  <c r="J14" i="131"/>
  <c r="K14" i="131" s="1"/>
  <c r="C16" i="35"/>
  <c r="E17" i="35"/>
  <c r="J17" i="35"/>
  <c r="K17" i="35" s="1"/>
  <c r="C16" i="153"/>
  <c r="E17" i="153"/>
  <c r="J17" i="153"/>
  <c r="K17" i="153" s="1"/>
  <c r="C12" i="157"/>
  <c r="E13" i="157"/>
  <c r="J13" i="157"/>
  <c r="K13" i="157" s="1"/>
  <c r="I54" i="62"/>
  <c r="J53" i="62"/>
  <c r="E15" i="141"/>
  <c r="C14" i="141"/>
  <c r="J15" i="141"/>
  <c r="K15" i="141" s="1"/>
  <c r="C14" i="73"/>
  <c r="E15" i="73"/>
  <c r="J15" i="73"/>
  <c r="K15" i="73" s="1"/>
  <c r="K49" i="146"/>
  <c r="E17" i="97"/>
  <c r="C16" i="97"/>
  <c r="J17" i="97"/>
  <c r="K17" i="97" s="1"/>
  <c r="J50" i="109"/>
  <c r="K49" i="109" s="1"/>
  <c r="I51" i="109"/>
  <c r="I53" i="118"/>
  <c r="J52" i="118"/>
  <c r="J50" i="91"/>
  <c r="I51" i="91"/>
  <c r="E17" i="77"/>
  <c r="C16" i="77"/>
  <c r="J17" i="77"/>
  <c r="K17" i="77" s="1"/>
  <c r="I51" i="171"/>
  <c r="J50" i="171"/>
  <c r="J51" i="169"/>
  <c r="I52" i="169"/>
  <c r="C14" i="171"/>
  <c r="E15" i="171"/>
  <c r="J15" i="171"/>
  <c r="K15" i="171" s="1"/>
  <c r="I56" i="133"/>
  <c r="J55" i="133"/>
  <c r="K54" i="133" s="1"/>
  <c r="J50" i="146"/>
  <c r="I51" i="146"/>
  <c r="E15" i="39"/>
  <c r="C14" i="39"/>
  <c r="J15" i="39"/>
  <c r="K15" i="39" s="1"/>
  <c r="E14" i="105"/>
  <c r="C13" i="105"/>
  <c r="J14" i="105"/>
  <c r="K14" i="105" s="1"/>
  <c r="C17" i="158"/>
  <c r="E18" i="158"/>
  <c r="J18" i="158"/>
  <c r="K18" i="158" s="1"/>
  <c r="J51" i="56"/>
  <c r="K50" i="56" s="1"/>
  <c r="I52" i="56"/>
  <c r="J51" i="97"/>
  <c r="I52" i="97"/>
  <c r="J51" i="4"/>
  <c r="I52" i="4"/>
  <c r="I52" i="19"/>
  <c r="J51" i="19"/>
  <c r="Y19" i="1"/>
  <c r="E17" i="101"/>
  <c r="C16" i="101"/>
  <c r="J17" i="101"/>
  <c r="K17" i="101" s="1"/>
  <c r="I52" i="116"/>
  <c r="J51" i="116"/>
  <c r="BQ19" i="2"/>
  <c r="E15" i="173"/>
  <c r="C14" i="173"/>
  <c r="J15" i="173"/>
  <c r="K15" i="173" s="1"/>
  <c r="E18" i="56"/>
  <c r="C17" i="56"/>
  <c r="J18" i="56"/>
  <c r="K18" i="56" s="1"/>
  <c r="K50" i="19"/>
  <c r="C14" i="106"/>
  <c r="E15" i="106"/>
  <c r="J15" i="106"/>
  <c r="K15" i="106" s="1"/>
  <c r="E17" i="125"/>
  <c r="C16" i="125"/>
  <c r="J17" i="125"/>
  <c r="K17" i="125" s="1"/>
  <c r="C16" i="23"/>
  <c r="E17" i="23"/>
  <c r="J17" i="23"/>
  <c r="K17" i="23" s="1"/>
  <c r="I54" i="29"/>
  <c r="J53" i="29"/>
  <c r="E17" i="132"/>
  <c r="C16" i="132"/>
  <c r="J17" i="132"/>
  <c r="K17" i="132" s="1"/>
  <c r="E13" i="138"/>
  <c r="C12" i="138"/>
  <c r="J13" i="138"/>
  <c r="K13" i="138" s="1"/>
  <c r="E15" i="120"/>
  <c r="C14" i="120"/>
  <c r="J15" i="120"/>
  <c r="K15" i="120" s="1"/>
  <c r="C16" i="13"/>
  <c r="E17" i="13"/>
  <c r="J17" i="13"/>
  <c r="K17" i="13" s="1"/>
  <c r="J52" i="167"/>
  <c r="K51" i="167" s="1"/>
  <c r="I53" i="167"/>
  <c r="J51" i="168"/>
  <c r="K50" i="168" s="1"/>
  <c r="I52" i="168"/>
  <c r="E18" i="29"/>
  <c r="C17" i="29"/>
  <c r="J18" i="29"/>
  <c r="K18" i="29" s="1"/>
  <c r="X18" i="1"/>
  <c r="C15" i="17"/>
  <c r="E16" i="17"/>
  <c r="J16" i="17"/>
  <c r="K16" i="17" s="1"/>
  <c r="J51" i="138"/>
  <c r="I52" i="138"/>
  <c r="C17" i="52"/>
  <c r="E18" i="52"/>
  <c r="BP18" i="2"/>
  <c r="J18" i="52"/>
  <c r="K18" i="52" s="1"/>
  <c r="AJ19" i="1"/>
  <c r="J55" i="74"/>
  <c r="K54" i="74" s="1"/>
  <c r="I56" i="74"/>
  <c r="I51" i="130"/>
  <c r="J50" i="130"/>
  <c r="K49" i="130" s="1"/>
  <c r="C15" i="5"/>
  <c r="E16" i="5"/>
  <c r="J16" i="5"/>
  <c r="K16" i="5" s="1"/>
  <c r="E16" i="128"/>
  <c r="C15" i="128"/>
  <c r="J16" i="128"/>
  <c r="K16" i="128" s="1"/>
  <c r="J54" i="14"/>
  <c r="I55" i="14"/>
  <c r="I51" i="43"/>
  <c r="J50" i="43"/>
  <c r="C15" i="18"/>
  <c r="E16" i="18"/>
  <c r="J16" i="18"/>
  <c r="K16" i="18" s="1"/>
  <c r="J52" i="10"/>
  <c r="I53" i="10"/>
  <c r="E18" i="46"/>
  <c r="C17" i="46"/>
  <c r="J18" i="46"/>
  <c r="K18" i="46" s="1"/>
  <c r="AI18" i="1"/>
  <c r="E18" i="28"/>
  <c r="C17" i="28"/>
  <c r="J18" i="28"/>
  <c r="K18" i="28" s="1"/>
  <c r="I52" i="104"/>
  <c r="J51" i="104"/>
  <c r="J50" i="38"/>
  <c r="I51" i="38"/>
  <c r="K48" i="146"/>
  <c r="K51" i="158"/>
  <c r="C17" i="3"/>
  <c r="E18" i="3"/>
  <c r="J18" i="3"/>
  <c r="K18" i="3" s="1"/>
  <c r="I54" i="78"/>
  <c r="J53" i="78"/>
  <c r="I55" i="32"/>
  <c r="J54" i="32"/>
  <c r="K52" i="32"/>
  <c r="K53" i="14"/>
  <c r="I51" i="35"/>
  <c r="J50" i="35"/>
  <c r="K49" i="35" s="1"/>
  <c r="I55" i="82"/>
  <c r="J54" i="82"/>
  <c r="C16" i="71"/>
  <c r="E17" i="71"/>
  <c r="J17" i="71"/>
  <c r="K17" i="71" s="1"/>
  <c r="J51" i="108"/>
  <c r="K50" i="108" s="1"/>
  <c r="I52" i="108"/>
  <c r="J52" i="99"/>
  <c r="K51" i="99" s="1"/>
  <c r="I53" i="99"/>
  <c r="I51" i="90"/>
  <c r="J50" i="90"/>
  <c r="J52" i="28"/>
  <c r="I53" i="28"/>
  <c r="K52" i="62"/>
  <c r="E16" i="68"/>
  <c r="C15" i="68"/>
  <c r="J16" i="68"/>
  <c r="K16" i="68" s="1"/>
  <c r="J52" i="158"/>
  <c r="I53" i="158"/>
  <c r="J51" i="86"/>
  <c r="K50" i="86" s="1"/>
  <c r="I52" i="86"/>
  <c r="I51" i="36"/>
  <c r="J50" i="36"/>
  <c r="K49" i="36" s="1"/>
  <c r="AU19" i="2"/>
  <c r="E15" i="51"/>
  <c r="C14" i="51"/>
  <c r="J15" i="51"/>
  <c r="K15" i="51" s="1"/>
  <c r="C14" i="37"/>
  <c r="E15" i="37"/>
  <c r="J15" i="37"/>
  <c r="K15" i="37" s="1"/>
  <c r="K50" i="99"/>
  <c r="E17" i="36"/>
  <c r="C16" i="36"/>
  <c r="J17" i="36"/>
  <c r="K17" i="36" s="1"/>
  <c r="I53" i="25"/>
  <c r="J52" i="25"/>
  <c r="K51" i="25" s="1"/>
  <c r="J53" i="26"/>
  <c r="K52" i="26" s="1"/>
  <c r="I54" i="26"/>
  <c r="E17" i="162"/>
  <c r="C16" i="162"/>
  <c r="J17" i="162"/>
  <c r="K17" i="162" s="1"/>
  <c r="C17" i="55"/>
  <c r="E18" i="55"/>
  <c r="J18" i="55"/>
  <c r="K18" i="55" s="1"/>
  <c r="K48" i="55"/>
  <c r="I52" i="137"/>
  <c r="J51" i="137"/>
  <c r="E17" i="108"/>
  <c r="C16" i="108"/>
  <c r="J17" i="108"/>
  <c r="K17" i="108" s="1"/>
  <c r="E17" i="122"/>
  <c r="C16" i="122"/>
  <c r="J17" i="122"/>
  <c r="K17" i="122" s="1"/>
  <c r="C17" i="174"/>
  <c r="E18" i="174"/>
  <c r="J18" i="174"/>
  <c r="K18" i="174" s="1"/>
  <c r="C17" i="50"/>
  <c r="E18" i="50"/>
  <c r="AT18" i="2"/>
  <c r="J18" i="50"/>
  <c r="K18" i="50" s="1"/>
  <c r="E18" i="93"/>
  <c r="C17" i="93"/>
  <c r="J18" i="93"/>
  <c r="K18" i="93" s="1"/>
  <c r="E17" i="147"/>
  <c r="C16" i="147"/>
  <c r="J17" i="147"/>
  <c r="K17" i="147" s="1"/>
  <c r="J51" i="49"/>
  <c r="K50" i="49" s="1"/>
  <c r="I52" i="49"/>
  <c r="E16" i="144"/>
  <c r="C15" i="144"/>
  <c r="J16" i="144"/>
  <c r="K16" i="144" s="1"/>
  <c r="I53" i="66"/>
  <c r="J52" i="66"/>
  <c r="DT17" i="2"/>
  <c r="E15" i="84"/>
  <c r="C14" i="84"/>
  <c r="J15" i="84"/>
  <c r="K15" i="84" s="1"/>
  <c r="J51" i="162"/>
  <c r="K50" i="162" s="1"/>
  <c r="I52" i="162"/>
  <c r="J53" i="51"/>
  <c r="K52" i="51" s="1"/>
  <c r="I54" i="51"/>
  <c r="I51" i="163"/>
  <c r="J50" i="163"/>
  <c r="K49" i="163" s="1"/>
  <c r="I51" i="105"/>
  <c r="J50" i="105"/>
  <c r="K49" i="105" s="1"/>
  <c r="I53" i="149"/>
  <c r="J52" i="149"/>
  <c r="K51" i="149" s="1"/>
  <c r="K49" i="56"/>
  <c r="E16" i="113"/>
  <c r="C15" i="113"/>
  <c r="J16" i="113"/>
  <c r="K16" i="113" s="1"/>
  <c r="E16" i="135"/>
  <c r="C15" i="135"/>
  <c r="J16" i="135"/>
  <c r="K16" i="135" s="1"/>
  <c r="I55" i="24"/>
  <c r="J51" i="5"/>
  <c r="I52" i="5"/>
  <c r="I51" i="45"/>
  <c r="J50" i="45"/>
  <c r="K51" i="26"/>
  <c r="J50" i="55"/>
  <c r="I51" i="55"/>
  <c r="IK18" i="2"/>
  <c r="E17" i="95"/>
  <c r="C16" i="95"/>
  <c r="J17" i="95"/>
  <c r="K17" i="95" s="1"/>
  <c r="C14" i="69"/>
  <c r="E15" i="69"/>
  <c r="J15" i="69"/>
  <c r="K15" i="69" s="1"/>
  <c r="J52" i="173"/>
  <c r="K51" i="173" s="1"/>
  <c r="I53" i="173"/>
  <c r="I52" i="151"/>
  <c r="J51" i="151"/>
  <c r="K50" i="151" s="1"/>
  <c r="K52" i="13"/>
  <c r="E16" i="129"/>
  <c r="C15" i="129"/>
  <c r="J16" i="129"/>
  <c r="K16" i="129" s="1"/>
  <c r="DS16" i="2"/>
  <c r="K50" i="170"/>
  <c r="I54" i="16"/>
  <c r="J53" i="16"/>
  <c r="K52" i="16" s="1"/>
  <c r="K49" i="168"/>
  <c r="CB19" i="1"/>
  <c r="E16" i="54"/>
  <c r="C15" i="54"/>
  <c r="J16" i="54"/>
  <c r="K16" i="54" s="1"/>
  <c r="I56" i="15"/>
  <c r="J55" i="15"/>
  <c r="K54" i="15" s="1"/>
  <c r="C17" i="92"/>
  <c r="E18" i="92"/>
  <c r="J18" i="92"/>
  <c r="K18" i="92" s="1"/>
  <c r="I56" i="61"/>
  <c r="J55" i="61"/>
  <c r="K54" i="61" s="1"/>
  <c r="FK18" i="2"/>
  <c r="J53" i="156"/>
  <c r="K52" i="156" s="1"/>
  <c r="I54" i="156"/>
  <c r="I54" i="13"/>
  <c r="J53" i="13"/>
  <c r="FA18" i="2"/>
  <c r="J51" i="161"/>
  <c r="I52" i="161"/>
  <c r="C15" i="118"/>
  <c r="E16" i="118"/>
  <c r="J16" i="118"/>
  <c r="K16" i="118" s="1"/>
  <c r="C15" i="99"/>
  <c r="E16" i="99"/>
  <c r="J16" i="99"/>
  <c r="K16" i="99" s="1"/>
  <c r="E18" i="152"/>
  <c r="C17" i="152"/>
  <c r="J18" i="152"/>
  <c r="K18" i="152" s="1"/>
  <c r="K49" i="8"/>
  <c r="E14" i="165"/>
  <c r="C13" i="165"/>
  <c r="J14" i="165"/>
  <c r="K14" i="165" s="1"/>
  <c r="I52" i="76"/>
  <c r="J51" i="76"/>
  <c r="J53" i="132"/>
  <c r="I54" i="132"/>
  <c r="J51" i="170"/>
  <c r="I52" i="170"/>
  <c r="K51" i="78"/>
  <c r="E17" i="151"/>
  <c r="C16" i="151"/>
  <c r="J17" i="151"/>
  <c r="K17" i="151" s="1"/>
  <c r="E18" i="6"/>
  <c r="C17" i="6"/>
  <c r="IU17" i="2" s="1"/>
  <c r="CA18" i="1"/>
  <c r="DI18" i="2"/>
  <c r="I55" i="42"/>
  <c r="J54" i="42"/>
  <c r="K53" i="42" s="1"/>
  <c r="E16" i="126"/>
  <c r="C15" i="126"/>
  <c r="J16" i="126"/>
  <c r="K16" i="126" s="1"/>
  <c r="E17" i="63"/>
  <c r="C16" i="63"/>
  <c r="J17" i="63"/>
  <c r="K17" i="63" s="1"/>
  <c r="CM19" i="2"/>
  <c r="E17" i="154"/>
  <c r="C16" i="154"/>
  <c r="J17" i="154"/>
  <c r="K17" i="154" s="1"/>
  <c r="I54" i="127"/>
  <c r="J53" i="127"/>
  <c r="I52" i="123"/>
  <c r="J51" i="123"/>
  <c r="K50" i="123" s="1"/>
  <c r="E16" i="65"/>
  <c r="C15" i="65"/>
  <c r="J16" i="65"/>
  <c r="K16" i="65" s="1"/>
  <c r="J50" i="8"/>
  <c r="I51" i="8"/>
  <c r="K49" i="116"/>
  <c r="J50" i="34"/>
  <c r="K49" i="34" s="1"/>
  <c r="I51" i="34"/>
  <c r="E17" i="88"/>
  <c r="C16" i="88"/>
  <c r="J17" i="88"/>
  <c r="K17" i="88" s="1"/>
  <c r="E17" i="117"/>
  <c r="C16" i="117"/>
  <c r="J17" i="117"/>
  <c r="K17" i="117" s="1"/>
  <c r="N19" i="1"/>
  <c r="J50" i="65"/>
  <c r="K49" i="65" s="1"/>
  <c r="I51" i="65"/>
  <c r="K50" i="121"/>
  <c r="E16" i="60"/>
  <c r="C15" i="60"/>
  <c r="J16" i="60"/>
  <c r="K16" i="60" s="1"/>
  <c r="C16" i="38"/>
  <c r="E17" i="38"/>
  <c r="J17" i="38"/>
  <c r="K17" i="38" s="1"/>
  <c r="E16" i="75"/>
  <c r="C15" i="75"/>
  <c r="J16" i="75"/>
  <c r="K16" i="75" s="1"/>
  <c r="K50" i="131"/>
  <c r="I52" i="57"/>
  <c r="J51" i="57"/>
  <c r="K50" i="57" s="1"/>
  <c r="I52" i="20"/>
  <c r="J51" i="20"/>
  <c r="K50" i="20" s="1"/>
  <c r="E17" i="133"/>
  <c r="C16" i="133"/>
  <c r="J17" i="133"/>
  <c r="K17" i="133" s="1"/>
  <c r="DH17" i="2"/>
  <c r="I51" i="140"/>
  <c r="J50" i="140"/>
  <c r="K50" i="118"/>
  <c r="I52" i="114"/>
  <c r="J51" i="114"/>
  <c r="I53" i="92"/>
  <c r="J52" i="92"/>
  <c r="K51" i="92" s="1"/>
  <c r="K48" i="45"/>
  <c r="I54" i="164"/>
  <c r="J53" i="164"/>
  <c r="Y19" i="2"/>
  <c r="K51" i="62"/>
  <c r="E16" i="9"/>
  <c r="C15" i="9"/>
  <c r="J16" i="9"/>
  <c r="K16" i="9" s="1"/>
  <c r="J50" i="174"/>
  <c r="K49" i="174" s="1"/>
  <c r="I51" i="174"/>
  <c r="I52" i="131"/>
  <c r="J51" i="131"/>
  <c r="E17" i="21"/>
  <c r="C16" i="21"/>
  <c r="J17" i="21"/>
  <c r="K17" i="21" s="1"/>
  <c r="I51" i="40"/>
  <c r="J50" i="40"/>
  <c r="K49" i="40" s="1"/>
  <c r="K50" i="67"/>
  <c r="J50" i="69"/>
  <c r="I51" i="69"/>
  <c r="E17" i="48"/>
  <c r="C16" i="48"/>
  <c r="J17" i="48"/>
  <c r="K17" i="48" s="1"/>
  <c r="J53" i="107"/>
  <c r="K52" i="107" s="1"/>
  <c r="I54" i="107"/>
  <c r="J52" i="41"/>
  <c r="I53" i="41"/>
  <c r="C15" i="64"/>
  <c r="E16" i="64"/>
  <c r="J16" i="64"/>
  <c r="K16" i="64" s="1"/>
  <c r="C16" i="80"/>
  <c r="E17" i="80"/>
  <c r="J17" i="80"/>
  <c r="K17" i="80" s="1"/>
  <c r="E16" i="83"/>
  <c r="C15" i="83"/>
  <c r="J16" i="83"/>
  <c r="K16" i="83" s="1"/>
  <c r="FL19" i="2"/>
  <c r="C17" i="12"/>
  <c r="E18" i="12"/>
  <c r="X18" i="2"/>
  <c r="M18" i="1"/>
  <c r="J18" i="12"/>
  <c r="K18" i="12" s="1"/>
  <c r="CM18" i="2"/>
  <c r="C15" i="148"/>
  <c r="E16" i="148"/>
  <c r="J16" i="148"/>
  <c r="K16" i="148" s="1"/>
  <c r="C17" i="172"/>
  <c r="E18" i="172"/>
  <c r="J18" i="172"/>
  <c r="K18" i="172" s="1"/>
  <c r="I51" i="81"/>
  <c r="J50" i="81"/>
  <c r="E17" i="96"/>
  <c r="C16" i="96"/>
  <c r="J17" i="96"/>
  <c r="K17" i="96" s="1"/>
  <c r="IU18" i="2"/>
  <c r="E16" i="167"/>
  <c r="C15" i="167"/>
  <c r="J16" i="167"/>
  <c r="K16" i="167" s="1"/>
  <c r="C14" i="40"/>
  <c r="E15" i="40"/>
  <c r="J15" i="40"/>
  <c r="K15" i="40" s="1"/>
  <c r="K51" i="135"/>
  <c r="J53" i="135"/>
  <c r="K52" i="135" s="1"/>
  <c r="I54" i="135"/>
  <c r="E16" i="66"/>
  <c r="C15" i="66"/>
  <c r="J16" i="66"/>
  <c r="K16" i="66" s="1"/>
  <c r="I52" i="39"/>
  <c r="J51" i="39"/>
  <c r="K50" i="39" s="1"/>
  <c r="K48" i="43"/>
  <c r="J51" i="67"/>
  <c r="I52" i="67"/>
  <c r="J53" i="9"/>
  <c r="K52" i="9" s="1"/>
  <c r="I54" i="9"/>
  <c r="I56" i="145"/>
  <c r="J55" i="145"/>
  <c r="K54" i="145" s="1"/>
  <c r="K49" i="5"/>
  <c r="I55" i="27"/>
  <c r="J54" i="27"/>
  <c r="K53" i="27" s="1"/>
  <c r="I53" i="115"/>
  <c r="J52" i="115"/>
  <c r="K51" i="115" s="1"/>
  <c r="J50" i="47"/>
  <c r="I51" i="47"/>
  <c r="I51" i="120"/>
  <c r="J50" i="120"/>
  <c r="J52" i="139"/>
  <c r="I53" i="139"/>
  <c r="E13" i="32"/>
  <c r="C12" i="32"/>
  <c r="J13" i="32"/>
  <c r="K13" i="32" s="1"/>
  <c r="J51" i="121"/>
  <c r="I52" i="121"/>
  <c r="E14" i="45"/>
  <c r="C13" i="45"/>
  <c r="J14" i="45"/>
  <c r="K14" i="45" s="1"/>
  <c r="J50" i="17"/>
  <c r="K49" i="17" s="1"/>
  <c r="I51" i="17"/>
  <c r="J53" i="48"/>
  <c r="K52" i="48" s="1"/>
  <c r="I54" i="48"/>
  <c r="I54" i="117"/>
  <c r="J53" i="117"/>
  <c r="K52" i="117" s="1"/>
  <c r="C12" i="146"/>
  <c r="E13" i="146"/>
  <c r="J13" i="146"/>
  <c r="K13" i="146" s="1"/>
  <c r="K50" i="41"/>
  <c r="J53" i="128"/>
  <c r="I54" i="128"/>
  <c r="J52" i="63"/>
  <c r="I53" i="63"/>
  <c r="I56" i="46"/>
  <c r="J55" i="46"/>
  <c r="K49" i="151"/>
  <c r="K49" i="162"/>
  <c r="J51" i="31"/>
  <c r="I52" i="31"/>
  <c r="I54" i="77"/>
  <c r="J53" i="77"/>
  <c r="K52" i="77" s="1"/>
  <c r="K49" i="121"/>
  <c r="E15" i="123"/>
  <c r="C14" i="123"/>
  <c r="J15" i="123"/>
  <c r="K15" i="123" s="1"/>
  <c r="AU19" i="1"/>
  <c r="I53" i="113"/>
  <c r="J52" i="113"/>
  <c r="C15" i="137"/>
  <c r="E16" i="137"/>
  <c r="J16" i="137"/>
  <c r="K16" i="137" s="1"/>
  <c r="HD19" i="2"/>
  <c r="CA18" i="2"/>
  <c r="J53" i="136"/>
  <c r="I54" i="136"/>
  <c r="I53" i="23"/>
  <c r="J52" i="23"/>
  <c r="J53" i="101"/>
  <c r="I54" i="101"/>
  <c r="E13" i="87"/>
  <c r="C12" i="87"/>
  <c r="J13" i="87"/>
  <c r="K13" i="87" s="1"/>
  <c r="I51" i="143"/>
  <c r="J50" i="143"/>
  <c r="C17" i="27"/>
  <c r="IJ17" i="2" s="1"/>
  <c r="E18" i="27"/>
  <c r="J18" i="27"/>
  <c r="K18" i="27" s="1"/>
  <c r="C16" i="15"/>
  <c r="E17" i="15"/>
  <c r="J17" i="15"/>
  <c r="K17" i="15" s="1"/>
  <c r="I52" i="144"/>
  <c r="J51" i="144"/>
  <c r="K50" i="144" s="1"/>
  <c r="C12" i="166"/>
  <c r="E13" i="166"/>
  <c r="J13" i="166"/>
  <c r="K13" i="166" s="1"/>
  <c r="K51" i="157"/>
  <c r="E17" i="31"/>
  <c r="C16" i="31"/>
  <c r="J17" i="31"/>
  <c r="K17" i="31" s="1"/>
  <c r="E15" i="168"/>
  <c r="C14" i="168"/>
  <c r="J15" i="168"/>
  <c r="K15" i="168" s="1"/>
  <c r="E17" i="10"/>
  <c r="C16" i="10"/>
  <c r="J17" i="10"/>
  <c r="K17" i="10" s="1"/>
  <c r="I51" i="64"/>
  <c r="J50" i="64"/>
  <c r="K49" i="64" s="1"/>
  <c r="J52" i="37"/>
  <c r="I53" i="37"/>
  <c r="K51" i="164"/>
  <c r="EE19" i="2"/>
  <c r="K50" i="104"/>
  <c r="J51" i="106"/>
  <c r="K50" i="106" s="1"/>
  <c r="I52" i="106"/>
  <c r="BQ19" i="1"/>
  <c r="I53" i="157"/>
  <c r="J52" i="157"/>
  <c r="J51" i="21"/>
  <c r="K50" i="21" s="1"/>
  <c r="I52" i="21"/>
  <c r="K53" i="145"/>
  <c r="I51" i="160"/>
  <c r="J50" i="160"/>
  <c r="K49" i="160" s="1"/>
  <c r="K50" i="92"/>
  <c r="C17" i="109"/>
  <c r="E18" i="109"/>
  <c r="ED18" i="2"/>
  <c r="J18" i="109"/>
  <c r="K18" i="109" s="1"/>
  <c r="C15" i="104"/>
  <c r="E16" i="104"/>
  <c r="J16" i="104"/>
  <c r="K16" i="104" s="1"/>
  <c r="C17" i="7"/>
  <c r="EO17" i="2" s="1"/>
  <c r="E18" i="7"/>
  <c r="AT18" i="1"/>
  <c r="J18" i="7"/>
  <c r="K18" i="7" s="1"/>
  <c r="E14" i="43"/>
  <c r="C13" i="43"/>
  <c r="J14" i="43"/>
  <c r="K14" i="43" s="1"/>
  <c r="E18" i="107"/>
  <c r="C17" i="107"/>
  <c r="J18" i="107"/>
  <c r="K18" i="107" s="1"/>
  <c r="J50" i="95"/>
  <c r="I51" i="95"/>
  <c r="K49" i="137"/>
  <c r="E18" i="8"/>
  <c r="C17" i="8"/>
  <c r="HC18" i="2"/>
  <c r="BP18" i="1"/>
  <c r="J18" i="8"/>
  <c r="K18" i="8" s="1"/>
  <c r="I53" i="72"/>
  <c r="J52" i="72"/>
  <c r="K51" i="107"/>
  <c r="J51" i="52"/>
  <c r="K50" i="52" s="1"/>
  <c r="I52" i="52"/>
  <c r="J52" i="93"/>
  <c r="K51" i="93" s="1"/>
  <c r="I53" i="93"/>
  <c r="E16" i="16"/>
  <c r="C15" i="16"/>
  <c r="J16" i="16"/>
  <c r="K16" i="16" s="1"/>
  <c r="E18" i="121"/>
  <c r="C17" i="121"/>
  <c r="J18" i="121"/>
  <c r="K18" i="121" s="1"/>
  <c r="I53" i="68"/>
  <c r="J52" i="68"/>
  <c r="E15" i="62"/>
  <c r="C14" i="62"/>
  <c r="J15" i="62"/>
  <c r="K15" i="62" s="1"/>
  <c r="C15" i="94"/>
  <c r="E16" i="94"/>
  <c r="J16" i="94"/>
  <c r="K16" i="94" s="1"/>
  <c r="I55" i="22"/>
  <c r="J54" i="22"/>
  <c r="E15" i="163"/>
  <c r="C14" i="163"/>
  <c r="J15" i="163"/>
  <c r="K15" i="163" s="1"/>
  <c r="J51" i="153"/>
  <c r="K50" i="153" s="1"/>
  <c r="I52" i="153"/>
  <c r="K49" i="39"/>
  <c r="K51" i="72"/>
  <c r="C14" i="47"/>
  <c r="E15" i="47"/>
  <c r="J15" i="47"/>
  <c r="K15" i="47" s="1"/>
  <c r="E16" i="4"/>
  <c r="C15" i="4"/>
  <c r="J16" i="4"/>
  <c r="K16" i="4" s="1"/>
  <c r="E18" i="136"/>
  <c r="C17" i="136"/>
  <c r="J18" i="136"/>
  <c r="K18" i="136" s="1"/>
  <c r="E18" i="90"/>
  <c r="C17" i="90"/>
  <c r="AI17" i="1" s="1"/>
  <c r="J18" i="90"/>
  <c r="K18" i="90" s="1"/>
  <c r="E14" i="34"/>
  <c r="C13" i="34"/>
  <c r="J14" i="34"/>
  <c r="K14" i="34" s="1"/>
  <c r="C17" i="100"/>
  <c r="FK17" i="2" s="1"/>
  <c r="E18" i="100"/>
  <c r="J18" i="100"/>
  <c r="K18" i="100" s="1"/>
  <c r="K50" i="37"/>
  <c r="C16" i="134"/>
  <c r="E17" i="134"/>
  <c r="EZ17" i="2"/>
  <c r="J17" i="134"/>
  <c r="K17" i="134" s="1"/>
  <c r="E16" i="161"/>
  <c r="C15" i="161"/>
  <c r="J16" i="161"/>
  <c r="K16" i="161" s="1"/>
  <c r="J53" i="89"/>
  <c r="I54" i="89"/>
  <c r="M18" i="2"/>
  <c r="K49" i="131"/>
  <c r="K49" i="144"/>
  <c r="C17" i="49"/>
  <c r="E18" i="49"/>
  <c r="J18" i="49"/>
  <c r="K18" i="49" s="1"/>
  <c r="E17" i="145"/>
  <c r="C16" i="145"/>
  <c r="J17" i="145"/>
  <c r="K17" i="145" s="1"/>
  <c r="K51" i="51"/>
  <c r="J50" i="112"/>
  <c r="K49" i="112" s="1"/>
  <c r="I51" i="112"/>
  <c r="C16" i="33"/>
  <c r="E17" i="33"/>
  <c r="M17" i="2"/>
  <c r="J17" i="33"/>
  <c r="K17" i="33" s="1"/>
  <c r="K48" i="81"/>
  <c r="K51" i="18"/>
  <c r="E17" i="78"/>
  <c r="C16" i="78"/>
  <c r="J17" i="78"/>
  <c r="K17" i="78" s="1"/>
  <c r="C14" i="26"/>
  <c r="E15" i="26"/>
  <c r="J15" i="26"/>
  <c r="K15" i="26" s="1"/>
  <c r="E15" i="115"/>
  <c r="C14" i="115"/>
  <c r="J15" i="115"/>
  <c r="K15" i="115" s="1"/>
  <c r="AI18" i="2"/>
  <c r="C16" i="41"/>
  <c r="E17" i="41"/>
  <c r="BE17" i="2"/>
  <c r="J17" i="41"/>
  <c r="K17" i="41" s="1"/>
  <c r="I52" i="154"/>
  <c r="J51" i="154"/>
  <c r="E14" i="102"/>
  <c r="C13" i="102"/>
  <c r="J14" i="102"/>
  <c r="K14" i="102" s="1"/>
  <c r="E16" i="57"/>
  <c r="C15" i="57"/>
  <c r="J16" i="57"/>
  <c r="K16" i="57" s="1"/>
  <c r="E16" i="103"/>
  <c r="C15" i="103"/>
  <c r="J16" i="103"/>
  <c r="K16" i="103" s="1"/>
  <c r="D57" i="1"/>
  <c r="O57" i="1"/>
  <c r="BR57" i="1"/>
  <c r="CC57" i="1"/>
  <c r="Z57" i="1"/>
  <c r="AK57" i="1"/>
  <c r="AV57" i="1"/>
  <c r="I52" i="103"/>
  <c r="J51" i="103"/>
  <c r="K50" i="103" s="1"/>
  <c r="E16" i="67"/>
  <c r="C15" i="67"/>
  <c r="J16" i="67"/>
  <c r="K16" i="67" s="1"/>
  <c r="K48" i="143"/>
  <c r="I52" i="155"/>
  <c r="J51" i="155"/>
  <c r="J50" i="11"/>
  <c r="I51" i="11"/>
  <c r="I52" i="119"/>
  <c r="J51" i="119"/>
  <c r="K51" i="68"/>
  <c r="J52" i="129"/>
  <c r="K51" i="129" s="1"/>
  <c r="I53" i="129"/>
  <c r="I53" i="18"/>
  <c r="J52" i="18"/>
  <c r="K48" i="109"/>
  <c r="I51" i="125"/>
  <c r="J50" i="125"/>
  <c r="K49" i="125" s="1"/>
  <c r="K52" i="82"/>
  <c r="J53" i="122"/>
  <c r="K52" i="122" s="1"/>
  <c r="I54" i="122"/>
  <c r="E17" i="140"/>
  <c r="C16" i="140"/>
  <c r="J17" i="140"/>
  <c r="K17" i="140" s="1"/>
  <c r="C15" i="110"/>
  <c r="E16" i="110"/>
  <c r="J16" i="110"/>
  <c r="K16" i="110" s="1"/>
  <c r="K50" i="154"/>
  <c r="I52" i="84"/>
  <c r="J51" i="84"/>
  <c r="K50" i="84" s="1"/>
  <c r="I51" i="166"/>
  <c r="J50" i="166"/>
  <c r="K51" i="128"/>
  <c r="E15" i="127"/>
  <c r="C14" i="127"/>
  <c r="J15" i="127"/>
  <c r="K15" i="127" s="1"/>
  <c r="D57" i="2"/>
  <c r="DU57" i="2"/>
  <c r="EQ57" i="2"/>
  <c r="O57" i="2"/>
  <c r="GT57" i="2"/>
  <c r="CY57" i="2"/>
  <c r="IL57" i="2"/>
  <c r="AK57" i="2"/>
  <c r="IW57" i="2"/>
  <c r="FM57" i="2"/>
  <c r="IA57" i="2"/>
  <c r="HP57" i="2"/>
  <c r="FB57" i="2"/>
  <c r="CC57" i="2"/>
  <c r="DJ57" i="2"/>
  <c r="FX57" i="2"/>
  <c r="AV57" i="2"/>
  <c r="BG57" i="2"/>
  <c r="Z57" i="2"/>
  <c r="BR57" i="2"/>
  <c r="HE57" i="2"/>
  <c r="CN57" i="2"/>
  <c r="EF57" i="2"/>
  <c r="K51" i="60"/>
  <c r="I55" i="94"/>
  <c r="J54" i="94"/>
  <c r="K53" i="94" s="1"/>
  <c r="E17" i="76"/>
  <c r="C16" i="76"/>
  <c r="J17" i="76"/>
  <c r="K17" i="76" s="1"/>
  <c r="I52" i="70"/>
  <c r="J51" i="70"/>
  <c r="K50" i="70" s="1"/>
  <c r="I54" i="172"/>
  <c r="J53" i="172"/>
  <c r="I55" i="71"/>
  <c r="J54" i="71"/>
  <c r="K53" i="71" s="1"/>
  <c r="E17" i="119"/>
  <c r="C16" i="119"/>
  <c r="J17" i="119"/>
  <c r="K17" i="119" s="1"/>
  <c r="BG57" i="1"/>
  <c r="BF57" i="1"/>
  <c r="I53" i="124"/>
  <c r="J52" i="124"/>
  <c r="I53" i="83"/>
  <c r="J52" i="83"/>
  <c r="K48" i="38"/>
  <c r="K49" i="119"/>
  <c r="I53" i="60"/>
  <c r="J52" i="60"/>
  <c r="I52" i="80"/>
  <c r="J51" i="80"/>
  <c r="CW17" i="2"/>
  <c r="J55" i="134"/>
  <c r="K54" i="134" s="1"/>
  <c r="I56" i="134"/>
  <c r="E16" i="81"/>
  <c r="C15" i="81"/>
  <c r="J16" i="81"/>
  <c r="K16" i="81" s="1"/>
  <c r="CB19" i="2"/>
  <c r="I55" i="79"/>
  <c r="J54" i="79"/>
  <c r="K53" i="79" s="1"/>
  <c r="E17" i="164"/>
  <c r="C16" i="164"/>
  <c r="J17" i="164"/>
  <c r="K17" i="164" s="1"/>
  <c r="E13" i="30"/>
  <c r="C12" i="30"/>
  <c r="J13" i="30"/>
  <c r="K13" i="30" s="1"/>
  <c r="I51" i="141"/>
  <c r="J50" i="141"/>
  <c r="I52" i="33"/>
  <c r="J51" i="33"/>
  <c r="K50" i="115"/>
  <c r="GI57" i="2"/>
  <c r="GH57" i="2"/>
  <c r="I51" i="58"/>
  <c r="J50" i="58"/>
  <c r="K49" i="58" s="1"/>
  <c r="E16" i="112"/>
  <c r="C15" i="112"/>
  <c r="CW16" i="2"/>
  <c r="J16" i="112"/>
  <c r="K16" i="112" s="1"/>
  <c r="K50" i="167"/>
  <c r="E17" i="142"/>
  <c r="C16" i="142"/>
  <c r="J17" i="142"/>
  <c r="K17" i="142" s="1"/>
  <c r="I54" i="98"/>
  <c r="J53" i="98"/>
  <c r="K52" i="98" s="1"/>
  <c r="K48" i="140"/>
  <c r="C17" i="91"/>
  <c r="E18" i="91"/>
  <c r="J18" i="91"/>
  <c r="K18" i="91" s="1"/>
  <c r="E15" i="72"/>
  <c r="C14" i="72"/>
  <c r="J15" i="72"/>
  <c r="K15" i="72" s="1"/>
  <c r="C15" i="19"/>
  <c r="E16" i="19"/>
  <c r="J16" i="19"/>
  <c r="K16" i="19" s="1"/>
  <c r="K48" i="34"/>
  <c r="C55" i="24"/>
  <c r="E56" i="24"/>
  <c r="GG56" i="2"/>
  <c r="BE56" i="1"/>
  <c r="C56" i="1"/>
  <c r="C56" i="2"/>
  <c r="C15" i="11"/>
  <c r="E16" i="11"/>
  <c r="J16" i="11"/>
  <c r="K16" i="11" s="1"/>
  <c r="HZ18" i="2"/>
  <c r="C13" i="111"/>
  <c r="E14" i="111"/>
  <c r="J14" i="111"/>
  <c r="K14" i="111" s="1"/>
  <c r="I56" i="12"/>
  <c r="J55" i="12"/>
  <c r="J51" i="54"/>
  <c r="I52" i="54"/>
  <c r="GS19" i="2"/>
  <c r="I53" i="165"/>
  <c r="J52" i="165"/>
  <c r="K51" i="165" s="1"/>
  <c r="E15" i="124"/>
  <c r="C14" i="124"/>
  <c r="J15" i="124"/>
  <c r="K15" i="124" s="1"/>
  <c r="C14" i="159"/>
  <c r="E15" i="159"/>
  <c r="J15" i="159"/>
  <c r="K15" i="159" s="1"/>
  <c r="K50" i="25"/>
  <c r="E17" i="79"/>
  <c r="C16" i="79"/>
  <c r="J17" i="79"/>
  <c r="K17" i="79" s="1"/>
  <c r="E17" i="70"/>
  <c r="C16" i="70"/>
  <c r="J17" i="70"/>
  <c r="K17" i="70" s="1"/>
  <c r="E16" i="139"/>
  <c r="C15" i="139"/>
  <c r="J16" i="139"/>
  <c r="K16" i="139" s="1"/>
  <c r="K48" i="130"/>
  <c r="I52" i="126"/>
  <c r="J51" i="126"/>
  <c r="K50" i="126" s="1"/>
  <c r="E11" i="82"/>
  <c r="C10" i="82"/>
  <c r="J11" i="82"/>
  <c r="K11" i="82" s="1"/>
  <c r="K52" i="142"/>
  <c r="I51" i="110"/>
  <c r="J50" i="110"/>
  <c r="K49" i="110" s="1"/>
  <c r="C17" i="53"/>
  <c r="E18" i="53"/>
  <c r="J18" i="53"/>
  <c r="K18" i="53" s="1"/>
  <c r="K49" i="138"/>
  <c r="K49" i="154"/>
  <c r="E18" i="58"/>
  <c r="C17" i="58"/>
  <c r="CA17" i="2" s="1"/>
  <c r="J18" i="58"/>
  <c r="K18" i="58" s="1"/>
  <c r="E16" i="22"/>
  <c r="C15" i="22"/>
  <c r="J16" i="22"/>
  <c r="K16" i="22" s="1"/>
  <c r="J51" i="53"/>
  <c r="K50" i="53" s="1"/>
  <c r="I52" i="53"/>
  <c r="I52" i="87"/>
  <c r="J51" i="87"/>
  <c r="J51" i="3"/>
  <c r="I52" i="3"/>
  <c r="J50" i="96"/>
  <c r="K49" i="96" s="1"/>
  <c r="I51" i="96"/>
  <c r="HO18" i="2"/>
  <c r="J50" i="148"/>
  <c r="I51" i="148"/>
  <c r="I52" i="88"/>
  <c r="J51" i="88"/>
  <c r="K50" i="88" s="1"/>
  <c r="C16" i="20"/>
  <c r="E17" i="20"/>
  <c r="J17" i="20"/>
  <c r="K17" i="20" s="1"/>
  <c r="FW19" i="2"/>
  <c r="C17" i="143"/>
  <c r="E18" i="143"/>
  <c r="J18" i="143"/>
  <c r="K18" i="143" s="1"/>
  <c r="E17" i="169"/>
  <c r="C16" i="169"/>
  <c r="HY17" i="2"/>
  <c r="J17" i="169"/>
  <c r="K17" i="169" s="1"/>
  <c r="K49" i="31"/>
  <c r="I51" i="147"/>
  <c r="J50" i="147"/>
  <c r="K49" i="147" s="1"/>
  <c r="E15" i="86"/>
  <c r="C14" i="86"/>
  <c r="J15" i="86"/>
  <c r="K15" i="86" s="1"/>
  <c r="I56" i="75"/>
  <c r="J55" i="75"/>
  <c r="K54" i="75" s="1"/>
  <c r="I51" i="102"/>
  <c r="J50" i="102"/>
  <c r="K52" i="152"/>
  <c r="C17" i="170"/>
  <c r="AI17" i="2" s="1"/>
  <c r="E18" i="170"/>
  <c r="J18" i="170"/>
  <c r="K18" i="170" s="1"/>
  <c r="I52" i="85"/>
  <c r="J51" i="85"/>
  <c r="K50" i="85" s="1"/>
  <c r="E16" i="116"/>
  <c r="C15" i="116"/>
  <c r="J16" i="116"/>
  <c r="K16" i="116" s="1"/>
  <c r="J53" i="142"/>
  <c r="I54" i="142"/>
  <c r="E18" i="14"/>
  <c r="C17" i="14"/>
  <c r="J18" i="14"/>
  <c r="K18" i="14" s="1"/>
  <c r="K50" i="93"/>
  <c r="I52" i="111"/>
  <c r="J51" i="111"/>
  <c r="K50" i="111" s="1"/>
  <c r="C16" i="114"/>
  <c r="E17" i="114"/>
  <c r="J17" i="114"/>
  <c r="K17" i="114" s="1"/>
  <c r="I51" i="100"/>
  <c r="J50" i="100"/>
  <c r="K49" i="100" s="1"/>
  <c r="I53" i="159"/>
  <c r="J52" i="159"/>
  <c r="K51" i="159" s="1"/>
  <c r="E17" i="44"/>
  <c r="C16" i="44"/>
  <c r="J17" i="44"/>
  <c r="K17" i="44" s="1"/>
  <c r="C13" i="160"/>
  <c r="E14" i="160"/>
  <c r="J14" i="160"/>
  <c r="K14" i="160" s="1"/>
  <c r="IV19" i="2"/>
  <c r="J52" i="44"/>
  <c r="K51" i="44" s="1"/>
  <c r="I53" i="44"/>
  <c r="C17" i="155"/>
  <c r="CL17" i="2" s="1"/>
  <c r="E18" i="155"/>
  <c r="J18" i="155"/>
  <c r="K18" i="155" s="1"/>
  <c r="E16" i="25"/>
  <c r="C15" i="25"/>
  <c r="J16" i="25"/>
  <c r="K16" i="25" s="1"/>
  <c r="E17" i="89"/>
  <c r="C16" i="89"/>
  <c r="J17" i="89"/>
  <c r="K17" i="89" s="1"/>
  <c r="HN17" i="2"/>
  <c r="K50" i="124"/>
  <c r="I54" i="152"/>
  <c r="J53" i="152"/>
  <c r="K51" i="30"/>
  <c r="E18" i="42"/>
  <c r="C17" i="42"/>
  <c r="J18" i="42"/>
  <c r="K18" i="42" s="1"/>
  <c r="FV18" i="2"/>
  <c r="K54" i="7"/>
  <c r="K49" i="123"/>
  <c r="J51" i="50"/>
  <c r="I52" i="50"/>
  <c r="E15" i="85"/>
  <c r="C14" i="85"/>
  <c r="J15" i="85"/>
  <c r="K15" i="85" s="1"/>
  <c r="K48" i="90"/>
  <c r="E17" i="156" l="1"/>
  <c r="C16" i="156"/>
  <c r="J17" i="156"/>
  <c r="K17" i="156" s="1"/>
  <c r="E16" i="149"/>
  <c r="J16" i="149"/>
  <c r="K16" i="149" s="1"/>
  <c r="C15" i="149"/>
  <c r="C16" i="130"/>
  <c r="E17" i="130"/>
  <c r="J17" i="130"/>
  <c r="K17" i="130" s="1"/>
  <c r="E12" i="98"/>
  <c r="C11" i="98"/>
  <c r="J12" i="98"/>
  <c r="K12" i="98" s="1"/>
  <c r="J17" i="74"/>
  <c r="K17" i="74" s="1"/>
  <c r="E17" i="74"/>
  <c r="C16" i="74"/>
  <c r="J16" i="61"/>
  <c r="K16" i="61" s="1"/>
  <c r="C15" i="61"/>
  <c r="E16" i="61"/>
  <c r="E16" i="59"/>
  <c r="C15" i="59"/>
  <c r="J16" i="59"/>
  <c r="K16" i="59" s="1"/>
  <c r="J17" i="150"/>
  <c r="K17" i="150" s="1"/>
  <c r="E17" i="150"/>
  <c r="C16" i="150"/>
  <c r="AJ17" i="1"/>
  <c r="CM17" i="2"/>
  <c r="EP17" i="2"/>
  <c r="AJ17" i="2"/>
  <c r="IK17" i="2"/>
  <c r="FL17" i="2"/>
  <c r="CB17" i="2"/>
  <c r="I55" i="89"/>
  <c r="J54" i="89"/>
  <c r="K53" i="89" s="1"/>
  <c r="E14" i="85"/>
  <c r="C13" i="85"/>
  <c r="J14" i="85"/>
  <c r="K14" i="85" s="1"/>
  <c r="I52" i="166"/>
  <c r="J51" i="166"/>
  <c r="E16" i="119"/>
  <c r="C15" i="119"/>
  <c r="J16" i="119"/>
  <c r="K16" i="119" s="1"/>
  <c r="E17" i="14"/>
  <c r="C16" i="14"/>
  <c r="J17" i="14"/>
  <c r="K17" i="14" s="1"/>
  <c r="J55" i="79"/>
  <c r="I56" i="79"/>
  <c r="I56" i="71"/>
  <c r="J55" i="71"/>
  <c r="I54" i="129"/>
  <c r="J53" i="129"/>
  <c r="E15" i="104"/>
  <c r="C14" i="104"/>
  <c r="J15" i="104"/>
  <c r="K15" i="104" s="1"/>
  <c r="I55" i="77"/>
  <c r="J54" i="77"/>
  <c r="I53" i="170"/>
  <c r="J52" i="170"/>
  <c r="I52" i="105"/>
  <c r="J51" i="105"/>
  <c r="E17" i="50"/>
  <c r="C16" i="50"/>
  <c r="AT17" i="2"/>
  <c r="J17" i="50"/>
  <c r="K17" i="50" s="1"/>
  <c r="I55" i="62"/>
  <c r="J54" i="62"/>
  <c r="K53" i="62" s="1"/>
  <c r="E16" i="142"/>
  <c r="C15" i="142"/>
  <c r="J16" i="142"/>
  <c r="K16" i="142" s="1"/>
  <c r="C15" i="44"/>
  <c r="E16" i="44"/>
  <c r="J16" i="44"/>
  <c r="K16" i="44" s="1"/>
  <c r="E55" i="24"/>
  <c r="C54" i="24"/>
  <c r="GG55" i="2"/>
  <c r="BE55" i="1"/>
  <c r="C55" i="1"/>
  <c r="C55" i="2"/>
  <c r="I53" i="111"/>
  <c r="J52" i="111"/>
  <c r="I54" i="165"/>
  <c r="J53" i="165"/>
  <c r="K52" i="165" s="1"/>
  <c r="C16" i="91"/>
  <c r="E17" i="91"/>
  <c r="J17" i="91"/>
  <c r="K17" i="91" s="1"/>
  <c r="K52" i="129"/>
  <c r="C14" i="4"/>
  <c r="E15" i="4"/>
  <c r="J15" i="4"/>
  <c r="K15" i="4" s="1"/>
  <c r="J52" i="31"/>
  <c r="K51" i="31" s="1"/>
  <c r="I53" i="31"/>
  <c r="E15" i="83"/>
  <c r="C14" i="83"/>
  <c r="J15" i="83"/>
  <c r="K15" i="83" s="1"/>
  <c r="J52" i="123"/>
  <c r="K51" i="123" s="1"/>
  <c r="I53" i="123"/>
  <c r="K51" i="170"/>
  <c r="I57" i="61"/>
  <c r="J56" i="61"/>
  <c r="K55" i="61" s="1"/>
  <c r="C16" i="46"/>
  <c r="E17" i="46"/>
  <c r="J17" i="46"/>
  <c r="K17" i="46" s="1"/>
  <c r="I52" i="148"/>
  <c r="J51" i="148"/>
  <c r="I55" i="128"/>
  <c r="J54" i="128"/>
  <c r="K53" i="128" s="1"/>
  <c r="E14" i="124"/>
  <c r="C13" i="124"/>
  <c r="J14" i="124"/>
  <c r="K14" i="124" s="1"/>
  <c r="C15" i="89"/>
  <c r="E16" i="89"/>
  <c r="J16" i="89"/>
  <c r="K16" i="89" s="1"/>
  <c r="HN16" i="2"/>
  <c r="I55" i="172"/>
  <c r="J54" i="172"/>
  <c r="K53" i="172" s="1"/>
  <c r="J52" i="52"/>
  <c r="I53" i="52"/>
  <c r="E12" i="32"/>
  <c r="C11" i="32"/>
  <c r="J12" i="32"/>
  <c r="K12" i="32" s="1"/>
  <c r="C14" i="9"/>
  <c r="E15" i="9"/>
  <c r="J15" i="9"/>
  <c r="K15" i="9" s="1"/>
  <c r="E16" i="95"/>
  <c r="C15" i="95"/>
  <c r="J16" i="95"/>
  <c r="K16" i="95" s="1"/>
  <c r="J51" i="163"/>
  <c r="I52" i="163"/>
  <c r="E16" i="71"/>
  <c r="C15" i="71"/>
  <c r="J16" i="71"/>
  <c r="K16" i="71" s="1"/>
  <c r="C15" i="132"/>
  <c r="E16" i="132"/>
  <c r="J16" i="132"/>
  <c r="K16" i="132" s="1"/>
  <c r="I53" i="116"/>
  <c r="J52" i="116"/>
  <c r="E16" i="134"/>
  <c r="C15" i="134"/>
  <c r="EZ16" i="2"/>
  <c r="J16" i="134"/>
  <c r="K16" i="134" s="1"/>
  <c r="I52" i="112"/>
  <c r="J51" i="112"/>
  <c r="K50" i="112" s="1"/>
  <c r="J51" i="110"/>
  <c r="K50" i="110" s="1"/>
  <c r="I52" i="110"/>
  <c r="I53" i="54"/>
  <c r="J52" i="54"/>
  <c r="K51" i="54" s="1"/>
  <c r="IV17" i="2"/>
  <c r="E15" i="25"/>
  <c r="C14" i="25"/>
  <c r="J15" i="25"/>
  <c r="K15" i="25" s="1"/>
  <c r="J54" i="142"/>
  <c r="I55" i="142"/>
  <c r="K50" i="54"/>
  <c r="EE18" i="2"/>
  <c r="E12" i="87"/>
  <c r="C11" i="87"/>
  <c r="J12" i="87"/>
  <c r="K12" i="87" s="1"/>
  <c r="K54" i="12"/>
  <c r="I53" i="154"/>
  <c r="J52" i="154"/>
  <c r="K51" i="154" s="1"/>
  <c r="C16" i="49"/>
  <c r="E17" i="49"/>
  <c r="J17" i="49"/>
  <c r="K17" i="49" s="1"/>
  <c r="K51" i="52"/>
  <c r="C15" i="10"/>
  <c r="E16" i="10"/>
  <c r="J16" i="10"/>
  <c r="K16" i="10" s="1"/>
  <c r="C15" i="38"/>
  <c r="E16" i="38"/>
  <c r="J16" i="38"/>
  <c r="K16" i="38" s="1"/>
  <c r="I55" i="127"/>
  <c r="J54" i="127"/>
  <c r="K53" i="127" s="1"/>
  <c r="J54" i="132"/>
  <c r="I55" i="132"/>
  <c r="I55" i="51"/>
  <c r="J54" i="51"/>
  <c r="K53" i="51" s="1"/>
  <c r="C16" i="174"/>
  <c r="E17" i="174"/>
  <c r="J17" i="174"/>
  <c r="K17" i="174" s="1"/>
  <c r="I54" i="10"/>
  <c r="J53" i="10"/>
  <c r="C13" i="171"/>
  <c r="E14" i="171"/>
  <c r="J14" i="171"/>
  <c r="K14" i="171" s="1"/>
  <c r="C15" i="20"/>
  <c r="E16" i="20"/>
  <c r="J16" i="20"/>
  <c r="K16" i="20" s="1"/>
  <c r="I57" i="12"/>
  <c r="J56" i="12"/>
  <c r="C14" i="81"/>
  <c r="E15" i="81"/>
  <c r="J15" i="81"/>
  <c r="K15" i="81" s="1"/>
  <c r="I53" i="70"/>
  <c r="J52" i="70"/>
  <c r="J52" i="119"/>
  <c r="I53" i="119"/>
  <c r="C16" i="109"/>
  <c r="E17" i="109"/>
  <c r="ED17" i="2"/>
  <c r="J17" i="109"/>
  <c r="K17" i="109" s="1"/>
  <c r="I55" i="101"/>
  <c r="J54" i="101"/>
  <c r="I54" i="139"/>
  <c r="J53" i="139"/>
  <c r="E14" i="40"/>
  <c r="C13" i="40"/>
  <c r="J14" i="40"/>
  <c r="K14" i="40" s="1"/>
  <c r="K53" i="132"/>
  <c r="C16" i="92"/>
  <c r="E17" i="92"/>
  <c r="J17" i="92"/>
  <c r="K17" i="92" s="1"/>
  <c r="BQ18" i="2"/>
  <c r="C15" i="101"/>
  <c r="E16" i="101"/>
  <c r="J16" i="101"/>
  <c r="K16" i="101" s="1"/>
  <c r="I53" i="169"/>
  <c r="J52" i="169"/>
  <c r="E12" i="157"/>
  <c r="C11" i="157"/>
  <c r="J12" i="157"/>
  <c r="K12" i="157" s="1"/>
  <c r="K53" i="101"/>
  <c r="C14" i="60"/>
  <c r="E15" i="60"/>
  <c r="J15" i="60"/>
  <c r="K15" i="60" s="1"/>
  <c r="I53" i="162"/>
  <c r="J52" i="162"/>
  <c r="C15" i="122"/>
  <c r="E16" i="122"/>
  <c r="J16" i="122"/>
  <c r="K16" i="122" s="1"/>
  <c r="E14" i="37"/>
  <c r="C13" i="37"/>
  <c r="J14" i="37"/>
  <c r="K14" i="37" s="1"/>
  <c r="J55" i="82"/>
  <c r="K54" i="82" s="1"/>
  <c r="I56" i="82"/>
  <c r="J54" i="29"/>
  <c r="I55" i="29"/>
  <c r="K50" i="169"/>
  <c r="E14" i="127"/>
  <c r="C13" i="127"/>
  <c r="J14" i="127"/>
  <c r="K14" i="127" s="1"/>
  <c r="I52" i="11"/>
  <c r="J51" i="11"/>
  <c r="K50" i="11" s="1"/>
  <c r="N18" i="2"/>
  <c r="E14" i="47"/>
  <c r="C13" i="47"/>
  <c r="J14" i="47"/>
  <c r="K14" i="47" s="1"/>
  <c r="C13" i="168"/>
  <c r="E14" i="168"/>
  <c r="J14" i="168"/>
  <c r="K14" i="168" s="1"/>
  <c r="I57" i="46"/>
  <c r="J56" i="46"/>
  <c r="C14" i="167"/>
  <c r="E15" i="167"/>
  <c r="J15" i="167"/>
  <c r="K15" i="167" s="1"/>
  <c r="E16" i="80"/>
  <c r="C15" i="80"/>
  <c r="J16" i="80"/>
  <c r="K16" i="80" s="1"/>
  <c r="C15" i="154"/>
  <c r="E16" i="154"/>
  <c r="J16" i="154"/>
  <c r="K16" i="154" s="1"/>
  <c r="J52" i="76"/>
  <c r="I53" i="76"/>
  <c r="I57" i="15"/>
  <c r="J56" i="15"/>
  <c r="K55" i="15" s="1"/>
  <c r="I52" i="55"/>
  <c r="J51" i="55"/>
  <c r="K50" i="55" s="1"/>
  <c r="K50" i="35"/>
  <c r="E17" i="52"/>
  <c r="C16" i="52"/>
  <c r="BP17" i="2"/>
  <c r="J17" i="52"/>
  <c r="K17" i="52" s="1"/>
  <c r="J51" i="120"/>
  <c r="K50" i="120" s="1"/>
  <c r="I52" i="120"/>
  <c r="K53" i="164"/>
  <c r="C13" i="51"/>
  <c r="E14" i="51"/>
  <c r="J14" i="51"/>
  <c r="K14" i="51" s="1"/>
  <c r="I52" i="35"/>
  <c r="J51" i="35"/>
  <c r="J52" i="138"/>
  <c r="I53" i="138"/>
  <c r="I52" i="171"/>
  <c r="J51" i="171"/>
  <c r="J51" i="160"/>
  <c r="K50" i="160" s="1"/>
  <c r="I52" i="160"/>
  <c r="J53" i="63"/>
  <c r="I54" i="63"/>
  <c r="J51" i="47"/>
  <c r="I52" i="47"/>
  <c r="IV18" i="2"/>
  <c r="I55" i="164"/>
  <c r="J54" i="164"/>
  <c r="I52" i="65"/>
  <c r="J51" i="65"/>
  <c r="K50" i="65" s="1"/>
  <c r="E15" i="54"/>
  <c r="C14" i="54"/>
  <c r="J15" i="54"/>
  <c r="K15" i="54" s="1"/>
  <c r="E14" i="84"/>
  <c r="C13" i="84"/>
  <c r="J14" i="84"/>
  <c r="K14" i="84" s="1"/>
  <c r="E16" i="108"/>
  <c r="C15" i="108"/>
  <c r="J16" i="108"/>
  <c r="K16" i="108" s="1"/>
  <c r="C15" i="23"/>
  <c r="E16" i="23"/>
  <c r="J16" i="23"/>
  <c r="K16" i="23" s="1"/>
  <c r="C15" i="153"/>
  <c r="E16" i="153"/>
  <c r="J16" i="153"/>
  <c r="K16" i="153" s="1"/>
  <c r="E16" i="41"/>
  <c r="C15" i="41"/>
  <c r="J16" i="41"/>
  <c r="K16" i="41" s="1"/>
  <c r="I53" i="85"/>
  <c r="J52" i="85"/>
  <c r="E16" i="76"/>
  <c r="C15" i="76"/>
  <c r="J16" i="76"/>
  <c r="K16" i="76" s="1"/>
  <c r="K50" i="166"/>
  <c r="I53" i="155"/>
  <c r="J52" i="155"/>
  <c r="K51" i="155" s="1"/>
  <c r="I53" i="153"/>
  <c r="J52" i="153"/>
  <c r="BQ18" i="1"/>
  <c r="K50" i="47"/>
  <c r="E15" i="64"/>
  <c r="C14" i="64"/>
  <c r="J15" i="64"/>
  <c r="K15" i="64" s="1"/>
  <c r="C12" i="165"/>
  <c r="E13" i="165"/>
  <c r="J13" i="165"/>
  <c r="K13" i="165" s="1"/>
  <c r="K50" i="138"/>
  <c r="J52" i="19"/>
  <c r="I53" i="19"/>
  <c r="E16" i="77"/>
  <c r="C15" i="77"/>
  <c r="J16" i="77"/>
  <c r="K16" i="77" s="1"/>
  <c r="K49" i="171"/>
  <c r="I57" i="134"/>
  <c r="J56" i="134"/>
  <c r="K55" i="134" s="1"/>
  <c r="J53" i="44"/>
  <c r="K52" i="44" s="1"/>
  <c r="I54" i="44"/>
  <c r="I53" i="4"/>
  <c r="J52" i="4"/>
  <c r="K51" i="4" s="1"/>
  <c r="I54" i="72"/>
  <c r="J53" i="72"/>
  <c r="K52" i="72" s="1"/>
  <c r="K50" i="148"/>
  <c r="K53" i="59"/>
  <c r="E15" i="139"/>
  <c r="C14" i="139"/>
  <c r="J15" i="139"/>
  <c r="K15" i="139" s="1"/>
  <c r="CX16" i="2"/>
  <c r="C13" i="115"/>
  <c r="E14" i="115"/>
  <c r="J14" i="115"/>
  <c r="K14" i="115" s="1"/>
  <c r="C14" i="161"/>
  <c r="E15" i="161"/>
  <c r="J15" i="161"/>
  <c r="K15" i="161" s="1"/>
  <c r="E17" i="8"/>
  <c r="C16" i="8"/>
  <c r="HC17" i="2"/>
  <c r="BP17" i="1"/>
  <c r="J17" i="8"/>
  <c r="K17" i="8" s="1"/>
  <c r="I53" i="21"/>
  <c r="J52" i="21"/>
  <c r="J54" i="136"/>
  <c r="K53" i="136" s="1"/>
  <c r="I55" i="136"/>
  <c r="I54" i="115"/>
  <c r="J53" i="115"/>
  <c r="K52" i="115" s="1"/>
  <c r="E16" i="96"/>
  <c r="C15" i="96"/>
  <c r="J16" i="96"/>
  <c r="K16" i="96" s="1"/>
  <c r="I54" i="41"/>
  <c r="J53" i="41"/>
  <c r="K52" i="41" s="1"/>
  <c r="I54" i="92"/>
  <c r="J53" i="92"/>
  <c r="I52" i="45"/>
  <c r="J51" i="45"/>
  <c r="K50" i="45" s="1"/>
  <c r="J52" i="137"/>
  <c r="K51" i="137" s="1"/>
  <c r="I53" i="137"/>
  <c r="I56" i="32"/>
  <c r="J55" i="32"/>
  <c r="K54" i="32" s="1"/>
  <c r="E15" i="18"/>
  <c r="C14" i="18"/>
  <c r="J15" i="18"/>
  <c r="K15" i="18" s="1"/>
  <c r="E15" i="17"/>
  <c r="C14" i="17"/>
  <c r="J15" i="17"/>
  <c r="K15" i="17" s="1"/>
  <c r="C15" i="125"/>
  <c r="E16" i="125"/>
  <c r="J16" i="125"/>
  <c r="K16" i="125" s="1"/>
  <c r="I52" i="91"/>
  <c r="J51" i="91"/>
  <c r="I53" i="126"/>
  <c r="J52" i="126"/>
  <c r="K51" i="23"/>
  <c r="K51" i="41"/>
  <c r="K52" i="164"/>
  <c r="C15" i="63"/>
  <c r="E16" i="63"/>
  <c r="J16" i="63"/>
  <c r="K16" i="63" s="1"/>
  <c r="I53" i="5"/>
  <c r="J52" i="5"/>
  <c r="K51" i="5" s="1"/>
  <c r="J51" i="36"/>
  <c r="I52" i="36"/>
  <c r="K53" i="78"/>
  <c r="Y18" i="1"/>
  <c r="J52" i="97"/>
  <c r="K51" i="97" s="1"/>
  <c r="I53" i="97"/>
  <c r="K50" i="91"/>
  <c r="E16" i="35"/>
  <c r="C15" i="35"/>
  <c r="J16" i="35"/>
  <c r="K16" i="35" s="1"/>
  <c r="E15" i="11"/>
  <c r="C14" i="11"/>
  <c r="J15" i="11"/>
  <c r="K15" i="11" s="1"/>
  <c r="I53" i="80"/>
  <c r="J52" i="80"/>
  <c r="K51" i="80" s="1"/>
  <c r="E15" i="67"/>
  <c r="C14" i="67"/>
  <c r="J15" i="67"/>
  <c r="K15" i="67" s="1"/>
  <c r="CB18" i="2"/>
  <c r="J55" i="27"/>
  <c r="I56" i="27"/>
  <c r="I55" i="107"/>
  <c r="J54" i="107"/>
  <c r="K53" i="107" s="1"/>
  <c r="K50" i="76"/>
  <c r="C16" i="152"/>
  <c r="E17" i="152"/>
  <c r="J17" i="152"/>
  <c r="K17" i="152" s="1"/>
  <c r="I54" i="66"/>
  <c r="J53" i="66"/>
  <c r="K50" i="137"/>
  <c r="J54" i="78"/>
  <c r="I55" i="78"/>
  <c r="I52" i="43"/>
  <c r="J51" i="43"/>
  <c r="K50" i="116"/>
  <c r="K49" i="91"/>
  <c r="K51" i="85"/>
  <c r="E15" i="112"/>
  <c r="C14" i="112"/>
  <c r="J15" i="112"/>
  <c r="K15" i="112" s="1"/>
  <c r="I56" i="94"/>
  <c r="J55" i="94"/>
  <c r="K54" i="94" s="1"/>
  <c r="I53" i="84"/>
  <c r="J52" i="84"/>
  <c r="K51" i="84" s="1"/>
  <c r="C13" i="163"/>
  <c r="E14" i="163"/>
  <c r="J14" i="163"/>
  <c r="K14" i="163" s="1"/>
  <c r="I53" i="50"/>
  <c r="J52" i="50"/>
  <c r="K51" i="50" s="1"/>
  <c r="E13" i="160"/>
  <c r="C12" i="160"/>
  <c r="J13" i="160"/>
  <c r="K13" i="160" s="1"/>
  <c r="I52" i="102"/>
  <c r="J51" i="102"/>
  <c r="K50" i="102" s="1"/>
  <c r="C15" i="70"/>
  <c r="E16" i="70"/>
  <c r="J16" i="70"/>
  <c r="K16" i="70" s="1"/>
  <c r="D56" i="2"/>
  <c r="CY56" i="2"/>
  <c r="DU56" i="2"/>
  <c r="IW56" i="2"/>
  <c r="IL56" i="2"/>
  <c r="EQ56" i="2"/>
  <c r="BG56" i="2"/>
  <c r="DJ56" i="2"/>
  <c r="FB56" i="2"/>
  <c r="IA56" i="2"/>
  <c r="AK56" i="2"/>
  <c r="HP56" i="2"/>
  <c r="FM56" i="2"/>
  <c r="CN56" i="2"/>
  <c r="O56" i="2"/>
  <c r="HE56" i="2"/>
  <c r="CC56" i="2"/>
  <c r="FX56" i="2"/>
  <c r="Z56" i="2"/>
  <c r="AV56" i="2"/>
  <c r="BR56" i="2"/>
  <c r="EF56" i="2"/>
  <c r="GT56" i="2"/>
  <c r="K50" i="80"/>
  <c r="K52" i="60"/>
  <c r="K52" i="172"/>
  <c r="K53" i="22"/>
  <c r="J53" i="157"/>
  <c r="I54" i="157"/>
  <c r="J51" i="81"/>
  <c r="K50" i="81" s="1"/>
  <c r="I52" i="81"/>
  <c r="I53" i="114"/>
  <c r="J52" i="114"/>
  <c r="I55" i="16"/>
  <c r="J54" i="16"/>
  <c r="J52" i="86"/>
  <c r="I53" i="86"/>
  <c r="K53" i="82"/>
  <c r="E17" i="29"/>
  <c r="C16" i="29"/>
  <c r="J17" i="29"/>
  <c r="K17" i="29" s="1"/>
  <c r="X17" i="1"/>
  <c r="J53" i="118"/>
  <c r="K52" i="118" s="1"/>
  <c r="I54" i="118"/>
  <c r="K51" i="118"/>
  <c r="K49" i="148"/>
  <c r="I53" i="3"/>
  <c r="J52" i="3"/>
  <c r="K51" i="3" s="1"/>
  <c r="D56" i="1"/>
  <c r="AV56" i="1"/>
  <c r="CC56" i="1"/>
  <c r="Z56" i="1"/>
  <c r="O56" i="1"/>
  <c r="AK56" i="1"/>
  <c r="BR56" i="1"/>
  <c r="I54" i="60"/>
  <c r="J53" i="60"/>
  <c r="E14" i="26"/>
  <c r="C13" i="26"/>
  <c r="J14" i="26"/>
  <c r="K14" i="26" s="1"/>
  <c r="FA17" i="2"/>
  <c r="J55" i="22"/>
  <c r="I56" i="22"/>
  <c r="E12" i="166"/>
  <c r="C11" i="166"/>
  <c r="J12" i="166"/>
  <c r="K12" i="166" s="1"/>
  <c r="K51" i="63"/>
  <c r="E16" i="117"/>
  <c r="C15" i="117"/>
  <c r="J16" i="117"/>
  <c r="K16" i="117" s="1"/>
  <c r="E15" i="126"/>
  <c r="C14" i="126"/>
  <c r="J15" i="126"/>
  <c r="K15" i="126" s="1"/>
  <c r="I56" i="24"/>
  <c r="J55" i="24"/>
  <c r="E15" i="144"/>
  <c r="C14" i="144"/>
  <c r="J15" i="144"/>
  <c r="K15" i="144" s="1"/>
  <c r="J52" i="56"/>
  <c r="I53" i="56"/>
  <c r="K50" i="4"/>
  <c r="BG56" i="1"/>
  <c r="BF56" i="1"/>
  <c r="I52" i="58"/>
  <c r="J51" i="58"/>
  <c r="I53" i="103"/>
  <c r="J52" i="103"/>
  <c r="K51" i="103" s="1"/>
  <c r="K50" i="155"/>
  <c r="E12" i="146"/>
  <c r="C11" i="146"/>
  <c r="J12" i="146"/>
  <c r="K12" i="146" s="1"/>
  <c r="K52" i="128"/>
  <c r="E16" i="48"/>
  <c r="C15" i="48"/>
  <c r="J16" i="48"/>
  <c r="K16" i="48" s="1"/>
  <c r="K50" i="119"/>
  <c r="I54" i="158"/>
  <c r="J53" i="158"/>
  <c r="K52" i="158" s="1"/>
  <c r="K49" i="43"/>
  <c r="E14" i="106"/>
  <c r="C13" i="106"/>
  <c r="J14" i="106"/>
  <c r="K14" i="106" s="1"/>
  <c r="K50" i="97"/>
  <c r="C12" i="131"/>
  <c r="E13" i="131"/>
  <c r="J13" i="131"/>
  <c r="K13" i="131" s="1"/>
  <c r="J51" i="95"/>
  <c r="I52" i="95"/>
  <c r="E17" i="172"/>
  <c r="C16" i="172"/>
  <c r="J17" i="172"/>
  <c r="K17" i="172" s="1"/>
  <c r="GR17" i="2"/>
  <c r="C14" i="99"/>
  <c r="E15" i="99"/>
  <c r="J15" i="99"/>
  <c r="K15" i="99" s="1"/>
  <c r="DT16" i="2"/>
  <c r="E15" i="135"/>
  <c r="C14" i="135"/>
  <c r="J15" i="135"/>
  <c r="K15" i="135" s="1"/>
  <c r="K50" i="5"/>
  <c r="E17" i="55"/>
  <c r="C16" i="55"/>
  <c r="J17" i="55"/>
  <c r="K17" i="55" s="1"/>
  <c r="I56" i="14"/>
  <c r="J55" i="14"/>
  <c r="I53" i="168"/>
  <c r="J52" i="168"/>
  <c r="K51" i="168" s="1"/>
  <c r="I52" i="109"/>
  <c r="J51" i="109"/>
  <c r="K50" i="109" s="1"/>
  <c r="C16" i="155"/>
  <c r="E17" i="155"/>
  <c r="J17" i="155"/>
  <c r="K17" i="155" s="1"/>
  <c r="E16" i="31"/>
  <c r="C15" i="31"/>
  <c r="J16" i="31"/>
  <c r="K16" i="31" s="1"/>
  <c r="K52" i="92"/>
  <c r="I52" i="96"/>
  <c r="J51" i="96"/>
  <c r="C14" i="110"/>
  <c r="E15" i="110"/>
  <c r="J15" i="110"/>
  <c r="K15" i="110" s="1"/>
  <c r="C15" i="78"/>
  <c r="E16" i="78"/>
  <c r="J16" i="78"/>
  <c r="K16" i="78" s="1"/>
  <c r="C14" i="94"/>
  <c r="E15" i="94"/>
  <c r="J15" i="94"/>
  <c r="K15" i="94" s="1"/>
  <c r="K50" i="95"/>
  <c r="K49" i="95"/>
  <c r="K52" i="136"/>
  <c r="J56" i="145"/>
  <c r="K55" i="145" s="1"/>
  <c r="I57" i="145"/>
  <c r="I52" i="69"/>
  <c r="J51" i="69"/>
  <c r="J51" i="140"/>
  <c r="K50" i="140" s="1"/>
  <c r="I52" i="140"/>
  <c r="I56" i="42"/>
  <c r="J55" i="42"/>
  <c r="K54" i="42" s="1"/>
  <c r="E17" i="3"/>
  <c r="C16" i="3"/>
  <c r="J17" i="3"/>
  <c r="K17" i="3" s="1"/>
  <c r="K54" i="14"/>
  <c r="K55" i="7"/>
  <c r="FW18" i="2"/>
  <c r="E14" i="86"/>
  <c r="C13" i="86"/>
  <c r="J14" i="86"/>
  <c r="K14" i="86" s="1"/>
  <c r="J52" i="53"/>
  <c r="K51" i="53" s="1"/>
  <c r="I53" i="53"/>
  <c r="I53" i="106"/>
  <c r="J52" i="106"/>
  <c r="K51" i="144"/>
  <c r="J54" i="9"/>
  <c r="K53" i="9" s="1"/>
  <c r="I55" i="9"/>
  <c r="K50" i="69"/>
  <c r="K51" i="139"/>
  <c r="E15" i="129"/>
  <c r="C14" i="129"/>
  <c r="J15" i="129"/>
  <c r="K15" i="129" s="1"/>
  <c r="DS15" i="2"/>
  <c r="C14" i="68"/>
  <c r="E15" i="68"/>
  <c r="J15" i="68"/>
  <c r="K15" i="68" s="1"/>
  <c r="I54" i="167"/>
  <c r="J53" i="167"/>
  <c r="E17" i="158"/>
  <c r="C16" i="158"/>
  <c r="J17" i="158"/>
  <c r="K17" i="158" s="1"/>
  <c r="J56" i="7"/>
  <c r="I57" i="7"/>
  <c r="C13" i="62"/>
  <c r="E14" i="62"/>
  <c r="J14" i="62"/>
  <c r="K14" i="62" s="1"/>
  <c r="J52" i="144"/>
  <c r="I53" i="144"/>
  <c r="C14" i="137"/>
  <c r="E15" i="137"/>
  <c r="J15" i="137"/>
  <c r="K15" i="137" s="1"/>
  <c r="J54" i="117"/>
  <c r="I55" i="117"/>
  <c r="E15" i="148"/>
  <c r="C14" i="148"/>
  <c r="J15" i="148"/>
  <c r="K15" i="148" s="1"/>
  <c r="DI17" i="2"/>
  <c r="E16" i="88"/>
  <c r="C15" i="88"/>
  <c r="J16" i="88"/>
  <c r="K16" i="88" s="1"/>
  <c r="K49" i="120"/>
  <c r="E15" i="118"/>
  <c r="C14" i="118"/>
  <c r="J15" i="118"/>
  <c r="K15" i="118" s="1"/>
  <c r="C14" i="113"/>
  <c r="E15" i="113"/>
  <c r="J15" i="113"/>
  <c r="K15" i="113" s="1"/>
  <c r="C14" i="128"/>
  <c r="E15" i="128"/>
  <c r="J15" i="128"/>
  <c r="K15" i="128" s="1"/>
  <c r="K52" i="167"/>
  <c r="E17" i="56"/>
  <c r="C16" i="56"/>
  <c r="J17" i="56"/>
  <c r="K17" i="56" s="1"/>
  <c r="J52" i="33"/>
  <c r="I53" i="33"/>
  <c r="J53" i="83"/>
  <c r="I54" i="83"/>
  <c r="E16" i="140"/>
  <c r="C15" i="140"/>
  <c r="J16" i="140"/>
  <c r="K16" i="140" s="1"/>
  <c r="C16" i="107"/>
  <c r="E17" i="107"/>
  <c r="J17" i="107"/>
  <c r="K17" i="107" s="1"/>
  <c r="K52" i="89"/>
  <c r="J54" i="48"/>
  <c r="K53" i="48" s="1"/>
  <c r="I55" i="48"/>
  <c r="K49" i="69"/>
  <c r="I53" i="161"/>
  <c r="J52" i="161"/>
  <c r="K51" i="161" s="1"/>
  <c r="I53" i="49"/>
  <c r="J52" i="49"/>
  <c r="J51" i="38"/>
  <c r="I52" i="38"/>
  <c r="C12" i="105"/>
  <c r="E13" i="105"/>
  <c r="J13" i="105"/>
  <c r="K13" i="105" s="1"/>
  <c r="I53" i="73"/>
  <c r="J52" i="73"/>
  <c r="K51" i="73" s="1"/>
  <c r="K50" i="87"/>
  <c r="E17" i="100"/>
  <c r="C16" i="100"/>
  <c r="J17" i="100"/>
  <c r="K17" i="100" s="1"/>
  <c r="J53" i="113"/>
  <c r="I54" i="113"/>
  <c r="J52" i="67"/>
  <c r="I53" i="67"/>
  <c r="I52" i="40"/>
  <c r="J51" i="40"/>
  <c r="K50" i="40" s="1"/>
  <c r="E16" i="133"/>
  <c r="C15" i="133"/>
  <c r="J16" i="133"/>
  <c r="K16" i="133" s="1"/>
  <c r="DH16" i="2"/>
  <c r="J51" i="34"/>
  <c r="I52" i="34"/>
  <c r="C15" i="162"/>
  <c r="E16" i="162"/>
  <c r="J16" i="162"/>
  <c r="K16" i="162" s="1"/>
  <c r="I54" i="28"/>
  <c r="J53" i="28"/>
  <c r="K52" i="28" s="1"/>
  <c r="K50" i="38"/>
  <c r="K52" i="78"/>
  <c r="K49" i="55"/>
  <c r="E16" i="97"/>
  <c r="C15" i="97"/>
  <c r="J16" i="97"/>
  <c r="K16" i="97" s="1"/>
  <c r="K51" i="126"/>
  <c r="C14" i="19"/>
  <c r="E15" i="19"/>
  <c r="J15" i="19"/>
  <c r="K15" i="19" s="1"/>
  <c r="I52" i="141"/>
  <c r="J51" i="141"/>
  <c r="J53" i="124"/>
  <c r="I54" i="124"/>
  <c r="I55" i="122"/>
  <c r="J54" i="122"/>
  <c r="J52" i="151"/>
  <c r="K51" i="151" s="1"/>
  <c r="I53" i="151"/>
  <c r="K51" i="104"/>
  <c r="I54" i="30"/>
  <c r="J53" i="30"/>
  <c r="K52" i="30" s="1"/>
  <c r="GI56" i="2"/>
  <c r="GH56" i="2"/>
  <c r="I52" i="100"/>
  <c r="J51" i="100"/>
  <c r="K50" i="100" s="1"/>
  <c r="K49" i="141"/>
  <c r="K53" i="122"/>
  <c r="N17" i="2"/>
  <c r="C12" i="34"/>
  <c r="E13" i="34"/>
  <c r="J13" i="34"/>
  <c r="K13" i="34" s="1"/>
  <c r="I54" i="68"/>
  <c r="J53" i="68"/>
  <c r="C12" i="43"/>
  <c r="E13" i="43"/>
  <c r="J13" i="43"/>
  <c r="K13" i="43" s="1"/>
  <c r="C15" i="15"/>
  <c r="E16" i="15"/>
  <c r="J16" i="15"/>
  <c r="K16" i="15" s="1"/>
  <c r="K51" i="113"/>
  <c r="CB18" i="1"/>
  <c r="I54" i="173"/>
  <c r="J53" i="173"/>
  <c r="K52" i="173" s="1"/>
  <c r="C15" i="147"/>
  <c r="E16" i="147"/>
  <c r="J16" i="147"/>
  <c r="K16" i="147" s="1"/>
  <c r="K51" i="28"/>
  <c r="I53" i="104"/>
  <c r="J52" i="104"/>
  <c r="C13" i="39"/>
  <c r="E14" i="39"/>
  <c r="J14" i="39"/>
  <c r="K14" i="39" s="1"/>
  <c r="E15" i="116"/>
  <c r="C14" i="116"/>
  <c r="J15" i="116"/>
  <c r="K15" i="116" s="1"/>
  <c r="E10" i="82"/>
  <c r="C9" i="82"/>
  <c r="J10" i="82"/>
  <c r="K10" i="82" s="1"/>
  <c r="I53" i="88"/>
  <c r="J52" i="88"/>
  <c r="HD18" i="2"/>
  <c r="C15" i="114"/>
  <c r="E16" i="114"/>
  <c r="J16" i="114"/>
  <c r="K16" i="114" s="1"/>
  <c r="HZ17" i="2"/>
  <c r="C13" i="159"/>
  <c r="E14" i="159"/>
  <c r="J14" i="159"/>
  <c r="K14" i="159" s="1"/>
  <c r="C11" i="30"/>
  <c r="E12" i="30"/>
  <c r="J12" i="30"/>
  <c r="K12" i="30" s="1"/>
  <c r="J53" i="37"/>
  <c r="I54" i="37"/>
  <c r="I52" i="17"/>
  <c r="J51" i="17"/>
  <c r="K51" i="39"/>
  <c r="N18" i="1"/>
  <c r="I53" i="20"/>
  <c r="J52" i="20"/>
  <c r="K51" i="20" s="1"/>
  <c r="K50" i="114"/>
  <c r="C16" i="6"/>
  <c r="IU16" i="2" s="1"/>
  <c r="CA17" i="1"/>
  <c r="E17" i="6"/>
  <c r="K51" i="66"/>
  <c r="I52" i="90"/>
  <c r="J51" i="90"/>
  <c r="K50" i="90" s="1"/>
  <c r="K53" i="32"/>
  <c r="E16" i="13"/>
  <c r="C15" i="13"/>
  <c r="J16" i="13"/>
  <c r="K16" i="13" s="1"/>
  <c r="K50" i="31"/>
  <c r="J53" i="23"/>
  <c r="K52" i="23" s="1"/>
  <c r="I54" i="23"/>
  <c r="J56" i="75"/>
  <c r="K55" i="75" s="1"/>
  <c r="I57" i="75"/>
  <c r="I52" i="147"/>
  <c r="J51" i="147"/>
  <c r="K50" i="147" s="1"/>
  <c r="E15" i="22"/>
  <c r="C14" i="22"/>
  <c r="J15" i="22"/>
  <c r="K15" i="22" s="1"/>
  <c r="I55" i="152"/>
  <c r="J54" i="152"/>
  <c r="C16" i="58"/>
  <c r="E17" i="58"/>
  <c r="J17" i="58"/>
  <c r="K17" i="58" s="1"/>
  <c r="E15" i="103"/>
  <c r="C14" i="103"/>
  <c r="J15" i="103"/>
  <c r="K15" i="103" s="1"/>
  <c r="K49" i="102"/>
  <c r="K51" i="111"/>
  <c r="E16" i="169"/>
  <c r="C15" i="169"/>
  <c r="HY16" i="2"/>
  <c r="J16" i="169"/>
  <c r="K16" i="169" s="1"/>
  <c r="C13" i="72"/>
  <c r="E14" i="72"/>
  <c r="J14" i="72"/>
  <c r="K14" i="72" s="1"/>
  <c r="E16" i="33"/>
  <c r="C15" i="33"/>
  <c r="M16" i="2"/>
  <c r="J16" i="33"/>
  <c r="K16" i="33" s="1"/>
  <c r="E17" i="121"/>
  <c r="C16" i="121"/>
  <c r="J17" i="121"/>
  <c r="K17" i="121" s="1"/>
  <c r="J52" i="39"/>
  <c r="I53" i="39"/>
  <c r="Y18" i="2"/>
  <c r="I52" i="8"/>
  <c r="J51" i="8"/>
  <c r="I55" i="13"/>
  <c r="J54" i="13"/>
  <c r="K53" i="13" s="1"/>
  <c r="K49" i="45"/>
  <c r="K49" i="47"/>
  <c r="I55" i="26"/>
  <c r="J54" i="26"/>
  <c r="C14" i="5"/>
  <c r="E15" i="5"/>
  <c r="J15" i="5"/>
  <c r="K15" i="5" s="1"/>
  <c r="J51" i="146"/>
  <c r="I52" i="146"/>
  <c r="AU18" i="1"/>
  <c r="C16" i="27"/>
  <c r="IJ16" i="2" s="1"/>
  <c r="E17" i="27"/>
  <c r="J17" i="27"/>
  <c r="K17" i="27" s="1"/>
  <c r="C13" i="123"/>
  <c r="E14" i="123"/>
  <c r="J14" i="123"/>
  <c r="K14" i="123" s="1"/>
  <c r="C15" i="21"/>
  <c r="E16" i="21"/>
  <c r="J16" i="21"/>
  <c r="K16" i="21" s="1"/>
  <c r="J52" i="57"/>
  <c r="K51" i="57" s="1"/>
  <c r="I53" i="57"/>
  <c r="K52" i="127"/>
  <c r="K52" i="132"/>
  <c r="C16" i="93"/>
  <c r="E17" i="93"/>
  <c r="J17" i="93"/>
  <c r="K17" i="93" s="1"/>
  <c r="E17" i="28"/>
  <c r="C16" i="28"/>
  <c r="J17" i="28"/>
  <c r="K17" i="28" s="1"/>
  <c r="E14" i="120"/>
  <c r="C13" i="120"/>
  <c r="J14" i="120"/>
  <c r="K14" i="120" s="1"/>
  <c r="K50" i="146"/>
  <c r="E14" i="73"/>
  <c r="C13" i="73"/>
  <c r="J14" i="73"/>
  <c r="K14" i="73" s="1"/>
  <c r="CX17" i="2"/>
  <c r="K51" i="153"/>
  <c r="C14" i="57"/>
  <c r="E15" i="57"/>
  <c r="J15" i="57"/>
  <c r="K15" i="57" s="1"/>
  <c r="I52" i="64"/>
  <c r="J51" i="64"/>
  <c r="E13" i="45"/>
  <c r="C12" i="45"/>
  <c r="J13" i="45"/>
  <c r="K13" i="45" s="1"/>
  <c r="E15" i="66"/>
  <c r="C14" i="66"/>
  <c r="J15" i="66"/>
  <c r="K15" i="66" s="1"/>
  <c r="C16" i="12"/>
  <c r="E17" i="12"/>
  <c r="X17" i="2"/>
  <c r="M17" i="1"/>
  <c r="J17" i="12"/>
  <c r="K17" i="12" s="1"/>
  <c r="I54" i="149"/>
  <c r="J53" i="149"/>
  <c r="I54" i="99"/>
  <c r="J53" i="99"/>
  <c r="I52" i="130"/>
  <c r="J51" i="130"/>
  <c r="K50" i="130" s="1"/>
  <c r="E14" i="173"/>
  <c r="C13" i="173"/>
  <c r="J14" i="173"/>
  <c r="K14" i="173" s="1"/>
  <c r="E13" i="111"/>
  <c r="C12" i="111"/>
  <c r="J13" i="111"/>
  <c r="K13" i="111" s="1"/>
  <c r="C16" i="170"/>
  <c r="E17" i="170"/>
  <c r="J17" i="170"/>
  <c r="K17" i="170" s="1"/>
  <c r="C15" i="79"/>
  <c r="E16" i="79"/>
  <c r="J16" i="79"/>
  <c r="K16" i="79" s="1"/>
  <c r="I53" i="87"/>
  <c r="J52" i="87"/>
  <c r="K51" i="87" s="1"/>
  <c r="K50" i="3"/>
  <c r="I54" i="159"/>
  <c r="J53" i="159"/>
  <c r="K52" i="159" s="1"/>
  <c r="C16" i="42"/>
  <c r="E17" i="42"/>
  <c r="J17" i="42"/>
  <c r="K17" i="42" s="1"/>
  <c r="FV17" i="2"/>
  <c r="K50" i="50"/>
  <c r="E16" i="164"/>
  <c r="C15" i="164"/>
  <c r="J16" i="164"/>
  <c r="K16" i="164" s="1"/>
  <c r="K50" i="33"/>
  <c r="E15" i="16"/>
  <c r="C14" i="16"/>
  <c r="J15" i="16"/>
  <c r="K15" i="16" s="1"/>
  <c r="C16" i="7"/>
  <c r="EO16" i="2" s="1"/>
  <c r="E17" i="7"/>
  <c r="AT17" i="1"/>
  <c r="J17" i="7"/>
  <c r="K17" i="7" s="1"/>
  <c r="K52" i="101"/>
  <c r="J51" i="143"/>
  <c r="K50" i="143" s="1"/>
  <c r="I52" i="143"/>
  <c r="C14" i="65"/>
  <c r="E15" i="65"/>
  <c r="J15" i="65"/>
  <c r="K15" i="65" s="1"/>
  <c r="E16" i="151"/>
  <c r="C15" i="151"/>
  <c r="J16" i="151"/>
  <c r="K16" i="151" s="1"/>
  <c r="I55" i="156"/>
  <c r="J54" i="156"/>
  <c r="K53" i="156" s="1"/>
  <c r="K50" i="161"/>
  <c r="I54" i="25"/>
  <c r="J53" i="25"/>
  <c r="K52" i="25" s="1"/>
  <c r="K49" i="38"/>
  <c r="K51" i="83"/>
  <c r="I57" i="133"/>
  <c r="J56" i="133"/>
  <c r="E14" i="141"/>
  <c r="C13" i="141"/>
  <c r="J14" i="141"/>
  <c r="K14" i="141" s="1"/>
  <c r="J54" i="98"/>
  <c r="I55" i="98"/>
  <c r="K49" i="11"/>
  <c r="BF17" i="2"/>
  <c r="K54" i="59"/>
  <c r="HO17" i="2"/>
  <c r="K49" i="166"/>
  <c r="E17" i="136"/>
  <c r="C16" i="136"/>
  <c r="J17" i="136"/>
  <c r="K17" i="136" s="1"/>
  <c r="K54" i="46"/>
  <c r="K49" i="143"/>
  <c r="K49" i="81"/>
  <c r="I55" i="135"/>
  <c r="J54" i="135"/>
  <c r="I53" i="131"/>
  <c r="J52" i="131"/>
  <c r="C14" i="75"/>
  <c r="E15" i="75"/>
  <c r="J15" i="75"/>
  <c r="K15" i="75" s="1"/>
  <c r="C13" i="69"/>
  <c r="E14" i="69"/>
  <c r="J14" i="69"/>
  <c r="K14" i="69" s="1"/>
  <c r="AU18" i="2"/>
  <c r="J52" i="108"/>
  <c r="I53" i="108"/>
  <c r="K49" i="90"/>
  <c r="K51" i="10"/>
  <c r="K52" i="29"/>
  <c r="AJ18" i="2"/>
  <c r="J51" i="125"/>
  <c r="I52" i="125"/>
  <c r="E17" i="90"/>
  <c r="C16" i="90"/>
  <c r="J17" i="90"/>
  <c r="K17" i="90" s="1"/>
  <c r="I54" i="18"/>
  <c r="J53" i="18"/>
  <c r="K52" i="18" s="1"/>
  <c r="E17" i="143"/>
  <c r="C16" i="143"/>
  <c r="J17" i="143"/>
  <c r="K17" i="143" s="1"/>
  <c r="C16" i="53"/>
  <c r="BE16" i="2" s="1"/>
  <c r="E17" i="53"/>
  <c r="J17" i="53"/>
  <c r="K17" i="53" s="1"/>
  <c r="K54" i="79"/>
  <c r="K54" i="71"/>
  <c r="K51" i="124"/>
  <c r="C12" i="102"/>
  <c r="E13" i="102"/>
  <c r="J13" i="102"/>
  <c r="K13" i="102" s="1"/>
  <c r="E16" i="145"/>
  <c r="C15" i="145"/>
  <c r="J16" i="145"/>
  <c r="K16" i="145" s="1"/>
  <c r="I54" i="93"/>
  <c r="J53" i="93"/>
  <c r="K51" i="37"/>
  <c r="K53" i="77"/>
  <c r="J52" i="121"/>
  <c r="K51" i="121" s="1"/>
  <c r="I53" i="121"/>
  <c r="I52" i="174"/>
  <c r="J51" i="174"/>
  <c r="K50" i="174" s="1"/>
  <c r="K49" i="140"/>
  <c r="FL18" i="2"/>
  <c r="K50" i="105"/>
  <c r="C15" i="36"/>
  <c r="CW15" i="2" s="1"/>
  <c r="E16" i="36"/>
  <c r="J16" i="36"/>
  <c r="K16" i="36" s="1"/>
  <c r="AJ18" i="1"/>
  <c r="J56" i="74"/>
  <c r="K55" i="74" s="1"/>
  <c r="I57" i="74"/>
  <c r="E12" i="138"/>
  <c r="C11" i="138"/>
  <c r="J12" i="138"/>
  <c r="K12" i="138" s="1"/>
  <c r="AI16" i="1" l="1"/>
  <c r="C15" i="156"/>
  <c r="E16" i="156"/>
  <c r="J16" i="156"/>
  <c r="K16" i="156" s="1"/>
  <c r="E15" i="149"/>
  <c r="C14" i="149"/>
  <c r="J15" i="149"/>
  <c r="K15" i="149" s="1"/>
  <c r="J16" i="130"/>
  <c r="K16" i="130" s="1"/>
  <c r="E16" i="130"/>
  <c r="C15" i="130"/>
  <c r="J11" i="98"/>
  <c r="K11" i="98" s="1"/>
  <c r="C10" i="98"/>
  <c r="E11" i="98"/>
  <c r="CL16" i="2"/>
  <c r="C15" i="74"/>
  <c r="E16" i="74"/>
  <c r="J16" i="74"/>
  <c r="K16" i="74" s="1"/>
  <c r="C14" i="61"/>
  <c r="J15" i="61"/>
  <c r="K15" i="61" s="1"/>
  <c r="E15" i="61"/>
  <c r="C14" i="59"/>
  <c r="E15" i="59"/>
  <c r="J15" i="59"/>
  <c r="K15" i="59" s="1"/>
  <c r="AI16" i="2"/>
  <c r="C15" i="150"/>
  <c r="E16" i="150"/>
  <c r="J16" i="150"/>
  <c r="K16" i="150" s="1"/>
  <c r="AJ16" i="2"/>
  <c r="CX15" i="2"/>
  <c r="CM16" i="2"/>
  <c r="AJ16" i="1"/>
  <c r="EP16" i="2"/>
  <c r="IK16" i="2"/>
  <c r="BF16" i="2"/>
  <c r="I53" i="130"/>
  <c r="J52" i="130"/>
  <c r="K51" i="130" s="1"/>
  <c r="C12" i="73"/>
  <c r="E13" i="73"/>
  <c r="J13" i="73"/>
  <c r="K13" i="73" s="1"/>
  <c r="E13" i="72"/>
  <c r="C12" i="72"/>
  <c r="J13" i="72"/>
  <c r="K13" i="72" s="1"/>
  <c r="J53" i="67"/>
  <c r="I54" i="67"/>
  <c r="E14" i="148"/>
  <c r="C13" i="148"/>
  <c r="J14" i="148"/>
  <c r="K14" i="148" s="1"/>
  <c r="J53" i="4"/>
  <c r="I54" i="4"/>
  <c r="J53" i="155"/>
  <c r="I54" i="155"/>
  <c r="I54" i="76"/>
  <c r="J53" i="76"/>
  <c r="I56" i="29"/>
  <c r="J55" i="29"/>
  <c r="K54" i="29" s="1"/>
  <c r="E15" i="44"/>
  <c r="C14" i="44"/>
  <c r="J15" i="44"/>
  <c r="K15" i="44" s="1"/>
  <c r="I57" i="79"/>
  <c r="J56" i="79"/>
  <c r="C13" i="11"/>
  <c r="E14" i="11"/>
  <c r="J14" i="11"/>
  <c r="K14" i="11" s="1"/>
  <c r="I55" i="115"/>
  <c r="J54" i="115"/>
  <c r="K52" i="76"/>
  <c r="C12" i="171"/>
  <c r="E13" i="171"/>
  <c r="J13" i="171"/>
  <c r="K13" i="171" s="1"/>
  <c r="C14" i="95"/>
  <c r="E15" i="95"/>
  <c r="J15" i="95"/>
  <c r="K15" i="95" s="1"/>
  <c r="I58" i="61"/>
  <c r="J57" i="61"/>
  <c r="K56" i="61" s="1"/>
  <c r="E15" i="140"/>
  <c r="C14" i="140"/>
  <c r="J15" i="140"/>
  <c r="K15" i="140" s="1"/>
  <c r="C15" i="55"/>
  <c r="E16" i="55"/>
  <c r="J16" i="55"/>
  <c r="K16" i="55" s="1"/>
  <c r="I54" i="86"/>
  <c r="J53" i="86"/>
  <c r="I54" i="108"/>
  <c r="J53" i="108"/>
  <c r="K52" i="108" s="1"/>
  <c r="E13" i="141"/>
  <c r="C12" i="141"/>
  <c r="J13" i="141"/>
  <c r="K13" i="141" s="1"/>
  <c r="E15" i="164"/>
  <c r="C14" i="164"/>
  <c r="J15" i="164"/>
  <c r="K15" i="164" s="1"/>
  <c r="I55" i="99"/>
  <c r="J54" i="99"/>
  <c r="HZ16" i="2"/>
  <c r="J52" i="90"/>
  <c r="I53" i="90"/>
  <c r="C11" i="43"/>
  <c r="E12" i="43"/>
  <c r="J12" i="43"/>
  <c r="K12" i="43" s="1"/>
  <c r="I53" i="141"/>
  <c r="J52" i="141"/>
  <c r="K51" i="141" s="1"/>
  <c r="I56" i="9"/>
  <c r="J55" i="9"/>
  <c r="K54" i="9" s="1"/>
  <c r="E15" i="48"/>
  <c r="C14" i="48"/>
  <c r="J15" i="48"/>
  <c r="K15" i="48" s="1"/>
  <c r="E11" i="166"/>
  <c r="C10" i="166"/>
  <c r="J11" i="166"/>
  <c r="K11" i="166" s="1"/>
  <c r="K52" i="86"/>
  <c r="I53" i="47"/>
  <c r="J52" i="47"/>
  <c r="K51" i="47" s="1"/>
  <c r="J56" i="82"/>
  <c r="I57" i="82"/>
  <c r="K53" i="10"/>
  <c r="C14" i="142"/>
  <c r="E15" i="142"/>
  <c r="J15" i="142"/>
  <c r="K15" i="142" s="1"/>
  <c r="I53" i="146"/>
  <c r="J52" i="146"/>
  <c r="C14" i="169"/>
  <c r="E15" i="169"/>
  <c r="J15" i="169"/>
  <c r="K15" i="169" s="1"/>
  <c r="J53" i="88"/>
  <c r="I54" i="88"/>
  <c r="J54" i="113"/>
  <c r="K53" i="113" s="1"/>
  <c r="I55" i="113"/>
  <c r="I55" i="83"/>
  <c r="J54" i="83"/>
  <c r="K53" i="83" s="1"/>
  <c r="I56" i="117"/>
  <c r="J55" i="117"/>
  <c r="K54" i="117" s="1"/>
  <c r="J55" i="136"/>
  <c r="K54" i="136" s="1"/>
  <c r="I56" i="136"/>
  <c r="E15" i="76"/>
  <c r="C14" i="76"/>
  <c r="J15" i="76"/>
  <c r="K15" i="76" s="1"/>
  <c r="K55" i="82"/>
  <c r="I55" i="10"/>
  <c r="J54" i="10"/>
  <c r="I54" i="123"/>
  <c r="J53" i="123"/>
  <c r="J54" i="68"/>
  <c r="I55" i="68"/>
  <c r="K53" i="117"/>
  <c r="I57" i="22"/>
  <c r="J56" i="22"/>
  <c r="I56" i="16"/>
  <c r="J55" i="16"/>
  <c r="I55" i="63"/>
  <c r="J54" i="63"/>
  <c r="K53" i="63" s="1"/>
  <c r="E16" i="92"/>
  <c r="C15" i="92"/>
  <c r="J16" i="92"/>
  <c r="K16" i="92" s="1"/>
  <c r="C15" i="14"/>
  <c r="GR15" i="2" s="1"/>
  <c r="E16" i="14"/>
  <c r="J16" i="14"/>
  <c r="K16" i="14" s="1"/>
  <c r="GR16" i="2"/>
  <c r="C12" i="120"/>
  <c r="E13" i="120"/>
  <c r="J13" i="120"/>
  <c r="K13" i="120" s="1"/>
  <c r="I55" i="93"/>
  <c r="J54" i="93"/>
  <c r="K53" i="93" s="1"/>
  <c r="I58" i="133"/>
  <c r="J57" i="133"/>
  <c r="K56" i="133" s="1"/>
  <c r="I55" i="149"/>
  <c r="J54" i="149"/>
  <c r="K53" i="149" s="1"/>
  <c r="E9" i="82"/>
  <c r="C8" i="82"/>
  <c r="J9" i="82"/>
  <c r="K9" i="82" s="1"/>
  <c r="E14" i="19"/>
  <c r="C13" i="19"/>
  <c r="J14" i="19"/>
  <c r="K14" i="19" s="1"/>
  <c r="J53" i="33"/>
  <c r="K52" i="33" s="1"/>
  <c r="I54" i="33"/>
  <c r="C13" i="135"/>
  <c r="E14" i="135"/>
  <c r="J14" i="135"/>
  <c r="K14" i="135" s="1"/>
  <c r="E15" i="35"/>
  <c r="C14" i="35"/>
  <c r="J15" i="35"/>
  <c r="K15" i="35" s="1"/>
  <c r="I55" i="44"/>
  <c r="J54" i="44"/>
  <c r="K53" i="44" s="1"/>
  <c r="E15" i="154"/>
  <c r="C14" i="154"/>
  <c r="J15" i="154"/>
  <c r="K15" i="154" s="1"/>
  <c r="E13" i="37"/>
  <c r="C12" i="37"/>
  <c r="J13" i="37"/>
  <c r="K13" i="37" s="1"/>
  <c r="J55" i="142"/>
  <c r="I56" i="142"/>
  <c r="I56" i="62"/>
  <c r="J55" i="62"/>
  <c r="FW17" i="2"/>
  <c r="E16" i="100"/>
  <c r="C15" i="100"/>
  <c r="J16" i="100"/>
  <c r="K16" i="100" s="1"/>
  <c r="C10" i="146"/>
  <c r="E11" i="146"/>
  <c r="J11" i="146"/>
  <c r="K11" i="146" s="1"/>
  <c r="I54" i="114"/>
  <c r="J53" i="114"/>
  <c r="I53" i="91"/>
  <c r="J52" i="91"/>
  <c r="K51" i="91" s="1"/>
  <c r="I54" i="21"/>
  <c r="J53" i="21"/>
  <c r="I54" i="85"/>
  <c r="J53" i="85"/>
  <c r="J52" i="160"/>
  <c r="I53" i="160"/>
  <c r="E16" i="174"/>
  <c r="C15" i="174"/>
  <c r="HY15" i="2" s="1"/>
  <c r="J16" i="174"/>
  <c r="K16" i="174" s="1"/>
  <c r="E14" i="9"/>
  <c r="C13" i="9"/>
  <c r="J14" i="9"/>
  <c r="K14" i="9" s="1"/>
  <c r="C11" i="34"/>
  <c r="E12" i="34"/>
  <c r="J12" i="34"/>
  <c r="K12" i="34" s="1"/>
  <c r="C13" i="137"/>
  <c r="E14" i="137"/>
  <c r="J14" i="137"/>
  <c r="K14" i="137" s="1"/>
  <c r="I54" i="106"/>
  <c r="J53" i="106"/>
  <c r="K52" i="106" s="1"/>
  <c r="I53" i="43"/>
  <c r="J52" i="43"/>
  <c r="C14" i="80"/>
  <c r="E15" i="80"/>
  <c r="J15" i="80"/>
  <c r="K15" i="80" s="1"/>
  <c r="E14" i="83"/>
  <c r="C13" i="83"/>
  <c r="J14" i="83"/>
  <c r="K14" i="83" s="1"/>
  <c r="E15" i="119"/>
  <c r="C14" i="119"/>
  <c r="J15" i="119"/>
  <c r="K15" i="119" s="1"/>
  <c r="C13" i="5"/>
  <c r="E14" i="5"/>
  <c r="J14" i="5"/>
  <c r="K14" i="5" s="1"/>
  <c r="E16" i="28"/>
  <c r="C15" i="28"/>
  <c r="J16" i="28"/>
  <c r="K16" i="28" s="1"/>
  <c r="I56" i="26"/>
  <c r="J55" i="26"/>
  <c r="E14" i="103"/>
  <c r="C13" i="103"/>
  <c r="J14" i="103"/>
  <c r="K14" i="103" s="1"/>
  <c r="E16" i="6"/>
  <c r="CA16" i="1"/>
  <c r="C15" i="6"/>
  <c r="E14" i="116"/>
  <c r="C13" i="116"/>
  <c r="J14" i="116"/>
  <c r="K14" i="116" s="1"/>
  <c r="K50" i="141"/>
  <c r="I54" i="144"/>
  <c r="J53" i="144"/>
  <c r="I54" i="53"/>
  <c r="J53" i="53"/>
  <c r="E14" i="94"/>
  <c r="C13" i="94"/>
  <c r="J14" i="94"/>
  <c r="K14" i="94" s="1"/>
  <c r="I53" i="81"/>
  <c r="J52" i="81"/>
  <c r="K51" i="81" s="1"/>
  <c r="J55" i="78"/>
  <c r="K54" i="78" s="1"/>
  <c r="I56" i="78"/>
  <c r="I54" i="97"/>
  <c r="J53" i="97"/>
  <c r="K52" i="97" s="1"/>
  <c r="BQ17" i="1"/>
  <c r="J57" i="134"/>
  <c r="K56" i="134" s="1"/>
  <c r="I58" i="134"/>
  <c r="E13" i="40"/>
  <c r="C12" i="40"/>
  <c r="J13" i="40"/>
  <c r="K13" i="40" s="1"/>
  <c r="J55" i="51"/>
  <c r="I56" i="51"/>
  <c r="E14" i="25"/>
  <c r="C13" i="25"/>
  <c r="J14" i="25"/>
  <c r="K14" i="25" s="1"/>
  <c r="C10" i="32"/>
  <c r="E11" i="32"/>
  <c r="J11" i="32"/>
  <c r="K11" i="32" s="1"/>
  <c r="AU17" i="2"/>
  <c r="E15" i="145"/>
  <c r="C14" i="145"/>
  <c r="J15" i="145"/>
  <c r="K15" i="145" s="1"/>
  <c r="N17" i="1"/>
  <c r="Y17" i="2"/>
  <c r="C15" i="42"/>
  <c r="E16" i="42"/>
  <c r="J16" i="42"/>
  <c r="K16" i="42" s="1"/>
  <c r="FV16" i="2"/>
  <c r="K52" i="144"/>
  <c r="K52" i="53"/>
  <c r="K52" i="103"/>
  <c r="E13" i="26"/>
  <c r="C12" i="26"/>
  <c r="J13" i="26"/>
  <c r="K13" i="26" s="1"/>
  <c r="HD17" i="2"/>
  <c r="C14" i="41"/>
  <c r="E15" i="41"/>
  <c r="J15" i="41"/>
  <c r="K15" i="41" s="1"/>
  <c r="I53" i="171"/>
  <c r="J52" i="171"/>
  <c r="C14" i="122"/>
  <c r="E15" i="122"/>
  <c r="J15" i="122"/>
  <c r="K15" i="122" s="1"/>
  <c r="I56" i="132"/>
  <c r="J55" i="132"/>
  <c r="I54" i="31"/>
  <c r="J53" i="31"/>
  <c r="K52" i="31" s="1"/>
  <c r="E16" i="50"/>
  <c r="C15" i="50"/>
  <c r="AT16" i="2"/>
  <c r="J16" i="50"/>
  <c r="K16" i="50" s="1"/>
  <c r="CB17" i="1"/>
  <c r="C12" i="69"/>
  <c r="E13" i="69"/>
  <c r="J13" i="69"/>
  <c r="K13" i="69" s="1"/>
  <c r="K52" i="99"/>
  <c r="I55" i="25"/>
  <c r="J54" i="25"/>
  <c r="K53" i="25" s="1"/>
  <c r="K51" i="33"/>
  <c r="C15" i="12"/>
  <c r="E16" i="12"/>
  <c r="X16" i="2"/>
  <c r="M16" i="1"/>
  <c r="J16" i="12"/>
  <c r="K16" i="12" s="1"/>
  <c r="K53" i="26"/>
  <c r="K52" i="20"/>
  <c r="K51" i="106"/>
  <c r="J53" i="103"/>
  <c r="I54" i="103"/>
  <c r="J54" i="157"/>
  <c r="K53" i="157" s="1"/>
  <c r="I55" i="157"/>
  <c r="E15" i="70"/>
  <c r="C14" i="70"/>
  <c r="J15" i="70"/>
  <c r="K15" i="70" s="1"/>
  <c r="C14" i="125"/>
  <c r="E15" i="125"/>
  <c r="J15" i="125"/>
  <c r="K15" i="125" s="1"/>
  <c r="HC16" i="2"/>
  <c r="C15" i="8"/>
  <c r="E16" i="8"/>
  <c r="BP16" i="1"/>
  <c r="J16" i="8"/>
  <c r="K16" i="8" s="1"/>
  <c r="J53" i="138"/>
  <c r="K52" i="138" s="1"/>
  <c r="I54" i="138"/>
  <c r="K52" i="162"/>
  <c r="K53" i="139"/>
  <c r="K54" i="132"/>
  <c r="J52" i="166"/>
  <c r="I53" i="166"/>
  <c r="I54" i="20"/>
  <c r="J53" i="20"/>
  <c r="C14" i="97"/>
  <c r="E15" i="97"/>
  <c r="J15" i="97"/>
  <c r="K15" i="97" s="1"/>
  <c r="E13" i="86"/>
  <c r="C12" i="86"/>
  <c r="J13" i="86"/>
  <c r="K13" i="86" s="1"/>
  <c r="C14" i="78"/>
  <c r="E15" i="78"/>
  <c r="J15" i="78"/>
  <c r="K15" i="78" s="1"/>
  <c r="E14" i="99"/>
  <c r="C13" i="99"/>
  <c r="J14" i="99"/>
  <c r="K14" i="99" s="1"/>
  <c r="E15" i="77"/>
  <c r="C14" i="77"/>
  <c r="J15" i="77"/>
  <c r="K15" i="77" s="1"/>
  <c r="E14" i="167"/>
  <c r="C13" i="167"/>
  <c r="J14" i="167"/>
  <c r="K14" i="167" s="1"/>
  <c r="I54" i="162"/>
  <c r="J53" i="162"/>
  <c r="J54" i="139"/>
  <c r="I55" i="139"/>
  <c r="I54" i="52"/>
  <c r="J53" i="52"/>
  <c r="C13" i="75"/>
  <c r="E14" i="75"/>
  <c r="J14" i="75"/>
  <c r="K14" i="75" s="1"/>
  <c r="I55" i="159"/>
  <c r="J54" i="159"/>
  <c r="K53" i="159" s="1"/>
  <c r="C13" i="66"/>
  <c r="E14" i="66"/>
  <c r="J14" i="66"/>
  <c r="K14" i="66" s="1"/>
  <c r="J55" i="13"/>
  <c r="I56" i="13"/>
  <c r="C15" i="58"/>
  <c r="E16" i="58"/>
  <c r="J16" i="58"/>
  <c r="K16" i="58" s="1"/>
  <c r="E13" i="39"/>
  <c r="C12" i="39"/>
  <c r="J13" i="39"/>
  <c r="K13" i="39" s="1"/>
  <c r="I54" i="73"/>
  <c r="J53" i="73"/>
  <c r="K52" i="73" s="1"/>
  <c r="E16" i="56"/>
  <c r="C15" i="56"/>
  <c r="J16" i="56"/>
  <c r="K16" i="56" s="1"/>
  <c r="I53" i="58"/>
  <c r="J52" i="58"/>
  <c r="I53" i="102"/>
  <c r="J52" i="102"/>
  <c r="K51" i="102" s="1"/>
  <c r="J54" i="66"/>
  <c r="K53" i="66" s="1"/>
  <c r="I55" i="66"/>
  <c r="K50" i="43"/>
  <c r="E14" i="17"/>
  <c r="C13" i="17"/>
  <c r="J14" i="17"/>
  <c r="K14" i="17" s="1"/>
  <c r="I56" i="127"/>
  <c r="J55" i="127"/>
  <c r="K52" i="52"/>
  <c r="I53" i="105"/>
  <c r="J52" i="105"/>
  <c r="K51" i="105" s="1"/>
  <c r="I56" i="156"/>
  <c r="J55" i="156"/>
  <c r="K54" i="156" s="1"/>
  <c r="C15" i="93"/>
  <c r="E16" i="93"/>
  <c r="J16" i="93"/>
  <c r="K16" i="93" s="1"/>
  <c r="K54" i="152"/>
  <c r="I53" i="100"/>
  <c r="J52" i="100"/>
  <c r="E13" i="62"/>
  <c r="C12" i="62"/>
  <c r="J13" i="62"/>
  <c r="K13" i="62" s="1"/>
  <c r="GS17" i="2"/>
  <c r="I55" i="60"/>
  <c r="J54" i="60"/>
  <c r="K54" i="22"/>
  <c r="I54" i="19"/>
  <c r="J53" i="19"/>
  <c r="C14" i="153"/>
  <c r="E15" i="153"/>
  <c r="J15" i="153"/>
  <c r="K15" i="153" s="1"/>
  <c r="I53" i="35"/>
  <c r="J52" i="35"/>
  <c r="K56" i="46"/>
  <c r="K51" i="76"/>
  <c r="I56" i="101"/>
  <c r="J55" i="101"/>
  <c r="K54" i="101" s="1"/>
  <c r="J53" i="54"/>
  <c r="I54" i="54"/>
  <c r="C12" i="85"/>
  <c r="E13" i="85"/>
  <c r="J13" i="85"/>
  <c r="K13" i="85" s="1"/>
  <c r="K52" i="149"/>
  <c r="J52" i="8"/>
  <c r="K51" i="8" s="1"/>
  <c r="I53" i="8"/>
  <c r="J55" i="152"/>
  <c r="I56" i="152"/>
  <c r="K52" i="83"/>
  <c r="E14" i="110"/>
  <c r="C13" i="110"/>
  <c r="J14" i="110"/>
  <c r="K14" i="110" s="1"/>
  <c r="K50" i="58"/>
  <c r="K53" i="16"/>
  <c r="I53" i="36"/>
  <c r="J52" i="36"/>
  <c r="K51" i="36" s="1"/>
  <c r="K51" i="19"/>
  <c r="J57" i="46"/>
  <c r="I58" i="46"/>
  <c r="J52" i="110"/>
  <c r="K51" i="110" s="1"/>
  <c r="I53" i="110"/>
  <c r="E14" i="4"/>
  <c r="C13" i="4"/>
  <c r="J14" i="4"/>
  <c r="K14" i="4" s="1"/>
  <c r="J53" i="131"/>
  <c r="K52" i="131" s="1"/>
  <c r="I54" i="131"/>
  <c r="E11" i="138"/>
  <c r="C10" i="138"/>
  <c r="J11" i="138"/>
  <c r="K11" i="138" s="1"/>
  <c r="E15" i="151"/>
  <c r="C14" i="151"/>
  <c r="J15" i="151"/>
  <c r="K15" i="151" s="1"/>
  <c r="J53" i="87"/>
  <c r="I54" i="87"/>
  <c r="E12" i="45"/>
  <c r="C11" i="45"/>
  <c r="J12" i="45"/>
  <c r="K12" i="45" s="1"/>
  <c r="K53" i="152"/>
  <c r="E12" i="105"/>
  <c r="C11" i="105"/>
  <c r="J12" i="105"/>
  <c r="K12" i="105" s="1"/>
  <c r="I58" i="7"/>
  <c r="J57" i="7"/>
  <c r="E12" i="160"/>
  <c r="C11" i="160"/>
  <c r="J12" i="160"/>
  <c r="K12" i="160" s="1"/>
  <c r="E14" i="161"/>
  <c r="C13" i="161"/>
  <c r="J14" i="161"/>
  <c r="K14" i="161" s="1"/>
  <c r="EE17" i="2"/>
  <c r="C14" i="38"/>
  <c r="E15" i="38"/>
  <c r="J15" i="38"/>
  <c r="K15" i="38" s="1"/>
  <c r="J55" i="172"/>
  <c r="K54" i="172" s="1"/>
  <c r="I56" i="172"/>
  <c r="I54" i="170"/>
  <c r="J53" i="170"/>
  <c r="K52" i="170" s="1"/>
  <c r="J55" i="135"/>
  <c r="K54" i="135" s="1"/>
  <c r="I56" i="135"/>
  <c r="J52" i="17"/>
  <c r="I53" i="17"/>
  <c r="K51" i="88"/>
  <c r="I53" i="38"/>
  <c r="J52" i="38"/>
  <c r="K51" i="38" s="1"/>
  <c r="K56" i="7"/>
  <c r="I53" i="96"/>
  <c r="J52" i="96"/>
  <c r="C15" i="172"/>
  <c r="E16" i="172"/>
  <c r="J16" i="172"/>
  <c r="K16" i="172" s="1"/>
  <c r="K52" i="66"/>
  <c r="C13" i="18"/>
  <c r="E14" i="18"/>
  <c r="J14" i="18"/>
  <c r="K14" i="18" s="1"/>
  <c r="E13" i="51"/>
  <c r="C12" i="51"/>
  <c r="J13" i="51"/>
  <c r="K13" i="51" s="1"/>
  <c r="C13" i="60"/>
  <c r="E14" i="60"/>
  <c r="J14" i="60"/>
  <c r="K14" i="60" s="1"/>
  <c r="HO16" i="2"/>
  <c r="I56" i="89"/>
  <c r="J55" i="89"/>
  <c r="K54" i="89" s="1"/>
  <c r="J57" i="74"/>
  <c r="K56" i="74" s="1"/>
  <c r="I58" i="74"/>
  <c r="E16" i="53"/>
  <c r="C15" i="53"/>
  <c r="BE15" i="2" s="1"/>
  <c r="J16" i="53"/>
  <c r="K16" i="53" s="1"/>
  <c r="K50" i="8"/>
  <c r="I55" i="37"/>
  <c r="J54" i="37"/>
  <c r="K53" i="37" s="1"/>
  <c r="I54" i="104"/>
  <c r="J53" i="104"/>
  <c r="I55" i="28"/>
  <c r="J54" i="28"/>
  <c r="E14" i="128"/>
  <c r="C13" i="128"/>
  <c r="J14" i="128"/>
  <c r="K14" i="128" s="1"/>
  <c r="E16" i="152"/>
  <c r="C15" i="152"/>
  <c r="M15" i="2" s="1"/>
  <c r="J16" i="152"/>
  <c r="K16" i="152" s="1"/>
  <c r="E15" i="23"/>
  <c r="C14" i="23"/>
  <c r="J15" i="23"/>
  <c r="K15" i="23" s="1"/>
  <c r="C12" i="168"/>
  <c r="E13" i="168"/>
  <c r="J13" i="168"/>
  <c r="K13" i="168" s="1"/>
  <c r="K52" i="139"/>
  <c r="C15" i="109"/>
  <c r="E16" i="109"/>
  <c r="ED16" i="2"/>
  <c r="J16" i="109"/>
  <c r="K16" i="109" s="1"/>
  <c r="I53" i="112"/>
  <c r="J52" i="112"/>
  <c r="K51" i="112" s="1"/>
  <c r="J53" i="39"/>
  <c r="K52" i="39" s="1"/>
  <c r="I54" i="39"/>
  <c r="C13" i="22"/>
  <c r="E14" i="22"/>
  <c r="J14" i="22"/>
  <c r="K14" i="22" s="1"/>
  <c r="J54" i="30"/>
  <c r="K53" i="30" s="1"/>
  <c r="I55" i="30"/>
  <c r="E16" i="158"/>
  <c r="C15" i="158"/>
  <c r="J16" i="158"/>
  <c r="K16" i="158" s="1"/>
  <c r="I54" i="56"/>
  <c r="J53" i="56"/>
  <c r="K52" i="56" s="1"/>
  <c r="I54" i="50"/>
  <c r="J53" i="50"/>
  <c r="I54" i="5"/>
  <c r="J53" i="5"/>
  <c r="K52" i="5" s="1"/>
  <c r="E13" i="115"/>
  <c r="C12" i="115"/>
  <c r="J13" i="115"/>
  <c r="K13" i="115" s="1"/>
  <c r="K51" i="138"/>
  <c r="K55" i="46"/>
  <c r="I54" i="119"/>
  <c r="J53" i="119"/>
  <c r="K52" i="119" s="1"/>
  <c r="E15" i="10"/>
  <c r="C14" i="10"/>
  <c r="J15" i="10"/>
  <c r="K15" i="10" s="1"/>
  <c r="C15" i="143"/>
  <c r="E16" i="143"/>
  <c r="J16" i="143"/>
  <c r="K16" i="143" s="1"/>
  <c r="J53" i="49"/>
  <c r="K52" i="49" s="1"/>
  <c r="I54" i="49"/>
  <c r="CA16" i="2"/>
  <c r="J52" i="95"/>
  <c r="I53" i="95"/>
  <c r="K52" i="157"/>
  <c r="K51" i="114"/>
  <c r="I57" i="32"/>
  <c r="J56" i="32"/>
  <c r="K55" i="32" s="1"/>
  <c r="C11" i="165"/>
  <c r="E12" i="165"/>
  <c r="J12" i="165"/>
  <c r="K12" i="165" s="1"/>
  <c r="I53" i="120"/>
  <c r="J52" i="120"/>
  <c r="FA16" i="2"/>
  <c r="C14" i="89"/>
  <c r="E15" i="89"/>
  <c r="J15" i="89"/>
  <c r="K15" i="89" s="1"/>
  <c r="HN15" i="2"/>
  <c r="C15" i="91"/>
  <c r="E16" i="91"/>
  <c r="J16" i="91"/>
  <c r="K16" i="91" s="1"/>
  <c r="C14" i="79"/>
  <c r="E15" i="79"/>
  <c r="J15" i="79"/>
  <c r="K15" i="79" s="1"/>
  <c r="I54" i="57"/>
  <c r="J53" i="57"/>
  <c r="E14" i="65"/>
  <c r="C13" i="65"/>
  <c r="J14" i="65"/>
  <c r="K14" i="65" s="1"/>
  <c r="J52" i="64"/>
  <c r="I53" i="64"/>
  <c r="K50" i="17"/>
  <c r="C14" i="162"/>
  <c r="E15" i="162"/>
  <c r="J15" i="162"/>
  <c r="K15" i="162" s="1"/>
  <c r="E14" i="113"/>
  <c r="C13" i="113"/>
  <c r="J14" i="113"/>
  <c r="K14" i="113" s="1"/>
  <c r="C14" i="31"/>
  <c r="E15" i="31"/>
  <c r="J15" i="31"/>
  <c r="K15" i="31" s="1"/>
  <c r="K51" i="95"/>
  <c r="K51" i="86"/>
  <c r="K50" i="96"/>
  <c r="K50" i="36"/>
  <c r="E15" i="108"/>
  <c r="C14" i="108"/>
  <c r="J15" i="108"/>
  <c r="K15" i="108" s="1"/>
  <c r="E13" i="47"/>
  <c r="C12" i="47"/>
  <c r="J13" i="47"/>
  <c r="K13" i="47" s="1"/>
  <c r="K52" i="70"/>
  <c r="C14" i="134"/>
  <c r="E15" i="134"/>
  <c r="EZ15" i="2"/>
  <c r="J15" i="134"/>
  <c r="K15" i="134" s="1"/>
  <c r="I56" i="77"/>
  <c r="J55" i="77"/>
  <c r="K51" i="131"/>
  <c r="K51" i="108"/>
  <c r="E16" i="136"/>
  <c r="C15" i="136"/>
  <c r="J16" i="136"/>
  <c r="K16" i="136" s="1"/>
  <c r="I53" i="143"/>
  <c r="J52" i="143"/>
  <c r="K51" i="143" s="1"/>
  <c r="E16" i="170"/>
  <c r="C15" i="170"/>
  <c r="AI15" i="2" s="1"/>
  <c r="J16" i="170"/>
  <c r="K16" i="170" s="1"/>
  <c r="K52" i="37"/>
  <c r="J52" i="147"/>
  <c r="K51" i="147" s="1"/>
  <c r="I53" i="147"/>
  <c r="C10" i="30"/>
  <c r="E11" i="30"/>
  <c r="J11" i="30"/>
  <c r="K11" i="30" s="1"/>
  <c r="K51" i="49"/>
  <c r="I54" i="161"/>
  <c r="J53" i="161"/>
  <c r="K52" i="161" s="1"/>
  <c r="I55" i="167"/>
  <c r="J54" i="167"/>
  <c r="K53" i="167" s="1"/>
  <c r="I56" i="107"/>
  <c r="J55" i="107"/>
  <c r="K54" i="107" s="1"/>
  <c r="I54" i="137"/>
  <c r="J53" i="137"/>
  <c r="K52" i="137" s="1"/>
  <c r="K50" i="171"/>
  <c r="C10" i="157"/>
  <c r="E11" i="157"/>
  <c r="J11" i="157"/>
  <c r="K11" i="157" s="1"/>
  <c r="I54" i="70"/>
  <c r="J53" i="70"/>
  <c r="E13" i="124"/>
  <c r="C12" i="124"/>
  <c r="J13" i="124"/>
  <c r="K13" i="124" s="1"/>
  <c r="I55" i="165"/>
  <c r="J54" i="165"/>
  <c r="I55" i="18"/>
  <c r="J54" i="18"/>
  <c r="E15" i="21"/>
  <c r="C14" i="21"/>
  <c r="J15" i="21"/>
  <c r="K15" i="21" s="1"/>
  <c r="E15" i="147"/>
  <c r="C14" i="147"/>
  <c r="J15" i="147"/>
  <c r="K15" i="147" s="1"/>
  <c r="C13" i="118"/>
  <c r="E14" i="118"/>
  <c r="J14" i="118"/>
  <c r="K14" i="118" s="1"/>
  <c r="E16" i="3"/>
  <c r="C15" i="3"/>
  <c r="J16" i="3"/>
  <c r="K16" i="3" s="1"/>
  <c r="C13" i="144"/>
  <c r="E14" i="144"/>
  <c r="J14" i="144"/>
  <c r="K14" i="144" s="1"/>
  <c r="E15" i="63"/>
  <c r="C14" i="63"/>
  <c r="J15" i="63"/>
  <c r="K15" i="63" s="1"/>
  <c r="C13" i="64"/>
  <c r="E14" i="64"/>
  <c r="J14" i="64"/>
  <c r="K14" i="64" s="1"/>
  <c r="E16" i="49"/>
  <c r="C15" i="49"/>
  <c r="J16" i="49"/>
  <c r="K16" i="49" s="1"/>
  <c r="J57" i="75"/>
  <c r="K56" i="75" s="1"/>
  <c r="I58" i="75"/>
  <c r="E14" i="57"/>
  <c r="C13" i="57"/>
  <c r="J14" i="57"/>
  <c r="K14" i="57" s="1"/>
  <c r="E16" i="121"/>
  <c r="C15" i="121"/>
  <c r="J16" i="121"/>
  <c r="K16" i="121" s="1"/>
  <c r="C11" i="131"/>
  <c r="E12" i="131"/>
  <c r="J12" i="131"/>
  <c r="K12" i="131" s="1"/>
  <c r="I54" i="3"/>
  <c r="J53" i="3"/>
  <c r="K52" i="3" s="1"/>
  <c r="C12" i="163"/>
  <c r="E13" i="163"/>
  <c r="J13" i="163"/>
  <c r="K13" i="163" s="1"/>
  <c r="I57" i="27"/>
  <c r="J56" i="27"/>
  <c r="K55" i="27" s="1"/>
  <c r="E13" i="84"/>
  <c r="C12" i="84"/>
  <c r="J13" i="84"/>
  <c r="K13" i="84" s="1"/>
  <c r="BQ17" i="2"/>
  <c r="I54" i="116"/>
  <c r="J53" i="116"/>
  <c r="K54" i="128"/>
  <c r="I54" i="111"/>
  <c r="J53" i="111"/>
  <c r="J54" i="23"/>
  <c r="K53" i="23" s="1"/>
  <c r="I55" i="23"/>
  <c r="I55" i="173"/>
  <c r="J54" i="173"/>
  <c r="K53" i="173" s="1"/>
  <c r="I54" i="151"/>
  <c r="J53" i="151"/>
  <c r="J52" i="34"/>
  <c r="K51" i="34" s="1"/>
  <c r="I53" i="34"/>
  <c r="J55" i="48"/>
  <c r="K54" i="48" s="1"/>
  <c r="I56" i="48"/>
  <c r="E14" i="68"/>
  <c r="C13" i="68"/>
  <c r="J14" i="68"/>
  <c r="K14" i="68" s="1"/>
  <c r="K55" i="42"/>
  <c r="C15" i="155"/>
  <c r="E16" i="155"/>
  <c r="J16" i="155"/>
  <c r="K16" i="155" s="1"/>
  <c r="J52" i="45"/>
  <c r="I53" i="45"/>
  <c r="C13" i="139"/>
  <c r="E14" i="139"/>
  <c r="J14" i="139"/>
  <c r="K14" i="139" s="1"/>
  <c r="E16" i="52"/>
  <c r="C15" i="52"/>
  <c r="BP16" i="2"/>
  <c r="J16" i="52"/>
  <c r="K16" i="52" s="1"/>
  <c r="I54" i="169"/>
  <c r="J53" i="169"/>
  <c r="K52" i="169" s="1"/>
  <c r="E14" i="81"/>
  <c r="C13" i="81"/>
  <c r="J14" i="81"/>
  <c r="K14" i="81" s="1"/>
  <c r="J53" i="154"/>
  <c r="I54" i="154"/>
  <c r="I56" i="128"/>
  <c r="J55" i="128"/>
  <c r="D55" i="2"/>
  <c r="DU55" i="2"/>
  <c r="O55" i="2"/>
  <c r="FB55" i="2"/>
  <c r="IL55" i="2"/>
  <c r="DJ55" i="2"/>
  <c r="CY55" i="2"/>
  <c r="AK55" i="2"/>
  <c r="CC55" i="2"/>
  <c r="FM55" i="2"/>
  <c r="IW55" i="2"/>
  <c r="EF55" i="2"/>
  <c r="EQ55" i="2"/>
  <c r="AV55" i="2"/>
  <c r="IA55" i="2"/>
  <c r="Z55" i="2"/>
  <c r="CN55" i="2"/>
  <c r="BR55" i="2"/>
  <c r="BG55" i="2"/>
  <c r="FX55" i="2"/>
  <c r="GT55" i="2"/>
  <c r="HE55" i="2"/>
  <c r="HP55" i="2"/>
  <c r="K52" i="151"/>
  <c r="J56" i="42"/>
  <c r="I57" i="42"/>
  <c r="K51" i="56"/>
  <c r="I57" i="24"/>
  <c r="J56" i="24"/>
  <c r="K55" i="24" s="1"/>
  <c r="I54" i="84"/>
  <c r="J53" i="84"/>
  <c r="K52" i="84" s="1"/>
  <c r="K52" i="63"/>
  <c r="J52" i="11"/>
  <c r="I53" i="11"/>
  <c r="K53" i="98"/>
  <c r="K51" i="119"/>
  <c r="D55" i="1"/>
  <c r="BR55" i="1"/>
  <c r="AV55" i="1"/>
  <c r="Z55" i="1"/>
  <c r="O55" i="1"/>
  <c r="AK55" i="1"/>
  <c r="CC55" i="1"/>
  <c r="E14" i="104"/>
  <c r="C13" i="104"/>
  <c r="J14" i="104"/>
  <c r="K14" i="104" s="1"/>
  <c r="I53" i="125"/>
  <c r="J52" i="125"/>
  <c r="K51" i="125" s="1"/>
  <c r="K55" i="59"/>
  <c r="K55" i="133"/>
  <c r="N16" i="2"/>
  <c r="K50" i="34"/>
  <c r="DI16" i="2"/>
  <c r="K52" i="113"/>
  <c r="FK16" i="2"/>
  <c r="I53" i="140"/>
  <c r="J52" i="140"/>
  <c r="I53" i="109"/>
  <c r="J52" i="109"/>
  <c r="I55" i="118"/>
  <c r="J54" i="118"/>
  <c r="K54" i="27"/>
  <c r="I55" i="92"/>
  <c r="J54" i="92"/>
  <c r="K53" i="92" s="1"/>
  <c r="E14" i="54"/>
  <c r="C13" i="54"/>
  <c r="J14" i="54"/>
  <c r="K14" i="54" s="1"/>
  <c r="K51" i="70"/>
  <c r="E15" i="132"/>
  <c r="C14" i="132"/>
  <c r="J15" i="132"/>
  <c r="K15" i="132" s="1"/>
  <c r="I53" i="148"/>
  <c r="J52" i="148"/>
  <c r="BF55" i="1"/>
  <c r="BG55" i="1"/>
  <c r="AU17" i="1"/>
  <c r="C12" i="123"/>
  <c r="E13" i="123"/>
  <c r="J13" i="123"/>
  <c r="K13" i="123" s="1"/>
  <c r="C14" i="33"/>
  <c r="E15" i="33"/>
  <c r="J15" i="33"/>
  <c r="K15" i="33" s="1"/>
  <c r="IV16" i="2"/>
  <c r="K51" i="67"/>
  <c r="E15" i="88"/>
  <c r="C14" i="88"/>
  <c r="FK15" i="2"/>
  <c r="J15" i="88"/>
  <c r="K15" i="88" s="1"/>
  <c r="K51" i="140"/>
  <c r="E13" i="106"/>
  <c r="C12" i="106"/>
  <c r="J13" i="106"/>
  <c r="K13" i="106" s="1"/>
  <c r="C13" i="126"/>
  <c r="E14" i="126"/>
  <c r="J14" i="126"/>
  <c r="K14" i="126" s="1"/>
  <c r="I57" i="94"/>
  <c r="J56" i="94"/>
  <c r="K55" i="94" s="1"/>
  <c r="K51" i="162"/>
  <c r="C12" i="127"/>
  <c r="E13" i="127"/>
  <c r="J13" i="127"/>
  <c r="K13" i="127" s="1"/>
  <c r="C14" i="101"/>
  <c r="E15" i="101"/>
  <c r="J15" i="101"/>
  <c r="K15" i="101" s="1"/>
  <c r="J57" i="12"/>
  <c r="I58" i="12"/>
  <c r="K51" i="116"/>
  <c r="GI55" i="2"/>
  <c r="GH55" i="2"/>
  <c r="K52" i="93"/>
  <c r="E12" i="102"/>
  <c r="C11" i="102"/>
  <c r="J12" i="102"/>
  <c r="K12" i="102" s="1"/>
  <c r="E13" i="159"/>
  <c r="C12" i="159"/>
  <c r="J13" i="159"/>
  <c r="K13" i="159" s="1"/>
  <c r="C15" i="27"/>
  <c r="E16" i="27"/>
  <c r="J16" i="27"/>
  <c r="K16" i="27" s="1"/>
  <c r="K52" i="68"/>
  <c r="C14" i="133"/>
  <c r="E15" i="133"/>
  <c r="J15" i="133"/>
  <c r="K15" i="133" s="1"/>
  <c r="DH15" i="2"/>
  <c r="DT15" i="2"/>
  <c r="I54" i="168"/>
  <c r="J53" i="168"/>
  <c r="K52" i="168" s="1"/>
  <c r="Y17" i="1"/>
  <c r="E14" i="67"/>
  <c r="C13" i="67"/>
  <c r="J14" i="67"/>
  <c r="K14" i="67" s="1"/>
  <c r="I55" i="41"/>
  <c r="J54" i="41"/>
  <c r="K53" i="41" s="1"/>
  <c r="K53" i="29"/>
  <c r="K55" i="12"/>
  <c r="E15" i="71"/>
  <c r="C14" i="71"/>
  <c r="J15" i="71"/>
  <c r="K15" i="71" s="1"/>
  <c r="E54" i="24"/>
  <c r="C53" i="24"/>
  <c r="GG54" i="2"/>
  <c r="BE54" i="1"/>
  <c r="C54" i="1"/>
  <c r="C54" i="2"/>
  <c r="J54" i="24"/>
  <c r="K54" i="24" s="1"/>
  <c r="K53" i="129"/>
  <c r="I54" i="121"/>
  <c r="J53" i="121"/>
  <c r="C15" i="7"/>
  <c r="E16" i="7"/>
  <c r="AT16" i="1"/>
  <c r="J16" i="7"/>
  <c r="K16" i="7" s="1"/>
  <c r="C12" i="173"/>
  <c r="E13" i="173"/>
  <c r="J13" i="173"/>
  <c r="K13" i="173" s="1"/>
  <c r="E15" i="13"/>
  <c r="C14" i="13"/>
  <c r="J15" i="13"/>
  <c r="K15" i="13" s="1"/>
  <c r="J52" i="69"/>
  <c r="K51" i="69" s="1"/>
  <c r="I53" i="69"/>
  <c r="K55" i="14"/>
  <c r="K51" i="21"/>
  <c r="I53" i="65"/>
  <c r="J52" i="65"/>
  <c r="J52" i="55"/>
  <c r="K51" i="55" s="1"/>
  <c r="I53" i="55"/>
  <c r="K53" i="142"/>
  <c r="J54" i="129"/>
  <c r="I55" i="129"/>
  <c r="C15" i="90"/>
  <c r="E16" i="90"/>
  <c r="J16" i="90"/>
  <c r="K16" i="90" s="1"/>
  <c r="E14" i="16"/>
  <c r="C13" i="16"/>
  <c r="J14" i="16"/>
  <c r="K14" i="16" s="1"/>
  <c r="K50" i="64"/>
  <c r="K50" i="125"/>
  <c r="I53" i="174"/>
  <c r="J52" i="174"/>
  <c r="E15" i="114"/>
  <c r="C14" i="114"/>
  <c r="J15" i="114"/>
  <c r="K15" i="114" s="1"/>
  <c r="J55" i="122"/>
  <c r="K54" i="122" s="1"/>
  <c r="I56" i="122"/>
  <c r="E16" i="107"/>
  <c r="C15" i="107"/>
  <c r="J16" i="107"/>
  <c r="K16" i="107" s="1"/>
  <c r="C13" i="129"/>
  <c r="E14" i="129"/>
  <c r="J14" i="129"/>
  <c r="K14" i="129" s="1"/>
  <c r="DS14" i="2"/>
  <c r="I58" i="145"/>
  <c r="J57" i="145"/>
  <c r="I57" i="14"/>
  <c r="J56" i="14"/>
  <c r="C14" i="117"/>
  <c r="E15" i="117"/>
  <c r="J15" i="117"/>
  <c r="K15" i="117" s="1"/>
  <c r="C15" i="29"/>
  <c r="E16" i="29"/>
  <c r="J16" i="29"/>
  <c r="K16" i="29" s="1"/>
  <c r="C14" i="96"/>
  <c r="E15" i="96"/>
  <c r="J15" i="96"/>
  <c r="K15" i="96" s="1"/>
  <c r="I55" i="72"/>
  <c r="J54" i="72"/>
  <c r="K53" i="72" s="1"/>
  <c r="J53" i="153"/>
  <c r="K52" i="153" s="1"/>
  <c r="I54" i="153"/>
  <c r="K56" i="15"/>
  <c r="E15" i="20"/>
  <c r="C14" i="20"/>
  <c r="J15" i="20"/>
  <c r="K15" i="20" s="1"/>
  <c r="I53" i="163"/>
  <c r="J52" i="163"/>
  <c r="E16" i="46"/>
  <c r="C15" i="46"/>
  <c r="J16" i="46"/>
  <c r="K16" i="46" s="1"/>
  <c r="C14" i="36"/>
  <c r="E15" i="36"/>
  <c r="J15" i="36"/>
  <c r="K15" i="36" s="1"/>
  <c r="E12" i="111"/>
  <c r="C11" i="111"/>
  <c r="J12" i="111"/>
  <c r="K12" i="111" s="1"/>
  <c r="K53" i="135"/>
  <c r="I56" i="98"/>
  <c r="J55" i="98"/>
  <c r="X16" i="1"/>
  <c r="K52" i="124"/>
  <c r="E15" i="15"/>
  <c r="C14" i="15"/>
  <c r="J15" i="15"/>
  <c r="K15" i="15" s="1"/>
  <c r="J54" i="124"/>
  <c r="K53" i="124" s="1"/>
  <c r="I55" i="124"/>
  <c r="I53" i="40"/>
  <c r="J52" i="40"/>
  <c r="K56" i="145"/>
  <c r="J54" i="158"/>
  <c r="K53" i="158" s="1"/>
  <c r="I55" i="158"/>
  <c r="E14" i="112"/>
  <c r="C13" i="112"/>
  <c r="J14" i="112"/>
  <c r="K14" i="112" s="1"/>
  <c r="J53" i="80"/>
  <c r="K52" i="80" s="1"/>
  <c r="I54" i="80"/>
  <c r="I54" i="126"/>
  <c r="J53" i="126"/>
  <c r="K52" i="126" s="1"/>
  <c r="K52" i="4"/>
  <c r="K52" i="155"/>
  <c r="I56" i="164"/>
  <c r="J55" i="164"/>
  <c r="K54" i="164" s="1"/>
  <c r="I58" i="15"/>
  <c r="J57" i="15"/>
  <c r="K51" i="169"/>
  <c r="K52" i="10"/>
  <c r="E11" i="87"/>
  <c r="C10" i="87"/>
  <c r="J11" i="87"/>
  <c r="K11" i="87" s="1"/>
  <c r="K51" i="163"/>
  <c r="K50" i="163"/>
  <c r="I57" i="71"/>
  <c r="J56" i="71"/>
  <c r="K55" i="71" s="1"/>
  <c r="E15" i="156" l="1"/>
  <c r="C14" i="156"/>
  <c r="J15" i="156"/>
  <c r="K15" i="156" s="1"/>
  <c r="C13" i="149"/>
  <c r="J14" i="149"/>
  <c r="K14" i="149" s="1"/>
  <c r="E14" i="149"/>
  <c r="E15" i="130"/>
  <c r="C14" i="130"/>
  <c r="J15" i="130"/>
  <c r="K15" i="130" s="1"/>
  <c r="E10" i="98"/>
  <c r="C9" i="98"/>
  <c r="J10" i="98"/>
  <c r="K10" i="98" s="1"/>
  <c r="C14" i="74"/>
  <c r="E15" i="74"/>
  <c r="J15" i="74"/>
  <c r="K15" i="74" s="1"/>
  <c r="J14" i="61"/>
  <c r="K14" i="61" s="1"/>
  <c r="E14" i="61"/>
  <c r="C13" i="61"/>
  <c r="J14" i="59"/>
  <c r="K14" i="59" s="1"/>
  <c r="C13" i="59"/>
  <c r="E14" i="59"/>
  <c r="E15" i="150"/>
  <c r="C14" i="150"/>
  <c r="J15" i="150"/>
  <c r="K15" i="150" s="1"/>
  <c r="AJ15" i="2"/>
  <c r="GS15" i="2"/>
  <c r="HZ15" i="2"/>
  <c r="BF15" i="2"/>
  <c r="I54" i="148"/>
  <c r="J53" i="148"/>
  <c r="I54" i="174"/>
  <c r="J53" i="174"/>
  <c r="J57" i="94"/>
  <c r="K56" i="94" s="1"/>
  <c r="I58" i="94"/>
  <c r="E15" i="7"/>
  <c r="C14" i="7"/>
  <c r="AT15" i="1"/>
  <c r="J15" i="7"/>
  <c r="K15" i="7" s="1"/>
  <c r="E14" i="31"/>
  <c r="C13" i="31"/>
  <c r="J14" i="31"/>
  <c r="K14" i="31" s="1"/>
  <c r="C11" i="51"/>
  <c r="E12" i="51"/>
  <c r="J12" i="51"/>
  <c r="K12" i="51" s="1"/>
  <c r="I57" i="13"/>
  <c r="J56" i="13"/>
  <c r="E13" i="99"/>
  <c r="C12" i="99"/>
  <c r="J13" i="99"/>
  <c r="K13" i="99" s="1"/>
  <c r="E14" i="70"/>
  <c r="C13" i="70"/>
  <c r="J14" i="70"/>
  <c r="K14" i="70" s="1"/>
  <c r="I55" i="144"/>
  <c r="J54" i="144"/>
  <c r="K53" i="144" s="1"/>
  <c r="J55" i="124"/>
  <c r="I56" i="124"/>
  <c r="E14" i="15"/>
  <c r="C13" i="15"/>
  <c r="J14" i="15"/>
  <c r="K14" i="15" s="1"/>
  <c r="I56" i="72"/>
  <c r="J55" i="72"/>
  <c r="I58" i="71"/>
  <c r="J57" i="71"/>
  <c r="K56" i="71" s="1"/>
  <c r="Y16" i="1"/>
  <c r="E14" i="96"/>
  <c r="C13" i="96"/>
  <c r="J14" i="96"/>
  <c r="K14" i="96" s="1"/>
  <c r="E13" i="16"/>
  <c r="C12" i="16"/>
  <c r="J13" i="16"/>
  <c r="K13" i="16" s="1"/>
  <c r="E13" i="126"/>
  <c r="C12" i="126"/>
  <c r="J13" i="126"/>
  <c r="K13" i="126" s="1"/>
  <c r="C12" i="54"/>
  <c r="E13" i="54"/>
  <c r="J13" i="54"/>
  <c r="K13" i="54" s="1"/>
  <c r="C12" i="104"/>
  <c r="E13" i="104"/>
  <c r="J13" i="104"/>
  <c r="K13" i="104" s="1"/>
  <c r="C14" i="49"/>
  <c r="E15" i="49"/>
  <c r="J15" i="49"/>
  <c r="K15" i="49" s="1"/>
  <c r="I54" i="143"/>
  <c r="J53" i="143"/>
  <c r="K52" i="143" s="1"/>
  <c r="J54" i="131"/>
  <c r="K53" i="131" s="1"/>
  <c r="I55" i="131"/>
  <c r="C11" i="85"/>
  <c r="E12" i="85"/>
  <c r="J12" i="85"/>
  <c r="K12" i="85" s="1"/>
  <c r="E10" i="146"/>
  <c r="C9" i="146"/>
  <c r="J10" i="146"/>
  <c r="K10" i="146" s="1"/>
  <c r="C12" i="135"/>
  <c r="E13" i="135"/>
  <c r="J13" i="135"/>
  <c r="K13" i="135" s="1"/>
  <c r="E11" i="43"/>
  <c r="C10" i="43"/>
  <c r="J11" i="43"/>
  <c r="K11" i="43" s="1"/>
  <c r="E13" i="148"/>
  <c r="C12" i="148"/>
  <c r="J13" i="148"/>
  <c r="K13" i="148" s="1"/>
  <c r="J53" i="40"/>
  <c r="K52" i="40" s="1"/>
  <c r="I54" i="40"/>
  <c r="E14" i="133"/>
  <c r="C13" i="133"/>
  <c r="J14" i="133"/>
  <c r="K14" i="133" s="1"/>
  <c r="DH14" i="2"/>
  <c r="I56" i="18"/>
  <c r="J55" i="18"/>
  <c r="I55" i="5"/>
  <c r="J54" i="5"/>
  <c r="E15" i="152"/>
  <c r="C14" i="152"/>
  <c r="M14" i="2" s="1"/>
  <c r="J15" i="152"/>
  <c r="K15" i="152" s="1"/>
  <c r="I55" i="54"/>
  <c r="J54" i="54"/>
  <c r="J53" i="105"/>
  <c r="K52" i="105" s="1"/>
  <c r="I54" i="105"/>
  <c r="I56" i="157"/>
  <c r="J55" i="157"/>
  <c r="C13" i="122"/>
  <c r="E14" i="122"/>
  <c r="J14" i="122"/>
  <c r="K14" i="122" s="1"/>
  <c r="I54" i="43"/>
  <c r="J53" i="43"/>
  <c r="I55" i="33"/>
  <c r="J54" i="33"/>
  <c r="I57" i="16"/>
  <c r="J56" i="16"/>
  <c r="K52" i="88"/>
  <c r="E14" i="95"/>
  <c r="C13" i="95"/>
  <c r="J14" i="95"/>
  <c r="K14" i="95" s="1"/>
  <c r="J54" i="121"/>
  <c r="K53" i="121" s="1"/>
  <c r="I55" i="121"/>
  <c r="C11" i="106"/>
  <c r="E12" i="106"/>
  <c r="J12" i="106"/>
  <c r="K12" i="106" s="1"/>
  <c r="C12" i="139"/>
  <c r="E13" i="139"/>
  <c r="J13" i="139"/>
  <c r="K13" i="139" s="1"/>
  <c r="C14" i="136"/>
  <c r="E15" i="136"/>
  <c r="J15" i="136"/>
  <c r="K15" i="136" s="1"/>
  <c r="C12" i="113"/>
  <c r="E13" i="113"/>
  <c r="J13" i="113"/>
  <c r="K13" i="113" s="1"/>
  <c r="I54" i="120"/>
  <c r="J53" i="120"/>
  <c r="K52" i="120" s="1"/>
  <c r="E13" i="161"/>
  <c r="C12" i="161"/>
  <c r="J13" i="161"/>
  <c r="K13" i="161" s="1"/>
  <c r="K53" i="54"/>
  <c r="K54" i="157"/>
  <c r="C12" i="116"/>
  <c r="E13" i="116"/>
  <c r="J13" i="116"/>
  <c r="K13" i="116" s="1"/>
  <c r="I54" i="90"/>
  <c r="J53" i="90"/>
  <c r="I55" i="67"/>
  <c r="J54" i="67"/>
  <c r="K53" i="67" s="1"/>
  <c r="I54" i="45"/>
  <c r="J53" i="45"/>
  <c r="K52" i="45" s="1"/>
  <c r="E12" i="84"/>
  <c r="C11" i="84"/>
  <c r="J12" i="84"/>
  <c r="K12" i="84" s="1"/>
  <c r="J55" i="165"/>
  <c r="I56" i="165"/>
  <c r="I55" i="50"/>
  <c r="J54" i="50"/>
  <c r="K53" i="50" s="1"/>
  <c r="K52" i="50"/>
  <c r="K52" i="54"/>
  <c r="C12" i="66"/>
  <c r="E13" i="66"/>
  <c r="J13" i="66"/>
  <c r="K13" i="66" s="1"/>
  <c r="C13" i="78"/>
  <c r="E14" i="78"/>
  <c r="J14" i="78"/>
  <c r="K14" i="78" s="1"/>
  <c r="J54" i="103"/>
  <c r="K53" i="103" s="1"/>
  <c r="I55" i="103"/>
  <c r="I54" i="171"/>
  <c r="J53" i="171"/>
  <c r="I55" i="106"/>
  <c r="J54" i="106"/>
  <c r="E15" i="100"/>
  <c r="C14" i="100"/>
  <c r="J15" i="100"/>
  <c r="K15" i="100" s="1"/>
  <c r="I58" i="22"/>
  <c r="J57" i="22"/>
  <c r="C13" i="169"/>
  <c r="E14" i="169"/>
  <c r="J14" i="169"/>
  <c r="K14" i="169" s="1"/>
  <c r="K52" i="90"/>
  <c r="K52" i="148"/>
  <c r="I56" i="92"/>
  <c r="J55" i="92"/>
  <c r="E13" i="64"/>
  <c r="C12" i="64"/>
  <c r="J13" i="64"/>
  <c r="K13" i="64" s="1"/>
  <c r="K53" i="18"/>
  <c r="E13" i="18"/>
  <c r="C12" i="18"/>
  <c r="J13" i="18"/>
  <c r="K13" i="18" s="1"/>
  <c r="I57" i="101"/>
  <c r="J56" i="101"/>
  <c r="K55" i="127"/>
  <c r="E10" i="32"/>
  <c r="C9" i="32"/>
  <c r="J10" i="32"/>
  <c r="K10" i="32" s="1"/>
  <c r="CA15" i="1"/>
  <c r="E15" i="6"/>
  <c r="C14" i="6"/>
  <c r="C12" i="19"/>
  <c r="E13" i="19"/>
  <c r="J13" i="19"/>
  <c r="K13" i="19" s="1"/>
  <c r="C11" i="171"/>
  <c r="E12" i="171"/>
  <c r="J12" i="171"/>
  <c r="K12" i="171" s="1"/>
  <c r="E10" i="30"/>
  <c r="C9" i="30"/>
  <c r="J10" i="30"/>
  <c r="K10" i="30" s="1"/>
  <c r="E14" i="114"/>
  <c r="C13" i="114"/>
  <c r="J14" i="114"/>
  <c r="K14" i="114" s="1"/>
  <c r="C9" i="87"/>
  <c r="E10" i="87"/>
  <c r="J10" i="87"/>
  <c r="K10" i="87" s="1"/>
  <c r="I57" i="98"/>
  <c r="J56" i="98"/>
  <c r="E15" i="29"/>
  <c r="C14" i="29"/>
  <c r="J15" i="29"/>
  <c r="K15" i="29" s="1"/>
  <c r="X15" i="1"/>
  <c r="E15" i="90"/>
  <c r="C14" i="90"/>
  <c r="J15" i="90"/>
  <c r="K15" i="90" s="1"/>
  <c r="D54" i="2"/>
  <c r="DU54" i="2"/>
  <c r="CN54" i="2"/>
  <c r="EQ54" i="2"/>
  <c r="IL54" i="2"/>
  <c r="CY54" i="2"/>
  <c r="FM54" i="2"/>
  <c r="IA54" i="2"/>
  <c r="GT54" i="2"/>
  <c r="HP54" i="2"/>
  <c r="CC54" i="2"/>
  <c r="IW54" i="2"/>
  <c r="FB54" i="2"/>
  <c r="O54" i="2"/>
  <c r="DJ54" i="2"/>
  <c r="HE54" i="2"/>
  <c r="AV54" i="2"/>
  <c r="BR54" i="2"/>
  <c r="Z54" i="2"/>
  <c r="FX54" i="2"/>
  <c r="EF54" i="2"/>
  <c r="AK54" i="2"/>
  <c r="BG54" i="2"/>
  <c r="C14" i="27"/>
  <c r="E15" i="27"/>
  <c r="J15" i="27"/>
  <c r="K15" i="27" s="1"/>
  <c r="K51" i="45"/>
  <c r="E12" i="124"/>
  <c r="C11" i="124"/>
  <c r="J12" i="124"/>
  <c r="K12" i="124" s="1"/>
  <c r="E11" i="165"/>
  <c r="C10" i="165"/>
  <c r="J11" i="165"/>
  <c r="K11" i="165" s="1"/>
  <c r="I55" i="56"/>
  <c r="J54" i="56"/>
  <c r="E13" i="128"/>
  <c r="C12" i="128"/>
  <c r="J13" i="128"/>
  <c r="K13" i="128" s="1"/>
  <c r="J56" i="127"/>
  <c r="I57" i="127"/>
  <c r="I56" i="159"/>
  <c r="J55" i="159"/>
  <c r="K54" i="159" s="1"/>
  <c r="C11" i="86"/>
  <c r="E12" i="86"/>
  <c r="J12" i="86"/>
  <c r="K12" i="86" s="1"/>
  <c r="CB16" i="1"/>
  <c r="K51" i="90"/>
  <c r="J55" i="129"/>
  <c r="K54" i="129" s="1"/>
  <c r="I56" i="129"/>
  <c r="D54" i="1"/>
  <c r="CC54" i="1"/>
  <c r="Z54" i="1"/>
  <c r="AK54" i="1"/>
  <c r="AV54" i="1"/>
  <c r="BR54" i="1"/>
  <c r="O54" i="1"/>
  <c r="K56" i="27"/>
  <c r="CL15" i="2"/>
  <c r="E13" i="4"/>
  <c r="C12" i="4"/>
  <c r="J13" i="4"/>
  <c r="K13" i="4" s="1"/>
  <c r="E13" i="25"/>
  <c r="C12" i="25"/>
  <c r="J13" i="25"/>
  <c r="K13" i="25" s="1"/>
  <c r="E13" i="137"/>
  <c r="C12" i="137"/>
  <c r="J13" i="137"/>
  <c r="K13" i="137" s="1"/>
  <c r="K51" i="146"/>
  <c r="E12" i="72"/>
  <c r="C11" i="72"/>
  <c r="J12" i="72"/>
  <c r="K12" i="72" s="1"/>
  <c r="I57" i="122"/>
  <c r="J56" i="122"/>
  <c r="BG54" i="1"/>
  <c r="BF54" i="1"/>
  <c r="FL15" i="2"/>
  <c r="J55" i="118"/>
  <c r="K54" i="118" s="1"/>
  <c r="I56" i="118"/>
  <c r="J57" i="27"/>
  <c r="I58" i="27"/>
  <c r="K53" i="70"/>
  <c r="E14" i="162"/>
  <c r="C13" i="162"/>
  <c r="J14" i="162"/>
  <c r="K14" i="162" s="1"/>
  <c r="I58" i="32"/>
  <c r="J57" i="32"/>
  <c r="E15" i="158"/>
  <c r="C14" i="158"/>
  <c r="J15" i="158"/>
  <c r="K15" i="158" s="1"/>
  <c r="C10" i="160"/>
  <c r="E11" i="160"/>
  <c r="J11" i="160"/>
  <c r="K11" i="160" s="1"/>
  <c r="K51" i="35"/>
  <c r="E14" i="41"/>
  <c r="C13" i="41"/>
  <c r="J14" i="41"/>
  <c r="K14" i="41" s="1"/>
  <c r="C7" i="82"/>
  <c r="E8" i="82"/>
  <c r="J8" i="82"/>
  <c r="K8" i="82" s="1"/>
  <c r="I54" i="146"/>
  <c r="J53" i="146"/>
  <c r="GI54" i="2"/>
  <c r="GH54" i="2"/>
  <c r="C11" i="159"/>
  <c r="E12" i="159"/>
  <c r="J12" i="159"/>
  <c r="K12" i="159" s="1"/>
  <c r="K55" i="77"/>
  <c r="J53" i="35"/>
  <c r="I54" i="35"/>
  <c r="I57" i="51"/>
  <c r="J56" i="51"/>
  <c r="C12" i="103"/>
  <c r="E13" i="103"/>
  <c r="J13" i="103"/>
  <c r="K13" i="103" s="1"/>
  <c r="I56" i="68"/>
  <c r="J55" i="68"/>
  <c r="K54" i="68" s="1"/>
  <c r="J55" i="99"/>
  <c r="K54" i="99" s="1"/>
  <c r="I56" i="99"/>
  <c r="J55" i="115"/>
  <c r="K54" i="115" s="1"/>
  <c r="I56" i="115"/>
  <c r="C13" i="88"/>
  <c r="E14" i="88"/>
  <c r="J14" i="88"/>
  <c r="K14" i="88" s="1"/>
  <c r="C13" i="63"/>
  <c r="E14" i="63"/>
  <c r="J14" i="63"/>
  <c r="K14" i="63" s="1"/>
  <c r="J54" i="70"/>
  <c r="I55" i="70"/>
  <c r="E15" i="172"/>
  <c r="C14" i="172"/>
  <c r="J15" i="172"/>
  <c r="K15" i="172" s="1"/>
  <c r="I54" i="109"/>
  <c r="J53" i="109"/>
  <c r="J56" i="77"/>
  <c r="I57" i="77"/>
  <c r="I56" i="28"/>
  <c r="J55" i="28"/>
  <c r="K51" i="96"/>
  <c r="I54" i="110"/>
  <c r="J53" i="110"/>
  <c r="C12" i="17"/>
  <c r="E13" i="17"/>
  <c r="J13" i="17"/>
  <c r="K13" i="17" s="1"/>
  <c r="E13" i="75"/>
  <c r="C12" i="75"/>
  <c r="J13" i="75"/>
  <c r="K13" i="75" s="1"/>
  <c r="EO15" i="2"/>
  <c r="N16" i="1"/>
  <c r="C10" i="34"/>
  <c r="E11" i="34"/>
  <c r="J11" i="34"/>
  <c r="K11" i="34" s="1"/>
  <c r="I57" i="62"/>
  <c r="J56" i="62"/>
  <c r="I54" i="55"/>
  <c r="J53" i="55"/>
  <c r="K52" i="55" s="1"/>
  <c r="E53" i="24"/>
  <c r="C52" i="24"/>
  <c r="GG53" i="2"/>
  <c r="BE53" i="1"/>
  <c r="C53" i="1"/>
  <c r="C53" i="2"/>
  <c r="J53" i="24"/>
  <c r="K53" i="24" s="1"/>
  <c r="K51" i="148"/>
  <c r="J56" i="164"/>
  <c r="I57" i="164"/>
  <c r="E15" i="155"/>
  <c r="C14" i="155"/>
  <c r="CL14" i="2" s="1"/>
  <c r="J15" i="155"/>
  <c r="K15" i="155" s="1"/>
  <c r="E12" i="163"/>
  <c r="C11" i="163"/>
  <c r="J12" i="163"/>
  <c r="K12" i="163" s="1"/>
  <c r="K53" i="165"/>
  <c r="I56" i="30"/>
  <c r="J55" i="30"/>
  <c r="K54" i="30" s="1"/>
  <c r="I54" i="96"/>
  <c r="J53" i="96"/>
  <c r="K52" i="96" s="1"/>
  <c r="K54" i="13"/>
  <c r="Y16" i="2"/>
  <c r="K54" i="26"/>
  <c r="J56" i="142"/>
  <c r="I57" i="142"/>
  <c r="I56" i="149"/>
  <c r="J55" i="149"/>
  <c r="K54" i="149" s="1"/>
  <c r="E14" i="142"/>
  <c r="C13" i="142"/>
  <c r="J14" i="142"/>
  <c r="K14" i="142" s="1"/>
  <c r="C13" i="164"/>
  <c r="E14" i="164"/>
  <c r="J14" i="164"/>
  <c r="K14" i="164" s="1"/>
  <c r="C11" i="73"/>
  <c r="E12" i="73"/>
  <c r="J12" i="73"/>
  <c r="K12" i="73" s="1"/>
  <c r="E14" i="117"/>
  <c r="C13" i="117"/>
  <c r="J14" i="117"/>
  <c r="K14" i="117" s="1"/>
  <c r="C10" i="102"/>
  <c r="E11" i="102"/>
  <c r="J11" i="102"/>
  <c r="K11" i="102" s="1"/>
  <c r="I54" i="64"/>
  <c r="J53" i="64"/>
  <c r="I54" i="95"/>
  <c r="J53" i="95"/>
  <c r="I59" i="7"/>
  <c r="J58" i="7"/>
  <c r="K57" i="7" s="1"/>
  <c r="I59" i="46"/>
  <c r="J58" i="46"/>
  <c r="E14" i="153"/>
  <c r="C13" i="153"/>
  <c r="J14" i="153"/>
  <c r="K14" i="153" s="1"/>
  <c r="C13" i="97"/>
  <c r="E14" i="97"/>
  <c r="EO14" i="2"/>
  <c r="J14" i="97"/>
  <c r="K14" i="97" s="1"/>
  <c r="I57" i="26"/>
  <c r="J56" i="26"/>
  <c r="K55" i="142"/>
  <c r="I55" i="123"/>
  <c r="J54" i="123"/>
  <c r="J53" i="140"/>
  <c r="K52" i="140" s="1"/>
  <c r="I54" i="140"/>
  <c r="E10" i="157"/>
  <c r="C9" i="157"/>
  <c r="J10" i="157"/>
  <c r="K10" i="157" s="1"/>
  <c r="I54" i="65"/>
  <c r="J53" i="65"/>
  <c r="K52" i="65" s="1"/>
  <c r="C13" i="71"/>
  <c r="E14" i="71"/>
  <c r="J14" i="71"/>
  <c r="K14" i="71" s="1"/>
  <c r="J53" i="11"/>
  <c r="K52" i="11" s="1"/>
  <c r="I54" i="11"/>
  <c r="I55" i="3"/>
  <c r="J54" i="3"/>
  <c r="K53" i="3" s="1"/>
  <c r="FA15" i="2"/>
  <c r="K52" i="64"/>
  <c r="K52" i="95"/>
  <c r="J54" i="104"/>
  <c r="K53" i="104" s="1"/>
  <c r="I55" i="104"/>
  <c r="K57" i="46"/>
  <c r="J55" i="66"/>
  <c r="K54" i="66" s="1"/>
  <c r="I56" i="66"/>
  <c r="E15" i="12"/>
  <c r="C14" i="12"/>
  <c r="M15" i="1"/>
  <c r="X15" i="2"/>
  <c r="J15" i="12"/>
  <c r="K15" i="12" s="1"/>
  <c r="C11" i="40"/>
  <c r="E12" i="40"/>
  <c r="J12" i="40"/>
  <c r="K12" i="40" s="1"/>
  <c r="E13" i="9"/>
  <c r="C12" i="9"/>
  <c r="J13" i="9"/>
  <c r="K13" i="9" s="1"/>
  <c r="I59" i="133"/>
  <c r="J58" i="133"/>
  <c r="K57" i="133" s="1"/>
  <c r="I58" i="82"/>
  <c r="J57" i="82"/>
  <c r="K56" i="82" s="1"/>
  <c r="I54" i="130"/>
  <c r="J53" i="130"/>
  <c r="K52" i="130" s="1"/>
  <c r="E13" i="68"/>
  <c r="C12" i="68"/>
  <c r="J13" i="68"/>
  <c r="K13" i="68" s="1"/>
  <c r="E13" i="144"/>
  <c r="C12" i="144"/>
  <c r="J13" i="144"/>
  <c r="K13" i="144" s="1"/>
  <c r="CB16" i="2"/>
  <c r="I54" i="38"/>
  <c r="J53" i="38"/>
  <c r="K52" i="38" s="1"/>
  <c r="E11" i="105"/>
  <c r="C10" i="105"/>
  <c r="J11" i="105"/>
  <c r="K11" i="105" s="1"/>
  <c r="I55" i="19"/>
  <c r="J54" i="19"/>
  <c r="K53" i="19" s="1"/>
  <c r="I55" i="52"/>
  <c r="J54" i="52"/>
  <c r="K53" i="52" s="1"/>
  <c r="I55" i="20"/>
  <c r="J54" i="20"/>
  <c r="K53" i="20" s="1"/>
  <c r="E15" i="28"/>
  <c r="C14" i="28"/>
  <c r="J15" i="28"/>
  <c r="K15" i="28" s="1"/>
  <c r="C11" i="37"/>
  <c r="E12" i="37"/>
  <c r="J12" i="37"/>
  <c r="K12" i="37" s="1"/>
  <c r="I56" i="10"/>
  <c r="J55" i="10"/>
  <c r="C11" i="141"/>
  <c r="E12" i="141"/>
  <c r="J12" i="141"/>
  <c r="K12" i="141" s="1"/>
  <c r="K54" i="98"/>
  <c r="I58" i="14"/>
  <c r="J57" i="14"/>
  <c r="K56" i="14" s="1"/>
  <c r="I59" i="145"/>
  <c r="J58" i="145"/>
  <c r="K57" i="145" s="1"/>
  <c r="J54" i="137"/>
  <c r="I55" i="137"/>
  <c r="E14" i="134"/>
  <c r="C13" i="134"/>
  <c r="EZ14" i="2"/>
  <c r="J14" i="134"/>
  <c r="K14" i="134" s="1"/>
  <c r="C12" i="65"/>
  <c r="E13" i="65"/>
  <c r="J13" i="65"/>
  <c r="K13" i="65" s="1"/>
  <c r="I55" i="49"/>
  <c r="J54" i="49"/>
  <c r="K53" i="49" s="1"/>
  <c r="J55" i="37"/>
  <c r="K54" i="37" s="1"/>
  <c r="I56" i="37"/>
  <c r="K53" i="28"/>
  <c r="K52" i="19"/>
  <c r="K54" i="127"/>
  <c r="J53" i="166"/>
  <c r="K52" i="166" s="1"/>
  <c r="I54" i="166"/>
  <c r="C11" i="26"/>
  <c r="E12" i="26"/>
  <c r="J12" i="26"/>
  <c r="K12" i="26" s="1"/>
  <c r="K51" i="171"/>
  <c r="K54" i="142"/>
  <c r="I56" i="93"/>
  <c r="J55" i="93"/>
  <c r="K54" i="93" s="1"/>
  <c r="E13" i="11"/>
  <c r="C12" i="11"/>
  <c r="J13" i="11"/>
  <c r="K13" i="11" s="1"/>
  <c r="C13" i="36"/>
  <c r="E14" i="36"/>
  <c r="J14" i="36"/>
  <c r="K14" i="36" s="1"/>
  <c r="FL16" i="2"/>
  <c r="I57" i="48"/>
  <c r="J56" i="48"/>
  <c r="K55" i="48" s="1"/>
  <c r="C10" i="131"/>
  <c r="E11" i="131"/>
  <c r="J11" i="131"/>
  <c r="K11" i="131" s="1"/>
  <c r="K55" i="107"/>
  <c r="C12" i="22"/>
  <c r="E13" i="22"/>
  <c r="J13" i="22"/>
  <c r="K13" i="22" s="1"/>
  <c r="I54" i="102"/>
  <c r="J53" i="102"/>
  <c r="K52" i="102" s="1"/>
  <c r="J55" i="139"/>
  <c r="K54" i="139" s="1"/>
  <c r="I56" i="139"/>
  <c r="J55" i="25"/>
  <c r="I56" i="25"/>
  <c r="J58" i="134"/>
  <c r="I59" i="134"/>
  <c r="IJ15" i="2"/>
  <c r="I54" i="47"/>
  <c r="J53" i="47"/>
  <c r="K52" i="67"/>
  <c r="E12" i="127"/>
  <c r="C11" i="127"/>
  <c r="J12" i="127"/>
  <c r="K12" i="127" s="1"/>
  <c r="J54" i="80"/>
  <c r="K53" i="80" s="1"/>
  <c r="I55" i="80"/>
  <c r="E15" i="3"/>
  <c r="C14" i="3"/>
  <c r="J15" i="3"/>
  <c r="K15" i="3" s="1"/>
  <c r="J56" i="107"/>
  <c r="I57" i="107"/>
  <c r="K52" i="57"/>
  <c r="J54" i="39"/>
  <c r="K53" i="39" s="1"/>
  <c r="I55" i="39"/>
  <c r="K52" i="104"/>
  <c r="J53" i="36"/>
  <c r="I54" i="36"/>
  <c r="I56" i="60"/>
  <c r="J55" i="60"/>
  <c r="K54" i="60" s="1"/>
  <c r="K53" i="60"/>
  <c r="K57" i="134"/>
  <c r="E15" i="174"/>
  <c r="C14" i="174"/>
  <c r="J15" i="174"/>
  <c r="K15" i="174" s="1"/>
  <c r="J54" i="108"/>
  <c r="I55" i="108"/>
  <c r="E13" i="129"/>
  <c r="C12" i="129"/>
  <c r="J13" i="129"/>
  <c r="K13" i="129" s="1"/>
  <c r="DS13" i="2"/>
  <c r="I54" i="69"/>
  <c r="J53" i="69"/>
  <c r="K52" i="69" s="1"/>
  <c r="J58" i="12"/>
  <c r="K57" i="12" s="1"/>
  <c r="I59" i="12"/>
  <c r="J54" i="84"/>
  <c r="K53" i="84" s="1"/>
  <c r="I55" i="84"/>
  <c r="I54" i="34"/>
  <c r="J53" i="34"/>
  <c r="C11" i="47"/>
  <c r="E12" i="47"/>
  <c r="J12" i="47"/>
  <c r="K12" i="47" s="1"/>
  <c r="I55" i="57"/>
  <c r="J54" i="57"/>
  <c r="K53" i="57" s="1"/>
  <c r="E15" i="53"/>
  <c r="C14" i="53"/>
  <c r="J15" i="53"/>
  <c r="K15" i="53" s="1"/>
  <c r="I54" i="17"/>
  <c r="J53" i="17"/>
  <c r="K52" i="17" s="1"/>
  <c r="C13" i="154"/>
  <c r="E14" i="154"/>
  <c r="J14" i="154"/>
  <c r="K14" i="154" s="1"/>
  <c r="IJ14" i="2"/>
  <c r="C11" i="120"/>
  <c r="E12" i="120"/>
  <c r="J12" i="120"/>
  <c r="K12" i="120" s="1"/>
  <c r="C13" i="76"/>
  <c r="E14" i="76"/>
  <c r="J14" i="76"/>
  <c r="K14" i="76" s="1"/>
  <c r="K53" i="86"/>
  <c r="I58" i="79"/>
  <c r="J57" i="79"/>
  <c r="K56" i="79" s="1"/>
  <c r="J54" i="126"/>
  <c r="K53" i="126" s="1"/>
  <c r="I55" i="126"/>
  <c r="N15" i="2"/>
  <c r="K51" i="65"/>
  <c r="CW14" i="2"/>
  <c r="K55" i="128"/>
  <c r="K52" i="34"/>
  <c r="J55" i="167"/>
  <c r="I56" i="167"/>
  <c r="K51" i="17"/>
  <c r="I54" i="58"/>
  <c r="J53" i="58"/>
  <c r="J54" i="162"/>
  <c r="I55" i="162"/>
  <c r="C12" i="5"/>
  <c r="E13" i="5"/>
  <c r="J13" i="5"/>
  <c r="K13" i="5" s="1"/>
  <c r="J53" i="160"/>
  <c r="K52" i="160" s="1"/>
  <c r="I54" i="160"/>
  <c r="E10" i="166"/>
  <c r="C9" i="166"/>
  <c r="J10" i="166"/>
  <c r="K10" i="166" s="1"/>
  <c r="I55" i="86"/>
  <c r="J54" i="86"/>
  <c r="C13" i="20"/>
  <c r="E14" i="20"/>
  <c r="J14" i="20"/>
  <c r="K14" i="20" s="1"/>
  <c r="E11" i="111"/>
  <c r="C10" i="111"/>
  <c r="J11" i="111"/>
  <c r="K11" i="111" s="1"/>
  <c r="J58" i="15"/>
  <c r="K57" i="15" s="1"/>
  <c r="I59" i="15"/>
  <c r="DT14" i="2"/>
  <c r="E14" i="33"/>
  <c r="C13" i="33"/>
  <c r="J14" i="33"/>
  <c r="K14" i="33" s="1"/>
  <c r="E15" i="46"/>
  <c r="C14" i="46"/>
  <c r="J15" i="46"/>
  <c r="K15" i="46" s="1"/>
  <c r="C12" i="112"/>
  <c r="E13" i="112"/>
  <c r="CW13" i="2"/>
  <c r="J13" i="112"/>
  <c r="K13" i="112" s="1"/>
  <c r="E15" i="107"/>
  <c r="C14" i="107"/>
  <c r="J15" i="107"/>
  <c r="K15" i="107" s="1"/>
  <c r="J55" i="41"/>
  <c r="K54" i="41" s="1"/>
  <c r="I56" i="41"/>
  <c r="C11" i="123"/>
  <c r="E12" i="123"/>
  <c r="J12" i="123"/>
  <c r="K12" i="123" s="1"/>
  <c r="J57" i="24"/>
  <c r="K56" i="24" s="1"/>
  <c r="I58" i="24"/>
  <c r="I57" i="128"/>
  <c r="J56" i="128"/>
  <c r="E15" i="121"/>
  <c r="C14" i="121"/>
  <c r="J15" i="121"/>
  <c r="K15" i="121" s="1"/>
  <c r="K53" i="161"/>
  <c r="K51" i="120"/>
  <c r="E15" i="143"/>
  <c r="C14" i="143"/>
  <c r="J15" i="143"/>
  <c r="K15" i="143" s="1"/>
  <c r="I54" i="112"/>
  <c r="J53" i="112"/>
  <c r="I59" i="74"/>
  <c r="J58" i="74"/>
  <c r="J56" i="135"/>
  <c r="K55" i="135" s="1"/>
  <c r="I57" i="135"/>
  <c r="C11" i="69"/>
  <c r="E12" i="69"/>
  <c r="J12" i="69"/>
  <c r="K12" i="69" s="1"/>
  <c r="FW16" i="2"/>
  <c r="K53" i="97"/>
  <c r="J56" i="136"/>
  <c r="I57" i="136"/>
  <c r="E14" i="44"/>
  <c r="C13" i="44"/>
  <c r="J14" i="44"/>
  <c r="K14" i="44" s="1"/>
  <c r="I55" i="154"/>
  <c r="J54" i="154"/>
  <c r="K53" i="154" s="1"/>
  <c r="I55" i="151"/>
  <c r="J54" i="151"/>
  <c r="K53" i="151" s="1"/>
  <c r="J54" i="161"/>
  <c r="I55" i="161"/>
  <c r="E14" i="79"/>
  <c r="C13" i="79"/>
  <c r="J14" i="79"/>
  <c r="K14" i="79" s="1"/>
  <c r="K51" i="64"/>
  <c r="E12" i="62"/>
  <c r="C11" i="62"/>
  <c r="J12" i="62"/>
  <c r="K12" i="62" s="1"/>
  <c r="E15" i="56"/>
  <c r="C14" i="56"/>
  <c r="J15" i="56"/>
  <c r="K15" i="56" s="1"/>
  <c r="C12" i="167"/>
  <c r="E13" i="167"/>
  <c r="J13" i="167"/>
  <c r="K13" i="167" s="1"/>
  <c r="I55" i="138"/>
  <c r="J54" i="138"/>
  <c r="K53" i="138" s="1"/>
  <c r="I55" i="97"/>
  <c r="J54" i="97"/>
  <c r="E14" i="119"/>
  <c r="C13" i="119"/>
  <c r="J14" i="119"/>
  <c r="K14" i="119" s="1"/>
  <c r="K53" i="85"/>
  <c r="K52" i="85"/>
  <c r="GS16" i="2"/>
  <c r="K55" i="136"/>
  <c r="I54" i="163"/>
  <c r="J53" i="163"/>
  <c r="K52" i="163" s="1"/>
  <c r="I56" i="158"/>
  <c r="J55" i="158"/>
  <c r="K54" i="158" s="1"/>
  <c r="K51" i="40"/>
  <c r="E14" i="13"/>
  <c r="C13" i="13"/>
  <c r="J14" i="13"/>
  <c r="K14" i="13" s="1"/>
  <c r="IU14" i="2"/>
  <c r="C12" i="67"/>
  <c r="E13" i="67"/>
  <c r="J13" i="67"/>
  <c r="K13" i="67" s="1"/>
  <c r="C13" i="101"/>
  <c r="E14" i="101"/>
  <c r="J14" i="101"/>
  <c r="K14" i="101" s="1"/>
  <c r="K51" i="109"/>
  <c r="C12" i="118"/>
  <c r="E13" i="118"/>
  <c r="J13" i="118"/>
  <c r="K13" i="118" s="1"/>
  <c r="E14" i="108"/>
  <c r="C13" i="108"/>
  <c r="J14" i="108"/>
  <c r="K14" i="108" s="1"/>
  <c r="K52" i="121"/>
  <c r="EE16" i="2"/>
  <c r="C10" i="45"/>
  <c r="E11" i="45"/>
  <c r="J11" i="45"/>
  <c r="K11" i="45" s="1"/>
  <c r="E13" i="110"/>
  <c r="C12" i="110"/>
  <c r="J13" i="110"/>
  <c r="K13" i="110" s="1"/>
  <c r="I57" i="78"/>
  <c r="J56" i="78"/>
  <c r="I55" i="85"/>
  <c r="J54" i="85"/>
  <c r="K54" i="16"/>
  <c r="C13" i="48"/>
  <c r="E14" i="48"/>
  <c r="J14" i="48"/>
  <c r="K14" i="48" s="1"/>
  <c r="E15" i="55"/>
  <c r="C14" i="55"/>
  <c r="J15" i="55"/>
  <c r="K15" i="55" s="1"/>
  <c r="IU15" i="2"/>
  <c r="J57" i="42"/>
  <c r="I58" i="42"/>
  <c r="I56" i="173"/>
  <c r="J55" i="173"/>
  <c r="E13" i="57"/>
  <c r="C12" i="57"/>
  <c r="J13" i="57"/>
  <c r="K13" i="57" s="1"/>
  <c r="K54" i="77"/>
  <c r="C13" i="10"/>
  <c r="E14" i="10"/>
  <c r="J14" i="10"/>
  <c r="K14" i="10" s="1"/>
  <c r="K55" i="89"/>
  <c r="K52" i="100"/>
  <c r="K51" i="166"/>
  <c r="E15" i="42"/>
  <c r="C14" i="42"/>
  <c r="J15" i="42"/>
  <c r="K15" i="42" s="1"/>
  <c r="FV15" i="2"/>
  <c r="K55" i="78"/>
  <c r="J55" i="44"/>
  <c r="K54" i="44" s="1"/>
  <c r="I56" i="44"/>
  <c r="AI15" i="1"/>
  <c r="K55" i="122"/>
  <c r="E13" i="81"/>
  <c r="C12" i="81"/>
  <c r="J13" i="81"/>
  <c r="K13" i="81" s="1"/>
  <c r="J55" i="23"/>
  <c r="I56" i="23"/>
  <c r="E15" i="109"/>
  <c r="C14" i="109"/>
  <c r="ED15" i="2"/>
  <c r="J15" i="109"/>
  <c r="K15" i="109" s="1"/>
  <c r="I57" i="89"/>
  <c r="J56" i="89"/>
  <c r="J54" i="170"/>
  <c r="K53" i="170" s="1"/>
  <c r="I55" i="170"/>
  <c r="I55" i="87"/>
  <c r="J54" i="87"/>
  <c r="K53" i="87" s="1"/>
  <c r="I54" i="100"/>
  <c r="J53" i="100"/>
  <c r="J54" i="73"/>
  <c r="K53" i="73" s="1"/>
  <c r="I55" i="73"/>
  <c r="BQ16" i="1"/>
  <c r="K52" i="21"/>
  <c r="C14" i="14"/>
  <c r="E15" i="14"/>
  <c r="J15" i="14"/>
  <c r="K15" i="14" s="1"/>
  <c r="I57" i="29"/>
  <c r="J56" i="29"/>
  <c r="J58" i="75"/>
  <c r="K57" i="75" s="1"/>
  <c r="I59" i="75"/>
  <c r="I57" i="172"/>
  <c r="J56" i="172"/>
  <c r="J56" i="152"/>
  <c r="K55" i="152" s="1"/>
  <c r="I57" i="152"/>
  <c r="K51" i="100"/>
  <c r="C13" i="77"/>
  <c r="E14" i="77"/>
  <c r="J14" i="77"/>
  <c r="K14" i="77" s="1"/>
  <c r="AU16" i="2"/>
  <c r="I54" i="81"/>
  <c r="J53" i="81"/>
  <c r="C12" i="83"/>
  <c r="E13" i="83"/>
  <c r="J13" i="83"/>
  <c r="K13" i="83" s="1"/>
  <c r="J54" i="21"/>
  <c r="K53" i="21" s="1"/>
  <c r="I55" i="21"/>
  <c r="K54" i="62"/>
  <c r="I57" i="117"/>
  <c r="J56" i="117"/>
  <c r="K55" i="117" s="1"/>
  <c r="E14" i="140"/>
  <c r="C13" i="140"/>
  <c r="AI14" i="2"/>
  <c r="J14" i="140"/>
  <c r="K14" i="140" s="1"/>
  <c r="K53" i="76"/>
  <c r="K53" i="111"/>
  <c r="J53" i="147"/>
  <c r="K52" i="147" s="1"/>
  <c r="I54" i="147"/>
  <c r="E15" i="91"/>
  <c r="C14" i="91"/>
  <c r="J15" i="91"/>
  <c r="K15" i="91" s="1"/>
  <c r="J54" i="119"/>
  <c r="I55" i="119"/>
  <c r="C14" i="8"/>
  <c r="HC15" i="2"/>
  <c r="E15" i="8"/>
  <c r="BP15" i="1"/>
  <c r="J15" i="8"/>
  <c r="K15" i="8" s="1"/>
  <c r="C14" i="50"/>
  <c r="E15" i="50"/>
  <c r="AT15" i="2"/>
  <c r="J15" i="50"/>
  <c r="K15" i="50" s="1"/>
  <c r="K52" i="123"/>
  <c r="I55" i="76"/>
  <c r="J54" i="76"/>
  <c r="J54" i="168"/>
  <c r="I55" i="168"/>
  <c r="J54" i="169"/>
  <c r="K53" i="169" s="1"/>
  <c r="I55" i="169"/>
  <c r="I55" i="111"/>
  <c r="J54" i="111"/>
  <c r="C13" i="147"/>
  <c r="E14" i="147"/>
  <c r="J14" i="147"/>
  <c r="K14" i="147" s="1"/>
  <c r="HO15" i="2"/>
  <c r="C13" i="151"/>
  <c r="E14" i="151"/>
  <c r="J14" i="151"/>
  <c r="K14" i="151" s="1"/>
  <c r="I54" i="8"/>
  <c r="J53" i="8"/>
  <c r="K52" i="8" s="1"/>
  <c r="E12" i="39"/>
  <c r="C11" i="39"/>
  <c r="J12" i="39"/>
  <c r="K12" i="39" s="1"/>
  <c r="HD16" i="2"/>
  <c r="C12" i="94"/>
  <c r="E13" i="94"/>
  <c r="J13" i="94"/>
  <c r="K13" i="94" s="1"/>
  <c r="K54" i="51"/>
  <c r="I54" i="91"/>
  <c r="J53" i="91"/>
  <c r="E14" i="35"/>
  <c r="C13" i="35"/>
  <c r="J14" i="35"/>
  <c r="K14" i="35" s="1"/>
  <c r="I56" i="83"/>
  <c r="J55" i="83"/>
  <c r="K54" i="83" s="1"/>
  <c r="J54" i="155"/>
  <c r="K53" i="155" s="1"/>
  <c r="I55" i="155"/>
  <c r="K53" i="168"/>
  <c r="C11" i="173"/>
  <c r="E12" i="173"/>
  <c r="J12" i="173"/>
  <c r="K12" i="173" s="1"/>
  <c r="K54" i="124"/>
  <c r="K52" i="174"/>
  <c r="K51" i="174"/>
  <c r="C13" i="132"/>
  <c r="E14" i="132"/>
  <c r="J14" i="132"/>
  <c r="K14" i="132" s="1"/>
  <c r="K56" i="59"/>
  <c r="K51" i="11"/>
  <c r="E12" i="168"/>
  <c r="C11" i="168"/>
  <c r="J12" i="168"/>
  <c r="K12" i="168" s="1"/>
  <c r="K51" i="43"/>
  <c r="C14" i="92"/>
  <c r="E15" i="92"/>
  <c r="J15" i="92"/>
  <c r="K15" i="92" s="1"/>
  <c r="I56" i="113"/>
  <c r="J55" i="113"/>
  <c r="K54" i="113" s="1"/>
  <c r="I57" i="9"/>
  <c r="J56" i="9"/>
  <c r="K53" i="99"/>
  <c r="E15" i="93"/>
  <c r="C14" i="93"/>
  <c r="J15" i="93"/>
  <c r="K15" i="93" s="1"/>
  <c r="I55" i="31"/>
  <c r="J54" i="31"/>
  <c r="K53" i="53"/>
  <c r="K52" i="114"/>
  <c r="K55" i="79"/>
  <c r="I55" i="4"/>
  <c r="J54" i="4"/>
  <c r="K53" i="118"/>
  <c r="BQ16" i="2"/>
  <c r="J54" i="116"/>
  <c r="K53" i="116" s="1"/>
  <c r="I55" i="116"/>
  <c r="K52" i="111"/>
  <c r="E14" i="21"/>
  <c r="C13" i="21"/>
  <c r="J14" i="21"/>
  <c r="K14" i="21" s="1"/>
  <c r="C14" i="170"/>
  <c r="E15" i="170"/>
  <c r="J15" i="170"/>
  <c r="K15" i="170" s="1"/>
  <c r="CA15" i="2"/>
  <c r="E14" i="89"/>
  <c r="C13" i="89"/>
  <c r="J14" i="89"/>
  <c r="K14" i="89" s="1"/>
  <c r="HN14" i="2"/>
  <c r="E12" i="115"/>
  <c r="C11" i="115"/>
  <c r="J12" i="115"/>
  <c r="K12" i="115" s="1"/>
  <c r="C13" i="23"/>
  <c r="E14" i="23"/>
  <c r="J14" i="23"/>
  <c r="K14" i="23" s="1"/>
  <c r="E13" i="60"/>
  <c r="C12" i="60"/>
  <c r="J13" i="60"/>
  <c r="K13" i="60" s="1"/>
  <c r="E14" i="38"/>
  <c r="C13" i="38"/>
  <c r="J14" i="38"/>
  <c r="K14" i="38" s="1"/>
  <c r="K52" i="87"/>
  <c r="K51" i="58"/>
  <c r="C13" i="125"/>
  <c r="E14" i="125"/>
  <c r="J14" i="125"/>
  <c r="K14" i="125" s="1"/>
  <c r="C13" i="145"/>
  <c r="E14" i="145"/>
  <c r="J14" i="145"/>
  <c r="K14" i="145" s="1"/>
  <c r="I55" i="53"/>
  <c r="J54" i="53"/>
  <c r="E14" i="80"/>
  <c r="C13" i="80"/>
  <c r="J14" i="80"/>
  <c r="K14" i="80" s="1"/>
  <c r="I55" i="114"/>
  <c r="J54" i="114"/>
  <c r="K53" i="114" s="1"/>
  <c r="K55" i="22"/>
  <c r="K53" i="68"/>
  <c r="J53" i="141"/>
  <c r="K52" i="141" s="1"/>
  <c r="I54" i="141"/>
  <c r="K53" i="4"/>
  <c r="I55" i="153"/>
  <c r="J54" i="153"/>
  <c r="AU16" i="1"/>
  <c r="DI15" i="2"/>
  <c r="K56" i="12"/>
  <c r="J53" i="125"/>
  <c r="I54" i="125"/>
  <c r="E15" i="52"/>
  <c r="C14" i="52"/>
  <c r="BP15" i="2"/>
  <c r="J15" i="52"/>
  <c r="K15" i="52" s="1"/>
  <c r="K52" i="154"/>
  <c r="K52" i="116"/>
  <c r="C9" i="138"/>
  <c r="E10" i="138"/>
  <c r="J10" i="138"/>
  <c r="K10" i="138" s="1"/>
  <c r="J56" i="156"/>
  <c r="K55" i="156" s="1"/>
  <c r="I57" i="156"/>
  <c r="E15" i="58"/>
  <c r="C14" i="58"/>
  <c r="CA14" i="2" s="1"/>
  <c r="J15" i="58"/>
  <c r="K15" i="58" s="1"/>
  <c r="I57" i="132"/>
  <c r="J56" i="132"/>
  <c r="K51" i="160"/>
  <c r="I56" i="63"/>
  <c r="J55" i="63"/>
  <c r="I55" i="88"/>
  <c r="J54" i="88"/>
  <c r="J58" i="61"/>
  <c r="I59" i="61"/>
  <c r="K53" i="115"/>
  <c r="E14" i="156" l="1"/>
  <c r="C13" i="156"/>
  <c r="J14" i="156"/>
  <c r="K14" i="156" s="1"/>
  <c r="E13" i="149"/>
  <c r="J13" i="149"/>
  <c r="K13" i="149" s="1"/>
  <c r="C12" i="149"/>
  <c r="E14" i="130"/>
  <c r="C13" i="130"/>
  <c r="J14" i="130"/>
  <c r="K14" i="130" s="1"/>
  <c r="C8" i="98"/>
  <c r="J9" i="98"/>
  <c r="K9" i="98" s="1"/>
  <c r="E9" i="98"/>
  <c r="E14" i="74"/>
  <c r="C13" i="74"/>
  <c r="J14" i="74"/>
  <c r="K14" i="74" s="1"/>
  <c r="J13" i="61"/>
  <c r="K13" i="61" s="1"/>
  <c r="C12" i="61"/>
  <c r="E13" i="61"/>
  <c r="C12" i="59"/>
  <c r="J13" i="59"/>
  <c r="K13" i="59" s="1"/>
  <c r="E13" i="59"/>
  <c r="C13" i="150"/>
  <c r="E14" i="150"/>
  <c r="J14" i="150"/>
  <c r="K14" i="150" s="1"/>
  <c r="CM14" i="2"/>
  <c r="CB14" i="2"/>
  <c r="E11" i="69"/>
  <c r="C10" i="69"/>
  <c r="J11" i="69"/>
  <c r="K11" i="69" s="1"/>
  <c r="C11" i="112"/>
  <c r="E12" i="112"/>
  <c r="J12" i="112"/>
  <c r="K12" i="112" s="1"/>
  <c r="E11" i="127"/>
  <c r="C10" i="127"/>
  <c r="J11" i="127"/>
  <c r="K11" i="127" s="1"/>
  <c r="FA14" i="2"/>
  <c r="E10" i="105"/>
  <c r="C9" i="105"/>
  <c r="J10" i="105"/>
  <c r="K10" i="105" s="1"/>
  <c r="C13" i="12"/>
  <c r="E14" i="12"/>
  <c r="X14" i="2"/>
  <c r="M14" i="1"/>
  <c r="J14" i="12"/>
  <c r="K14" i="12" s="1"/>
  <c r="E12" i="4"/>
  <c r="C11" i="4"/>
  <c r="J12" i="4"/>
  <c r="K12" i="4" s="1"/>
  <c r="E13" i="132"/>
  <c r="C12" i="132"/>
  <c r="J13" i="132"/>
  <c r="K13" i="132" s="1"/>
  <c r="C12" i="77"/>
  <c r="E13" i="77"/>
  <c r="J13" i="77"/>
  <c r="K13" i="77" s="1"/>
  <c r="E12" i="118"/>
  <c r="C11" i="118"/>
  <c r="J12" i="118"/>
  <c r="K12" i="118" s="1"/>
  <c r="I58" i="135"/>
  <c r="J57" i="135"/>
  <c r="I56" i="108"/>
  <c r="J55" i="108"/>
  <c r="E13" i="134"/>
  <c r="C12" i="134"/>
  <c r="EZ13" i="2"/>
  <c r="J13" i="134"/>
  <c r="K13" i="134" s="1"/>
  <c r="I55" i="110"/>
  <c r="J54" i="110"/>
  <c r="K53" i="110" s="1"/>
  <c r="C13" i="158"/>
  <c r="E14" i="158"/>
  <c r="J14" i="158"/>
  <c r="K14" i="158" s="1"/>
  <c r="C8" i="32"/>
  <c r="E9" i="32"/>
  <c r="J9" i="32"/>
  <c r="K9" i="32" s="1"/>
  <c r="J55" i="106"/>
  <c r="K54" i="106" s="1"/>
  <c r="I56" i="106"/>
  <c r="C11" i="116"/>
  <c r="E12" i="116"/>
  <c r="J12" i="116"/>
  <c r="K12" i="116" s="1"/>
  <c r="E12" i="148"/>
  <c r="C11" i="148"/>
  <c r="J12" i="148"/>
  <c r="K12" i="148" s="1"/>
  <c r="E12" i="54"/>
  <c r="C11" i="54"/>
  <c r="J12" i="54"/>
  <c r="K12" i="54" s="1"/>
  <c r="J54" i="8"/>
  <c r="I55" i="8"/>
  <c r="J55" i="153"/>
  <c r="I56" i="153"/>
  <c r="EE15" i="2"/>
  <c r="J56" i="173"/>
  <c r="I57" i="173"/>
  <c r="K54" i="173"/>
  <c r="E12" i="167"/>
  <c r="C11" i="167"/>
  <c r="J12" i="167"/>
  <c r="K12" i="167" s="1"/>
  <c r="K56" i="135"/>
  <c r="E14" i="46"/>
  <c r="C13" i="46"/>
  <c r="J14" i="46"/>
  <c r="K14" i="46" s="1"/>
  <c r="I55" i="58"/>
  <c r="J54" i="58"/>
  <c r="K53" i="58" s="1"/>
  <c r="E13" i="154"/>
  <c r="C12" i="154"/>
  <c r="J13" i="154"/>
  <c r="K13" i="154" s="1"/>
  <c r="K53" i="38"/>
  <c r="E11" i="73"/>
  <c r="C10" i="73"/>
  <c r="J11" i="73"/>
  <c r="K11" i="73" s="1"/>
  <c r="C11" i="103"/>
  <c r="E12" i="103"/>
  <c r="J12" i="103"/>
  <c r="K12" i="103" s="1"/>
  <c r="I56" i="56"/>
  <c r="J55" i="56"/>
  <c r="K54" i="56" s="1"/>
  <c r="K53" i="171"/>
  <c r="K52" i="171"/>
  <c r="I58" i="13"/>
  <c r="J57" i="13"/>
  <c r="E14" i="109"/>
  <c r="C13" i="109"/>
  <c r="ED14" i="2"/>
  <c r="J14" i="109"/>
  <c r="K14" i="109" s="1"/>
  <c r="I59" i="42"/>
  <c r="J58" i="42"/>
  <c r="K53" i="162"/>
  <c r="I56" i="137"/>
  <c r="J55" i="137"/>
  <c r="K54" i="137" s="1"/>
  <c r="J54" i="38"/>
  <c r="I55" i="38"/>
  <c r="J55" i="123"/>
  <c r="K54" i="123" s="1"/>
  <c r="I56" i="123"/>
  <c r="J57" i="164"/>
  <c r="I58" i="164"/>
  <c r="K56" i="51"/>
  <c r="K56" i="32"/>
  <c r="J54" i="171"/>
  <c r="I55" i="171"/>
  <c r="J57" i="16"/>
  <c r="K56" i="16" s="1"/>
  <c r="I58" i="16"/>
  <c r="E12" i="126"/>
  <c r="C11" i="126"/>
  <c r="J12" i="126"/>
  <c r="K12" i="126" s="1"/>
  <c r="E14" i="56"/>
  <c r="C13" i="56"/>
  <c r="J14" i="56"/>
  <c r="K14" i="56" s="1"/>
  <c r="I60" i="74"/>
  <c r="J59" i="74"/>
  <c r="K58" i="74" s="1"/>
  <c r="K52" i="58"/>
  <c r="C13" i="174"/>
  <c r="E14" i="174"/>
  <c r="J14" i="174"/>
  <c r="K14" i="174" s="1"/>
  <c r="J56" i="66"/>
  <c r="K55" i="66" s="1"/>
  <c r="I57" i="66"/>
  <c r="I58" i="51"/>
  <c r="J57" i="51"/>
  <c r="I59" i="32"/>
  <c r="J58" i="32"/>
  <c r="K57" i="32" s="1"/>
  <c r="CM15" i="2"/>
  <c r="C9" i="165"/>
  <c r="E10" i="165"/>
  <c r="J10" i="165"/>
  <c r="K10" i="165" s="1"/>
  <c r="J55" i="103"/>
  <c r="K54" i="103" s="1"/>
  <c r="I56" i="103"/>
  <c r="E10" i="43"/>
  <c r="C9" i="43"/>
  <c r="J10" i="43"/>
  <c r="K10" i="43" s="1"/>
  <c r="K53" i="153"/>
  <c r="J54" i="147"/>
  <c r="I55" i="147"/>
  <c r="I57" i="23"/>
  <c r="J56" i="23"/>
  <c r="IV15" i="2"/>
  <c r="K52" i="112"/>
  <c r="K53" i="108"/>
  <c r="E13" i="36"/>
  <c r="C12" i="36"/>
  <c r="J13" i="36"/>
  <c r="K13" i="36" s="1"/>
  <c r="E13" i="164"/>
  <c r="C12" i="164"/>
  <c r="J13" i="164"/>
  <c r="K13" i="164" s="1"/>
  <c r="I57" i="28"/>
  <c r="J56" i="28"/>
  <c r="J54" i="35"/>
  <c r="I55" i="35"/>
  <c r="E14" i="90"/>
  <c r="C13" i="90"/>
  <c r="J14" i="90"/>
  <c r="K14" i="90" s="1"/>
  <c r="I56" i="33"/>
  <c r="J55" i="33"/>
  <c r="E11" i="51"/>
  <c r="C10" i="51"/>
  <c r="J11" i="51"/>
  <c r="K11" i="51" s="1"/>
  <c r="I56" i="4"/>
  <c r="J55" i="4"/>
  <c r="I55" i="112"/>
  <c r="J54" i="112"/>
  <c r="K53" i="112" s="1"/>
  <c r="N14" i="2"/>
  <c r="J56" i="167"/>
  <c r="I57" i="167"/>
  <c r="J59" i="145"/>
  <c r="I60" i="145"/>
  <c r="I58" i="77"/>
  <c r="J57" i="77"/>
  <c r="K53" i="35"/>
  <c r="E13" i="162"/>
  <c r="C12" i="162"/>
  <c r="J13" i="162"/>
  <c r="K13" i="162" s="1"/>
  <c r="K55" i="16"/>
  <c r="C11" i="16"/>
  <c r="E12" i="16"/>
  <c r="J12" i="16"/>
  <c r="K12" i="16" s="1"/>
  <c r="C12" i="151"/>
  <c r="E13" i="151"/>
  <c r="J13" i="151"/>
  <c r="K13" i="151" s="1"/>
  <c r="HO14" i="2"/>
  <c r="J57" i="172"/>
  <c r="I58" i="172"/>
  <c r="E14" i="55"/>
  <c r="C13" i="55"/>
  <c r="J14" i="55"/>
  <c r="K14" i="55" s="1"/>
  <c r="E13" i="101"/>
  <c r="C12" i="101"/>
  <c r="J13" i="101"/>
  <c r="K13" i="101" s="1"/>
  <c r="E11" i="62"/>
  <c r="C10" i="62"/>
  <c r="J11" i="62"/>
  <c r="K11" i="62" s="1"/>
  <c r="E13" i="33"/>
  <c r="C12" i="33"/>
  <c r="J13" i="33"/>
  <c r="K13" i="33" s="1"/>
  <c r="J54" i="47"/>
  <c r="I55" i="47"/>
  <c r="E12" i="11"/>
  <c r="C11" i="11"/>
  <c r="J12" i="11"/>
  <c r="K12" i="11" s="1"/>
  <c r="K53" i="137"/>
  <c r="I58" i="26"/>
  <c r="J57" i="26"/>
  <c r="C12" i="142"/>
  <c r="E13" i="142"/>
  <c r="J13" i="142"/>
  <c r="K13" i="142" s="1"/>
  <c r="D53" i="2"/>
  <c r="DU53" i="2"/>
  <c r="FM53" i="2"/>
  <c r="IW53" i="2"/>
  <c r="IA53" i="2"/>
  <c r="BG53" i="2"/>
  <c r="HP53" i="2"/>
  <c r="EQ53" i="2"/>
  <c r="CY53" i="2"/>
  <c r="DJ53" i="2"/>
  <c r="FB53" i="2"/>
  <c r="FX53" i="2"/>
  <c r="GT53" i="2"/>
  <c r="CC53" i="2"/>
  <c r="BR53" i="2"/>
  <c r="IL53" i="2"/>
  <c r="AV53" i="2"/>
  <c r="O53" i="2"/>
  <c r="HE53" i="2"/>
  <c r="AK53" i="2"/>
  <c r="CN53" i="2"/>
  <c r="Z53" i="2"/>
  <c r="EF53" i="2"/>
  <c r="K56" i="77"/>
  <c r="K54" i="28"/>
  <c r="E11" i="124"/>
  <c r="C10" i="124"/>
  <c r="J11" i="124"/>
  <c r="K11" i="124" s="1"/>
  <c r="Y15" i="1"/>
  <c r="J57" i="101"/>
  <c r="I58" i="101"/>
  <c r="E12" i="161"/>
  <c r="C11" i="161"/>
  <c r="J12" i="161"/>
  <c r="K12" i="161" s="1"/>
  <c r="J54" i="43"/>
  <c r="I55" i="43"/>
  <c r="D53" i="1"/>
  <c r="O53" i="1"/>
  <c r="AV53" i="1"/>
  <c r="Z53" i="1"/>
  <c r="BR53" i="1"/>
  <c r="AK53" i="1"/>
  <c r="CC53" i="1"/>
  <c r="E13" i="78"/>
  <c r="C12" i="78"/>
  <c r="J13" i="78"/>
  <c r="K13" i="78" s="1"/>
  <c r="E13" i="31"/>
  <c r="C12" i="31"/>
  <c r="J13" i="31"/>
  <c r="K13" i="31" s="1"/>
  <c r="E14" i="50"/>
  <c r="C13" i="50"/>
  <c r="AT14" i="2"/>
  <c r="J14" i="50"/>
  <c r="K14" i="50" s="1"/>
  <c r="C11" i="60"/>
  <c r="E12" i="60"/>
  <c r="J12" i="60"/>
  <c r="K12" i="60" s="1"/>
  <c r="E13" i="89"/>
  <c r="C12" i="89"/>
  <c r="J13" i="89"/>
  <c r="K13" i="89" s="1"/>
  <c r="I60" i="75"/>
  <c r="J59" i="75"/>
  <c r="I55" i="17"/>
  <c r="J54" i="17"/>
  <c r="I60" i="134"/>
  <c r="J59" i="134"/>
  <c r="K52" i="47"/>
  <c r="J58" i="14"/>
  <c r="K57" i="14" s="1"/>
  <c r="I59" i="14"/>
  <c r="E12" i="144"/>
  <c r="C11" i="144"/>
  <c r="J12" i="144"/>
  <c r="K12" i="144" s="1"/>
  <c r="I56" i="104"/>
  <c r="J55" i="104"/>
  <c r="EP14" i="2"/>
  <c r="K53" i="123"/>
  <c r="BG53" i="1"/>
  <c r="BF53" i="1"/>
  <c r="I55" i="109"/>
  <c r="J54" i="109"/>
  <c r="K53" i="109" s="1"/>
  <c r="I59" i="27"/>
  <c r="J58" i="27"/>
  <c r="K57" i="27" s="1"/>
  <c r="E14" i="29"/>
  <c r="C13" i="29"/>
  <c r="J14" i="29"/>
  <c r="K14" i="29" s="1"/>
  <c r="E12" i="135"/>
  <c r="C11" i="135"/>
  <c r="J12" i="135"/>
  <c r="K12" i="135" s="1"/>
  <c r="E13" i="96"/>
  <c r="C12" i="96"/>
  <c r="J13" i="96"/>
  <c r="K13" i="96" s="1"/>
  <c r="C12" i="147"/>
  <c r="E13" i="147"/>
  <c r="J13" i="147"/>
  <c r="K13" i="147" s="1"/>
  <c r="C10" i="173"/>
  <c r="E11" i="173"/>
  <c r="J11" i="173"/>
  <c r="K11" i="173" s="1"/>
  <c r="K58" i="75"/>
  <c r="K56" i="42"/>
  <c r="E12" i="67"/>
  <c r="C11" i="67"/>
  <c r="J12" i="67"/>
  <c r="K12" i="67" s="1"/>
  <c r="K57" i="74"/>
  <c r="J56" i="60"/>
  <c r="K55" i="60" s="1"/>
  <c r="I57" i="60"/>
  <c r="K54" i="104"/>
  <c r="GI53" i="2"/>
  <c r="GH53" i="2"/>
  <c r="K55" i="164"/>
  <c r="E12" i="18"/>
  <c r="C11" i="18"/>
  <c r="J12" i="18"/>
  <c r="K12" i="18" s="1"/>
  <c r="C12" i="122"/>
  <c r="E13" i="122"/>
  <c r="J13" i="122"/>
  <c r="K13" i="122" s="1"/>
  <c r="E14" i="91"/>
  <c r="C13" i="91"/>
  <c r="J14" i="91"/>
  <c r="K14" i="91" s="1"/>
  <c r="C10" i="115"/>
  <c r="E11" i="115"/>
  <c r="J11" i="115"/>
  <c r="K11" i="115" s="1"/>
  <c r="I56" i="31"/>
  <c r="J55" i="31"/>
  <c r="CB15" i="2"/>
  <c r="I56" i="111"/>
  <c r="J55" i="111"/>
  <c r="K54" i="111" s="1"/>
  <c r="C12" i="48"/>
  <c r="E13" i="48"/>
  <c r="J13" i="48"/>
  <c r="K13" i="48" s="1"/>
  <c r="IV14" i="2"/>
  <c r="E14" i="53"/>
  <c r="C13" i="53"/>
  <c r="J14" i="53"/>
  <c r="K14" i="53" s="1"/>
  <c r="I55" i="36"/>
  <c r="J54" i="36"/>
  <c r="K53" i="36" s="1"/>
  <c r="I57" i="25"/>
  <c r="J56" i="25"/>
  <c r="K55" i="25" s="1"/>
  <c r="J56" i="93"/>
  <c r="I57" i="93"/>
  <c r="E13" i="97"/>
  <c r="C12" i="97"/>
  <c r="EO13" i="2"/>
  <c r="J13" i="97"/>
  <c r="K13" i="97" s="1"/>
  <c r="I57" i="149"/>
  <c r="J56" i="149"/>
  <c r="K55" i="149" s="1"/>
  <c r="C51" i="24"/>
  <c r="E52" i="24"/>
  <c r="GG52" i="2"/>
  <c r="BE52" i="1"/>
  <c r="C52" i="1"/>
  <c r="C52" i="2"/>
  <c r="J52" i="24"/>
  <c r="K52" i="24" s="1"/>
  <c r="I57" i="118"/>
  <c r="J56" i="118"/>
  <c r="E12" i="66"/>
  <c r="C11" i="66"/>
  <c r="J12" i="66"/>
  <c r="K12" i="66" s="1"/>
  <c r="I55" i="120"/>
  <c r="J54" i="120"/>
  <c r="K53" i="120" s="1"/>
  <c r="K55" i="157"/>
  <c r="C8" i="146"/>
  <c r="E9" i="146"/>
  <c r="J9" i="146"/>
  <c r="K9" i="146" s="1"/>
  <c r="I60" i="15"/>
  <c r="J59" i="15"/>
  <c r="K58" i="15" s="1"/>
  <c r="E12" i="68"/>
  <c r="C11" i="68"/>
  <c r="J12" i="68"/>
  <c r="K12" i="68" s="1"/>
  <c r="I58" i="142"/>
  <c r="J57" i="142"/>
  <c r="K56" i="142" s="1"/>
  <c r="C13" i="172"/>
  <c r="E14" i="172"/>
  <c r="J14" i="172"/>
  <c r="K14" i="172" s="1"/>
  <c r="E11" i="159"/>
  <c r="C10" i="159"/>
  <c r="J11" i="159"/>
  <c r="K11" i="159" s="1"/>
  <c r="E14" i="27"/>
  <c r="C13" i="27"/>
  <c r="J14" i="27"/>
  <c r="K14" i="27" s="1"/>
  <c r="I58" i="98"/>
  <c r="J57" i="98"/>
  <c r="K56" i="98" s="1"/>
  <c r="K53" i="56"/>
  <c r="J56" i="157"/>
  <c r="I57" i="157"/>
  <c r="AU15" i="1"/>
  <c r="E14" i="52"/>
  <c r="C13" i="52"/>
  <c r="BP14" i="2"/>
  <c r="J14" i="52"/>
  <c r="K14" i="52" s="1"/>
  <c r="K52" i="125"/>
  <c r="K53" i="119"/>
  <c r="E12" i="81"/>
  <c r="C11" i="81"/>
  <c r="J12" i="81"/>
  <c r="K12" i="81" s="1"/>
  <c r="E14" i="143"/>
  <c r="C13" i="143"/>
  <c r="J14" i="143"/>
  <c r="K14" i="143" s="1"/>
  <c r="K53" i="17"/>
  <c r="IK15" i="2"/>
  <c r="AJ14" i="2"/>
  <c r="J57" i="29"/>
  <c r="I58" i="29"/>
  <c r="E13" i="80"/>
  <c r="C12" i="80"/>
  <c r="J13" i="80"/>
  <c r="K13" i="80" s="1"/>
  <c r="E13" i="140"/>
  <c r="C12" i="140"/>
  <c r="J13" i="140"/>
  <c r="K13" i="140" s="1"/>
  <c r="K55" i="29"/>
  <c r="E13" i="13"/>
  <c r="C12" i="13"/>
  <c r="J13" i="13"/>
  <c r="K13" i="13" s="1"/>
  <c r="E13" i="79"/>
  <c r="C12" i="79"/>
  <c r="J13" i="79"/>
  <c r="K13" i="79" s="1"/>
  <c r="C13" i="121"/>
  <c r="E14" i="121"/>
  <c r="J14" i="121"/>
  <c r="K14" i="121" s="1"/>
  <c r="E11" i="141"/>
  <c r="C10" i="141"/>
  <c r="J11" i="141"/>
  <c r="K11" i="141" s="1"/>
  <c r="E13" i="153"/>
  <c r="C12" i="153"/>
  <c r="J13" i="153"/>
  <c r="K13" i="153" s="1"/>
  <c r="K55" i="101"/>
  <c r="J54" i="105"/>
  <c r="I55" i="105"/>
  <c r="K52" i="43"/>
  <c r="E14" i="7"/>
  <c r="C13" i="7"/>
  <c r="AT14" i="1"/>
  <c r="J14" i="7"/>
  <c r="K14" i="7" s="1"/>
  <c r="E14" i="58"/>
  <c r="C13" i="58"/>
  <c r="CA13" i="2" s="1"/>
  <c r="J14" i="58"/>
  <c r="K14" i="58" s="1"/>
  <c r="J55" i="155"/>
  <c r="K54" i="155" s="1"/>
  <c r="I56" i="155"/>
  <c r="AJ15" i="1"/>
  <c r="I58" i="156"/>
  <c r="J57" i="156"/>
  <c r="K56" i="156" s="1"/>
  <c r="E14" i="170"/>
  <c r="C13" i="170"/>
  <c r="J14" i="170"/>
  <c r="K14" i="170" s="1"/>
  <c r="J57" i="9"/>
  <c r="K56" i="9" s="1"/>
  <c r="I58" i="9"/>
  <c r="K55" i="9"/>
  <c r="I56" i="168"/>
  <c r="J55" i="168"/>
  <c r="I57" i="44"/>
  <c r="J56" i="44"/>
  <c r="K55" i="44" s="1"/>
  <c r="CX14" i="2"/>
  <c r="I56" i="39"/>
  <c r="J55" i="39"/>
  <c r="J56" i="139"/>
  <c r="I57" i="139"/>
  <c r="J54" i="55"/>
  <c r="I55" i="55"/>
  <c r="I56" i="70"/>
  <c r="J55" i="70"/>
  <c r="K54" i="70" s="1"/>
  <c r="I57" i="129"/>
  <c r="J56" i="129"/>
  <c r="K55" i="129" s="1"/>
  <c r="C11" i="113"/>
  <c r="E12" i="113"/>
  <c r="J12" i="113"/>
  <c r="K12" i="113" s="1"/>
  <c r="K53" i="105"/>
  <c r="K55" i="13"/>
  <c r="I59" i="71"/>
  <c r="J58" i="71"/>
  <c r="K57" i="71" s="1"/>
  <c r="I56" i="73"/>
  <c r="J55" i="73"/>
  <c r="K54" i="73" s="1"/>
  <c r="I60" i="61"/>
  <c r="J59" i="61"/>
  <c r="J57" i="89"/>
  <c r="I58" i="89"/>
  <c r="I56" i="88"/>
  <c r="J55" i="88"/>
  <c r="K54" i="168"/>
  <c r="I56" i="85"/>
  <c r="J55" i="85"/>
  <c r="K54" i="85" s="1"/>
  <c r="I56" i="161"/>
  <c r="J55" i="161"/>
  <c r="K54" i="161" s="1"/>
  <c r="E10" i="111"/>
  <c r="C9" i="111"/>
  <c r="J10" i="111"/>
  <c r="K10" i="111" s="1"/>
  <c r="I56" i="57"/>
  <c r="J55" i="57"/>
  <c r="K55" i="26"/>
  <c r="E9" i="87"/>
  <c r="C8" i="87"/>
  <c r="J9" i="87"/>
  <c r="K9" i="87" s="1"/>
  <c r="E12" i="64"/>
  <c r="C11" i="64"/>
  <c r="J12" i="64"/>
  <c r="K12" i="64" s="1"/>
  <c r="J58" i="94"/>
  <c r="I59" i="94"/>
  <c r="I56" i="114"/>
  <c r="J55" i="114"/>
  <c r="I56" i="169"/>
  <c r="J55" i="169"/>
  <c r="K54" i="169" s="1"/>
  <c r="J55" i="53"/>
  <c r="I56" i="53"/>
  <c r="E13" i="21"/>
  <c r="C12" i="21"/>
  <c r="J13" i="21"/>
  <c r="K13" i="21" s="1"/>
  <c r="I57" i="113"/>
  <c r="J56" i="113"/>
  <c r="K55" i="113" s="1"/>
  <c r="I57" i="83"/>
  <c r="J56" i="83"/>
  <c r="K55" i="83" s="1"/>
  <c r="C13" i="14"/>
  <c r="E14" i="14"/>
  <c r="J14" i="14"/>
  <c r="K14" i="14" s="1"/>
  <c r="E11" i="26"/>
  <c r="C10" i="26"/>
  <c r="J11" i="26"/>
  <c r="K11" i="26" s="1"/>
  <c r="I57" i="10"/>
  <c r="J56" i="10"/>
  <c r="K55" i="10" s="1"/>
  <c r="J54" i="130"/>
  <c r="I55" i="130"/>
  <c r="J55" i="3"/>
  <c r="K54" i="3" s="1"/>
  <c r="I56" i="3"/>
  <c r="I60" i="46"/>
  <c r="J59" i="46"/>
  <c r="K58" i="46" s="1"/>
  <c r="J55" i="50"/>
  <c r="I56" i="50"/>
  <c r="I56" i="54"/>
  <c r="J55" i="54"/>
  <c r="J56" i="72"/>
  <c r="I57" i="72"/>
  <c r="K57" i="94"/>
  <c r="J55" i="76"/>
  <c r="K54" i="76" s="1"/>
  <c r="I56" i="76"/>
  <c r="FW15" i="2"/>
  <c r="I58" i="78"/>
  <c r="J57" i="78"/>
  <c r="K56" i="78" s="1"/>
  <c r="I57" i="158"/>
  <c r="J56" i="158"/>
  <c r="K55" i="158" s="1"/>
  <c r="J57" i="128"/>
  <c r="K56" i="128" s="1"/>
  <c r="I58" i="128"/>
  <c r="I55" i="102"/>
  <c r="J54" i="102"/>
  <c r="K54" i="25"/>
  <c r="I55" i="11"/>
  <c r="J54" i="11"/>
  <c r="K58" i="7"/>
  <c r="K56" i="62"/>
  <c r="I57" i="165"/>
  <c r="J56" i="165"/>
  <c r="E14" i="136"/>
  <c r="C13" i="136"/>
  <c r="J14" i="136"/>
  <c r="K14" i="136" s="1"/>
  <c r="K53" i="174"/>
  <c r="I58" i="132"/>
  <c r="J57" i="132"/>
  <c r="C8" i="138"/>
  <c r="E9" i="138"/>
  <c r="J9" i="138"/>
  <c r="K9" i="138" s="1"/>
  <c r="J55" i="151"/>
  <c r="K54" i="151" s="1"/>
  <c r="I56" i="151"/>
  <c r="J59" i="7"/>
  <c r="I60" i="7"/>
  <c r="I58" i="62"/>
  <c r="J57" i="62"/>
  <c r="I55" i="146"/>
  <c r="J54" i="146"/>
  <c r="K53" i="146" s="1"/>
  <c r="K56" i="122"/>
  <c r="E13" i="114"/>
  <c r="C12" i="114"/>
  <c r="J13" i="114"/>
  <c r="K13" i="114" s="1"/>
  <c r="K55" i="165"/>
  <c r="K54" i="165"/>
  <c r="E11" i="85"/>
  <c r="C10" i="85"/>
  <c r="J11" i="85"/>
  <c r="K11" i="85" s="1"/>
  <c r="E13" i="15"/>
  <c r="C12" i="15"/>
  <c r="J13" i="15"/>
  <c r="K13" i="15" s="1"/>
  <c r="I55" i="174"/>
  <c r="J54" i="174"/>
  <c r="C13" i="93"/>
  <c r="E14" i="93"/>
  <c r="J14" i="93"/>
  <c r="K14" i="93" s="1"/>
  <c r="E13" i="35"/>
  <c r="C12" i="35"/>
  <c r="J13" i="35"/>
  <c r="K13" i="35" s="1"/>
  <c r="J58" i="24"/>
  <c r="I59" i="24"/>
  <c r="E11" i="47"/>
  <c r="C10" i="47"/>
  <c r="J11" i="47"/>
  <c r="K11" i="47" s="1"/>
  <c r="J57" i="107"/>
  <c r="I58" i="107"/>
  <c r="J54" i="166"/>
  <c r="I55" i="166"/>
  <c r="I59" i="82"/>
  <c r="J58" i="82"/>
  <c r="C12" i="145"/>
  <c r="E13" i="145"/>
  <c r="J13" i="145"/>
  <c r="K13" i="145" s="1"/>
  <c r="J55" i="116"/>
  <c r="K54" i="116" s="1"/>
  <c r="I56" i="116"/>
  <c r="E14" i="92"/>
  <c r="C13" i="92"/>
  <c r="J14" i="92"/>
  <c r="K14" i="92" s="1"/>
  <c r="I58" i="117"/>
  <c r="J57" i="117"/>
  <c r="GR14" i="2"/>
  <c r="C13" i="42"/>
  <c r="E14" i="42"/>
  <c r="J14" i="42"/>
  <c r="K14" i="42" s="1"/>
  <c r="FV14" i="2"/>
  <c r="J54" i="163"/>
  <c r="I55" i="163"/>
  <c r="E13" i="20"/>
  <c r="C12" i="20"/>
  <c r="J13" i="20"/>
  <c r="K13" i="20" s="1"/>
  <c r="I56" i="126"/>
  <c r="J55" i="126"/>
  <c r="K54" i="126" s="1"/>
  <c r="K54" i="167"/>
  <c r="K52" i="36"/>
  <c r="K54" i="10"/>
  <c r="K52" i="110"/>
  <c r="E13" i="63"/>
  <c r="C12" i="63"/>
  <c r="J13" i="63"/>
  <c r="K13" i="63" s="1"/>
  <c r="J57" i="122"/>
  <c r="I58" i="122"/>
  <c r="J56" i="92"/>
  <c r="I57" i="92"/>
  <c r="C13" i="152"/>
  <c r="E14" i="152"/>
  <c r="J14" i="152"/>
  <c r="K14" i="152" s="1"/>
  <c r="J55" i="131"/>
  <c r="K54" i="131" s="1"/>
  <c r="I56" i="131"/>
  <c r="K54" i="72"/>
  <c r="K52" i="81"/>
  <c r="E12" i="110"/>
  <c r="C11" i="110"/>
  <c r="J12" i="110"/>
  <c r="K12" i="110" s="1"/>
  <c r="I56" i="154"/>
  <c r="J55" i="154"/>
  <c r="C10" i="37"/>
  <c r="E11" i="37"/>
  <c r="J11" i="37"/>
  <c r="K11" i="37" s="1"/>
  <c r="K58" i="133"/>
  <c r="K52" i="109"/>
  <c r="E11" i="84"/>
  <c r="C10" i="84"/>
  <c r="J11" i="84"/>
  <c r="K11" i="84" s="1"/>
  <c r="K57" i="59"/>
  <c r="C12" i="23"/>
  <c r="E13" i="23"/>
  <c r="J13" i="23"/>
  <c r="K13" i="23" s="1"/>
  <c r="I58" i="152"/>
  <c r="J57" i="152"/>
  <c r="K57" i="61"/>
  <c r="I57" i="63"/>
  <c r="J56" i="63"/>
  <c r="I55" i="141"/>
  <c r="J54" i="141"/>
  <c r="K53" i="141" s="1"/>
  <c r="K53" i="147"/>
  <c r="K54" i="63"/>
  <c r="K55" i="132"/>
  <c r="K52" i="91"/>
  <c r="K53" i="31"/>
  <c r="J54" i="91"/>
  <c r="I55" i="91"/>
  <c r="I56" i="21"/>
  <c r="J55" i="21"/>
  <c r="I56" i="86"/>
  <c r="J55" i="86"/>
  <c r="I55" i="34"/>
  <c r="J54" i="34"/>
  <c r="K53" i="34" s="1"/>
  <c r="C13" i="3"/>
  <c r="E14" i="3"/>
  <c r="J14" i="3"/>
  <c r="K14" i="3" s="1"/>
  <c r="I60" i="133"/>
  <c r="J59" i="133"/>
  <c r="C12" i="71"/>
  <c r="E13" i="71"/>
  <c r="J13" i="71"/>
  <c r="K13" i="71" s="1"/>
  <c r="E10" i="34"/>
  <c r="C9" i="34"/>
  <c r="J10" i="34"/>
  <c r="K10" i="34" s="1"/>
  <c r="E7" i="82"/>
  <c r="C6" i="82"/>
  <c r="J7" i="82"/>
  <c r="K7" i="82" s="1"/>
  <c r="E11" i="72"/>
  <c r="C10" i="72"/>
  <c r="J11" i="72"/>
  <c r="K11" i="72" s="1"/>
  <c r="E9" i="30"/>
  <c r="C8" i="30"/>
  <c r="J9" i="30"/>
  <c r="K9" i="30" s="1"/>
  <c r="E12" i="139"/>
  <c r="C11" i="139"/>
  <c r="J12" i="139"/>
  <c r="K12" i="139" s="1"/>
  <c r="K53" i="5"/>
  <c r="J54" i="148"/>
  <c r="K53" i="148" s="1"/>
  <c r="I55" i="148"/>
  <c r="I56" i="119"/>
  <c r="J55" i="119"/>
  <c r="K54" i="119" s="1"/>
  <c r="BQ15" i="2"/>
  <c r="AU15" i="2"/>
  <c r="K54" i="21"/>
  <c r="C12" i="44"/>
  <c r="E13" i="44"/>
  <c r="J13" i="44"/>
  <c r="K13" i="44" s="1"/>
  <c r="E11" i="123"/>
  <c r="C10" i="123"/>
  <c r="J11" i="123"/>
  <c r="K11" i="123" s="1"/>
  <c r="K57" i="79"/>
  <c r="I56" i="84"/>
  <c r="J55" i="84"/>
  <c r="K54" i="84" s="1"/>
  <c r="E12" i="22"/>
  <c r="C11" i="22"/>
  <c r="J12" i="22"/>
  <c r="K12" i="22" s="1"/>
  <c r="E14" i="28"/>
  <c r="C13" i="28"/>
  <c r="J14" i="28"/>
  <c r="K14" i="28" s="1"/>
  <c r="J54" i="95"/>
  <c r="K53" i="95" s="1"/>
  <c r="I55" i="95"/>
  <c r="J54" i="96"/>
  <c r="K53" i="96" s="1"/>
  <c r="I55" i="96"/>
  <c r="K55" i="51"/>
  <c r="FK14" i="2"/>
  <c r="K53" i="45"/>
  <c r="K54" i="92"/>
  <c r="I56" i="5"/>
  <c r="J55" i="5"/>
  <c r="K53" i="143"/>
  <c r="J56" i="124"/>
  <c r="I57" i="124"/>
  <c r="I57" i="41"/>
  <c r="J56" i="41"/>
  <c r="K55" i="41" s="1"/>
  <c r="C8" i="166"/>
  <c r="E9" i="166"/>
  <c r="J9" i="166"/>
  <c r="K9" i="166" s="1"/>
  <c r="I59" i="79"/>
  <c r="J58" i="79"/>
  <c r="E12" i="9"/>
  <c r="C11" i="9"/>
  <c r="J12" i="9"/>
  <c r="K12" i="9" s="1"/>
  <c r="I55" i="65"/>
  <c r="J54" i="65"/>
  <c r="K53" i="64"/>
  <c r="BE14" i="2"/>
  <c r="I55" i="45"/>
  <c r="J54" i="45"/>
  <c r="J54" i="143"/>
  <c r="I55" i="143"/>
  <c r="E13" i="125"/>
  <c r="C12" i="125"/>
  <c r="J13" i="125"/>
  <c r="K13" i="125" s="1"/>
  <c r="E10" i="45"/>
  <c r="C9" i="45"/>
  <c r="J10" i="45"/>
  <c r="K10" i="45" s="1"/>
  <c r="I58" i="136"/>
  <c r="J57" i="136"/>
  <c r="K56" i="136" s="1"/>
  <c r="I60" i="12"/>
  <c r="J59" i="12"/>
  <c r="K58" i="12" s="1"/>
  <c r="I57" i="37"/>
  <c r="J56" i="37"/>
  <c r="K55" i="37" s="1"/>
  <c r="J54" i="64"/>
  <c r="I55" i="64"/>
  <c r="J56" i="30"/>
  <c r="K55" i="30" s="1"/>
  <c r="I57" i="30"/>
  <c r="C12" i="88"/>
  <c r="E13" i="88"/>
  <c r="J13" i="88"/>
  <c r="K13" i="88" s="1"/>
  <c r="E13" i="41"/>
  <c r="C12" i="41"/>
  <c r="J13" i="41"/>
  <c r="K13" i="41" s="1"/>
  <c r="K52" i="146"/>
  <c r="C10" i="86"/>
  <c r="E11" i="86"/>
  <c r="J11" i="86"/>
  <c r="K11" i="86" s="1"/>
  <c r="HY14" i="2"/>
  <c r="K54" i="67"/>
  <c r="K54" i="18"/>
  <c r="K53" i="88"/>
  <c r="X14" i="1"/>
  <c r="I55" i="125"/>
  <c r="J54" i="125"/>
  <c r="K53" i="125" s="1"/>
  <c r="E12" i="94"/>
  <c r="C11" i="94"/>
  <c r="J12" i="94"/>
  <c r="K12" i="94" s="1"/>
  <c r="J54" i="160"/>
  <c r="K53" i="160" s="1"/>
  <c r="I55" i="160"/>
  <c r="J55" i="80"/>
  <c r="K54" i="80" s="1"/>
  <c r="I56" i="80"/>
  <c r="I56" i="20"/>
  <c r="J55" i="20"/>
  <c r="K54" i="20" s="1"/>
  <c r="EP15" i="2"/>
  <c r="I57" i="115"/>
  <c r="J56" i="115"/>
  <c r="K55" i="115" s="1"/>
  <c r="E11" i="171"/>
  <c r="C10" i="171"/>
  <c r="J11" i="171"/>
  <c r="K11" i="171" s="1"/>
  <c r="I56" i="67"/>
  <c r="J55" i="67"/>
  <c r="E11" i="106"/>
  <c r="C10" i="106"/>
  <c r="J11" i="106"/>
  <c r="K11" i="106" s="1"/>
  <c r="I57" i="18"/>
  <c r="J56" i="18"/>
  <c r="K55" i="18" s="1"/>
  <c r="BQ15" i="1"/>
  <c r="C11" i="83"/>
  <c r="E12" i="83"/>
  <c r="J12" i="83"/>
  <c r="K12" i="83" s="1"/>
  <c r="I55" i="100"/>
  <c r="J54" i="100"/>
  <c r="K53" i="100" s="1"/>
  <c r="E13" i="119"/>
  <c r="C12" i="119"/>
  <c r="J13" i="119"/>
  <c r="K13" i="119" s="1"/>
  <c r="E14" i="107"/>
  <c r="C13" i="107"/>
  <c r="BE13" i="2" s="1"/>
  <c r="J14" i="107"/>
  <c r="K14" i="107" s="1"/>
  <c r="E9" i="157"/>
  <c r="C8" i="157"/>
  <c r="J9" i="157"/>
  <c r="K9" i="157" s="1"/>
  <c r="C11" i="137"/>
  <c r="E12" i="137"/>
  <c r="J12" i="137"/>
  <c r="K12" i="137" s="1"/>
  <c r="I57" i="159"/>
  <c r="J56" i="159"/>
  <c r="K55" i="159" s="1"/>
  <c r="E13" i="169"/>
  <c r="C12" i="169"/>
  <c r="HY13" i="2"/>
  <c r="J13" i="169"/>
  <c r="K13" i="169" s="1"/>
  <c r="I56" i="121"/>
  <c r="J55" i="121"/>
  <c r="K54" i="121" s="1"/>
  <c r="DI14" i="2"/>
  <c r="I56" i="144"/>
  <c r="J55" i="144"/>
  <c r="C10" i="168"/>
  <c r="E11" i="168"/>
  <c r="J11" i="168"/>
  <c r="K11" i="168" s="1"/>
  <c r="C12" i="76"/>
  <c r="E13" i="76"/>
  <c r="J13" i="76"/>
  <c r="K13" i="76" s="1"/>
  <c r="J54" i="69"/>
  <c r="K53" i="69" s="1"/>
  <c r="I55" i="69"/>
  <c r="E10" i="131"/>
  <c r="C9" i="131"/>
  <c r="J10" i="131"/>
  <c r="K10" i="131" s="1"/>
  <c r="J55" i="49"/>
  <c r="K54" i="49" s="1"/>
  <c r="I56" i="49"/>
  <c r="I56" i="52"/>
  <c r="J55" i="52"/>
  <c r="K54" i="52" s="1"/>
  <c r="C10" i="163"/>
  <c r="E11" i="163"/>
  <c r="J11" i="163"/>
  <c r="K11" i="163" s="1"/>
  <c r="E12" i="75"/>
  <c r="C11" i="75"/>
  <c r="J12" i="75"/>
  <c r="K12" i="75" s="1"/>
  <c r="I57" i="99"/>
  <c r="J56" i="99"/>
  <c r="K52" i="35"/>
  <c r="I58" i="127"/>
  <c r="J57" i="127"/>
  <c r="K57" i="22"/>
  <c r="I55" i="90"/>
  <c r="J54" i="90"/>
  <c r="K53" i="90" s="1"/>
  <c r="E14" i="49"/>
  <c r="C13" i="49"/>
  <c r="J14" i="49"/>
  <c r="K14" i="49" s="1"/>
  <c r="E11" i="40"/>
  <c r="C10" i="40"/>
  <c r="J11" i="40"/>
  <c r="K11" i="40" s="1"/>
  <c r="E10" i="102"/>
  <c r="C9" i="102"/>
  <c r="J10" i="102"/>
  <c r="K10" i="102" s="1"/>
  <c r="K55" i="99"/>
  <c r="K56" i="127"/>
  <c r="E12" i="19"/>
  <c r="C11" i="19"/>
  <c r="J12" i="19"/>
  <c r="K12" i="19" s="1"/>
  <c r="J58" i="22"/>
  <c r="I59" i="22"/>
  <c r="K56" i="22"/>
  <c r="K55" i="98"/>
  <c r="E13" i="133"/>
  <c r="C12" i="133"/>
  <c r="J13" i="133"/>
  <c r="K13" i="133" s="1"/>
  <c r="DH13" i="2"/>
  <c r="C12" i="70"/>
  <c r="E13" i="70"/>
  <c r="J13" i="70"/>
  <c r="K13" i="70" s="1"/>
  <c r="C12" i="38"/>
  <c r="E13" i="38"/>
  <c r="J13" i="38"/>
  <c r="K13" i="38" s="1"/>
  <c r="HD15" i="2"/>
  <c r="I55" i="81"/>
  <c r="J54" i="81"/>
  <c r="I56" i="87"/>
  <c r="J55" i="87"/>
  <c r="K54" i="87" s="1"/>
  <c r="E13" i="10"/>
  <c r="C12" i="10"/>
  <c r="J13" i="10"/>
  <c r="K13" i="10" s="1"/>
  <c r="K54" i="97"/>
  <c r="DT13" i="2"/>
  <c r="J54" i="140"/>
  <c r="I55" i="140"/>
  <c r="K54" i="4"/>
  <c r="C10" i="39"/>
  <c r="E11" i="39"/>
  <c r="J11" i="39"/>
  <c r="K11" i="39" s="1"/>
  <c r="HC14" i="2"/>
  <c r="C13" i="8"/>
  <c r="E14" i="8"/>
  <c r="BP14" i="1"/>
  <c r="J14" i="8"/>
  <c r="K14" i="8" s="1"/>
  <c r="I56" i="170"/>
  <c r="J55" i="170"/>
  <c r="C12" i="108"/>
  <c r="E13" i="108"/>
  <c r="J13" i="108"/>
  <c r="K13" i="108" s="1"/>
  <c r="I56" i="97"/>
  <c r="J55" i="97"/>
  <c r="J57" i="48"/>
  <c r="K56" i="48" s="1"/>
  <c r="I58" i="48"/>
  <c r="C11" i="25"/>
  <c r="E12" i="25"/>
  <c r="J12" i="25"/>
  <c r="K12" i="25" s="1"/>
  <c r="AI14" i="1"/>
  <c r="C13" i="6"/>
  <c r="E14" i="6"/>
  <c r="CA14" i="1"/>
  <c r="K53" i="33"/>
  <c r="K54" i="23"/>
  <c r="CX13" i="2"/>
  <c r="E12" i="5"/>
  <c r="C11" i="5"/>
  <c r="J12" i="5"/>
  <c r="K12" i="5" s="1"/>
  <c r="E11" i="120"/>
  <c r="C10" i="120"/>
  <c r="J11" i="120"/>
  <c r="K11" i="120" s="1"/>
  <c r="C11" i="129"/>
  <c r="E12" i="129"/>
  <c r="J12" i="129"/>
  <c r="K12" i="129" s="1"/>
  <c r="DS12" i="2"/>
  <c r="E12" i="65"/>
  <c r="C11" i="65"/>
  <c r="J12" i="65"/>
  <c r="K12" i="65" s="1"/>
  <c r="J55" i="19"/>
  <c r="K54" i="19" s="1"/>
  <c r="I56" i="19"/>
  <c r="Y15" i="2"/>
  <c r="E13" i="117"/>
  <c r="C12" i="117"/>
  <c r="J13" i="117"/>
  <c r="K13" i="117" s="1"/>
  <c r="E14" i="155"/>
  <c r="C13" i="155"/>
  <c r="J14" i="155"/>
  <c r="K14" i="155" s="1"/>
  <c r="J56" i="68"/>
  <c r="K55" i="68" s="1"/>
  <c r="I57" i="68"/>
  <c r="E14" i="100"/>
  <c r="C13" i="100"/>
  <c r="J14" i="100"/>
  <c r="K14" i="100" s="1"/>
  <c r="K53" i="106"/>
  <c r="I55" i="40"/>
  <c r="J54" i="40"/>
  <c r="K53" i="40" s="1"/>
  <c r="C11" i="104"/>
  <c r="E12" i="104"/>
  <c r="J12" i="104"/>
  <c r="K12" i="104" s="1"/>
  <c r="K53" i="8"/>
  <c r="K55" i="172"/>
  <c r="K56" i="89"/>
  <c r="E12" i="57"/>
  <c r="C11" i="57"/>
  <c r="J12" i="57"/>
  <c r="K12" i="57" s="1"/>
  <c r="I56" i="138"/>
  <c r="J55" i="138"/>
  <c r="J55" i="162"/>
  <c r="I56" i="162"/>
  <c r="IK14" i="2"/>
  <c r="N15" i="1"/>
  <c r="E12" i="17"/>
  <c r="C11" i="17"/>
  <c r="J12" i="17"/>
  <c r="K12" i="17" s="1"/>
  <c r="K55" i="62"/>
  <c r="C9" i="160"/>
  <c r="E10" i="160"/>
  <c r="J10" i="160"/>
  <c r="K10" i="160" s="1"/>
  <c r="E12" i="128"/>
  <c r="C11" i="128"/>
  <c r="J12" i="128"/>
  <c r="K12" i="128" s="1"/>
  <c r="CB15" i="1"/>
  <c r="E13" i="95"/>
  <c r="C12" i="95"/>
  <c r="J13" i="95"/>
  <c r="K13" i="95" s="1"/>
  <c r="E12" i="99"/>
  <c r="C11" i="99"/>
  <c r="J12" i="99"/>
  <c r="K12" i="99" s="1"/>
  <c r="E13" i="156" l="1"/>
  <c r="C12" i="156"/>
  <c r="J13" i="156"/>
  <c r="K13" i="156" s="1"/>
  <c r="J12" i="149"/>
  <c r="K12" i="149" s="1"/>
  <c r="E12" i="149"/>
  <c r="C11" i="149"/>
  <c r="E13" i="130"/>
  <c r="J13" i="130"/>
  <c r="K13" i="130" s="1"/>
  <c r="C12" i="130"/>
  <c r="X13" i="1"/>
  <c r="E8" i="98"/>
  <c r="C7" i="98"/>
  <c r="J8" i="98"/>
  <c r="K8" i="98" s="1"/>
  <c r="E13" i="74"/>
  <c r="J13" i="74"/>
  <c r="K13" i="74" s="1"/>
  <c r="C12" i="74"/>
  <c r="C11" i="61"/>
  <c r="E12" i="61"/>
  <c r="J12" i="61"/>
  <c r="K12" i="61" s="1"/>
  <c r="C11" i="59"/>
  <c r="J12" i="59"/>
  <c r="K12" i="59" s="1"/>
  <c r="E12" i="59"/>
  <c r="AI13" i="2"/>
  <c r="C12" i="150"/>
  <c r="E13" i="150"/>
  <c r="J13" i="150"/>
  <c r="K13" i="150" s="1"/>
  <c r="CB13" i="2"/>
  <c r="AJ13" i="2"/>
  <c r="BF13" i="2"/>
  <c r="C12" i="100"/>
  <c r="E13" i="100"/>
  <c r="J13" i="100"/>
  <c r="K13" i="100" s="1"/>
  <c r="E10" i="163"/>
  <c r="C9" i="163"/>
  <c r="J10" i="163"/>
  <c r="K10" i="163" s="1"/>
  <c r="C9" i="171"/>
  <c r="E10" i="171"/>
  <c r="J10" i="171"/>
  <c r="K10" i="171" s="1"/>
  <c r="BF14" i="2"/>
  <c r="E10" i="72"/>
  <c r="C9" i="72"/>
  <c r="J10" i="72"/>
  <c r="K10" i="72" s="1"/>
  <c r="E11" i="110"/>
  <c r="C10" i="110"/>
  <c r="J11" i="110"/>
  <c r="K11" i="110" s="1"/>
  <c r="K57" i="132"/>
  <c r="I57" i="70"/>
  <c r="J56" i="70"/>
  <c r="K55" i="70" s="1"/>
  <c r="AU14" i="1"/>
  <c r="I57" i="111"/>
  <c r="J56" i="111"/>
  <c r="E12" i="78"/>
  <c r="C11" i="78"/>
  <c r="J12" i="78"/>
  <c r="K12" i="78" s="1"/>
  <c r="C11" i="36"/>
  <c r="E12" i="36"/>
  <c r="J12" i="36"/>
  <c r="K12" i="36" s="1"/>
  <c r="C7" i="32"/>
  <c r="E8" i="32"/>
  <c r="J8" i="32"/>
  <c r="K8" i="32" s="1"/>
  <c r="E11" i="128"/>
  <c r="C10" i="128"/>
  <c r="J11" i="128"/>
  <c r="K11" i="128" s="1"/>
  <c r="C10" i="19"/>
  <c r="E11" i="19"/>
  <c r="J11" i="19"/>
  <c r="K11" i="19" s="1"/>
  <c r="K56" i="132"/>
  <c r="FW14" i="2"/>
  <c r="E13" i="93"/>
  <c r="C12" i="93"/>
  <c r="J13" i="93"/>
  <c r="K13" i="93" s="1"/>
  <c r="I59" i="132"/>
  <c r="J58" i="132"/>
  <c r="J57" i="72"/>
  <c r="K56" i="72" s="1"/>
  <c r="I58" i="72"/>
  <c r="J57" i="113"/>
  <c r="I58" i="113"/>
  <c r="I57" i="57"/>
  <c r="J56" i="57"/>
  <c r="K55" i="57" s="1"/>
  <c r="I56" i="55"/>
  <c r="J55" i="55"/>
  <c r="K54" i="55" s="1"/>
  <c r="E13" i="7"/>
  <c r="C12" i="7"/>
  <c r="AT13" i="1"/>
  <c r="J13" i="7"/>
  <c r="K13" i="7" s="1"/>
  <c r="E11" i="67"/>
  <c r="C10" i="67"/>
  <c r="J11" i="67"/>
  <c r="K11" i="67" s="1"/>
  <c r="J56" i="104"/>
  <c r="I57" i="104"/>
  <c r="E10" i="62"/>
  <c r="C9" i="62"/>
  <c r="J10" i="62"/>
  <c r="K10" i="62" s="1"/>
  <c r="C12" i="46"/>
  <c r="E13" i="46"/>
  <c r="J13" i="46"/>
  <c r="K13" i="46" s="1"/>
  <c r="I59" i="98"/>
  <c r="J58" i="98"/>
  <c r="K57" i="98" s="1"/>
  <c r="I58" i="118"/>
  <c r="J57" i="118"/>
  <c r="J59" i="42"/>
  <c r="I60" i="42"/>
  <c r="C5" i="82"/>
  <c r="E6" i="82"/>
  <c r="J6" i="82"/>
  <c r="K6" i="82" s="1"/>
  <c r="E12" i="21"/>
  <c r="C11" i="21"/>
  <c r="J12" i="21"/>
  <c r="K12" i="21" s="1"/>
  <c r="E9" i="111"/>
  <c r="C8" i="111"/>
  <c r="J9" i="111"/>
  <c r="K9" i="111" s="1"/>
  <c r="I58" i="139"/>
  <c r="J57" i="139"/>
  <c r="K56" i="139" s="1"/>
  <c r="C11" i="80"/>
  <c r="E12" i="80"/>
  <c r="J12" i="80"/>
  <c r="K12" i="80" s="1"/>
  <c r="C10" i="144"/>
  <c r="E11" i="144"/>
  <c r="J11" i="144"/>
  <c r="K11" i="144" s="1"/>
  <c r="J57" i="167"/>
  <c r="I58" i="167"/>
  <c r="E13" i="174"/>
  <c r="C12" i="174"/>
  <c r="J13" i="174"/>
  <c r="K13" i="174" s="1"/>
  <c r="E13" i="27"/>
  <c r="C12" i="27"/>
  <c r="J13" i="27"/>
  <c r="K13" i="27" s="1"/>
  <c r="D52" i="2"/>
  <c r="DU52" i="2"/>
  <c r="CY52" i="2"/>
  <c r="CN52" i="2"/>
  <c r="GT52" i="2"/>
  <c r="FM52" i="2"/>
  <c r="IL52" i="2"/>
  <c r="DJ52" i="2"/>
  <c r="EQ52" i="2"/>
  <c r="IW52" i="2"/>
  <c r="FB52" i="2"/>
  <c r="Z52" i="2"/>
  <c r="HE52" i="2"/>
  <c r="IA52" i="2"/>
  <c r="BR52" i="2"/>
  <c r="AV52" i="2"/>
  <c r="CC52" i="2"/>
  <c r="EF52" i="2"/>
  <c r="BG52" i="2"/>
  <c r="FX52" i="2"/>
  <c r="HP52" i="2"/>
  <c r="AK52" i="2"/>
  <c r="O52" i="2"/>
  <c r="J56" i="31"/>
  <c r="K55" i="31" s="1"/>
  <c r="I57" i="31"/>
  <c r="C11" i="101"/>
  <c r="E12" i="101"/>
  <c r="J12" i="101"/>
  <c r="K12" i="101" s="1"/>
  <c r="K56" i="167"/>
  <c r="EE14" i="2"/>
  <c r="C12" i="158"/>
  <c r="E13" i="158"/>
  <c r="J13" i="158"/>
  <c r="K13" i="158" s="1"/>
  <c r="I58" i="115"/>
  <c r="J57" i="115"/>
  <c r="K56" i="115" s="1"/>
  <c r="J55" i="65"/>
  <c r="I56" i="65"/>
  <c r="E13" i="42"/>
  <c r="C12" i="42"/>
  <c r="J13" i="42"/>
  <c r="K13" i="42" s="1"/>
  <c r="FV13" i="2"/>
  <c r="FK13" i="2"/>
  <c r="I57" i="84"/>
  <c r="J56" i="84"/>
  <c r="K55" i="84" s="1"/>
  <c r="I56" i="141"/>
  <c r="J55" i="141"/>
  <c r="I57" i="131"/>
  <c r="J56" i="131"/>
  <c r="GS14" i="2"/>
  <c r="I57" i="50"/>
  <c r="J56" i="50"/>
  <c r="I57" i="53"/>
  <c r="J56" i="53"/>
  <c r="I56" i="105"/>
  <c r="J55" i="105"/>
  <c r="I59" i="29"/>
  <c r="J58" i="29"/>
  <c r="D52" i="1"/>
  <c r="CC52" i="1"/>
  <c r="O52" i="1"/>
  <c r="AK52" i="1"/>
  <c r="AV52" i="1"/>
  <c r="BR52" i="1"/>
  <c r="Z52" i="1"/>
  <c r="I60" i="14"/>
  <c r="J59" i="14"/>
  <c r="E13" i="109"/>
  <c r="C12" i="109"/>
  <c r="ED13" i="2"/>
  <c r="J13" i="109"/>
  <c r="K13" i="109" s="1"/>
  <c r="C10" i="167"/>
  <c r="E11" i="167"/>
  <c r="J11" i="167"/>
  <c r="K11" i="167" s="1"/>
  <c r="E8" i="157"/>
  <c r="C7" i="157"/>
  <c r="J8" i="157"/>
  <c r="K8" i="157" s="1"/>
  <c r="I56" i="174"/>
  <c r="J55" i="174"/>
  <c r="E11" i="9"/>
  <c r="C10" i="9"/>
  <c r="J11" i="9"/>
  <c r="K11" i="9" s="1"/>
  <c r="C8" i="34"/>
  <c r="E9" i="34"/>
  <c r="J9" i="34"/>
  <c r="K9" i="34" s="1"/>
  <c r="K55" i="131"/>
  <c r="E12" i="15"/>
  <c r="C11" i="15"/>
  <c r="J12" i="15"/>
  <c r="K12" i="15" s="1"/>
  <c r="K55" i="50"/>
  <c r="I57" i="161"/>
  <c r="J56" i="161"/>
  <c r="K55" i="161" s="1"/>
  <c r="I57" i="39"/>
  <c r="J56" i="39"/>
  <c r="K55" i="39" s="1"/>
  <c r="K57" i="29"/>
  <c r="K55" i="118"/>
  <c r="BG52" i="1"/>
  <c r="BF52" i="1"/>
  <c r="K58" i="14"/>
  <c r="I61" i="74"/>
  <c r="J60" i="74"/>
  <c r="K59" i="74" s="1"/>
  <c r="I56" i="110"/>
  <c r="J55" i="110"/>
  <c r="N14" i="1"/>
  <c r="E13" i="136"/>
  <c r="C12" i="136"/>
  <c r="J13" i="136"/>
  <c r="K13" i="136" s="1"/>
  <c r="AJ14" i="1"/>
  <c r="E12" i="88"/>
  <c r="C11" i="88"/>
  <c r="FK12" i="2"/>
  <c r="J12" i="88"/>
  <c r="K12" i="88" s="1"/>
  <c r="I58" i="63"/>
  <c r="J57" i="63"/>
  <c r="K56" i="63" s="1"/>
  <c r="I59" i="117"/>
  <c r="J58" i="117"/>
  <c r="K57" i="117" s="1"/>
  <c r="I58" i="165"/>
  <c r="J57" i="165"/>
  <c r="K59" i="46"/>
  <c r="K54" i="53"/>
  <c r="K55" i="85"/>
  <c r="K54" i="57"/>
  <c r="GH52" i="2"/>
  <c r="GI52" i="2"/>
  <c r="E10" i="115"/>
  <c r="C9" i="115"/>
  <c r="J10" i="115"/>
  <c r="K10" i="115" s="1"/>
  <c r="C12" i="55"/>
  <c r="E13" i="55"/>
  <c r="J13" i="55"/>
  <c r="K13" i="55" s="1"/>
  <c r="K56" i="23"/>
  <c r="K57" i="13"/>
  <c r="Y14" i="2"/>
  <c r="CB14" i="1"/>
  <c r="E11" i="22"/>
  <c r="C10" i="22"/>
  <c r="J11" i="22"/>
  <c r="K11" i="22" s="1"/>
  <c r="I57" i="20"/>
  <c r="J56" i="20"/>
  <c r="C9" i="123"/>
  <c r="E10" i="123"/>
  <c r="J10" i="123"/>
  <c r="K10" i="123" s="1"/>
  <c r="I61" i="46"/>
  <c r="J60" i="46"/>
  <c r="I57" i="85"/>
  <c r="J56" i="85"/>
  <c r="K53" i="55"/>
  <c r="J55" i="112"/>
  <c r="K54" i="112" s="1"/>
  <c r="I56" i="112"/>
  <c r="I58" i="23"/>
  <c r="J57" i="23"/>
  <c r="C12" i="56"/>
  <c r="E13" i="56"/>
  <c r="J13" i="56"/>
  <c r="K13" i="56" s="1"/>
  <c r="I59" i="13"/>
  <c r="J58" i="13"/>
  <c r="I58" i="173"/>
  <c r="J57" i="173"/>
  <c r="K56" i="173" s="1"/>
  <c r="FA13" i="2"/>
  <c r="I57" i="54"/>
  <c r="J56" i="54"/>
  <c r="C12" i="155"/>
  <c r="E13" i="155"/>
  <c r="J13" i="155"/>
  <c r="K13" i="155" s="1"/>
  <c r="C8" i="160"/>
  <c r="E9" i="160"/>
  <c r="J9" i="160"/>
  <c r="K9" i="160" s="1"/>
  <c r="C8" i="102"/>
  <c r="E9" i="102"/>
  <c r="J9" i="102"/>
  <c r="K9" i="102" s="1"/>
  <c r="E9" i="131"/>
  <c r="C8" i="131"/>
  <c r="J9" i="131"/>
  <c r="K9" i="131" s="1"/>
  <c r="E12" i="10"/>
  <c r="C11" i="10"/>
  <c r="J12" i="10"/>
  <c r="K12" i="10" s="1"/>
  <c r="C10" i="25"/>
  <c r="E11" i="25"/>
  <c r="J11" i="25"/>
  <c r="K11" i="25" s="1"/>
  <c r="I58" i="30"/>
  <c r="J57" i="30"/>
  <c r="K56" i="30" s="1"/>
  <c r="E11" i="17"/>
  <c r="C10" i="17"/>
  <c r="J11" i="17"/>
  <c r="K11" i="17" s="1"/>
  <c r="K57" i="152"/>
  <c r="E13" i="152"/>
  <c r="C12" i="152"/>
  <c r="M12" i="2" s="1"/>
  <c r="J13" i="152"/>
  <c r="K13" i="152" s="1"/>
  <c r="E13" i="92"/>
  <c r="C12" i="92"/>
  <c r="J13" i="92"/>
  <c r="K13" i="92" s="1"/>
  <c r="E10" i="85"/>
  <c r="C9" i="85"/>
  <c r="J10" i="85"/>
  <c r="K10" i="85" s="1"/>
  <c r="J56" i="3"/>
  <c r="I57" i="3"/>
  <c r="I57" i="169"/>
  <c r="J56" i="169"/>
  <c r="E10" i="159"/>
  <c r="C9" i="159"/>
  <c r="J10" i="159"/>
  <c r="K10" i="159" s="1"/>
  <c r="E51" i="24"/>
  <c r="C50" i="24"/>
  <c r="GG51" i="2"/>
  <c r="BE51" i="1"/>
  <c r="C51" i="1"/>
  <c r="C51" i="2"/>
  <c r="J51" i="24"/>
  <c r="K51" i="24" s="1"/>
  <c r="C12" i="91"/>
  <c r="E13" i="91"/>
  <c r="J13" i="91"/>
  <c r="K13" i="91" s="1"/>
  <c r="C9" i="173"/>
  <c r="E10" i="173"/>
  <c r="J10" i="173"/>
  <c r="K10" i="173" s="1"/>
  <c r="J60" i="134"/>
  <c r="I61" i="134"/>
  <c r="J58" i="172"/>
  <c r="I59" i="172"/>
  <c r="K55" i="23"/>
  <c r="I56" i="147"/>
  <c r="J55" i="147"/>
  <c r="E12" i="134"/>
  <c r="C11" i="134"/>
  <c r="EZ12" i="2"/>
  <c r="J12" i="134"/>
  <c r="K12" i="134" s="1"/>
  <c r="E13" i="12"/>
  <c r="C12" i="12"/>
  <c r="X13" i="2"/>
  <c r="M13" i="1"/>
  <c r="J13" i="12"/>
  <c r="K13" i="12" s="1"/>
  <c r="I56" i="69"/>
  <c r="J55" i="69"/>
  <c r="K54" i="69" s="1"/>
  <c r="E10" i="40"/>
  <c r="C9" i="40"/>
  <c r="J10" i="40"/>
  <c r="K10" i="40" s="1"/>
  <c r="E13" i="107"/>
  <c r="C12" i="107"/>
  <c r="J13" i="107"/>
  <c r="K13" i="107" s="1"/>
  <c r="I57" i="80"/>
  <c r="J56" i="80"/>
  <c r="I56" i="64"/>
  <c r="J55" i="64"/>
  <c r="I60" i="79"/>
  <c r="J59" i="79"/>
  <c r="K58" i="79" s="1"/>
  <c r="I59" i="152"/>
  <c r="J58" i="152"/>
  <c r="I58" i="92"/>
  <c r="J57" i="92"/>
  <c r="K55" i="114"/>
  <c r="K54" i="114"/>
  <c r="I56" i="43"/>
  <c r="J55" i="43"/>
  <c r="K54" i="43" s="1"/>
  <c r="K57" i="172"/>
  <c r="K56" i="172"/>
  <c r="K57" i="42"/>
  <c r="I57" i="52"/>
  <c r="J56" i="52"/>
  <c r="K55" i="52" s="1"/>
  <c r="E12" i="117"/>
  <c r="C11" i="117"/>
  <c r="J12" i="117"/>
  <c r="K12" i="117" s="1"/>
  <c r="I57" i="87"/>
  <c r="J56" i="87"/>
  <c r="K55" i="87" s="1"/>
  <c r="K53" i="140"/>
  <c r="K55" i="80"/>
  <c r="I57" i="116"/>
  <c r="J56" i="116"/>
  <c r="J55" i="130"/>
  <c r="I56" i="130"/>
  <c r="I57" i="114"/>
  <c r="J56" i="114"/>
  <c r="C11" i="153"/>
  <c r="E12" i="153"/>
  <c r="J12" i="153"/>
  <c r="K12" i="153" s="1"/>
  <c r="I58" i="149"/>
  <c r="J57" i="149"/>
  <c r="K56" i="149" s="1"/>
  <c r="K55" i="4"/>
  <c r="K56" i="152"/>
  <c r="K55" i="108"/>
  <c r="C8" i="105"/>
  <c r="E9" i="105"/>
  <c r="J9" i="105"/>
  <c r="K9" i="105" s="1"/>
  <c r="E12" i="76"/>
  <c r="C11" i="76"/>
  <c r="J12" i="76"/>
  <c r="K12" i="76" s="1"/>
  <c r="E12" i="44"/>
  <c r="C11" i="44"/>
  <c r="J12" i="44"/>
  <c r="K12" i="44" s="1"/>
  <c r="E12" i="71"/>
  <c r="C11" i="71"/>
  <c r="J12" i="71"/>
  <c r="K12" i="71" s="1"/>
  <c r="J58" i="122"/>
  <c r="K57" i="122" s="1"/>
  <c r="I59" i="122"/>
  <c r="K55" i="116"/>
  <c r="J59" i="94"/>
  <c r="K58" i="94" s="1"/>
  <c r="I60" i="94"/>
  <c r="J57" i="44"/>
  <c r="K56" i="44" s="1"/>
  <c r="I58" i="44"/>
  <c r="J55" i="17"/>
  <c r="K54" i="17" s="1"/>
  <c r="I56" i="17"/>
  <c r="J56" i="4"/>
  <c r="I57" i="4"/>
  <c r="K54" i="31"/>
  <c r="K53" i="81"/>
  <c r="I57" i="153"/>
  <c r="J56" i="153"/>
  <c r="I57" i="108"/>
  <c r="J56" i="108"/>
  <c r="K55" i="19"/>
  <c r="J58" i="48"/>
  <c r="K57" i="48" s="1"/>
  <c r="I59" i="48"/>
  <c r="C11" i="119"/>
  <c r="E12" i="119"/>
  <c r="J12" i="119"/>
  <c r="K12" i="119" s="1"/>
  <c r="I56" i="160"/>
  <c r="J55" i="160"/>
  <c r="K54" i="160" s="1"/>
  <c r="E8" i="166"/>
  <c r="C7" i="166"/>
  <c r="J8" i="166"/>
  <c r="K8" i="166" s="1"/>
  <c r="E12" i="23"/>
  <c r="C11" i="23"/>
  <c r="J12" i="23"/>
  <c r="K12" i="23" s="1"/>
  <c r="K55" i="92"/>
  <c r="K56" i="10"/>
  <c r="C12" i="143"/>
  <c r="E13" i="143"/>
  <c r="J13" i="143"/>
  <c r="K13" i="143" s="1"/>
  <c r="E13" i="172"/>
  <c r="C12" i="172"/>
  <c r="J13" i="172"/>
  <c r="K13" i="172" s="1"/>
  <c r="EP13" i="2"/>
  <c r="E12" i="147"/>
  <c r="C11" i="147"/>
  <c r="J12" i="147"/>
  <c r="K12" i="147" s="1"/>
  <c r="I57" i="56"/>
  <c r="J56" i="56"/>
  <c r="K55" i="56" s="1"/>
  <c r="J55" i="81"/>
  <c r="K54" i="81" s="1"/>
  <c r="I56" i="81"/>
  <c r="I58" i="37"/>
  <c r="J57" i="37"/>
  <c r="K56" i="37" s="1"/>
  <c r="CL13" i="2"/>
  <c r="I58" i="10"/>
  <c r="J57" i="10"/>
  <c r="K55" i="72"/>
  <c r="K55" i="88"/>
  <c r="I57" i="168"/>
  <c r="J56" i="168"/>
  <c r="C9" i="141"/>
  <c r="E10" i="141"/>
  <c r="J10" i="141"/>
  <c r="K10" i="141" s="1"/>
  <c r="K57" i="142"/>
  <c r="C11" i="97"/>
  <c r="E12" i="97"/>
  <c r="EO12" i="2"/>
  <c r="J12" i="97"/>
  <c r="K12" i="97" s="1"/>
  <c r="E12" i="122"/>
  <c r="C11" i="122"/>
  <c r="J12" i="122"/>
  <c r="K12" i="122" s="1"/>
  <c r="I61" i="75"/>
  <c r="J60" i="75"/>
  <c r="K59" i="75" s="1"/>
  <c r="E11" i="161"/>
  <c r="C10" i="161"/>
  <c r="J11" i="161"/>
  <c r="K11" i="161" s="1"/>
  <c r="C9" i="51"/>
  <c r="E10" i="51"/>
  <c r="J10" i="51"/>
  <c r="K10" i="51" s="1"/>
  <c r="E9" i="43"/>
  <c r="C8" i="43"/>
  <c r="J9" i="43"/>
  <c r="K9" i="43" s="1"/>
  <c r="C10" i="126"/>
  <c r="E11" i="126"/>
  <c r="J11" i="126"/>
  <c r="K11" i="126" s="1"/>
  <c r="K54" i="88"/>
  <c r="J60" i="133"/>
  <c r="I61" i="133"/>
  <c r="J56" i="162"/>
  <c r="I57" i="162"/>
  <c r="E11" i="65"/>
  <c r="C10" i="65"/>
  <c r="J11" i="65"/>
  <c r="K11" i="65" s="1"/>
  <c r="E10" i="168"/>
  <c r="C9" i="168"/>
  <c r="J10" i="168"/>
  <c r="K10" i="168" s="1"/>
  <c r="I58" i="41"/>
  <c r="J57" i="41"/>
  <c r="E12" i="145"/>
  <c r="C11" i="145"/>
  <c r="J12" i="145"/>
  <c r="K12" i="145" s="1"/>
  <c r="E12" i="114"/>
  <c r="C11" i="114"/>
  <c r="J12" i="114"/>
  <c r="K12" i="114" s="1"/>
  <c r="I56" i="11"/>
  <c r="J55" i="11"/>
  <c r="K54" i="11" s="1"/>
  <c r="K54" i="54"/>
  <c r="I57" i="88"/>
  <c r="J56" i="88"/>
  <c r="I59" i="142"/>
  <c r="J58" i="142"/>
  <c r="E12" i="96"/>
  <c r="C11" i="96"/>
  <c r="J12" i="96"/>
  <c r="K12" i="96" s="1"/>
  <c r="HN13" i="2"/>
  <c r="E12" i="151"/>
  <c r="C11" i="151"/>
  <c r="J12" i="151"/>
  <c r="K12" i="151" s="1"/>
  <c r="I59" i="135"/>
  <c r="J58" i="135"/>
  <c r="K57" i="135" s="1"/>
  <c r="C12" i="6"/>
  <c r="E13" i="6"/>
  <c r="CA13" i="1"/>
  <c r="I57" i="19"/>
  <c r="J56" i="19"/>
  <c r="K55" i="162"/>
  <c r="I57" i="97"/>
  <c r="J56" i="97"/>
  <c r="K55" i="97" s="1"/>
  <c r="E13" i="49"/>
  <c r="C12" i="49"/>
  <c r="J13" i="49"/>
  <c r="K13" i="49" s="1"/>
  <c r="J55" i="100"/>
  <c r="K54" i="100" s="1"/>
  <c r="I56" i="100"/>
  <c r="I61" i="12"/>
  <c r="J60" i="12"/>
  <c r="K59" i="12" s="1"/>
  <c r="I58" i="124"/>
  <c r="J57" i="124"/>
  <c r="E12" i="63"/>
  <c r="C11" i="63"/>
  <c r="J12" i="63"/>
  <c r="K12" i="63" s="1"/>
  <c r="K57" i="82"/>
  <c r="E10" i="26"/>
  <c r="C9" i="26"/>
  <c r="J10" i="26"/>
  <c r="K10" i="26" s="1"/>
  <c r="K54" i="50"/>
  <c r="J58" i="89"/>
  <c r="I59" i="89"/>
  <c r="J58" i="9"/>
  <c r="I59" i="9"/>
  <c r="E11" i="81"/>
  <c r="C10" i="81"/>
  <c r="J11" i="81"/>
  <c r="K11" i="81" s="1"/>
  <c r="I58" i="93"/>
  <c r="J57" i="93"/>
  <c r="K56" i="93" s="1"/>
  <c r="J58" i="101"/>
  <c r="K57" i="101" s="1"/>
  <c r="I59" i="101"/>
  <c r="K54" i="33"/>
  <c r="I59" i="16"/>
  <c r="J58" i="16"/>
  <c r="E11" i="103"/>
  <c r="C10" i="103"/>
  <c r="J11" i="103"/>
  <c r="K11" i="103" s="1"/>
  <c r="I56" i="8"/>
  <c r="J55" i="8"/>
  <c r="C9" i="127"/>
  <c r="E10" i="127"/>
  <c r="J10" i="127"/>
  <c r="K10" i="127" s="1"/>
  <c r="DT12" i="2"/>
  <c r="C10" i="68"/>
  <c r="E11" i="68"/>
  <c r="J11" i="68"/>
  <c r="K11" i="68" s="1"/>
  <c r="C11" i="89"/>
  <c r="E12" i="89"/>
  <c r="J12" i="89"/>
  <c r="K12" i="89" s="1"/>
  <c r="HN12" i="2"/>
  <c r="J56" i="33"/>
  <c r="I57" i="33"/>
  <c r="I57" i="103"/>
  <c r="J56" i="103"/>
  <c r="K55" i="103" s="1"/>
  <c r="C10" i="118"/>
  <c r="E11" i="118"/>
  <c r="J11" i="118"/>
  <c r="K11" i="118" s="1"/>
  <c r="I60" i="82"/>
  <c r="J59" i="82"/>
  <c r="K58" i="82" s="1"/>
  <c r="J56" i="138"/>
  <c r="I57" i="138"/>
  <c r="E11" i="94"/>
  <c r="C10" i="94"/>
  <c r="J11" i="94"/>
  <c r="K11" i="94" s="1"/>
  <c r="I56" i="166"/>
  <c r="J55" i="166"/>
  <c r="K54" i="166" s="1"/>
  <c r="K53" i="102"/>
  <c r="C10" i="64"/>
  <c r="E11" i="64"/>
  <c r="J11" i="64"/>
  <c r="K11" i="64" s="1"/>
  <c r="K59" i="61"/>
  <c r="E11" i="18"/>
  <c r="C10" i="18"/>
  <c r="J11" i="18"/>
  <c r="K11" i="18" s="1"/>
  <c r="E11" i="135"/>
  <c r="C10" i="135"/>
  <c r="J11" i="135"/>
  <c r="K11" i="135" s="1"/>
  <c r="C11" i="142"/>
  <c r="E12" i="142"/>
  <c r="J12" i="142"/>
  <c r="K12" i="142" s="1"/>
  <c r="E11" i="16"/>
  <c r="C10" i="16"/>
  <c r="J11" i="16"/>
  <c r="K11" i="16" s="1"/>
  <c r="I56" i="171"/>
  <c r="J55" i="171"/>
  <c r="E10" i="73"/>
  <c r="C9" i="73"/>
  <c r="J10" i="73"/>
  <c r="K10" i="73" s="1"/>
  <c r="K56" i="13"/>
  <c r="K54" i="162"/>
  <c r="Y13" i="1"/>
  <c r="C9" i="84"/>
  <c r="E10" i="84"/>
  <c r="J10" i="84"/>
  <c r="K10" i="84" s="1"/>
  <c r="J55" i="146"/>
  <c r="I56" i="146"/>
  <c r="J55" i="102"/>
  <c r="K54" i="102" s="1"/>
  <c r="I56" i="102"/>
  <c r="J60" i="61"/>
  <c r="I61" i="61"/>
  <c r="E13" i="170"/>
  <c r="C12" i="170"/>
  <c r="J13" i="170"/>
  <c r="K13" i="170" s="1"/>
  <c r="E13" i="121"/>
  <c r="C12" i="121"/>
  <c r="J13" i="121"/>
  <c r="K13" i="121" s="1"/>
  <c r="J57" i="25"/>
  <c r="K56" i="25" s="1"/>
  <c r="I58" i="25"/>
  <c r="K55" i="63"/>
  <c r="K55" i="173"/>
  <c r="E13" i="3"/>
  <c r="C12" i="3"/>
  <c r="J13" i="3"/>
  <c r="K13" i="3" s="1"/>
  <c r="E11" i="57"/>
  <c r="C10" i="57"/>
  <c r="J11" i="57"/>
  <c r="K11" i="57" s="1"/>
  <c r="E11" i="129"/>
  <c r="C10" i="129"/>
  <c r="J11" i="129"/>
  <c r="K11" i="129" s="1"/>
  <c r="DS11" i="2"/>
  <c r="C11" i="38"/>
  <c r="E12" i="38"/>
  <c r="J12" i="38"/>
  <c r="K12" i="38" s="1"/>
  <c r="J55" i="90"/>
  <c r="K54" i="90" s="1"/>
  <c r="I56" i="90"/>
  <c r="E11" i="83"/>
  <c r="C10" i="83"/>
  <c r="J11" i="83"/>
  <c r="K11" i="83" s="1"/>
  <c r="I57" i="5"/>
  <c r="J56" i="5"/>
  <c r="K55" i="5" s="1"/>
  <c r="I56" i="148"/>
  <c r="J55" i="148"/>
  <c r="K54" i="148" s="1"/>
  <c r="K54" i="34"/>
  <c r="K53" i="166"/>
  <c r="I59" i="107"/>
  <c r="J58" i="107"/>
  <c r="K57" i="62"/>
  <c r="I59" i="128"/>
  <c r="J58" i="128"/>
  <c r="J58" i="26"/>
  <c r="K57" i="26" s="1"/>
  <c r="I59" i="26"/>
  <c r="K53" i="43"/>
  <c r="E13" i="90"/>
  <c r="C12" i="90"/>
  <c r="J13" i="90"/>
  <c r="K13" i="90" s="1"/>
  <c r="C10" i="54"/>
  <c r="E11" i="54"/>
  <c r="J11" i="54"/>
  <c r="K11" i="54" s="1"/>
  <c r="CW12" i="2"/>
  <c r="K54" i="141"/>
  <c r="J55" i="125"/>
  <c r="I56" i="125"/>
  <c r="C8" i="45"/>
  <c r="E9" i="45"/>
  <c r="J9" i="45"/>
  <c r="K9" i="45" s="1"/>
  <c r="I56" i="34"/>
  <c r="J55" i="34"/>
  <c r="J58" i="62"/>
  <c r="I59" i="62"/>
  <c r="K57" i="128"/>
  <c r="C7" i="87"/>
  <c r="E8" i="87"/>
  <c r="J8" i="87"/>
  <c r="K8" i="87" s="1"/>
  <c r="I57" i="73"/>
  <c r="J56" i="73"/>
  <c r="K55" i="73" s="1"/>
  <c r="E12" i="79"/>
  <c r="C11" i="79"/>
  <c r="J12" i="79"/>
  <c r="K12" i="79" s="1"/>
  <c r="K59" i="15"/>
  <c r="J55" i="36"/>
  <c r="K54" i="36" s="1"/>
  <c r="I56" i="36"/>
  <c r="C12" i="29"/>
  <c r="E13" i="29"/>
  <c r="J13" i="29"/>
  <c r="K13" i="29" s="1"/>
  <c r="E10" i="124"/>
  <c r="C9" i="124"/>
  <c r="J10" i="124"/>
  <c r="K10" i="124" s="1"/>
  <c r="K56" i="101"/>
  <c r="E9" i="165"/>
  <c r="C8" i="165"/>
  <c r="J9" i="165"/>
  <c r="K9" i="165" s="1"/>
  <c r="I57" i="49"/>
  <c r="J56" i="49"/>
  <c r="Y14" i="1"/>
  <c r="K56" i="107"/>
  <c r="J60" i="7"/>
  <c r="I61" i="7"/>
  <c r="J60" i="15"/>
  <c r="I61" i="15"/>
  <c r="E11" i="60"/>
  <c r="C10" i="60"/>
  <c r="J11" i="60"/>
  <c r="K11" i="60" s="1"/>
  <c r="I56" i="35"/>
  <c r="J55" i="35"/>
  <c r="K54" i="35" s="1"/>
  <c r="C11" i="77"/>
  <c r="E12" i="77"/>
  <c r="J12" i="77"/>
  <c r="K12" i="77" s="1"/>
  <c r="E11" i="112"/>
  <c r="C10" i="112"/>
  <c r="CW11" i="2"/>
  <c r="J11" i="112"/>
  <c r="K11" i="112" s="1"/>
  <c r="I59" i="136"/>
  <c r="J58" i="136"/>
  <c r="BQ14" i="1"/>
  <c r="E12" i="70"/>
  <c r="C11" i="70"/>
  <c r="J12" i="70"/>
  <c r="K12" i="70" s="1"/>
  <c r="I59" i="127"/>
  <c r="J58" i="127"/>
  <c r="K57" i="127" s="1"/>
  <c r="K54" i="144"/>
  <c r="FL14" i="2"/>
  <c r="J56" i="86"/>
  <c r="K55" i="86" s="1"/>
  <c r="I57" i="86"/>
  <c r="E10" i="47"/>
  <c r="C9" i="47"/>
  <c r="J10" i="47"/>
  <c r="K10" i="47" s="1"/>
  <c r="K59" i="7"/>
  <c r="J59" i="71"/>
  <c r="I60" i="71"/>
  <c r="I59" i="156"/>
  <c r="J58" i="156"/>
  <c r="K57" i="156" s="1"/>
  <c r="IU13" i="2"/>
  <c r="C12" i="53"/>
  <c r="BE12" i="2" s="1"/>
  <c r="E13" i="53"/>
  <c r="J13" i="53"/>
  <c r="K13" i="53" s="1"/>
  <c r="K58" i="27"/>
  <c r="E11" i="11"/>
  <c r="C10" i="11"/>
  <c r="J11" i="11"/>
  <c r="K11" i="11" s="1"/>
  <c r="E12" i="162"/>
  <c r="C11" i="162"/>
  <c r="J12" i="162"/>
  <c r="K12" i="162" s="1"/>
  <c r="I59" i="164"/>
  <c r="J58" i="164"/>
  <c r="E11" i="148"/>
  <c r="C10" i="148"/>
  <c r="J11" i="148"/>
  <c r="K11" i="148" s="1"/>
  <c r="K54" i="5"/>
  <c r="K53" i="11"/>
  <c r="I58" i="158"/>
  <c r="J57" i="158"/>
  <c r="K56" i="158" s="1"/>
  <c r="I60" i="27"/>
  <c r="J59" i="27"/>
  <c r="AU14" i="2"/>
  <c r="K57" i="164"/>
  <c r="E12" i="132"/>
  <c r="C11" i="132"/>
  <c r="J12" i="132"/>
  <c r="K12" i="132" s="1"/>
  <c r="E10" i="69"/>
  <c r="C9" i="69"/>
  <c r="J10" i="69"/>
  <c r="K10" i="69" s="1"/>
  <c r="E11" i="99"/>
  <c r="C10" i="99"/>
  <c r="J11" i="99"/>
  <c r="K11" i="99" s="1"/>
  <c r="J56" i="21"/>
  <c r="I57" i="21"/>
  <c r="E10" i="37"/>
  <c r="C9" i="37"/>
  <c r="J10" i="37"/>
  <c r="K10" i="37" s="1"/>
  <c r="J56" i="126"/>
  <c r="I57" i="126"/>
  <c r="I60" i="24"/>
  <c r="J59" i="24"/>
  <c r="K58" i="24" s="1"/>
  <c r="I57" i="151"/>
  <c r="J56" i="151"/>
  <c r="K55" i="151" s="1"/>
  <c r="K57" i="78"/>
  <c r="C12" i="14"/>
  <c r="E13" i="14"/>
  <c r="J13" i="14"/>
  <c r="K13" i="14" s="1"/>
  <c r="GR13" i="2"/>
  <c r="C11" i="13"/>
  <c r="E12" i="13"/>
  <c r="J12" i="13"/>
  <c r="K12" i="13" s="1"/>
  <c r="BQ14" i="2"/>
  <c r="C7" i="146"/>
  <c r="E8" i="146"/>
  <c r="J8" i="146"/>
  <c r="K8" i="146" s="1"/>
  <c r="E13" i="50"/>
  <c r="C12" i="50"/>
  <c r="AT13" i="2"/>
  <c r="J13" i="50"/>
  <c r="K13" i="50" s="1"/>
  <c r="I56" i="47"/>
  <c r="J55" i="47"/>
  <c r="K54" i="47" s="1"/>
  <c r="J57" i="28"/>
  <c r="K56" i="28" s="1"/>
  <c r="I58" i="28"/>
  <c r="I60" i="32"/>
  <c r="J59" i="32"/>
  <c r="I57" i="123"/>
  <c r="J56" i="123"/>
  <c r="K55" i="123" s="1"/>
  <c r="K54" i="108"/>
  <c r="DI13" i="2"/>
  <c r="I56" i="91"/>
  <c r="J55" i="91"/>
  <c r="K54" i="91" s="1"/>
  <c r="I59" i="78"/>
  <c r="J58" i="78"/>
  <c r="I57" i="155"/>
  <c r="J56" i="155"/>
  <c r="C12" i="52"/>
  <c r="E13" i="52"/>
  <c r="BP13" i="2"/>
  <c r="J13" i="52"/>
  <c r="K13" i="52" s="1"/>
  <c r="J55" i="109"/>
  <c r="K54" i="109" s="1"/>
  <c r="I56" i="109"/>
  <c r="IJ13" i="2"/>
  <c r="K54" i="153"/>
  <c r="I58" i="68"/>
  <c r="J57" i="68"/>
  <c r="I57" i="144"/>
  <c r="J56" i="144"/>
  <c r="I58" i="99"/>
  <c r="J57" i="99"/>
  <c r="K56" i="117"/>
  <c r="K53" i="163"/>
  <c r="K55" i="93"/>
  <c r="K55" i="167"/>
  <c r="I59" i="77"/>
  <c r="J58" i="77"/>
  <c r="K57" i="77" s="1"/>
  <c r="C11" i="164"/>
  <c r="E12" i="164"/>
  <c r="J12" i="164"/>
  <c r="K12" i="164" s="1"/>
  <c r="I59" i="51"/>
  <c r="J58" i="51"/>
  <c r="K57" i="51" s="1"/>
  <c r="I56" i="38"/>
  <c r="J55" i="38"/>
  <c r="K54" i="38" s="1"/>
  <c r="E11" i="116"/>
  <c r="C10" i="116"/>
  <c r="J11" i="116"/>
  <c r="K11" i="116" s="1"/>
  <c r="K58" i="61"/>
  <c r="C11" i="41"/>
  <c r="E12" i="41"/>
  <c r="J12" i="41"/>
  <c r="K12" i="41" s="1"/>
  <c r="C11" i="108"/>
  <c r="E12" i="108"/>
  <c r="J12" i="108"/>
  <c r="K12" i="108" s="1"/>
  <c r="HZ13" i="2"/>
  <c r="C12" i="8"/>
  <c r="BP13" i="1"/>
  <c r="E13" i="8"/>
  <c r="HC13" i="2"/>
  <c r="J13" i="8"/>
  <c r="K13" i="8" s="1"/>
  <c r="I58" i="18"/>
  <c r="J57" i="18"/>
  <c r="K56" i="18" s="1"/>
  <c r="E12" i="125"/>
  <c r="C11" i="125"/>
  <c r="J12" i="125"/>
  <c r="K12" i="125" s="1"/>
  <c r="I56" i="96"/>
  <c r="J55" i="96"/>
  <c r="K54" i="96" s="1"/>
  <c r="C10" i="5"/>
  <c r="E11" i="5"/>
  <c r="J11" i="5"/>
  <c r="K11" i="5" s="1"/>
  <c r="I56" i="95"/>
  <c r="J55" i="95"/>
  <c r="E12" i="20"/>
  <c r="C11" i="20"/>
  <c r="J12" i="20"/>
  <c r="K12" i="20" s="1"/>
  <c r="E12" i="95"/>
  <c r="C11" i="95"/>
  <c r="J12" i="95"/>
  <c r="K12" i="95" s="1"/>
  <c r="C10" i="75"/>
  <c r="E11" i="75"/>
  <c r="J11" i="75"/>
  <c r="K11" i="75" s="1"/>
  <c r="J57" i="159"/>
  <c r="K56" i="159" s="1"/>
  <c r="I58" i="159"/>
  <c r="I56" i="143"/>
  <c r="J55" i="143"/>
  <c r="K54" i="95"/>
  <c r="K54" i="86"/>
  <c r="K53" i="130"/>
  <c r="E11" i="113"/>
  <c r="C10" i="113"/>
  <c r="J11" i="113"/>
  <c r="K11" i="113" s="1"/>
  <c r="J55" i="120"/>
  <c r="I56" i="120"/>
  <c r="K58" i="134"/>
  <c r="K56" i="26"/>
  <c r="K55" i="28"/>
  <c r="C11" i="154"/>
  <c r="E12" i="154"/>
  <c r="J12" i="154"/>
  <c r="K12" i="154" s="1"/>
  <c r="IJ12" i="2"/>
  <c r="J56" i="106"/>
  <c r="K55" i="106" s="1"/>
  <c r="I57" i="106"/>
  <c r="J56" i="119"/>
  <c r="K55" i="119" s="1"/>
  <c r="I57" i="119"/>
  <c r="J56" i="170"/>
  <c r="K55" i="170" s="1"/>
  <c r="I57" i="170"/>
  <c r="HD14" i="2"/>
  <c r="C11" i="133"/>
  <c r="E12" i="133"/>
  <c r="J12" i="133"/>
  <c r="K12" i="133" s="1"/>
  <c r="DH12" i="2"/>
  <c r="K53" i="65"/>
  <c r="E8" i="30"/>
  <c r="C7" i="30"/>
  <c r="J8" i="30"/>
  <c r="K8" i="30" s="1"/>
  <c r="K57" i="24"/>
  <c r="C11" i="35"/>
  <c r="E12" i="35"/>
  <c r="J12" i="35"/>
  <c r="K12" i="35" s="1"/>
  <c r="J56" i="76"/>
  <c r="K55" i="76" s="1"/>
  <c r="I57" i="76"/>
  <c r="E13" i="58"/>
  <c r="C12" i="58"/>
  <c r="J13" i="58"/>
  <c r="K13" i="58" s="1"/>
  <c r="E12" i="48"/>
  <c r="C11" i="48"/>
  <c r="J12" i="48"/>
  <c r="K12" i="48" s="1"/>
  <c r="I58" i="60"/>
  <c r="J57" i="60"/>
  <c r="E12" i="31"/>
  <c r="C11" i="31"/>
  <c r="CA12" i="2"/>
  <c r="J12" i="31"/>
  <c r="K12" i="31" s="1"/>
  <c r="M13" i="2"/>
  <c r="I61" i="145"/>
  <c r="J60" i="145"/>
  <c r="K56" i="164"/>
  <c r="I57" i="121"/>
  <c r="J56" i="121"/>
  <c r="K55" i="121" s="1"/>
  <c r="E10" i="106"/>
  <c r="C9" i="106"/>
  <c r="J10" i="106"/>
  <c r="K10" i="106" s="1"/>
  <c r="HZ14" i="2"/>
  <c r="K55" i="124"/>
  <c r="J55" i="40"/>
  <c r="K54" i="40" s="1"/>
  <c r="I56" i="40"/>
  <c r="E10" i="39"/>
  <c r="C9" i="39"/>
  <c r="J10" i="39"/>
  <c r="K10" i="39" s="1"/>
  <c r="K54" i="138"/>
  <c r="I60" i="22"/>
  <c r="J59" i="22"/>
  <c r="J56" i="67"/>
  <c r="I57" i="67"/>
  <c r="E10" i="86"/>
  <c r="C9" i="86"/>
  <c r="J10" i="86"/>
  <c r="K10" i="86" s="1"/>
  <c r="K53" i="91"/>
  <c r="I57" i="154"/>
  <c r="J56" i="154"/>
  <c r="K55" i="154" s="1"/>
  <c r="K54" i="154"/>
  <c r="K55" i="139"/>
  <c r="I58" i="129"/>
  <c r="J57" i="129"/>
  <c r="E12" i="140"/>
  <c r="C11" i="140"/>
  <c r="J12" i="140"/>
  <c r="K12" i="140" s="1"/>
  <c r="I58" i="157"/>
  <c r="J57" i="157"/>
  <c r="K56" i="157" s="1"/>
  <c r="C10" i="66"/>
  <c r="E11" i="66"/>
  <c r="J11" i="66"/>
  <c r="K11" i="66" s="1"/>
  <c r="K56" i="29"/>
  <c r="K56" i="60"/>
  <c r="E12" i="33"/>
  <c r="C11" i="33"/>
  <c r="J12" i="33"/>
  <c r="K12" i="33" s="1"/>
  <c r="K58" i="145"/>
  <c r="I58" i="66"/>
  <c r="J57" i="66"/>
  <c r="K56" i="66" s="1"/>
  <c r="I57" i="137"/>
  <c r="J56" i="137"/>
  <c r="K55" i="137" s="1"/>
  <c r="AI12" i="1"/>
  <c r="AI13" i="1"/>
  <c r="E10" i="120"/>
  <c r="C9" i="120"/>
  <c r="J10" i="120"/>
  <c r="K10" i="120" s="1"/>
  <c r="C11" i="169"/>
  <c r="E12" i="169"/>
  <c r="HY12" i="2"/>
  <c r="J12" i="169"/>
  <c r="K12" i="169" s="1"/>
  <c r="E11" i="139"/>
  <c r="C10" i="139"/>
  <c r="J11" i="139"/>
  <c r="K11" i="139" s="1"/>
  <c r="E11" i="104"/>
  <c r="C10" i="104"/>
  <c r="J11" i="104"/>
  <c r="K11" i="104" s="1"/>
  <c r="K54" i="143"/>
  <c r="K54" i="170"/>
  <c r="I56" i="140"/>
  <c r="J55" i="140"/>
  <c r="K54" i="140" s="1"/>
  <c r="E11" i="137"/>
  <c r="C10" i="137"/>
  <c r="J11" i="137"/>
  <c r="K11" i="137" s="1"/>
  <c r="I56" i="45"/>
  <c r="J55" i="45"/>
  <c r="K54" i="45" s="1"/>
  <c r="C12" i="28"/>
  <c r="E13" i="28"/>
  <c r="J13" i="28"/>
  <c r="K13" i="28" s="1"/>
  <c r="I56" i="163"/>
  <c r="J55" i="163"/>
  <c r="K54" i="163" s="1"/>
  <c r="E8" i="138"/>
  <c r="C7" i="138"/>
  <c r="J8" i="138"/>
  <c r="K8" i="138" s="1"/>
  <c r="I58" i="83"/>
  <c r="J57" i="83"/>
  <c r="K56" i="83" s="1"/>
  <c r="K54" i="39"/>
  <c r="K55" i="111"/>
  <c r="K53" i="47"/>
  <c r="J55" i="58"/>
  <c r="I56" i="58"/>
  <c r="E11" i="4"/>
  <c r="C10" i="4"/>
  <c r="J11" i="4"/>
  <c r="K11" i="4" s="1"/>
  <c r="E12" i="156" l="1"/>
  <c r="C11" i="156"/>
  <c r="J12" i="156"/>
  <c r="K12" i="156" s="1"/>
  <c r="C10" i="149"/>
  <c r="J11" i="149"/>
  <c r="K11" i="149" s="1"/>
  <c r="E11" i="149"/>
  <c r="E12" i="130"/>
  <c r="C11" i="130"/>
  <c r="J12" i="130"/>
  <c r="K12" i="130" s="1"/>
  <c r="E7" i="98"/>
  <c r="J7" i="98"/>
  <c r="K7" i="98" s="1"/>
  <c r="C6" i="98"/>
  <c r="C11" i="74"/>
  <c r="E12" i="74"/>
  <c r="J12" i="74"/>
  <c r="K12" i="74" s="1"/>
  <c r="C10" i="61"/>
  <c r="E11" i="61"/>
  <c r="J11" i="61"/>
  <c r="K11" i="61" s="1"/>
  <c r="C10" i="59"/>
  <c r="J11" i="59"/>
  <c r="K11" i="59" s="1"/>
  <c r="E11" i="59"/>
  <c r="AI12" i="2"/>
  <c r="C11" i="150"/>
  <c r="E12" i="150"/>
  <c r="J12" i="150"/>
  <c r="K12" i="150" s="1"/>
  <c r="BF12" i="2"/>
  <c r="AJ12" i="2"/>
  <c r="C9" i="81"/>
  <c r="E10" i="81"/>
  <c r="J10" i="81"/>
  <c r="K10" i="81" s="1"/>
  <c r="I59" i="63"/>
  <c r="J58" i="63"/>
  <c r="I59" i="113"/>
  <c r="J58" i="113"/>
  <c r="FA12" i="2"/>
  <c r="C9" i="104"/>
  <c r="E10" i="104"/>
  <c r="J10" i="104"/>
  <c r="K10" i="104" s="1"/>
  <c r="I59" i="157"/>
  <c r="J58" i="157"/>
  <c r="C8" i="106"/>
  <c r="E9" i="106"/>
  <c r="J9" i="106"/>
  <c r="K9" i="106" s="1"/>
  <c r="E7" i="30"/>
  <c r="C6" i="30"/>
  <c r="J7" i="30"/>
  <c r="K7" i="30" s="1"/>
  <c r="HD13" i="2"/>
  <c r="C10" i="70"/>
  <c r="E11" i="70"/>
  <c r="J11" i="70"/>
  <c r="K11" i="70" s="1"/>
  <c r="E10" i="83"/>
  <c r="C9" i="83"/>
  <c r="J10" i="83"/>
  <c r="K10" i="83" s="1"/>
  <c r="C11" i="170"/>
  <c r="E12" i="170"/>
  <c r="J12" i="170"/>
  <c r="K12" i="170" s="1"/>
  <c r="I59" i="41"/>
  <c r="J58" i="41"/>
  <c r="E11" i="122"/>
  <c r="C10" i="122"/>
  <c r="J11" i="122"/>
  <c r="K11" i="122" s="1"/>
  <c r="C10" i="134"/>
  <c r="E11" i="134"/>
  <c r="EZ11" i="2"/>
  <c r="J11" i="134"/>
  <c r="K11" i="134" s="1"/>
  <c r="K58" i="29"/>
  <c r="E12" i="158"/>
  <c r="C11" i="158"/>
  <c r="J12" i="158"/>
  <c r="K12" i="158" s="1"/>
  <c r="I58" i="33"/>
  <c r="J57" i="33"/>
  <c r="K56" i="33" s="1"/>
  <c r="I58" i="123"/>
  <c r="J57" i="123"/>
  <c r="C8" i="37"/>
  <c r="E9" i="37"/>
  <c r="J9" i="37"/>
  <c r="K9" i="37" s="1"/>
  <c r="J59" i="9"/>
  <c r="K58" i="9" s="1"/>
  <c r="I60" i="9"/>
  <c r="K56" i="19"/>
  <c r="E11" i="147"/>
  <c r="C10" i="147"/>
  <c r="J11" i="147"/>
  <c r="K11" i="147" s="1"/>
  <c r="J57" i="108"/>
  <c r="K56" i="108" s="1"/>
  <c r="I58" i="108"/>
  <c r="I57" i="43"/>
  <c r="J56" i="43"/>
  <c r="K55" i="43" s="1"/>
  <c r="C7" i="102"/>
  <c r="E8" i="102"/>
  <c r="J8" i="102"/>
  <c r="K8" i="102" s="1"/>
  <c r="C8" i="123"/>
  <c r="E9" i="123"/>
  <c r="J9" i="123"/>
  <c r="K9" i="123" s="1"/>
  <c r="FL12" i="2"/>
  <c r="J59" i="29"/>
  <c r="I60" i="29"/>
  <c r="E12" i="27"/>
  <c r="C11" i="27"/>
  <c r="J12" i="27"/>
  <c r="K12" i="27" s="1"/>
  <c r="I59" i="118"/>
  <c r="J58" i="118"/>
  <c r="I59" i="72"/>
  <c r="J58" i="72"/>
  <c r="K57" i="72" s="1"/>
  <c r="J57" i="70"/>
  <c r="I58" i="70"/>
  <c r="BQ13" i="1"/>
  <c r="I59" i="99"/>
  <c r="J58" i="99"/>
  <c r="J59" i="164"/>
  <c r="I60" i="164"/>
  <c r="C7" i="45"/>
  <c r="E8" i="45"/>
  <c r="J8" i="45"/>
  <c r="K8" i="45" s="1"/>
  <c r="I62" i="61"/>
  <c r="J61" i="61"/>
  <c r="E10" i="18"/>
  <c r="C9" i="18"/>
  <c r="J10" i="18"/>
  <c r="K10" i="18" s="1"/>
  <c r="HO12" i="2"/>
  <c r="I58" i="19"/>
  <c r="J57" i="19"/>
  <c r="E11" i="88"/>
  <c r="C10" i="88"/>
  <c r="J11" i="88"/>
  <c r="K11" i="88" s="1"/>
  <c r="I58" i="97"/>
  <c r="J57" i="97"/>
  <c r="K57" i="41"/>
  <c r="C10" i="140"/>
  <c r="E11" i="140"/>
  <c r="J11" i="140"/>
  <c r="K11" i="140" s="1"/>
  <c r="K55" i="143"/>
  <c r="E12" i="8"/>
  <c r="BP12" i="1"/>
  <c r="C11" i="8"/>
  <c r="HC12" i="2"/>
  <c r="J12" i="8"/>
  <c r="K12" i="8" s="1"/>
  <c r="I61" i="32"/>
  <c r="J60" i="32"/>
  <c r="J57" i="21"/>
  <c r="I58" i="21"/>
  <c r="I58" i="49"/>
  <c r="J57" i="49"/>
  <c r="K56" i="49" s="1"/>
  <c r="I57" i="125"/>
  <c r="J56" i="125"/>
  <c r="K55" i="125" s="1"/>
  <c r="I57" i="90"/>
  <c r="J56" i="90"/>
  <c r="K55" i="90" s="1"/>
  <c r="I60" i="89"/>
  <c r="J59" i="89"/>
  <c r="K58" i="89" s="1"/>
  <c r="EP12" i="2"/>
  <c r="I58" i="153"/>
  <c r="J57" i="153"/>
  <c r="I58" i="20"/>
  <c r="J57" i="20"/>
  <c r="I57" i="105"/>
  <c r="J56" i="105"/>
  <c r="I60" i="98"/>
  <c r="J59" i="98"/>
  <c r="K56" i="113"/>
  <c r="C9" i="139"/>
  <c r="E10" i="139"/>
  <c r="J10" i="139"/>
  <c r="K10" i="139" s="1"/>
  <c r="J57" i="121"/>
  <c r="I58" i="121"/>
  <c r="I57" i="143"/>
  <c r="J56" i="143"/>
  <c r="J57" i="144"/>
  <c r="I58" i="144"/>
  <c r="I59" i="28"/>
  <c r="J58" i="28"/>
  <c r="K57" i="28" s="1"/>
  <c r="J56" i="102"/>
  <c r="K55" i="102" s="1"/>
  <c r="I57" i="102"/>
  <c r="CB13" i="1"/>
  <c r="C8" i="168"/>
  <c r="E9" i="168"/>
  <c r="J9" i="168"/>
  <c r="K9" i="168" s="1"/>
  <c r="I57" i="147"/>
  <c r="J56" i="147"/>
  <c r="E9" i="85"/>
  <c r="C8" i="85"/>
  <c r="J9" i="85"/>
  <c r="K9" i="85" s="1"/>
  <c r="K55" i="20"/>
  <c r="I60" i="132"/>
  <c r="J59" i="132"/>
  <c r="I57" i="58"/>
  <c r="J56" i="58"/>
  <c r="K55" i="58" s="1"/>
  <c r="DI12" i="2"/>
  <c r="K57" i="129"/>
  <c r="I59" i="159"/>
  <c r="J58" i="159"/>
  <c r="K57" i="159" s="1"/>
  <c r="C10" i="162"/>
  <c r="E11" i="162"/>
  <c r="J11" i="162"/>
  <c r="K11" i="162" s="1"/>
  <c r="E8" i="165"/>
  <c r="C7" i="165"/>
  <c r="J8" i="165"/>
  <c r="K8" i="165" s="1"/>
  <c r="E11" i="89"/>
  <c r="C10" i="89"/>
  <c r="J11" i="89"/>
  <c r="K11" i="89" s="1"/>
  <c r="C10" i="97"/>
  <c r="E11" i="97"/>
  <c r="J11" i="97"/>
  <c r="K11" i="97" s="1"/>
  <c r="I59" i="149"/>
  <c r="J58" i="149"/>
  <c r="K57" i="149" s="1"/>
  <c r="K55" i="3"/>
  <c r="C7" i="160"/>
  <c r="E8" i="160"/>
  <c r="J8" i="160"/>
  <c r="K8" i="160" s="1"/>
  <c r="E10" i="22"/>
  <c r="C9" i="22"/>
  <c r="J10" i="22"/>
  <c r="K10" i="22" s="1"/>
  <c r="C7" i="34"/>
  <c r="E8" i="34"/>
  <c r="J8" i="34"/>
  <c r="K8" i="34" s="1"/>
  <c r="E12" i="174"/>
  <c r="C11" i="174"/>
  <c r="J12" i="174"/>
  <c r="K12" i="174" s="1"/>
  <c r="I59" i="129"/>
  <c r="J58" i="129"/>
  <c r="I59" i="68"/>
  <c r="J58" i="68"/>
  <c r="K57" i="68" s="1"/>
  <c r="E10" i="99"/>
  <c r="C9" i="99"/>
  <c r="J10" i="99"/>
  <c r="K10" i="99" s="1"/>
  <c r="I60" i="136"/>
  <c r="J59" i="136"/>
  <c r="CX12" i="2"/>
  <c r="I57" i="146"/>
  <c r="J56" i="146"/>
  <c r="E12" i="6"/>
  <c r="C11" i="6"/>
  <c r="CA12" i="1"/>
  <c r="IU12" i="2"/>
  <c r="E12" i="172"/>
  <c r="C11" i="172"/>
  <c r="J12" i="172"/>
  <c r="K12" i="172" s="1"/>
  <c r="I60" i="172"/>
  <c r="J59" i="172"/>
  <c r="E11" i="101"/>
  <c r="C10" i="101"/>
  <c r="J11" i="101"/>
  <c r="K11" i="101" s="1"/>
  <c r="E12" i="93"/>
  <c r="C11" i="93"/>
  <c r="J12" i="93"/>
  <c r="K12" i="93" s="1"/>
  <c r="I57" i="47"/>
  <c r="J56" i="47"/>
  <c r="E11" i="38"/>
  <c r="C10" i="38"/>
  <c r="J11" i="38"/>
  <c r="K11" i="38" s="1"/>
  <c r="C8" i="26"/>
  <c r="E9" i="26"/>
  <c r="J9" i="26"/>
  <c r="K9" i="26" s="1"/>
  <c r="I58" i="4"/>
  <c r="J57" i="4"/>
  <c r="K56" i="4" s="1"/>
  <c r="J58" i="92"/>
  <c r="K57" i="92" s="1"/>
  <c r="I59" i="92"/>
  <c r="K58" i="172"/>
  <c r="E12" i="92"/>
  <c r="C11" i="92"/>
  <c r="J12" i="92"/>
  <c r="K12" i="92" s="1"/>
  <c r="C9" i="9"/>
  <c r="E10" i="9"/>
  <c r="J10" i="9"/>
  <c r="K10" i="9" s="1"/>
  <c r="I58" i="53"/>
  <c r="J57" i="53"/>
  <c r="K56" i="53" s="1"/>
  <c r="J57" i="31"/>
  <c r="K56" i="31" s="1"/>
  <c r="I58" i="31"/>
  <c r="I59" i="167"/>
  <c r="J58" i="167"/>
  <c r="K57" i="167" s="1"/>
  <c r="E10" i="110"/>
  <c r="C9" i="110"/>
  <c r="J10" i="110"/>
  <c r="K10" i="110" s="1"/>
  <c r="C10" i="108"/>
  <c r="E11" i="108"/>
  <c r="J11" i="108"/>
  <c r="K11" i="108" s="1"/>
  <c r="IK13" i="2"/>
  <c r="E10" i="11"/>
  <c r="C9" i="11"/>
  <c r="J10" i="11"/>
  <c r="K10" i="11" s="1"/>
  <c r="C9" i="64"/>
  <c r="E10" i="64"/>
  <c r="J10" i="64"/>
  <c r="K10" i="64" s="1"/>
  <c r="E10" i="65"/>
  <c r="C9" i="65"/>
  <c r="J10" i="65"/>
  <c r="K10" i="65" s="1"/>
  <c r="E11" i="153"/>
  <c r="C10" i="153"/>
  <c r="J11" i="153"/>
  <c r="K11" i="153" s="1"/>
  <c r="I62" i="134"/>
  <c r="J61" i="134"/>
  <c r="K60" i="134" s="1"/>
  <c r="E12" i="155"/>
  <c r="C11" i="155"/>
  <c r="J12" i="155"/>
  <c r="K12" i="155" s="1"/>
  <c r="C11" i="136"/>
  <c r="E12" i="136"/>
  <c r="J12" i="136"/>
  <c r="K12" i="136" s="1"/>
  <c r="E12" i="46"/>
  <c r="C11" i="46"/>
  <c r="J12" i="46"/>
  <c r="K12" i="46" s="1"/>
  <c r="AU13" i="2"/>
  <c r="E9" i="69"/>
  <c r="C8" i="69"/>
  <c r="J9" i="69"/>
  <c r="K9" i="69" s="1"/>
  <c r="CX11" i="2"/>
  <c r="E9" i="124"/>
  <c r="C8" i="124"/>
  <c r="J9" i="124"/>
  <c r="K9" i="124" s="1"/>
  <c r="C9" i="54"/>
  <c r="E10" i="54"/>
  <c r="J10" i="54"/>
  <c r="K10" i="54" s="1"/>
  <c r="DT11" i="2"/>
  <c r="E10" i="68"/>
  <c r="C9" i="68"/>
  <c r="J10" i="68"/>
  <c r="K10" i="68" s="1"/>
  <c r="I60" i="135"/>
  <c r="J59" i="135"/>
  <c r="C8" i="141"/>
  <c r="E9" i="141"/>
  <c r="J9" i="141"/>
  <c r="K9" i="141" s="1"/>
  <c r="I57" i="17"/>
  <c r="J56" i="17"/>
  <c r="K55" i="17" s="1"/>
  <c r="I60" i="152"/>
  <c r="J59" i="152"/>
  <c r="I58" i="50"/>
  <c r="J57" i="50"/>
  <c r="K58" i="42"/>
  <c r="E10" i="112"/>
  <c r="C9" i="112"/>
  <c r="J10" i="112"/>
  <c r="K10" i="112" s="1"/>
  <c r="K57" i="9"/>
  <c r="I58" i="162"/>
  <c r="J57" i="162"/>
  <c r="E12" i="143"/>
  <c r="C11" i="143"/>
  <c r="J12" i="143"/>
  <c r="K12" i="143" s="1"/>
  <c r="K59" i="79"/>
  <c r="E12" i="152"/>
  <c r="C11" i="152"/>
  <c r="J12" i="152"/>
  <c r="K12" i="152" s="1"/>
  <c r="J57" i="54"/>
  <c r="K56" i="54" s="1"/>
  <c r="I58" i="54"/>
  <c r="I57" i="174"/>
  <c r="J56" i="174"/>
  <c r="K55" i="174" s="1"/>
  <c r="C8" i="72"/>
  <c r="E9" i="72"/>
  <c r="J9" i="72"/>
  <c r="K9" i="72" s="1"/>
  <c r="J61" i="145"/>
  <c r="K60" i="145" s="1"/>
  <c r="I62" i="145"/>
  <c r="J58" i="83"/>
  <c r="I59" i="83"/>
  <c r="N13" i="2"/>
  <c r="I58" i="170"/>
  <c r="J57" i="170"/>
  <c r="C11" i="50"/>
  <c r="E12" i="50"/>
  <c r="AT12" i="2"/>
  <c r="J12" i="50"/>
  <c r="K12" i="50" s="1"/>
  <c r="E9" i="120"/>
  <c r="C8" i="120"/>
  <c r="J9" i="120"/>
  <c r="K9" i="120" s="1"/>
  <c r="C11" i="90"/>
  <c r="E12" i="90"/>
  <c r="J12" i="90"/>
  <c r="K12" i="90" s="1"/>
  <c r="E10" i="129"/>
  <c r="C9" i="129"/>
  <c r="J10" i="129"/>
  <c r="K10" i="129" s="1"/>
  <c r="DS10" i="2"/>
  <c r="E9" i="84"/>
  <c r="C8" i="84"/>
  <c r="J9" i="84"/>
  <c r="K9" i="84" s="1"/>
  <c r="K54" i="146"/>
  <c r="K57" i="89"/>
  <c r="CL12" i="2"/>
  <c r="E11" i="151"/>
  <c r="C10" i="151"/>
  <c r="J11" i="151"/>
  <c r="K11" i="151" s="1"/>
  <c r="K56" i="162"/>
  <c r="I58" i="168"/>
  <c r="J57" i="168"/>
  <c r="K55" i="168"/>
  <c r="I59" i="44"/>
  <c r="J58" i="44"/>
  <c r="J57" i="114"/>
  <c r="I58" i="114"/>
  <c r="J60" i="79"/>
  <c r="I61" i="79"/>
  <c r="E10" i="144"/>
  <c r="C9" i="144"/>
  <c r="J10" i="144"/>
  <c r="K10" i="144" s="1"/>
  <c r="E11" i="132"/>
  <c r="C10" i="132"/>
  <c r="J11" i="132"/>
  <c r="K11" i="132" s="1"/>
  <c r="I62" i="133"/>
  <c r="J61" i="133"/>
  <c r="I57" i="130"/>
  <c r="J56" i="130"/>
  <c r="E7" i="157"/>
  <c r="C6" i="157"/>
  <c r="J7" i="157"/>
  <c r="K7" i="157" s="1"/>
  <c r="E12" i="53"/>
  <c r="C11" i="53"/>
  <c r="J12" i="53"/>
  <c r="K12" i="53" s="1"/>
  <c r="E12" i="29"/>
  <c r="C11" i="29"/>
  <c r="J12" i="29"/>
  <c r="K12" i="29" s="1"/>
  <c r="X12" i="1"/>
  <c r="I57" i="166"/>
  <c r="J56" i="166"/>
  <c r="C10" i="63"/>
  <c r="E11" i="63"/>
  <c r="J11" i="63"/>
  <c r="K11" i="63" s="1"/>
  <c r="HO13" i="2"/>
  <c r="K60" i="133"/>
  <c r="I61" i="94"/>
  <c r="J60" i="94"/>
  <c r="K59" i="94" s="1"/>
  <c r="I57" i="64"/>
  <c r="J56" i="64"/>
  <c r="K55" i="64" s="1"/>
  <c r="E9" i="173"/>
  <c r="C8" i="173"/>
  <c r="J9" i="173"/>
  <c r="K9" i="173" s="1"/>
  <c r="I57" i="110"/>
  <c r="J56" i="110"/>
  <c r="J57" i="131"/>
  <c r="K56" i="131" s="1"/>
  <c r="I58" i="131"/>
  <c r="I57" i="36"/>
  <c r="J56" i="36"/>
  <c r="I60" i="26"/>
  <c r="J59" i="26"/>
  <c r="C9" i="57"/>
  <c r="E10" i="57"/>
  <c r="J10" i="57"/>
  <c r="K10" i="57" s="1"/>
  <c r="I59" i="173"/>
  <c r="J58" i="173"/>
  <c r="K57" i="173" s="1"/>
  <c r="K54" i="110"/>
  <c r="C8" i="62"/>
  <c r="E9" i="62"/>
  <c r="J9" i="62"/>
  <c r="K9" i="62" s="1"/>
  <c r="E10" i="19"/>
  <c r="C9" i="19"/>
  <c r="J10" i="19"/>
  <c r="K10" i="19" s="1"/>
  <c r="K57" i="157"/>
  <c r="HZ12" i="2"/>
  <c r="E11" i="133"/>
  <c r="C10" i="133"/>
  <c r="J11" i="133"/>
  <c r="K11" i="133" s="1"/>
  <c r="DH11" i="2"/>
  <c r="K54" i="58"/>
  <c r="C10" i="20"/>
  <c r="E11" i="20"/>
  <c r="J11" i="20"/>
  <c r="K11" i="20" s="1"/>
  <c r="C9" i="116"/>
  <c r="E10" i="116"/>
  <c r="J10" i="116"/>
  <c r="K10" i="116" s="1"/>
  <c r="E7" i="146"/>
  <c r="C6" i="146"/>
  <c r="J7" i="146"/>
  <c r="K7" i="146" s="1"/>
  <c r="K58" i="32"/>
  <c r="K58" i="156"/>
  <c r="K55" i="36"/>
  <c r="K57" i="136"/>
  <c r="E11" i="96"/>
  <c r="C10" i="96"/>
  <c r="J11" i="96"/>
  <c r="K11" i="96" s="1"/>
  <c r="J58" i="10"/>
  <c r="K57" i="10" s="1"/>
  <c r="I59" i="10"/>
  <c r="K54" i="130"/>
  <c r="I58" i="116"/>
  <c r="J57" i="116"/>
  <c r="K56" i="116" s="1"/>
  <c r="I58" i="80"/>
  <c r="J57" i="80"/>
  <c r="K56" i="80" s="1"/>
  <c r="I62" i="74"/>
  <c r="J61" i="74"/>
  <c r="J56" i="141"/>
  <c r="I57" i="141"/>
  <c r="E11" i="80"/>
  <c r="C10" i="80"/>
  <c r="J11" i="80"/>
  <c r="K11" i="80" s="1"/>
  <c r="I57" i="109"/>
  <c r="J56" i="109"/>
  <c r="K55" i="109" s="1"/>
  <c r="AJ12" i="1"/>
  <c r="I58" i="106"/>
  <c r="J57" i="106"/>
  <c r="J59" i="156"/>
  <c r="I60" i="156"/>
  <c r="I57" i="35"/>
  <c r="J56" i="35"/>
  <c r="E9" i="127"/>
  <c r="C8" i="127"/>
  <c r="J9" i="127"/>
  <c r="K9" i="127" s="1"/>
  <c r="K56" i="92"/>
  <c r="C11" i="91"/>
  <c r="E12" i="91"/>
  <c r="J12" i="91"/>
  <c r="K12" i="91" s="1"/>
  <c r="J59" i="13"/>
  <c r="K58" i="13" s="1"/>
  <c r="I60" i="13"/>
  <c r="C11" i="55"/>
  <c r="E12" i="55"/>
  <c r="J12" i="55"/>
  <c r="K12" i="55" s="1"/>
  <c r="I58" i="104"/>
  <c r="J57" i="104"/>
  <c r="C9" i="128"/>
  <c r="E10" i="128"/>
  <c r="J10" i="128"/>
  <c r="K10" i="128" s="1"/>
  <c r="C8" i="171"/>
  <c r="E9" i="171"/>
  <c r="J9" i="171"/>
  <c r="K9" i="171" s="1"/>
  <c r="I58" i="119"/>
  <c r="J57" i="119"/>
  <c r="E7" i="138"/>
  <c r="C6" i="138"/>
  <c r="J7" i="138"/>
  <c r="K7" i="138" s="1"/>
  <c r="C10" i="31"/>
  <c r="E11" i="31"/>
  <c r="J11" i="31"/>
  <c r="K11" i="31" s="1"/>
  <c r="I57" i="163"/>
  <c r="J56" i="163"/>
  <c r="K55" i="163" s="1"/>
  <c r="IK12" i="2"/>
  <c r="I61" i="71"/>
  <c r="J60" i="71"/>
  <c r="C9" i="94"/>
  <c r="E10" i="94"/>
  <c r="J10" i="94"/>
  <c r="K10" i="94" s="1"/>
  <c r="K57" i="124"/>
  <c r="CM13" i="2"/>
  <c r="C10" i="23"/>
  <c r="E11" i="23"/>
  <c r="J11" i="23"/>
  <c r="K11" i="23" s="1"/>
  <c r="I60" i="122"/>
  <c r="J59" i="122"/>
  <c r="K58" i="122" s="1"/>
  <c r="K54" i="64"/>
  <c r="E12" i="107"/>
  <c r="C11" i="107"/>
  <c r="J12" i="107"/>
  <c r="K12" i="107" s="1"/>
  <c r="E10" i="167"/>
  <c r="C9" i="167"/>
  <c r="J10" i="167"/>
  <c r="K10" i="167" s="1"/>
  <c r="I58" i="84"/>
  <c r="J57" i="84"/>
  <c r="K56" i="84" s="1"/>
  <c r="I59" i="139"/>
  <c r="J58" i="139"/>
  <c r="K57" i="139" s="1"/>
  <c r="K56" i="104"/>
  <c r="IV13" i="2"/>
  <c r="E11" i="77"/>
  <c r="C10" i="77"/>
  <c r="J11" i="77"/>
  <c r="K11" i="77" s="1"/>
  <c r="E9" i="86"/>
  <c r="C8" i="86"/>
  <c r="J9" i="86"/>
  <c r="K9" i="86" s="1"/>
  <c r="I59" i="60"/>
  <c r="J58" i="60"/>
  <c r="K57" i="60" s="1"/>
  <c r="BQ13" i="2"/>
  <c r="I58" i="137"/>
  <c r="J57" i="137"/>
  <c r="K56" i="137" s="1"/>
  <c r="J57" i="67"/>
  <c r="I58" i="67"/>
  <c r="E11" i="48"/>
  <c r="C10" i="48"/>
  <c r="J11" i="48"/>
  <c r="K11" i="48" s="1"/>
  <c r="I57" i="95"/>
  <c r="J56" i="95"/>
  <c r="J56" i="38"/>
  <c r="I57" i="38"/>
  <c r="C11" i="52"/>
  <c r="E12" i="52"/>
  <c r="BP12" i="2"/>
  <c r="J12" i="52"/>
  <c r="K12" i="52" s="1"/>
  <c r="E10" i="60"/>
  <c r="C9" i="60"/>
  <c r="J10" i="60"/>
  <c r="K10" i="60" s="1"/>
  <c r="E11" i="79"/>
  <c r="C10" i="79"/>
  <c r="J11" i="79"/>
  <c r="K11" i="79" s="1"/>
  <c r="E12" i="3"/>
  <c r="C11" i="3"/>
  <c r="J12" i="3"/>
  <c r="K12" i="3" s="1"/>
  <c r="C8" i="73"/>
  <c r="E9" i="73"/>
  <c r="J9" i="73"/>
  <c r="K9" i="73" s="1"/>
  <c r="I57" i="8"/>
  <c r="J56" i="8"/>
  <c r="J58" i="124"/>
  <c r="I59" i="124"/>
  <c r="J59" i="142"/>
  <c r="I60" i="142"/>
  <c r="E10" i="126"/>
  <c r="C9" i="126"/>
  <c r="J10" i="126"/>
  <c r="K10" i="126" s="1"/>
  <c r="K56" i="41"/>
  <c r="D51" i="2"/>
  <c r="DU51" i="2"/>
  <c r="CC51" i="2"/>
  <c r="O51" i="2"/>
  <c r="EQ51" i="2"/>
  <c r="BG51" i="2"/>
  <c r="FM51" i="2"/>
  <c r="CN51" i="2"/>
  <c r="CY51" i="2"/>
  <c r="FB51" i="2"/>
  <c r="DJ51" i="2"/>
  <c r="HP51" i="2"/>
  <c r="IL51" i="2"/>
  <c r="IW51" i="2"/>
  <c r="IA51" i="2"/>
  <c r="HE51" i="2"/>
  <c r="Z51" i="2"/>
  <c r="GT51" i="2"/>
  <c r="BR51" i="2"/>
  <c r="AK51" i="2"/>
  <c r="AV51" i="2"/>
  <c r="FX51" i="2"/>
  <c r="EF51" i="2"/>
  <c r="C9" i="17"/>
  <c r="E10" i="17"/>
  <c r="J10" i="17"/>
  <c r="K10" i="17" s="1"/>
  <c r="C8" i="115"/>
  <c r="E9" i="115"/>
  <c r="J9" i="115"/>
  <c r="K9" i="115" s="1"/>
  <c r="FL13" i="2"/>
  <c r="C8" i="163"/>
  <c r="E9" i="163"/>
  <c r="J9" i="163"/>
  <c r="K9" i="163" s="1"/>
  <c r="E11" i="169"/>
  <c r="C10" i="169"/>
  <c r="HY11" i="2"/>
  <c r="J11" i="169"/>
  <c r="K11" i="169" s="1"/>
  <c r="E11" i="154"/>
  <c r="C10" i="154"/>
  <c r="J11" i="154"/>
  <c r="K11" i="154" s="1"/>
  <c r="IJ11" i="2"/>
  <c r="K56" i="155"/>
  <c r="I60" i="128"/>
  <c r="J59" i="128"/>
  <c r="I58" i="138"/>
  <c r="J57" i="138"/>
  <c r="K56" i="138" s="1"/>
  <c r="K59" i="133"/>
  <c r="D51" i="1"/>
  <c r="O51" i="1"/>
  <c r="Z51" i="1"/>
  <c r="BR51" i="1"/>
  <c r="CC51" i="1"/>
  <c r="AK51" i="1"/>
  <c r="AV51" i="1"/>
  <c r="E12" i="56"/>
  <c r="C11" i="56"/>
  <c r="J12" i="56"/>
  <c r="K12" i="56" s="1"/>
  <c r="EE13" i="2"/>
  <c r="FW13" i="2"/>
  <c r="C7" i="111"/>
  <c r="E8" i="111"/>
  <c r="J8" i="111"/>
  <c r="K8" i="111" s="1"/>
  <c r="C9" i="67"/>
  <c r="E10" i="67"/>
  <c r="J10" i="67"/>
  <c r="K10" i="67" s="1"/>
  <c r="J59" i="51"/>
  <c r="I60" i="51"/>
  <c r="I58" i="155"/>
  <c r="J57" i="155"/>
  <c r="C10" i="13"/>
  <c r="E11" i="13"/>
  <c r="J11" i="13"/>
  <c r="K11" i="13" s="1"/>
  <c r="IU11" i="2"/>
  <c r="I61" i="27"/>
  <c r="J60" i="27"/>
  <c r="K59" i="27" s="1"/>
  <c r="I62" i="15"/>
  <c r="J61" i="15"/>
  <c r="K56" i="73"/>
  <c r="C9" i="103"/>
  <c r="E10" i="103"/>
  <c r="J10" i="103"/>
  <c r="K10" i="103" s="1"/>
  <c r="I62" i="12"/>
  <c r="J61" i="12"/>
  <c r="J57" i="88"/>
  <c r="K56" i="88" s="1"/>
  <c r="I58" i="88"/>
  <c r="E8" i="43"/>
  <c r="C7" i="43"/>
  <c r="J8" i="43"/>
  <c r="K8" i="43" s="1"/>
  <c r="I59" i="37"/>
  <c r="J58" i="37"/>
  <c r="K57" i="37" s="1"/>
  <c r="C10" i="71"/>
  <c r="E11" i="71"/>
  <c r="J11" i="71"/>
  <c r="K11" i="71" s="1"/>
  <c r="BG51" i="1"/>
  <c r="BF51" i="1"/>
  <c r="E12" i="109"/>
  <c r="C11" i="109"/>
  <c r="ED12" i="2"/>
  <c r="J12" i="109"/>
  <c r="K12" i="109" s="1"/>
  <c r="E7" i="32"/>
  <c r="C6" i="32"/>
  <c r="J7" i="32"/>
  <c r="K7" i="32" s="1"/>
  <c r="J56" i="45"/>
  <c r="K55" i="45" s="1"/>
  <c r="I57" i="45"/>
  <c r="K59" i="145"/>
  <c r="I61" i="22"/>
  <c r="J60" i="22"/>
  <c r="E12" i="58"/>
  <c r="C11" i="58"/>
  <c r="J12" i="58"/>
  <c r="K12" i="58" s="1"/>
  <c r="GS13" i="2"/>
  <c r="K60" i="15"/>
  <c r="I58" i="73"/>
  <c r="J57" i="73"/>
  <c r="K55" i="138"/>
  <c r="J56" i="171"/>
  <c r="K55" i="171" s="1"/>
  <c r="I57" i="171"/>
  <c r="J56" i="100"/>
  <c r="K55" i="100" s="1"/>
  <c r="I57" i="100"/>
  <c r="C6" i="166"/>
  <c r="E7" i="166"/>
  <c r="J7" i="166"/>
  <c r="K7" i="166" s="1"/>
  <c r="E9" i="40"/>
  <c r="C8" i="40"/>
  <c r="J9" i="40"/>
  <c r="K9" i="40" s="1"/>
  <c r="GI51" i="2"/>
  <c r="GH51" i="2"/>
  <c r="J58" i="30"/>
  <c r="I59" i="30"/>
  <c r="I59" i="23"/>
  <c r="J58" i="23"/>
  <c r="K54" i="105"/>
  <c r="E12" i="42"/>
  <c r="C11" i="42"/>
  <c r="J12" i="42"/>
  <c r="K12" i="42" s="1"/>
  <c r="FV12" i="2"/>
  <c r="K56" i="118"/>
  <c r="C9" i="5"/>
  <c r="E10" i="5"/>
  <c r="J10" i="5"/>
  <c r="K10" i="5" s="1"/>
  <c r="I60" i="78"/>
  <c r="J59" i="78"/>
  <c r="K58" i="78" s="1"/>
  <c r="J58" i="158"/>
  <c r="K57" i="158" s="1"/>
  <c r="I59" i="158"/>
  <c r="C8" i="47"/>
  <c r="E9" i="47"/>
  <c r="J9" i="47"/>
  <c r="K9" i="47" s="1"/>
  <c r="J59" i="107"/>
  <c r="I60" i="107"/>
  <c r="J60" i="82"/>
  <c r="K59" i="82" s="1"/>
  <c r="I61" i="82"/>
  <c r="I58" i="87"/>
  <c r="J57" i="87"/>
  <c r="E50" i="24"/>
  <c r="C49" i="24"/>
  <c r="GG50" i="2"/>
  <c r="BE50" i="1"/>
  <c r="C50" i="2"/>
  <c r="C50" i="1"/>
  <c r="J50" i="24"/>
  <c r="K50" i="24" s="1"/>
  <c r="J56" i="112"/>
  <c r="I57" i="112"/>
  <c r="C10" i="21"/>
  <c r="E11" i="21"/>
  <c r="J11" i="21"/>
  <c r="K11" i="21" s="1"/>
  <c r="E12" i="28"/>
  <c r="C11" i="28"/>
  <c r="AI11" i="2" s="1"/>
  <c r="J12" i="28"/>
  <c r="K12" i="28" s="1"/>
  <c r="C9" i="137"/>
  <c r="E10" i="137"/>
  <c r="J10" i="137"/>
  <c r="K10" i="137" s="1"/>
  <c r="N12" i="2"/>
  <c r="K56" i="129"/>
  <c r="K55" i="96"/>
  <c r="E11" i="164"/>
  <c r="C10" i="164"/>
  <c r="J11" i="164"/>
  <c r="K11" i="164" s="1"/>
  <c r="K54" i="171"/>
  <c r="K56" i="124"/>
  <c r="I60" i="16"/>
  <c r="J59" i="16"/>
  <c r="K58" i="16" s="1"/>
  <c r="K55" i="144"/>
  <c r="J56" i="11"/>
  <c r="I57" i="11"/>
  <c r="C10" i="44"/>
  <c r="E11" i="44"/>
  <c r="J11" i="44"/>
  <c r="K11" i="44" s="1"/>
  <c r="K55" i="69"/>
  <c r="I58" i="39"/>
  <c r="J57" i="39"/>
  <c r="K56" i="39" s="1"/>
  <c r="I57" i="65"/>
  <c r="J56" i="65"/>
  <c r="K55" i="65" s="1"/>
  <c r="E11" i="36"/>
  <c r="C10" i="36"/>
  <c r="J11" i="36"/>
  <c r="K11" i="36" s="1"/>
  <c r="C11" i="100"/>
  <c r="E12" i="100"/>
  <c r="J12" i="100"/>
  <c r="K12" i="100" s="1"/>
  <c r="E10" i="75"/>
  <c r="C9" i="75"/>
  <c r="J10" i="75"/>
  <c r="K10" i="75" s="1"/>
  <c r="J57" i="154"/>
  <c r="I58" i="154"/>
  <c r="E11" i="41"/>
  <c r="C10" i="41"/>
  <c r="J11" i="41"/>
  <c r="K11" i="41" s="1"/>
  <c r="I57" i="120"/>
  <c r="J56" i="120"/>
  <c r="K55" i="120" s="1"/>
  <c r="I57" i="96"/>
  <c r="J56" i="96"/>
  <c r="C11" i="14"/>
  <c r="E12" i="14"/>
  <c r="J12" i="14"/>
  <c r="K12" i="14" s="1"/>
  <c r="GR12" i="2"/>
  <c r="K55" i="126"/>
  <c r="I58" i="86"/>
  <c r="J57" i="86"/>
  <c r="E7" i="87"/>
  <c r="C6" i="87"/>
  <c r="J7" i="87"/>
  <c r="K7" i="87" s="1"/>
  <c r="C9" i="16"/>
  <c r="E10" i="16"/>
  <c r="J10" i="16"/>
  <c r="K10" i="16" s="1"/>
  <c r="E9" i="51"/>
  <c r="C8" i="51"/>
  <c r="J9" i="51"/>
  <c r="K9" i="51" s="1"/>
  <c r="K55" i="160"/>
  <c r="E11" i="117"/>
  <c r="C10" i="117"/>
  <c r="J11" i="117"/>
  <c r="K11" i="117" s="1"/>
  <c r="J56" i="69"/>
  <c r="I57" i="69"/>
  <c r="E10" i="25"/>
  <c r="C9" i="25"/>
  <c r="J10" i="25"/>
  <c r="K10" i="25" s="1"/>
  <c r="K59" i="134"/>
  <c r="K56" i="161"/>
  <c r="I61" i="14"/>
  <c r="J60" i="14"/>
  <c r="K59" i="14" s="1"/>
  <c r="K55" i="54"/>
  <c r="AU13" i="1"/>
  <c r="CB12" i="2"/>
  <c r="I59" i="66"/>
  <c r="J58" i="66"/>
  <c r="I60" i="77"/>
  <c r="J59" i="77"/>
  <c r="K55" i="21"/>
  <c r="K55" i="33"/>
  <c r="E12" i="49"/>
  <c r="C11" i="49"/>
  <c r="J12" i="49"/>
  <c r="K12" i="49" s="1"/>
  <c r="C10" i="114"/>
  <c r="E11" i="114"/>
  <c r="J11" i="114"/>
  <c r="K11" i="114" s="1"/>
  <c r="I57" i="160"/>
  <c r="J56" i="160"/>
  <c r="J57" i="161"/>
  <c r="I58" i="161"/>
  <c r="K54" i="174"/>
  <c r="E12" i="7"/>
  <c r="C11" i="7"/>
  <c r="AT12" i="1"/>
  <c r="J12" i="7"/>
  <c r="K12" i="7" s="1"/>
  <c r="E11" i="78"/>
  <c r="C10" i="78"/>
  <c r="J11" i="78"/>
  <c r="K11" i="78" s="1"/>
  <c r="K58" i="22"/>
  <c r="I57" i="40"/>
  <c r="J56" i="40"/>
  <c r="K55" i="40" s="1"/>
  <c r="J56" i="91"/>
  <c r="K55" i="91" s="1"/>
  <c r="I57" i="91"/>
  <c r="I60" i="62"/>
  <c r="J59" i="62"/>
  <c r="K58" i="62" s="1"/>
  <c r="I57" i="148"/>
  <c r="J56" i="148"/>
  <c r="I59" i="25"/>
  <c r="J58" i="25"/>
  <c r="K57" i="25" s="1"/>
  <c r="E10" i="118"/>
  <c r="C9" i="118"/>
  <c r="J10" i="118"/>
  <c r="K10" i="118" s="1"/>
  <c r="I60" i="101"/>
  <c r="J59" i="101"/>
  <c r="K58" i="101" s="1"/>
  <c r="I57" i="81"/>
  <c r="J56" i="81"/>
  <c r="C10" i="76"/>
  <c r="E11" i="76"/>
  <c r="J11" i="76"/>
  <c r="K11" i="76" s="1"/>
  <c r="K56" i="52"/>
  <c r="N13" i="1"/>
  <c r="C8" i="159"/>
  <c r="E9" i="159"/>
  <c r="J9" i="159"/>
  <c r="K9" i="159" s="1"/>
  <c r="E11" i="10"/>
  <c r="C10" i="10"/>
  <c r="J11" i="10"/>
  <c r="K11" i="10" s="1"/>
  <c r="K56" i="85"/>
  <c r="K55" i="53"/>
  <c r="I59" i="115"/>
  <c r="J58" i="115"/>
  <c r="K57" i="115" s="1"/>
  <c r="E11" i="33"/>
  <c r="C10" i="33"/>
  <c r="M11" i="2"/>
  <c r="J11" i="33"/>
  <c r="K11" i="33" s="1"/>
  <c r="J57" i="151"/>
  <c r="K56" i="151" s="1"/>
  <c r="I58" i="151"/>
  <c r="K58" i="71"/>
  <c r="K56" i="5"/>
  <c r="K54" i="8"/>
  <c r="E10" i="161"/>
  <c r="C9" i="161"/>
  <c r="J10" i="161"/>
  <c r="K10" i="161" s="1"/>
  <c r="K55" i="81"/>
  <c r="I58" i="52"/>
  <c r="J57" i="52"/>
  <c r="Y13" i="2"/>
  <c r="I58" i="85"/>
  <c r="J57" i="85"/>
  <c r="J58" i="165"/>
  <c r="I59" i="165"/>
  <c r="K55" i="104"/>
  <c r="E11" i="95"/>
  <c r="C10" i="95"/>
  <c r="J11" i="95"/>
  <c r="K11" i="95" s="1"/>
  <c r="E11" i="35"/>
  <c r="C10" i="35"/>
  <c r="J11" i="35"/>
  <c r="K11" i="35" s="1"/>
  <c r="K54" i="120"/>
  <c r="C9" i="148"/>
  <c r="E10" i="148"/>
  <c r="J10" i="148"/>
  <c r="K10" i="148" s="1"/>
  <c r="J61" i="7"/>
  <c r="K60" i="7" s="1"/>
  <c r="I62" i="7"/>
  <c r="K57" i="107"/>
  <c r="J57" i="5"/>
  <c r="I58" i="5"/>
  <c r="E11" i="142"/>
  <c r="C10" i="142"/>
  <c r="J11" i="142"/>
  <c r="K11" i="142" s="1"/>
  <c r="K57" i="16"/>
  <c r="E11" i="145"/>
  <c r="C10" i="145"/>
  <c r="J11" i="145"/>
  <c r="K11" i="145" s="1"/>
  <c r="K55" i="153"/>
  <c r="E11" i="119"/>
  <c r="C10" i="119"/>
  <c r="J11" i="119"/>
  <c r="K11" i="119" s="1"/>
  <c r="C11" i="12"/>
  <c r="X12" i="2"/>
  <c r="E12" i="12"/>
  <c r="M12" i="1"/>
  <c r="J12" i="12"/>
  <c r="K12" i="12" s="1"/>
  <c r="K55" i="169"/>
  <c r="K56" i="165"/>
  <c r="C4" i="82"/>
  <c r="E5" i="82"/>
  <c r="J5" i="82"/>
  <c r="K5" i="82" s="1"/>
  <c r="I57" i="55"/>
  <c r="J56" i="55"/>
  <c r="K55" i="55" s="1"/>
  <c r="AJ13" i="1"/>
  <c r="C10" i="125"/>
  <c r="E11" i="125"/>
  <c r="J11" i="125"/>
  <c r="K11" i="125" s="1"/>
  <c r="I59" i="18"/>
  <c r="J58" i="18"/>
  <c r="K55" i="155"/>
  <c r="K55" i="49"/>
  <c r="I61" i="24"/>
  <c r="J60" i="24"/>
  <c r="K58" i="127"/>
  <c r="K55" i="34"/>
  <c r="K54" i="125"/>
  <c r="E12" i="121"/>
  <c r="C11" i="121"/>
  <c r="J12" i="121"/>
  <c r="K12" i="121" s="1"/>
  <c r="I59" i="93"/>
  <c r="J58" i="93"/>
  <c r="K57" i="93" s="1"/>
  <c r="J59" i="48"/>
  <c r="K58" i="48" s="1"/>
  <c r="I60" i="48"/>
  <c r="K54" i="147"/>
  <c r="I58" i="169"/>
  <c r="J57" i="169"/>
  <c r="C7" i="131"/>
  <c r="E8" i="131"/>
  <c r="J8" i="131"/>
  <c r="K8" i="131" s="1"/>
  <c r="J59" i="117"/>
  <c r="I60" i="117"/>
  <c r="K54" i="65"/>
  <c r="I58" i="111"/>
  <c r="J57" i="111"/>
  <c r="E9" i="39"/>
  <c r="C8" i="39"/>
  <c r="J9" i="39"/>
  <c r="K9" i="39" s="1"/>
  <c r="I58" i="76"/>
  <c r="J57" i="76"/>
  <c r="K56" i="76"/>
  <c r="I57" i="140"/>
  <c r="J56" i="140"/>
  <c r="K55" i="140" s="1"/>
  <c r="E10" i="113"/>
  <c r="C9" i="113"/>
  <c r="J10" i="113"/>
  <c r="K10" i="113" s="1"/>
  <c r="E10" i="4"/>
  <c r="C9" i="4"/>
  <c r="J10" i="4"/>
  <c r="K10" i="4" s="1"/>
  <c r="K55" i="67"/>
  <c r="C9" i="66"/>
  <c r="E10" i="66"/>
  <c r="J10" i="66"/>
  <c r="K10" i="66" s="1"/>
  <c r="K56" i="99"/>
  <c r="K56" i="68"/>
  <c r="I58" i="126"/>
  <c r="J57" i="126"/>
  <c r="I60" i="127"/>
  <c r="J59" i="127"/>
  <c r="J56" i="34"/>
  <c r="I57" i="34"/>
  <c r="E10" i="135"/>
  <c r="C9" i="135"/>
  <c r="J10" i="135"/>
  <c r="K10" i="135" s="1"/>
  <c r="I58" i="103"/>
  <c r="J57" i="103"/>
  <c r="K56" i="103" s="1"/>
  <c r="K56" i="97"/>
  <c r="K58" i="59"/>
  <c r="J61" i="75"/>
  <c r="I62" i="75"/>
  <c r="I58" i="56"/>
  <c r="J57" i="56"/>
  <c r="C7" i="105"/>
  <c r="E8" i="105"/>
  <c r="J8" i="105"/>
  <c r="K8" i="105" s="1"/>
  <c r="I58" i="3"/>
  <c r="J57" i="3"/>
  <c r="K56" i="3" s="1"/>
  <c r="J61" i="46"/>
  <c r="K60" i="46" s="1"/>
  <c r="I62" i="46"/>
  <c r="K57" i="63"/>
  <c r="E11" i="15"/>
  <c r="C10" i="15"/>
  <c r="J11" i="15"/>
  <c r="K11" i="15" s="1"/>
  <c r="J60" i="42"/>
  <c r="K59" i="42" s="1"/>
  <c r="I61" i="42"/>
  <c r="J57" i="57"/>
  <c r="K56" i="57" s="1"/>
  <c r="I58" i="57"/>
  <c r="C10" i="156" l="1"/>
  <c r="J11" i="156"/>
  <c r="K11" i="156" s="1"/>
  <c r="E11" i="156"/>
  <c r="E10" i="149"/>
  <c r="C9" i="149"/>
  <c r="J10" i="149"/>
  <c r="K10" i="149" s="1"/>
  <c r="E11" i="130"/>
  <c r="J11" i="130"/>
  <c r="K11" i="130" s="1"/>
  <c r="C10" i="130"/>
  <c r="C5" i="98"/>
  <c r="E6" i="98"/>
  <c r="J6" i="98"/>
  <c r="K6" i="98" s="1"/>
  <c r="E11" i="74"/>
  <c r="C10" i="74"/>
  <c r="J11" i="74"/>
  <c r="K11" i="74" s="1"/>
  <c r="E10" i="61"/>
  <c r="J10" i="61"/>
  <c r="K10" i="61" s="1"/>
  <c r="C9" i="61"/>
  <c r="E10" i="59"/>
  <c r="C9" i="59"/>
  <c r="J10" i="59"/>
  <c r="K10" i="59" s="1"/>
  <c r="E11" i="150"/>
  <c r="C10" i="150"/>
  <c r="J11" i="150"/>
  <c r="K11" i="150" s="1"/>
  <c r="AJ11" i="2"/>
  <c r="E11" i="52"/>
  <c r="C10" i="52"/>
  <c r="BP11" i="2"/>
  <c r="J11" i="52"/>
  <c r="K11" i="52" s="1"/>
  <c r="C5" i="138"/>
  <c r="E6" i="138"/>
  <c r="J6" i="138"/>
  <c r="K6" i="138" s="1"/>
  <c r="I60" i="173"/>
  <c r="J59" i="173"/>
  <c r="K58" i="173" s="1"/>
  <c r="C9" i="63"/>
  <c r="E10" i="63"/>
  <c r="J10" i="63"/>
  <c r="K10" i="63" s="1"/>
  <c r="E9" i="112"/>
  <c r="C8" i="112"/>
  <c r="J9" i="112"/>
  <c r="K9" i="112" s="1"/>
  <c r="K58" i="28"/>
  <c r="I58" i="125"/>
  <c r="J57" i="125"/>
  <c r="N12" i="1"/>
  <c r="I61" i="62"/>
  <c r="J60" i="62"/>
  <c r="K59" i="62" s="1"/>
  <c r="C8" i="16"/>
  <c r="E9" i="16"/>
  <c r="J9" i="16"/>
  <c r="K9" i="16" s="1"/>
  <c r="J58" i="88"/>
  <c r="I59" i="88"/>
  <c r="J57" i="38"/>
  <c r="K56" i="38" s="1"/>
  <c r="I58" i="38"/>
  <c r="E6" i="146"/>
  <c r="C5" i="146"/>
  <c r="J6" i="146"/>
  <c r="K6" i="146" s="1"/>
  <c r="I59" i="114"/>
  <c r="J58" i="114"/>
  <c r="E11" i="50"/>
  <c r="C10" i="50"/>
  <c r="AT11" i="2"/>
  <c r="J11" i="50"/>
  <c r="K11" i="50" s="1"/>
  <c r="K58" i="129"/>
  <c r="J59" i="28"/>
  <c r="I60" i="28"/>
  <c r="E11" i="158"/>
  <c r="C10" i="158"/>
  <c r="J11" i="158"/>
  <c r="K11" i="158" s="1"/>
  <c r="I59" i="106"/>
  <c r="J58" i="106"/>
  <c r="I58" i="166"/>
  <c r="J57" i="166"/>
  <c r="I58" i="47"/>
  <c r="J57" i="47"/>
  <c r="K56" i="47" s="1"/>
  <c r="I60" i="129"/>
  <c r="J59" i="129"/>
  <c r="C9" i="162"/>
  <c r="E10" i="162"/>
  <c r="J10" i="162"/>
  <c r="K10" i="162" s="1"/>
  <c r="I59" i="144"/>
  <c r="J58" i="144"/>
  <c r="J58" i="49"/>
  <c r="K57" i="49" s="1"/>
  <c r="I59" i="49"/>
  <c r="I58" i="91"/>
  <c r="J57" i="91"/>
  <c r="K56" i="91" s="1"/>
  <c r="J60" i="77"/>
  <c r="I61" i="77"/>
  <c r="C5" i="87"/>
  <c r="E6" i="87"/>
  <c r="J6" i="87"/>
  <c r="K6" i="87" s="1"/>
  <c r="C8" i="5"/>
  <c r="E9" i="5"/>
  <c r="J9" i="5"/>
  <c r="K9" i="5" s="1"/>
  <c r="C10" i="56"/>
  <c r="E11" i="56"/>
  <c r="J11" i="56"/>
  <c r="K11" i="56" s="1"/>
  <c r="K56" i="95"/>
  <c r="J58" i="119"/>
  <c r="K57" i="119" s="1"/>
  <c r="I59" i="119"/>
  <c r="Y12" i="1"/>
  <c r="J58" i="170"/>
  <c r="I59" i="170"/>
  <c r="I59" i="21"/>
  <c r="J58" i="21"/>
  <c r="C7" i="123"/>
  <c r="E8" i="123"/>
  <c r="J8" i="123"/>
  <c r="K8" i="123" s="1"/>
  <c r="C10" i="12"/>
  <c r="E11" i="12"/>
  <c r="X11" i="2"/>
  <c r="M11" i="1"/>
  <c r="J11" i="12"/>
  <c r="K11" i="12" s="1"/>
  <c r="C9" i="95"/>
  <c r="E10" i="95"/>
  <c r="J10" i="95"/>
  <c r="K10" i="95" s="1"/>
  <c r="I60" i="115"/>
  <c r="J59" i="115"/>
  <c r="I63" i="12"/>
  <c r="J62" i="12"/>
  <c r="J57" i="95"/>
  <c r="I58" i="95"/>
  <c r="J59" i="44"/>
  <c r="I60" i="44"/>
  <c r="I59" i="50"/>
  <c r="J58" i="50"/>
  <c r="E11" i="46"/>
  <c r="C10" i="46"/>
  <c r="J11" i="46"/>
  <c r="K11" i="46" s="1"/>
  <c r="AI11" i="1"/>
  <c r="E10" i="108"/>
  <c r="C9" i="108"/>
  <c r="J10" i="108"/>
  <c r="K10" i="108" s="1"/>
  <c r="E11" i="93"/>
  <c r="C10" i="93"/>
  <c r="J11" i="93"/>
  <c r="K11" i="93" s="1"/>
  <c r="C10" i="174"/>
  <c r="E11" i="174"/>
  <c r="J11" i="174"/>
  <c r="K11" i="174" s="1"/>
  <c r="K57" i="21"/>
  <c r="C5" i="30"/>
  <c r="E6" i="30"/>
  <c r="J6" i="30"/>
  <c r="K6" i="30" s="1"/>
  <c r="I60" i="66"/>
  <c r="J59" i="66"/>
  <c r="K58" i="66" s="1"/>
  <c r="I58" i="65"/>
  <c r="J57" i="65"/>
  <c r="E10" i="21"/>
  <c r="C9" i="21"/>
  <c r="J10" i="21"/>
  <c r="K10" i="21" s="1"/>
  <c r="FW12" i="2"/>
  <c r="C8" i="126"/>
  <c r="E9" i="126"/>
  <c r="J9" i="126"/>
  <c r="K9" i="126" s="1"/>
  <c r="C8" i="116"/>
  <c r="E9" i="116"/>
  <c r="J9" i="116"/>
  <c r="K9" i="116" s="1"/>
  <c r="E11" i="29"/>
  <c r="C10" i="29"/>
  <c r="J11" i="29"/>
  <c r="K11" i="29" s="1"/>
  <c r="X11" i="1"/>
  <c r="I58" i="143"/>
  <c r="J57" i="143"/>
  <c r="K56" i="143" s="1"/>
  <c r="C8" i="18"/>
  <c r="E9" i="18"/>
  <c r="J9" i="18"/>
  <c r="K9" i="18" s="1"/>
  <c r="FA11" i="2"/>
  <c r="C10" i="100"/>
  <c r="E11" i="100"/>
  <c r="J11" i="100"/>
  <c r="K11" i="100" s="1"/>
  <c r="C7" i="163"/>
  <c r="E8" i="163"/>
  <c r="J8" i="163"/>
  <c r="K8" i="163" s="1"/>
  <c r="E7" i="105"/>
  <c r="C6" i="105"/>
  <c r="J7" i="105"/>
  <c r="K7" i="105" s="1"/>
  <c r="C9" i="48"/>
  <c r="E10" i="48"/>
  <c r="J10" i="48"/>
  <c r="K10" i="48" s="1"/>
  <c r="I61" i="122"/>
  <c r="J60" i="122"/>
  <c r="E8" i="171"/>
  <c r="C7" i="171"/>
  <c r="J8" i="171"/>
  <c r="K8" i="171" s="1"/>
  <c r="J57" i="109"/>
  <c r="I58" i="109"/>
  <c r="K57" i="168"/>
  <c r="J59" i="83"/>
  <c r="K58" i="83" s="1"/>
  <c r="I60" i="83"/>
  <c r="J59" i="159"/>
  <c r="I60" i="159"/>
  <c r="J58" i="121"/>
  <c r="K57" i="121" s="1"/>
  <c r="I59" i="121"/>
  <c r="I62" i="32"/>
  <c r="J61" i="32"/>
  <c r="C6" i="102"/>
  <c r="E7" i="102"/>
  <c r="J7" i="102"/>
  <c r="K7" i="102" s="1"/>
  <c r="K59" i="77"/>
  <c r="K56" i="119"/>
  <c r="C10" i="58"/>
  <c r="E11" i="58"/>
  <c r="J11" i="58"/>
  <c r="K11" i="58" s="1"/>
  <c r="C8" i="103"/>
  <c r="E9" i="103"/>
  <c r="J9" i="103"/>
  <c r="K9" i="103" s="1"/>
  <c r="C7" i="115"/>
  <c r="E8" i="115"/>
  <c r="J8" i="115"/>
  <c r="K8" i="115" s="1"/>
  <c r="I61" i="142"/>
  <c r="J60" i="142"/>
  <c r="C8" i="57"/>
  <c r="E9" i="57"/>
  <c r="J9" i="57"/>
  <c r="K9" i="57" s="1"/>
  <c r="I59" i="168"/>
  <c r="J58" i="168"/>
  <c r="C8" i="110"/>
  <c r="E9" i="110"/>
  <c r="J9" i="110"/>
  <c r="K9" i="110" s="1"/>
  <c r="C9" i="101"/>
  <c r="E10" i="101"/>
  <c r="J10" i="101"/>
  <c r="K10" i="101" s="1"/>
  <c r="K56" i="144"/>
  <c r="E10" i="134"/>
  <c r="C9" i="134"/>
  <c r="EZ10" i="2"/>
  <c r="J10" i="134"/>
  <c r="K10" i="134" s="1"/>
  <c r="E9" i="113"/>
  <c r="C8" i="113"/>
  <c r="J9" i="113"/>
  <c r="K9" i="113" s="1"/>
  <c r="J58" i="39"/>
  <c r="K57" i="39" s="1"/>
  <c r="I59" i="39"/>
  <c r="J58" i="67"/>
  <c r="I59" i="67"/>
  <c r="C9" i="80"/>
  <c r="E10" i="80"/>
  <c r="J10" i="80"/>
  <c r="K10" i="80" s="1"/>
  <c r="C9" i="20"/>
  <c r="E10" i="20"/>
  <c r="J10" i="20"/>
  <c r="K10" i="20" s="1"/>
  <c r="C10" i="53"/>
  <c r="E11" i="53"/>
  <c r="J11" i="53"/>
  <c r="K11" i="53" s="1"/>
  <c r="J62" i="145"/>
  <c r="I63" i="145"/>
  <c r="K56" i="50"/>
  <c r="E7" i="34"/>
  <c r="C6" i="34"/>
  <c r="J7" i="34"/>
  <c r="K7" i="34" s="1"/>
  <c r="K56" i="121"/>
  <c r="J62" i="61"/>
  <c r="I63" i="61"/>
  <c r="E8" i="106"/>
  <c r="C7" i="106"/>
  <c r="J8" i="106"/>
  <c r="K8" i="106" s="1"/>
  <c r="K55" i="112"/>
  <c r="J59" i="124"/>
  <c r="I60" i="124"/>
  <c r="E10" i="23"/>
  <c r="C9" i="23"/>
  <c r="J10" i="23"/>
  <c r="K10" i="23" s="1"/>
  <c r="C8" i="128"/>
  <c r="E9" i="128"/>
  <c r="J9" i="128"/>
  <c r="K9" i="128" s="1"/>
  <c r="K56" i="106"/>
  <c r="I61" i="26"/>
  <c r="J60" i="26"/>
  <c r="I61" i="152"/>
  <c r="J60" i="152"/>
  <c r="K59" i="152" s="1"/>
  <c r="HD12" i="2"/>
  <c r="I58" i="112"/>
  <c r="J57" i="112"/>
  <c r="K56" i="112" s="1"/>
  <c r="C9" i="78"/>
  <c r="E10" i="78"/>
  <c r="J10" i="78"/>
  <c r="K10" i="78" s="1"/>
  <c r="I59" i="86"/>
  <c r="J58" i="86"/>
  <c r="D50" i="1"/>
  <c r="O50" i="1"/>
  <c r="AK50" i="1"/>
  <c r="Z50" i="1"/>
  <c r="AV50" i="1"/>
  <c r="CC50" i="1"/>
  <c r="BR50" i="1"/>
  <c r="K58" i="23"/>
  <c r="J61" i="22"/>
  <c r="I62" i="22"/>
  <c r="E9" i="17"/>
  <c r="C8" i="17"/>
  <c r="J9" i="17"/>
  <c r="K9" i="17" s="1"/>
  <c r="K57" i="66"/>
  <c r="I58" i="141"/>
  <c r="J57" i="141"/>
  <c r="K56" i="141" s="1"/>
  <c r="K56" i="36"/>
  <c r="E10" i="151"/>
  <c r="C9" i="151"/>
  <c r="J10" i="151"/>
  <c r="K10" i="151" s="1"/>
  <c r="J59" i="167"/>
  <c r="I60" i="167"/>
  <c r="E9" i="22"/>
  <c r="C8" i="22"/>
  <c r="J9" i="22"/>
  <c r="K9" i="22" s="1"/>
  <c r="BP11" i="1"/>
  <c r="E11" i="8"/>
  <c r="C10" i="8"/>
  <c r="HC11" i="2"/>
  <c r="J11" i="8"/>
  <c r="K11" i="8" s="1"/>
  <c r="I60" i="157"/>
  <c r="J59" i="157"/>
  <c r="K58" i="157" s="1"/>
  <c r="I59" i="73"/>
  <c r="J58" i="73"/>
  <c r="K57" i="73" s="1"/>
  <c r="I63" i="75"/>
  <c r="J62" i="75"/>
  <c r="D50" i="2"/>
  <c r="DU50" i="2"/>
  <c r="CY50" i="2"/>
  <c r="GT50" i="2"/>
  <c r="DJ50" i="2"/>
  <c r="FM50" i="2"/>
  <c r="AK50" i="2"/>
  <c r="CC50" i="2"/>
  <c r="O50" i="2"/>
  <c r="IL50" i="2"/>
  <c r="IA50" i="2"/>
  <c r="HP50" i="2"/>
  <c r="FB50" i="2"/>
  <c r="FX50" i="2"/>
  <c r="BG50" i="2"/>
  <c r="AV50" i="2"/>
  <c r="EQ50" i="2"/>
  <c r="Z50" i="2"/>
  <c r="HE50" i="2"/>
  <c r="IW50" i="2"/>
  <c r="BR50" i="2"/>
  <c r="CN50" i="2"/>
  <c r="EF50" i="2"/>
  <c r="J59" i="23"/>
  <c r="I60" i="23"/>
  <c r="I59" i="104"/>
  <c r="J58" i="104"/>
  <c r="J57" i="36"/>
  <c r="I58" i="36"/>
  <c r="J57" i="17"/>
  <c r="I58" i="17"/>
  <c r="E11" i="136"/>
  <c r="C10" i="136"/>
  <c r="J11" i="136"/>
  <c r="K11" i="136" s="1"/>
  <c r="I59" i="31"/>
  <c r="J58" i="31"/>
  <c r="I61" i="172"/>
  <c r="J60" i="172"/>
  <c r="K59" i="172" s="1"/>
  <c r="J57" i="58"/>
  <c r="K56" i="58" s="1"/>
  <c r="I58" i="58"/>
  <c r="C8" i="139"/>
  <c r="E9" i="139"/>
  <c r="J9" i="139"/>
  <c r="K9" i="139" s="1"/>
  <c r="BQ12" i="1"/>
  <c r="E7" i="45"/>
  <c r="C6" i="45"/>
  <c r="J7" i="45"/>
  <c r="K7" i="45" s="1"/>
  <c r="I58" i="43"/>
  <c r="J57" i="43"/>
  <c r="K56" i="43" s="1"/>
  <c r="C9" i="122"/>
  <c r="E10" i="122"/>
  <c r="J10" i="122"/>
  <c r="K10" i="122" s="1"/>
  <c r="E11" i="121"/>
  <c r="C10" i="121"/>
  <c r="J11" i="121"/>
  <c r="K11" i="121" s="1"/>
  <c r="J62" i="15"/>
  <c r="I63" i="15"/>
  <c r="J57" i="8"/>
  <c r="K56" i="8" s="1"/>
  <c r="I58" i="8"/>
  <c r="J58" i="137"/>
  <c r="I59" i="137"/>
  <c r="K58" i="142"/>
  <c r="I59" i="131"/>
  <c r="J58" i="131"/>
  <c r="K57" i="131" s="1"/>
  <c r="C5" i="157"/>
  <c r="E6" i="157"/>
  <c r="J6" i="157"/>
  <c r="K6" i="157" s="1"/>
  <c r="CM12" i="2"/>
  <c r="E8" i="72"/>
  <c r="C7" i="72"/>
  <c r="J8" i="72"/>
  <c r="K8" i="72" s="1"/>
  <c r="K57" i="31"/>
  <c r="I59" i="108"/>
  <c r="J58" i="108"/>
  <c r="J58" i="3"/>
  <c r="K57" i="3" s="1"/>
  <c r="I59" i="3"/>
  <c r="GS12" i="2"/>
  <c r="BG50" i="1"/>
  <c r="BF50" i="1"/>
  <c r="I60" i="30"/>
  <c r="J59" i="30"/>
  <c r="E10" i="44"/>
  <c r="C9" i="44"/>
  <c r="J10" i="44"/>
  <c r="K10" i="44" s="1"/>
  <c r="GI50" i="2"/>
  <c r="GH50" i="2"/>
  <c r="I63" i="74"/>
  <c r="J62" i="74"/>
  <c r="C10" i="155"/>
  <c r="E11" i="155"/>
  <c r="J11" i="155"/>
  <c r="K11" i="155" s="1"/>
  <c r="K57" i="53"/>
  <c r="J60" i="132"/>
  <c r="K59" i="132" s="1"/>
  <c r="I61" i="132"/>
  <c r="I61" i="164"/>
  <c r="J60" i="164"/>
  <c r="K57" i="108"/>
  <c r="E9" i="104"/>
  <c r="C8" i="104"/>
  <c r="J9" i="104"/>
  <c r="K9" i="104" s="1"/>
  <c r="I58" i="45"/>
  <c r="J57" i="45"/>
  <c r="K56" i="45" s="1"/>
  <c r="K57" i="103"/>
  <c r="K57" i="111"/>
  <c r="I60" i="18"/>
  <c r="J59" i="18"/>
  <c r="AU12" i="1"/>
  <c r="I62" i="14"/>
  <c r="J61" i="14"/>
  <c r="I59" i="103"/>
  <c r="J58" i="103"/>
  <c r="I59" i="111"/>
  <c r="J58" i="111"/>
  <c r="E8" i="159"/>
  <c r="C7" i="159"/>
  <c r="J8" i="159"/>
  <c r="K8" i="159" s="1"/>
  <c r="C10" i="7"/>
  <c r="E11" i="7"/>
  <c r="AT11" i="1"/>
  <c r="J11" i="7"/>
  <c r="K11" i="7" s="1"/>
  <c r="I58" i="11"/>
  <c r="J57" i="11"/>
  <c r="C48" i="24"/>
  <c r="E49" i="24"/>
  <c r="GG49" i="2"/>
  <c r="BE49" i="1"/>
  <c r="C49" i="2"/>
  <c r="C49" i="1"/>
  <c r="J49" i="24"/>
  <c r="K49" i="24" s="1"/>
  <c r="J61" i="27"/>
  <c r="K60" i="27" s="1"/>
  <c r="I62" i="27"/>
  <c r="K55" i="8"/>
  <c r="K57" i="83"/>
  <c r="K55" i="110"/>
  <c r="I58" i="174"/>
  <c r="J57" i="174"/>
  <c r="K56" i="174" s="1"/>
  <c r="E8" i="141"/>
  <c r="C7" i="141"/>
  <c r="J8" i="141"/>
  <c r="K8" i="141" s="1"/>
  <c r="I59" i="53"/>
  <c r="J58" i="53"/>
  <c r="C10" i="172"/>
  <c r="E11" i="172"/>
  <c r="J11" i="172"/>
  <c r="K11" i="172" s="1"/>
  <c r="K58" i="132"/>
  <c r="I60" i="41"/>
  <c r="J59" i="41"/>
  <c r="K58" i="41" s="1"/>
  <c r="E10" i="119"/>
  <c r="C9" i="119"/>
  <c r="J10" i="119"/>
  <c r="K10" i="119" s="1"/>
  <c r="I60" i="165"/>
  <c r="J59" i="165"/>
  <c r="I62" i="24"/>
  <c r="J61" i="24"/>
  <c r="K60" i="24" s="1"/>
  <c r="E11" i="14"/>
  <c r="C10" i="14"/>
  <c r="J11" i="14"/>
  <c r="K11" i="14" s="1"/>
  <c r="GR11" i="2"/>
  <c r="K56" i="11"/>
  <c r="E6" i="32"/>
  <c r="C5" i="32"/>
  <c r="J6" i="32"/>
  <c r="K6" i="32" s="1"/>
  <c r="IV11" i="2"/>
  <c r="K60" i="12"/>
  <c r="E8" i="73"/>
  <c r="C7" i="73"/>
  <c r="J8" i="73"/>
  <c r="K8" i="73" s="1"/>
  <c r="DI11" i="2"/>
  <c r="I58" i="110"/>
  <c r="J57" i="110"/>
  <c r="K56" i="110" s="1"/>
  <c r="J58" i="54"/>
  <c r="K57" i="54" s="1"/>
  <c r="I59" i="54"/>
  <c r="C6" i="160"/>
  <c r="E7" i="160"/>
  <c r="J7" i="160"/>
  <c r="K7" i="160" s="1"/>
  <c r="K59" i="32"/>
  <c r="C9" i="147"/>
  <c r="E10" i="147"/>
  <c r="J10" i="147"/>
  <c r="K10" i="147" s="1"/>
  <c r="J57" i="40"/>
  <c r="I58" i="40"/>
  <c r="E11" i="42"/>
  <c r="C10" i="42"/>
  <c r="J11" i="42"/>
  <c r="K11" i="42" s="1"/>
  <c r="FV11" i="2"/>
  <c r="J58" i="56"/>
  <c r="K57" i="56" s="1"/>
  <c r="I59" i="56"/>
  <c r="K61" i="75"/>
  <c r="C9" i="145"/>
  <c r="E10" i="145"/>
  <c r="J10" i="145"/>
  <c r="K10" i="145" s="1"/>
  <c r="K58" i="77"/>
  <c r="I60" i="60"/>
  <c r="J59" i="60"/>
  <c r="K58" i="60" s="1"/>
  <c r="E11" i="55"/>
  <c r="C10" i="55"/>
  <c r="J11" i="55"/>
  <c r="K11" i="55" s="1"/>
  <c r="I59" i="80"/>
  <c r="J58" i="80"/>
  <c r="E8" i="84"/>
  <c r="C7" i="84"/>
  <c r="J8" i="84"/>
  <c r="K8" i="84" s="1"/>
  <c r="I61" i="135"/>
  <c r="J60" i="135"/>
  <c r="K59" i="135" s="1"/>
  <c r="J62" i="134"/>
  <c r="I63" i="134"/>
  <c r="IV12" i="2"/>
  <c r="E8" i="85"/>
  <c r="C7" i="85"/>
  <c r="J8" i="85"/>
  <c r="K8" i="85" s="1"/>
  <c r="J60" i="98"/>
  <c r="I61" i="98"/>
  <c r="E11" i="107"/>
  <c r="C10" i="107"/>
  <c r="BE10" i="2" s="1"/>
  <c r="J11" i="107"/>
  <c r="K11" i="107" s="1"/>
  <c r="K57" i="165"/>
  <c r="C9" i="125"/>
  <c r="E10" i="125"/>
  <c r="J10" i="125"/>
  <c r="K10" i="125" s="1"/>
  <c r="C8" i="25"/>
  <c r="E9" i="25"/>
  <c r="J9" i="25"/>
  <c r="K9" i="25" s="1"/>
  <c r="K56" i="96"/>
  <c r="K59" i="16"/>
  <c r="I59" i="87"/>
  <c r="J58" i="87"/>
  <c r="K57" i="87" s="1"/>
  <c r="I59" i="138"/>
  <c r="J58" i="138"/>
  <c r="E9" i="94"/>
  <c r="C8" i="94"/>
  <c r="J9" i="94"/>
  <c r="K9" i="94" s="1"/>
  <c r="J60" i="13"/>
  <c r="I61" i="13"/>
  <c r="C9" i="133"/>
  <c r="E10" i="133"/>
  <c r="J10" i="133"/>
  <c r="K10" i="133" s="1"/>
  <c r="DH10" i="2"/>
  <c r="I58" i="130"/>
  <c r="J57" i="130"/>
  <c r="K56" i="130" s="1"/>
  <c r="K58" i="152"/>
  <c r="C8" i="9"/>
  <c r="E9" i="9"/>
  <c r="J9" i="9"/>
  <c r="K9" i="9" s="1"/>
  <c r="CB12" i="1"/>
  <c r="E10" i="140"/>
  <c r="C9" i="140"/>
  <c r="J10" i="140"/>
  <c r="K10" i="140" s="1"/>
  <c r="J59" i="99"/>
  <c r="K58" i="99" s="1"/>
  <c r="I60" i="99"/>
  <c r="I60" i="113"/>
  <c r="J59" i="113"/>
  <c r="K58" i="113" s="1"/>
  <c r="C9" i="33"/>
  <c r="E10" i="33"/>
  <c r="J10" i="33"/>
  <c r="K10" i="33" s="1"/>
  <c r="I59" i="52"/>
  <c r="J58" i="52"/>
  <c r="C9" i="142"/>
  <c r="E10" i="142"/>
  <c r="J10" i="142"/>
  <c r="K10" i="142" s="1"/>
  <c r="I61" i="16"/>
  <c r="J60" i="16"/>
  <c r="C7" i="40"/>
  <c r="E8" i="40"/>
  <c r="J8" i="40"/>
  <c r="K8" i="40" s="1"/>
  <c r="E10" i="13"/>
  <c r="C9" i="13"/>
  <c r="J10" i="13"/>
  <c r="K10" i="13" s="1"/>
  <c r="C7" i="86"/>
  <c r="E8" i="86"/>
  <c r="J8" i="86"/>
  <c r="K8" i="86" s="1"/>
  <c r="J58" i="116"/>
  <c r="K57" i="116" s="1"/>
  <c r="I59" i="116"/>
  <c r="K57" i="44"/>
  <c r="DT10" i="2"/>
  <c r="E11" i="152"/>
  <c r="C10" i="152"/>
  <c r="M10" i="2" s="1"/>
  <c r="J11" i="152"/>
  <c r="K11" i="152" s="1"/>
  <c r="C8" i="68"/>
  <c r="E9" i="68"/>
  <c r="J9" i="68"/>
  <c r="K9" i="68" s="1"/>
  <c r="C10" i="6"/>
  <c r="E11" i="6"/>
  <c r="CA11" i="1"/>
  <c r="I60" i="149"/>
  <c r="J59" i="149"/>
  <c r="I58" i="105"/>
  <c r="J57" i="105"/>
  <c r="K56" i="105" s="1"/>
  <c r="I61" i="9"/>
  <c r="J60" i="9"/>
  <c r="C10" i="170"/>
  <c r="E11" i="170"/>
  <c r="J11" i="170"/>
  <c r="K11" i="170" s="1"/>
  <c r="E9" i="135"/>
  <c r="C8" i="135"/>
  <c r="J9" i="135"/>
  <c r="K9" i="135" s="1"/>
  <c r="J60" i="117"/>
  <c r="K59" i="117" s="1"/>
  <c r="I61" i="117"/>
  <c r="I58" i="34"/>
  <c r="J57" i="34"/>
  <c r="K56" i="34" s="1"/>
  <c r="J58" i="161"/>
  <c r="K57" i="161" s="1"/>
  <c r="I59" i="161"/>
  <c r="J57" i="96"/>
  <c r="I58" i="96"/>
  <c r="K55" i="11"/>
  <c r="EE12" i="2"/>
  <c r="K56" i="111"/>
  <c r="C8" i="161"/>
  <c r="E9" i="161"/>
  <c r="J9" i="161"/>
  <c r="K9" i="161" s="1"/>
  <c r="I58" i="69"/>
  <c r="J57" i="69"/>
  <c r="K56" i="69" s="1"/>
  <c r="C10" i="109"/>
  <c r="E11" i="109"/>
  <c r="ED11" i="2"/>
  <c r="J11" i="109"/>
  <c r="K11" i="109" s="1"/>
  <c r="I61" i="128"/>
  <c r="J60" i="128"/>
  <c r="K59" i="128" s="1"/>
  <c r="C10" i="3"/>
  <c r="E11" i="3"/>
  <c r="J11" i="3"/>
  <c r="K11" i="3" s="1"/>
  <c r="I62" i="71"/>
  <c r="J61" i="71"/>
  <c r="E8" i="173"/>
  <c r="C7" i="173"/>
  <c r="J8" i="173"/>
  <c r="K8" i="173" s="1"/>
  <c r="E10" i="153"/>
  <c r="C9" i="153"/>
  <c r="J10" i="153"/>
  <c r="K10" i="153" s="1"/>
  <c r="E11" i="92"/>
  <c r="C10" i="92"/>
  <c r="J11" i="92"/>
  <c r="K11" i="92" s="1"/>
  <c r="I58" i="147"/>
  <c r="J57" i="147"/>
  <c r="K56" i="147" s="1"/>
  <c r="K59" i="9"/>
  <c r="K57" i="88"/>
  <c r="J58" i="5"/>
  <c r="K57" i="5" s="1"/>
  <c r="I59" i="5"/>
  <c r="C9" i="76"/>
  <c r="E10" i="76"/>
  <c r="J10" i="76"/>
  <c r="K10" i="76" s="1"/>
  <c r="J57" i="120"/>
  <c r="I58" i="120"/>
  <c r="K56" i="87"/>
  <c r="J58" i="155"/>
  <c r="I59" i="155"/>
  <c r="K55" i="38"/>
  <c r="I60" i="10"/>
  <c r="J59" i="10"/>
  <c r="K58" i="10" s="1"/>
  <c r="J62" i="133"/>
  <c r="K61" i="133" s="1"/>
  <c r="I63" i="133"/>
  <c r="C8" i="129"/>
  <c r="E9" i="129"/>
  <c r="J9" i="129"/>
  <c r="K9" i="129" s="1"/>
  <c r="DS9" i="2"/>
  <c r="EO11" i="2"/>
  <c r="J58" i="20"/>
  <c r="K57" i="20" s="1"/>
  <c r="I59" i="20"/>
  <c r="J58" i="97"/>
  <c r="K57" i="97" s="1"/>
  <c r="I59" i="97"/>
  <c r="I59" i="70"/>
  <c r="J58" i="70"/>
  <c r="K57" i="70" s="1"/>
  <c r="K58" i="164"/>
  <c r="GR10" i="2"/>
  <c r="J59" i="63"/>
  <c r="I60" i="63"/>
  <c r="I58" i="55"/>
  <c r="J57" i="55"/>
  <c r="K56" i="81"/>
  <c r="I62" i="82"/>
  <c r="J61" i="82"/>
  <c r="K57" i="23"/>
  <c r="J60" i="51"/>
  <c r="I61" i="51"/>
  <c r="K58" i="128"/>
  <c r="E10" i="77"/>
  <c r="C9" i="77"/>
  <c r="J10" i="77"/>
  <c r="K10" i="77" s="1"/>
  <c r="K55" i="95"/>
  <c r="E11" i="91"/>
  <c r="C10" i="91"/>
  <c r="J11" i="91"/>
  <c r="K11" i="91" s="1"/>
  <c r="K55" i="166"/>
  <c r="K56" i="114"/>
  <c r="I58" i="146"/>
  <c r="J57" i="146"/>
  <c r="K56" i="146" s="1"/>
  <c r="K55" i="147"/>
  <c r="C8" i="83"/>
  <c r="E9" i="83"/>
  <c r="J9" i="83"/>
  <c r="K9" i="83" s="1"/>
  <c r="I61" i="127"/>
  <c r="J60" i="127"/>
  <c r="C6" i="131"/>
  <c r="E7" i="131"/>
  <c r="J7" i="131"/>
  <c r="K7" i="131" s="1"/>
  <c r="J57" i="81"/>
  <c r="I58" i="81"/>
  <c r="I58" i="160"/>
  <c r="J57" i="160"/>
  <c r="E10" i="117"/>
  <c r="C9" i="117"/>
  <c r="J10" i="117"/>
  <c r="K10" i="117" s="1"/>
  <c r="BE11" i="2"/>
  <c r="C9" i="164"/>
  <c r="E10" i="164"/>
  <c r="J10" i="164"/>
  <c r="K10" i="164" s="1"/>
  <c r="K60" i="82"/>
  <c r="K57" i="30"/>
  <c r="K58" i="51"/>
  <c r="J57" i="64"/>
  <c r="I58" i="64"/>
  <c r="I60" i="92"/>
  <c r="J59" i="92"/>
  <c r="K58" i="92" s="1"/>
  <c r="C9" i="97"/>
  <c r="E10" i="97"/>
  <c r="EO10" i="2"/>
  <c r="J10" i="97"/>
  <c r="K10" i="97" s="1"/>
  <c r="K58" i="98"/>
  <c r="J57" i="140"/>
  <c r="I58" i="140"/>
  <c r="E10" i="10"/>
  <c r="C9" i="10"/>
  <c r="J10" i="10"/>
  <c r="K10" i="10" s="1"/>
  <c r="C7" i="39"/>
  <c r="E8" i="39"/>
  <c r="J8" i="39"/>
  <c r="K8" i="39" s="1"/>
  <c r="E10" i="41"/>
  <c r="C9" i="41"/>
  <c r="J10" i="41"/>
  <c r="K10" i="41" s="1"/>
  <c r="I61" i="107"/>
  <c r="J60" i="107"/>
  <c r="K59" i="107" s="1"/>
  <c r="E6" i="166"/>
  <c r="C5" i="166"/>
  <c r="J6" i="166"/>
  <c r="K6" i="166" s="1"/>
  <c r="K59" i="22"/>
  <c r="IK11" i="2"/>
  <c r="E10" i="79"/>
  <c r="C9" i="79"/>
  <c r="J10" i="79"/>
  <c r="K10" i="79" s="1"/>
  <c r="E10" i="96"/>
  <c r="C9" i="96"/>
  <c r="J10" i="96"/>
  <c r="K10" i="96" s="1"/>
  <c r="E9" i="19"/>
  <c r="C8" i="19"/>
  <c r="J9" i="19"/>
  <c r="K9" i="19" s="1"/>
  <c r="K55" i="130"/>
  <c r="E10" i="132"/>
  <c r="C9" i="132"/>
  <c r="J10" i="132"/>
  <c r="K10" i="132" s="1"/>
  <c r="E9" i="65"/>
  <c r="C8" i="65"/>
  <c r="J9" i="65"/>
  <c r="K9" i="65" s="1"/>
  <c r="HN11" i="2"/>
  <c r="C7" i="168"/>
  <c r="E8" i="168"/>
  <c r="J8" i="168"/>
  <c r="K8" i="168" s="1"/>
  <c r="I59" i="153"/>
  <c r="J58" i="153"/>
  <c r="K57" i="153" s="1"/>
  <c r="K55" i="105"/>
  <c r="J59" i="72"/>
  <c r="K58" i="72" s="1"/>
  <c r="I60" i="72"/>
  <c r="E8" i="37"/>
  <c r="C7" i="37"/>
  <c r="J8" i="37"/>
  <c r="K8" i="37" s="1"/>
  <c r="C9" i="36"/>
  <c r="CW9" i="2" s="1"/>
  <c r="E10" i="36"/>
  <c r="J10" i="36"/>
  <c r="K10" i="36" s="1"/>
  <c r="K58" i="115"/>
  <c r="I59" i="57"/>
  <c r="J58" i="57"/>
  <c r="K57" i="57" s="1"/>
  <c r="I59" i="126"/>
  <c r="J58" i="126"/>
  <c r="K57" i="126" s="1"/>
  <c r="J60" i="101"/>
  <c r="K59" i="101" s="1"/>
  <c r="I61" i="101"/>
  <c r="I58" i="100"/>
  <c r="J57" i="100"/>
  <c r="K56" i="100" s="1"/>
  <c r="K60" i="59"/>
  <c r="K60" i="94"/>
  <c r="C10" i="90"/>
  <c r="E11" i="90"/>
  <c r="J11" i="90"/>
  <c r="K11" i="90" s="1"/>
  <c r="C10" i="143"/>
  <c r="E11" i="143"/>
  <c r="J11" i="143"/>
  <c r="K11" i="143" s="1"/>
  <c r="C8" i="54"/>
  <c r="E9" i="54"/>
  <c r="J9" i="54"/>
  <c r="K9" i="54" s="1"/>
  <c r="K59" i="136"/>
  <c r="E9" i="81"/>
  <c r="C8" i="81"/>
  <c r="J9" i="81"/>
  <c r="K9" i="81" s="1"/>
  <c r="Y12" i="2"/>
  <c r="C9" i="114"/>
  <c r="E10" i="114"/>
  <c r="J10" i="114"/>
  <c r="K10" i="114" s="1"/>
  <c r="I59" i="154"/>
  <c r="J58" i="154"/>
  <c r="K57" i="154" s="1"/>
  <c r="C9" i="154"/>
  <c r="E10" i="154"/>
  <c r="J10" i="154"/>
  <c r="K10" i="154" s="1"/>
  <c r="I58" i="163"/>
  <c r="J57" i="163"/>
  <c r="K59" i="59"/>
  <c r="I62" i="94"/>
  <c r="J61" i="94"/>
  <c r="K56" i="170"/>
  <c r="K58" i="135"/>
  <c r="J58" i="4"/>
  <c r="I59" i="4"/>
  <c r="J60" i="136"/>
  <c r="I61" i="136"/>
  <c r="C9" i="89"/>
  <c r="E10" i="89"/>
  <c r="J10" i="89"/>
  <c r="K10" i="89" s="1"/>
  <c r="HN10" i="2"/>
  <c r="FK11" i="2"/>
  <c r="J59" i="118"/>
  <c r="K58" i="118" s="1"/>
  <c r="I60" i="118"/>
  <c r="J58" i="123"/>
  <c r="K57" i="123" s="1"/>
  <c r="I59" i="123"/>
  <c r="E10" i="70"/>
  <c r="C9" i="70"/>
  <c r="J10" i="70"/>
  <c r="K10" i="70" s="1"/>
  <c r="K56" i="126"/>
  <c r="K61" i="7"/>
  <c r="I61" i="48"/>
  <c r="J60" i="48"/>
  <c r="K59" i="48" s="1"/>
  <c r="C8" i="118"/>
  <c r="E9" i="118"/>
  <c r="J9" i="118"/>
  <c r="K9" i="118" s="1"/>
  <c r="E9" i="67"/>
  <c r="C8" i="67"/>
  <c r="J9" i="67"/>
  <c r="K9" i="67" s="1"/>
  <c r="C8" i="60"/>
  <c r="E9" i="60"/>
  <c r="J9" i="60"/>
  <c r="K9" i="60" s="1"/>
  <c r="E8" i="127"/>
  <c r="C7" i="127"/>
  <c r="J8" i="127"/>
  <c r="K8" i="127" s="1"/>
  <c r="K56" i="154"/>
  <c r="K56" i="168"/>
  <c r="E8" i="124"/>
  <c r="C7" i="124"/>
  <c r="J8" i="124"/>
  <c r="K8" i="124" s="1"/>
  <c r="E10" i="88"/>
  <c r="C9" i="88"/>
  <c r="FK10" i="2"/>
  <c r="J10" i="88"/>
  <c r="K10" i="88" s="1"/>
  <c r="K57" i="99"/>
  <c r="J58" i="85"/>
  <c r="I59" i="85"/>
  <c r="K59" i="127"/>
  <c r="E9" i="148"/>
  <c r="C8" i="148"/>
  <c r="J9" i="148"/>
  <c r="K9" i="148" s="1"/>
  <c r="J58" i="151"/>
  <c r="I59" i="151"/>
  <c r="C10" i="49"/>
  <c r="E11" i="49"/>
  <c r="J11" i="49"/>
  <c r="K11" i="49" s="1"/>
  <c r="C7" i="47"/>
  <c r="E8" i="47"/>
  <c r="J8" i="47"/>
  <c r="K8" i="47" s="1"/>
  <c r="I58" i="171"/>
  <c r="J57" i="171"/>
  <c r="E10" i="71"/>
  <c r="C9" i="71"/>
  <c r="J10" i="71"/>
  <c r="K10" i="71" s="1"/>
  <c r="K56" i="67"/>
  <c r="I60" i="139"/>
  <c r="J59" i="139"/>
  <c r="CA11" i="2"/>
  <c r="K58" i="26"/>
  <c r="C7" i="62"/>
  <c r="E8" i="62"/>
  <c r="J8" i="62"/>
  <c r="K8" i="62" s="1"/>
  <c r="C8" i="99"/>
  <c r="E9" i="99"/>
  <c r="J9" i="99"/>
  <c r="K9" i="99" s="1"/>
  <c r="J57" i="102"/>
  <c r="I58" i="102"/>
  <c r="I61" i="89"/>
  <c r="J60" i="89"/>
  <c r="K59" i="89" s="1"/>
  <c r="E11" i="27"/>
  <c r="C10" i="27"/>
  <c r="J11" i="27"/>
  <c r="K11" i="27" s="1"/>
  <c r="I59" i="76"/>
  <c r="J58" i="76"/>
  <c r="K57" i="76" s="1"/>
  <c r="I63" i="7"/>
  <c r="J62" i="7"/>
  <c r="I59" i="169"/>
  <c r="J58" i="169"/>
  <c r="K57" i="169" s="1"/>
  <c r="E4" i="82"/>
  <c r="C3" i="82"/>
  <c r="J4" i="82"/>
  <c r="K4" i="82" s="1"/>
  <c r="C9" i="15"/>
  <c r="E10" i="15"/>
  <c r="J10" i="15"/>
  <c r="K10" i="15" s="1"/>
  <c r="I60" i="158"/>
  <c r="J59" i="158"/>
  <c r="K58" i="158" s="1"/>
  <c r="K56" i="171"/>
  <c r="K59" i="71"/>
  <c r="K55" i="141"/>
  <c r="C7" i="120"/>
  <c r="E8" i="120"/>
  <c r="J8" i="120"/>
  <c r="K8" i="120" s="1"/>
  <c r="I59" i="162"/>
  <c r="J58" i="162"/>
  <c r="K57" i="162" s="1"/>
  <c r="C8" i="64"/>
  <c r="E9" i="64"/>
  <c r="J9" i="64"/>
  <c r="K9" i="64" s="1"/>
  <c r="E8" i="26"/>
  <c r="C7" i="26"/>
  <c r="J8" i="26"/>
  <c r="K8" i="26" s="1"/>
  <c r="K60" i="61"/>
  <c r="K56" i="20"/>
  <c r="J58" i="33"/>
  <c r="K57" i="33" s="1"/>
  <c r="I59" i="33"/>
  <c r="E10" i="35"/>
  <c r="C9" i="35"/>
  <c r="J10" i="35"/>
  <c r="K10" i="35" s="1"/>
  <c r="E11" i="28"/>
  <c r="C10" i="28"/>
  <c r="J11" i="28"/>
  <c r="K11" i="28" s="1"/>
  <c r="J61" i="42"/>
  <c r="K60" i="42" s="1"/>
  <c r="I62" i="42"/>
  <c r="K56" i="56"/>
  <c r="K57" i="151"/>
  <c r="J59" i="37"/>
  <c r="K58" i="37" s="1"/>
  <c r="I60" i="37"/>
  <c r="C6" i="111"/>
  <c r="E7" i="111"/>
  <c r="J7" i="111"/>
  <c r="K7" i="111" s="1"/>
  <c r="HZ11" i="2"/>
  <c r="I59" i="84"/>
  <c r="J58" i="84"/>
  <c r="K57" i="84" s="1"/>
  <c r="C9" i="31"/>
  <c r="E10" i="31"/>
  <c r="CA10" i="2"/>
  <c r="J10" i="31"/>
  <c r="K10" i="31" s="1"/>
  <c r="J57" i="35"/>
  <c r="K56" i="35" s="1"/>
  <c r="I58" i="35"/>
  <c r="K55" i="35"/>
  <c r="CL11" i="2"/>
  <c r="E9" i="144"/>
  <c r="C8" i="144"/>
  <c r="J9" i="144"/>
  <c r="K9" i="144" s="1"/>
  <c r="K55" i="146"/>
  <c r="K55" i="47"/>
  <c r="E7" i="165"/>
  <c r="C6" i="165"/>
  <c r="J7" i="165"/>
  <c r="K7" i="165" s="1"/>
  <c r="K56" i="153"/>
  <c r="J60" i="29"/>
  <c r="K59" i="29" s="1"/>
  <c r="I61" i="29"/>
  <c r="K56" i="70"/>
  <c r="K56" i="123"/>
  <c r="C8" i="66"/>
  <c r="E9" i="66"/>
  <c r="J9" i="66"/>
  <c r="K9" i="66" s="1"/>
  <c r="K59" i="24"/>
  <c r="C8" i="75"/>
  <c r="E9" i="75"/>
  <c r="J9" i="75"/>
  <c r="K9" i="75" s="1"/>
  <c r="K60" i="75"/>
  <c r="K58" i="117"/>
  <c r="J59" i="25"/>
  <c r="K58" i="25" s="1"/>
  <c r="I60" i="25"/>
  <c r="E8" i="51"/>
  <c r="C7" i="51"/>
  <c r="J8" i="51"/>
  <c r="K8" i="51" s="1"/>
  <c r="K57" i="18"/>
  <c r="K56" i="148"/>
  <c r="K55" i="148"/>
  <c r="E9" i="137"/>
  <c r="C8" i="137"/>
  <c r="J9" i="137"/>
  <c r="K9" i="137" s="1"/>
  <c r="K58" i="107"/>
  <c r="E10" i="169"/>
  <c r="C9" i="169"/>
  <c r="HY10" i="2"/>
  <c r="J10" i="169"/>
  <c r="K10" i="169" s="1"/>
  <c r="BQ12" i="2"/>
  <c r="J60" i="156"/>
  <c r="K59" i="156" s="1"/>
  <c r="I61" i="156"/>
  <c r="K60" i="74"/>
  <c r="C8" i="11"/>
  <c r="E9" i="11"/>
  <c r="J9" i="11"/>
  <c r="K9" i="11" s="1"/>
  <c r="J57" i="90"/>
  <c r="K56" i="90" s="1"/>
  <c r="I58" i="90"/>
  <c r="K57" i="113"/>
  <c r="J62" i="46"/>
  <c r="K61" i="46" s="1"/>
  <c r="I63" i="46"/>
  <c r="C8" i="4"/>
  <c r="E9" i="4"/>
  <c r="J9" i="4"/>
  <c r="K9" i="4" s="1"/>
  <c r="I60" i="93"/>
  <c r="J59" i="93"/>
  <c r="K56" i="169"/>
  <c r="N11" i="2"/>
  <c r="I58" i="148"/>
  <c r="J57" i="148"/>
  <c r="K56" i="86"/>
  <c r="I61" i="78"/>
  <c r="J60" i="78"/>
  <c r="C6" i="43"/>
  <c r="E7" i="43"/>
  <c r="J7" i="43"/>
  <c r="K7" i="43" s="1"/>
  <c r="E9" i="167"/>
  <c r="C8" i="167"/>
  <c r="J9" i="167"/>
  <c r="K9" i="167" s="1"/>
  <c r="I62" i="79"/>
  <c r="J61" i="79"/>
  <c r="AU12" i="2"/>
  <c r="CW10" i="2"/>
  <c r="C7" i="69"/>
  <c r="E8" i="69"/>
  <c r="J8" i="69"/>
  <c r="K8" i="69" s="1"/>
  <c r="E10" i="38"/>
  <c r="C9" i="38"/>
  <c r="J10" i="38"/>
  <c r="K10" i="38" s="1"/>
  <c r="J59" i="68"/>
  <c r="K58" i="68" s="1"/>
  <c r="I60" i="68"/>
  <c r="K58" i="136"/>
  <c r="K56" i="21"/>
  <c r="K56" i="125"/>
  <c r="J58" i="19"/>
  <c r="K57" i="19" s="1"/>
  <c r="I59" i="19"/>
  <c r="K57" i="118"/>
  <c r="C9" i="156" l="1"/>
  <c r="J10" i="156"/>
  <c r="K10" i="156" s="1"/>
  <c r="E10" i="156"/>
  <c r="C8" i="149"/>
  <c r="E9" i="149"/>
  <c r="J9" i="149"/>
  <c r="K9" i="149" s="1"/>
  <c r="C9" i="130"/>
  <c r="E10" i="130"/>
  <c r="J10" i="130"/>
  <c r="K10" i="130" s="1"/>
  <c r="E5" i="98"/>
  <c r="C4" i="98"/>
  <c r="J5" i="98"/>
  <c r="K5" i="98" s="1"/>
  <c r="CL10" i="2"/>
  <c r="AI10" i="1"/>
  <c r="E10" i="74"/>
  <c r="C9" i="74"/>
  <c r="J10" i="74"/>
  <c r="K10" i="74" s="1"/>
  <c r="J9" i="61"/>
  <c r="K9" i="61" s="1"/>
  <c r="E9" i="61"/>
  <c r="C8" i="61"/>
  <c r="E9" i="59"/>
  <c r="C8" i="59"/>
  <c r="J9" i="59"/>
  <c r="K9" i="59" s="1"/>
  <c r="E10" i="150"/>
  <c r="C9" i="150"/>
  <c r="J10" i="150"/>
  <c r="K10" i="150" s="1"/>
  <c r="N10" i="2"/>
  <c r="CM10" i="2"/>
  <c r="AJ10" i="1"/>
  <c r="CX9" i="2"/>
  <c r="J59" i="4"/>
  <c r="I60" i="4"/>
  <c r="E9" i="41"/>
  <c r="C8" i="41"/>
  <c r="J9" i="41"/>
  <c r="K9" i="41" s="1"/>
  <c r="J59" i="56"/>
  <c r="I60" i="56"/>
  <c r="I59" i="174"/>
  <c r="J58" i="174"/>
  <c r="I60" i="137"/>
  <c r="J59" i="137"/>
  <c r="E8" i="17"/>
  <c r="C7" i="17"/>
  <c r="J8" i="17"/>
  <c r="K8" i="17" s="1"/>
  <c r="E8" i="57"/>
  <c r="C7" i="57"/>
  <c r="J8" i="57"/>
  <c r="K8" i="57" s="1"/>
  <c r="J61" i="122"/>
  <c r="I62" i="122"/>
  <c r="E8" i="135"/>
  <c r="C7" i="135"/>
  <c r="J8" i="135"/>
  <c r="K8" i="135" s="1"/>
  <c r="C8" i="44"/>
  <c r="E9" i="44"/>
  <c r="J9" i="44"/>
  <c r="K9" i="44" s="1"/>
  <c r="K58" i="137"/>
  <c r="I59" i="36"/>
  <c r="J58" i="36"/>
  <c r="K57" i="36" s="1"/>
  <c r="E9" i="20"/>
  <c r="C8" i="20"/>
  <c r="J9" i="20"/>
  <c r="K9" i="20" s="1"/>
  <c r="J59" i="50"/>
  <c r="I60" i="50"/>
  <c r="I60" i="119"/>
  <c r="J59" i="119"/>
  <c r="K58" i="119" s="1"/>
  <c r="J58" i="166"/>
  <c r="I59" i="166"/>
  <c r="E8" i="16"/>
  <c r="C7" i="16"/>
  <c r="J8" i="16"/>
  <c r="K8" i="16" s="1"/>
  <c r="CB10" i="2"/>
  <c r="I64" i="46"/>
  <c r="J63" i="46"/>
  <c r="K62" i="46" s="1"/>
  <c r="E9" i="31"/>
  <c r="C8" i="31"/>
  <c r="J9" i="31"/>
  <c r="K9" i="31" s="1"/>
  <c r="E8" i="64"/>
  <c r="C7" i="64"/>
  <c r="J8" i="64"/>
  <c r="K8" i="64" s="1"/>
  <c r="E10" i="49"/>
  <c r="C9" i="49"/>
  <c r="AI9" i="2" s="1"/>
  <c r="J10" i="49"/>
  <c r="K10" i="49" s="1"/>
  <c r="C9" i="143"/>
  <c r="E10" i="143"/>
  <c r="J10" i="143"/>
  <c r="K10" i="143" s="1"/>
  <c r="E7" i="168"/>
  <c r="C6" i="168"/>
  <c r="J7" i="168"/>
  <c r="K7" i="168" s="1"/>
  <c r="J58" i="160"/>
  <c r="I59" i="160"/>
  <c r="I59" i="120"/>
  <c r="J58" i="120"/>
  <c r="E10" i="3"/>
  <c r="C9" i="3"/>
  <c r="J10" i="3"/>
  <c r="K10" i="3" s="1"/>
  <c r="C8" i="13"/>
  <c r="E9" i="13"/>
  <c r="J9" i="13"/>
  <c r="K9" i="13" s="1"/>
  <c r="C7" i="9"/>
  <c r="E8" i="9"/>
  <c r="J8" i="9"/>
  <c r="K8" i="9" s="1"/>
  <c r="FW11" i="2"/>
  <c r="C4" i="32"/>
  <c r="E5" i="32"/>
  <c r="J5" i="32"/>
  <c r="K5" i="32" s="1"/>
  <c r="J62" i="14"/>
  <c r="I63" i="14"/>
  <c r="I59" i="8"/>
  <c r="J58" i="8"/>
  <c r="K57" i="8" s="1"/>
  <c r="I63" i="22"/>
  <c r="J62" i="22"/>
  <c r="K61" i="22" s="1"/>
  <c r="J61" i="142"/>
  <c r="I62" i="142"/>
  <c r="E8" i="126"/>
  <c r="C7" i="126"/>
  <c r="J8" i="126"/>
  <c r="K8" i="126" s="1"/>
  <c r="I61" i="44"/>
  <c r="J60" i="44"/>
  <c r="K59" i="44" s="1"/>
  <c r="E10" i="27"/>
  <c r="C9" i="27"/>
  <c r="J10" i="27"/>
  <c r="K10" i="27" s="1"/>
  <c r="I60" i="151"/>
  <c r="J59" i="151"/>
  <c r="C7" i="67"/>
  <c r="E8" i="67"/>
  <c r="J8" i="67"/>
  <c r="K8" i="67" s="1"/>
  <c r="HO11" i="2"/>
  <c r="J58" i="81"/>
  <c r="I59" i="81"/>
  <c r="I63" i="82"/>
  <c r="J62" i="82"/>
  <c r="K61" i="82" s="1"/>
  <c r="I62" i="98"/>
  <c r="J61" i="98"/>
  <c r="K60" i="98" s="1"/>
  <c r="J63" i="75"/>
  <c r="I64" i="75"/>
  <c r="E8" i="128"/>
  <c r="C7" i="128"/>
  <c r="J8" i="128"/>
  <c r="K8" i="128" s="1"/>
  <c r="C8" i="48"/>
  <c r="E9" i="48"/>
  <c r="J9" i="48"/>
  <c r="K9" i="48" s="1"/>
  <c r="J59" i="106"/>
  <c r="I60" i="106"/>
  <c r="I62" i="62"/>
  <c r="J61" i="62"/>
  <c r="K60" i="62" s="1"/>
  <c r="I61" i="25"/>
  <c r="J60" i="25"/>
  <c r="K59" i="25" s="1"/>
  <c r="C7" i="60"/>
  <c r="E8" i="60"/>
  <c r="J8" i="60"/>
  <c r="K8" i="60" s="1"/>
  <c r="C6" i="69"/>
  <c r="E7" i="69"/>
  <c r="J7" i="69"/>
  <c r="K7" i="69" s="1"/>
  <c r="I60" i="84"/>
  <c r="J59" i="84"/>
  <c r="K58" i="84" s="1"/>
  <c r="J59" i="162"/>
  <c r="K58" i="162" s="1"/>
  <c r="I60" i="162"/>
  <c r="K58" i="151"/>
  <c r="K57" i="81"/>
  <c r="K56" i="160"/>
  <c r="I62" i="128"/>
  <c r="J61" i="128"/>
  <c r="E10" i="42"/>
  <c r="C9" i="42"/>
  <c r="J10" i="42"/>
  <c r="K10" i="42" s="1"/>
  <c r="FV10" i="2"/>
  <c r="J60" i="30"/>
  <c r="I61" i="30"/>
  <c r="I64" i="15"/>
  <c r="J63" i="15"/>
  <c r="K62" i="15" s="1"/>
  <c r="C8" i="80"/>
  <c r="E9" i="80"/>
  <c r="J9" i="80"/>
  <c r="K9" i="80" s="1"/>
  <c r="I59" i="95"/>
  <c r="J58" i="95"/>
  <c r="E7" i="39"/>
  <c r="C6" i="39"/>
  <c r="J7" i="39"/>
  <c r="K7" i="39" s="1"/>
  <c r="K57" i="155"/>
  <c r="E10" i="170"/>
  <c r="C9" i="170"/>
  <c r="J10" i="170"/>
  <c r="K10" i="170" s="1"/>
  <c r="I59" i="130"/>
  <c r="J58" i="130"/>
  <c r="K57" i="130" s="1"/>
  <c r="GS11" i="2"/>
  <c r="I63" i="27"/>
  <c r="J62" i="27"/>
  <c r="K61" i="27" s="1"/>
  <c r="I60" i="104"/>
  <c r="J59" i="104"/>
  <c r="K58" i="104" s="1"/>
  <c r="J59" i="73"/>
  <c r="K58" i="73" s="1"/>
  <c r="I60" i="73"/>
  <c r="E9" i="23"/>
  <c r="C8" i="23"/>
  <c r="J9" i="23"/>
  <c r="K9" i="23" s="1"/>
  <c r="I60" i="67"/>
  <c r="J59" i="67"/>
  <c r="K58" i="67" s="1"/>
  <c r="E7" i="115"/>
  <c r="C6" i="115"/>
  <c r="J7" i="115"/>
  <c r="K7" i="115" s="1"/>
  <c r="C5" i="105"/>
  <c r="E6" i="105"/>
  <c r="J6" i="105"/>
  <c r="K6" i="105" s="1"/>
  <c r="I62" i="89"/>
  <c r="J61" i="89"/>
  <c r="E8" i="148"/>
  <c r="C7" i="148"/>
  <c r="J8" i="148"/>
  <c r="K8" i="148" s="1"/>
  <c r="E8" i="65"/>
  <c r="C7" i="65"/>
  <c r="J8" i="65"/>
  <c r="K8" i="65" s="1"/>
  <c r="DI10" i="2"/>
  <c r="C6" i="85"/>
  <c r="E7" i="85"/>
  <c r="J7" i="85"/>
  <c r="K7" i="85" s="1"/>
  <c r="I59" i="40"/>
  <c r="J58" i="40"/>
  <c r="K57" i="40" s="1"/>
  <c r="I61" i="18"/>
  <c r="J60" i="18"/>
  <c r="K59" i="18" s="1"/>
  <c r="K57" i="137"/>
  <c r="E9" i="21"/>
  <c r="C8" i="21"/>
  <c r="J9" i="21"/>
  <c r="K9" i="21" s="1"/>
  <c r="E10" i="56"/>
  <c r="C9" i="56"/>
  <c r="J10" i="56"/>
  <c r="K10" i="56" s="1"/>
  <c r="I59" i="102"/>
  <c r="J58" i="102"/>
  <c r="K61" i="59"/>
  <c r="C8" i="10"/>
  <c r="E9" i="10"/>
  <c r="J9" i="10"/>
  <c r="K9" i="10" s="1"/>
  <c r="E6" i="131"/>
  <c r="C5" i="131"/>
  <c r="J6" i="131"/>
  <c r="K6" i="131" s="1"/>
  <c r="E9" i="76"/>
  <c r="C8" i="76"/>
  <c r="J9" i="76"/>
  <c r="K9" i="76" s="1"/>
  <c r="EE11" i="2"/>
  <c r="J61" i="9"/>
  <c r="K60" i="9" s="1"/>
  <c r="I62" i="9"/>
  <c r="E7" i="40"/>
  <c r="C6" i="40"/>
  <c r="J7" i="40"/>
  <c r="K7" i="40" s="1"/>
  <c r="C9" i="14"/>
  <c r="E10" i="14"/>
  <c r="J10" i="14"/>
  <c r="K10" i="14" s="1"/>
  <c r="E10" i="121"/>
  <c r="C9" i="121"/>
  <c r="J10" i="121"/>
  <c r="K10" i="121" s="1"/>
  <c r="J60" i="157"/>
  <c r="K59" i="157" s="1"/>
  <c r="I61" i="157"/>
  <c r="K57" i="67"/>
  <c r="K59" i="142"/>
  <c r="I64" i="12"/>
  <c r="J63" i="12"/>
  <c r="K62" i="12" s="1"/>
  <c r="K61" i="12"/>
  <c r="J58" i="125"/>
  <c r="I59" i="125"/>
  <c r="J58" i="90"/>
  <c r="K57" i="90" s="1"/>
  <c r="I59" i="90"/>
  <c r="E8" i="75"/>
  <c r="C7" i="75"/>
  <c r="J8" i="75"/>
  <c r="K8" i="75" s="1"/>
  <c r="C6" i="120"/>
  <c r="E7" i="120"/>
  <c r="J7" i="120"/>
  <c r="K7" i="120" s="1"/>
  <c r="K57" i="102"/>
  <c r="I59" i="163"/>
  <c r="J58" i="163"/>
  <c r="K57" i="163" s="1"/>
  <c r="I59" i="55"/>
  <c r="J58" i="55"/>
  <c r="I60" i="5"/>
  <c r="J59" i="5"/>
  <c r="K58" i="5" s="1"/>
  <c r="D49" i="1"/>
  <c r="AK49" i="1"/>
  <c r="Z49" i="1"/>
  <c r="O49" i="1"/>
  <c r="CC49" i="1"/>
  <c r="BR49" i="1"/>
  <c r="AV49" i="1"/>
  <c r="K61" i="15"/>
  <c r="J60" i="124"/>
  <c r="K59" i="124" s="1"/>
  <c r="I61" i="124"/>
  <c r="E8" i="103"/>
  <c r="C7" i="103"/>
  <c r="J8" i="103"/>
  <c r="K8" i="103" s="1"/>
  <c r="K57" i="65"/>
  <c r="K56" i="65"/>
  <c r="I63" i="79"/>
  <c r="J62" i="79"/>
  <c r="K61" i="79" s="1"/>
  <c r="E6" i="111"/>
  <c r="C5" i="111"/>
  <c r="J6" i="111"/>
  <c r="K6" i="111" s="1"/>
  <c r="IJ10" i="2"/>
  <c r="K56" i="163"/>
  <c r="C8" i="132"/>
  <c r="E9" i="132"/>
  <c r="J9" i="132"/>
  <c r="K9" i="132" s="1"/>
  <c r="I59" i="140"/>
  <c r="J58" i="140"/>
  <c r="K57" i="140" s="1"/>
  <c r="K60" i="127"/>
  <c r="K56" i="55"/>
  <c r="E10" i="109"/>
  <c r="C9" i="109"/>
  <c r="ED10" i="2"/>
  <c r="J10" i="109"/>
  <c r="K10" i="109" s="1"/>
  <c r="I59" i="105"/>
  <c r="J58" i="105"/>
  <c r="K57" i="105" s="1"/>
  <c r="I62" i="16"/>
  <c r="J61" i="16"/>
  <c r="C8" i="133"/>
  <c r="E9" i="133"/>
  <c r="J9" i="133"/>
  <c r="K9" i="133" s="1"/>
  <c r="DH9" i="2"/>
  <c r="D49" i="2"/>
  <c r="CY49" i="2"/>
  <c r="DU49" i="2"/>
  <c r="CC49" i="2"/>
  <c r="BG49" i="2"/>
  <c r="HP49" i="2"/>
  <c r="CN49" i="2"/>
  <c r="FB49" i="2"/>
  <c r="DJ49" i="2"/>
  <c r="IA49" i="2"/>
  <c r="EQ49" i="2"/>
  <c r="IW49" i="2"/>
  <c r="AK49" i="2"/>
  <c r="FM49" i="2"/>
  <c r="EF49" i="2"/>
  <c r="O49" i="2"/>
  <c r="Z49" i="2"/>
  <c r="IL49" i="2"/>
  <c r="FX49" i="2"/>
  <c r="HE49" i="2"/>
  <c r="AV49" i="2"/>
  <c r="BR49" i="2"/>
  <c r="GT49" i="2"/>
  <c r="K60" i="14"/>
  <c r="I61" i="23"/>
  <c r="J60" i="23"/>
  <c r="K59" i="23" s="1"/>
  <c r="I60" i="39"/>
  <c r="J59" i="39"/>
  <c r="K58" i="39" s="1"/>
  <c r="C6" i="163"/>
  <c r="E7" i="163"/>
  <c r="J7" i="163"/>
  <c r="K7" i="163" s="1"/>
  <c r="I59" i="65"/>
  <c r="J58" i="65"/>
  <c r="C9" i="158"/>
  <c r="E10" i="158"/>
  <c r="J10" i="158"/>
  <c r="K10" i="158" s="1"/>
  <c r="I62" i="127"/>
  <c r="J61" i="127"/>
  <c r="I61" i="63"/>
  <c r="J60" i="63"/>
  <c r="K56" i="120"/>
  <c r="I64" i="134"/>
  <c r="J63" i="134"/>
  <c r="K62" i="134" s="1"/>
  <c r="C8" i="147"/>
  <c r="E9" i="147"/>
  <c r="J9" i="147"/>
  <c r="K9" i="147" s="1"/>
  <c r="I63" i="24"/>
  <c r="J62" i="24"/>
  <c r="K61" i="24" s="1"/>
  <c r="BF49" i="1"/>
  <c r="BG49" i="1"/>
  <c r="I59" i="45"/>
  <c r="J58" i="45"/>
  <c r="HD11" i="2"/>
  <c r="K60" i="22"/>
  <c r="K59" i="66"/>
  <c r="E8" i="99"/>
  <c r="C7" i="99"/>
  <c r="J8" i="99"/>
  <c r="K8" i="99" s="1"/>
  <c r="E8" i="118"/>
  <c r="C7" i="118"/>
  <c r="J8" i="118"/>
  <c r="K8" i="118" s="1"/>
  <c r="J58" i="100"/>
  <c r="K57" i="100" s="1"/>
  <c r="I59" i="100"/>
  <c r="K59" i="63"/>
  <c r="K58" i="63"/>
  <c r="J61" i="13"/>
  <c r="I62" i="13"/>
  <c r="GI49" i="2"/>
  <c r="GH49" i="2"/>
  <c r="C8" i="122"/>
  <c r="E9" i="122"/>
  <c r="J9" i="122"/>
  <c r="K9" i="122" s="1"/>
  <c r="HC10" i="2"/>
  <c r="E10" i="8"/>
  <c r="C9" i="8"/>
  <c r="BP10" i="1"/>
  <c r="J10" i="8"/>
  <c r="K10" i="8" s="1"/>
  <c r="C9" i="58"/>
  <c r="E10" i="58"/>
  <c r="J10" i="58"/>
  <c r="K10" i="58" s="1"/>
  <c r="J60" i="66"/>
  <c r="I61" i="66"/>
  <c r="C7" i="5"/>
  <c r="E8" i="5"/>
  <c r="J8" i="5"/>
  <c r="K8" i="5" s="1"/>
  <c r="E8" i="112"/>
  <c r="C7" i="112"/>
  <c r="J8" i="112"/>
  <c r="K8" i="112" s="1"/>
  <c r="E9" i="154"/>
  <c r="C8" i="154"/>
  <c r="J9" i="154"/>
  <c r="K9" i="154" s="1"/>
  <c r="IJ9" i="2"/>
  <c r="GS10" i="2"/>
  <c r="I59" i="69"/>
  <c r="J58" i="69"/>
  <c r="K57" i="69" s="1"/>
  <c r="J60" i="149"/>
  <c r="K59" i="149" s="1"/>
  <c r="I61" i="149"/>
  <c r="C8" i="142"/>
  <c r="E9" i="142"/>
  <c r="J9" i="142"/>
  <c r="K9" i="142" s="1"/>
  <c r="K59" i="98"/>
  <c r="J60" i="165"/>
  <c r="K59" i="165" s="1"/>
  <c r="I61" i="165"/>
  <c r="E8" i="104"/>
  <c r="C7" i="104"/>
  <c r="J8" i="104"/>
  <c r="K8" i="104" s="1"/>
  <c r="K57" i="86"/>
  <c r="C7" i="113"/>
  <c r="E8" i="113"/>
  <c r="J8" i="113"/>
  <c r="K8" i="113" s="1"/>
  <c r="E10" i="100"/>
  <c r="C9" i="100"/>
  <c r="J10" i="100"/>
  <c r="K10" i="100" s="1"/>
  <c r="K56" i="40"/>
  <c r="I61" i="115"/>
  <c r="J60" i="115"/>
  <c r="I61" i="28"/>
  <c r="J60" i="28"/>
  <c r="K59" i="28" s="1"/>
  <c r="I60" i="85"/>
  <c r="J59" i="85"/>
  <c r="K58" i="85" s="1"/>
  <c r="I62" i="48"/>
  <c r="J61" i="48"/>
  <c r="K60" i="48" s="1"/>
  <c r="I62" i="101"/>
  <c r="J61" i="101"/>
  <c r="K60" i="101" s="1"/>
  <c r="C7" i="19"/>
  <c r="E8" i="19"/>
  <c r="J8" i="19"/>
  <c r="K8" i="19" s="1"/>
  <c r="CB11" i="1"/>
  <c r="I62" i="135"/>
  <c r="J61" i="135"/>
  <c r="E48" i="24"/>
  <c r="C47" i="24"/>
  <c r="GG48" i="2"/>
  <c r="BE48" i="1"/>
  <c r="C48" i="1"/>
  <c r="C48" i="2"/>
  <c r="J48" i="24"/>
  <c r="K48" i="24" s="1"/>
  <c r="I59" i="43"/>
  <c r="J58" i="43"/>
  <c r="K57" i="43" s="1"/>
  <c r="BQ11" i="1"/>
  <c r="I60" i="86"/>
  <c r="J59" i="86"/>
  <c r="K58" i="165"/>
  <c r="K60" i="79"/>
  <c r="E8" i="83"/>
  <c r="C7" i="83"/>
  <c r="J8" i="83"/>
  <c r="K8" i="83" s="1"/>
  <c r="C7" i="94"/>
  <c r="E8" i="94"/>
  <c r="J8" i="94"/>
  <c r="K8" i="94" s="1"/>
  <c r="I60" i="3"/>
  <c r="J59" i="3"/>
  <c r="E5" i="87"/>
  <c r="C4" i="87"/>
  <c r="J5" i="87"/>
  <c r="K5" i="87" s="1"/>
  <c r="I63" i="94"/>
  <c r="J62" i="94"/>
  <c r="J59" i="154"/>
  <c r="K58" i="154" s="1"/>
  <c r="I60" i="154"/>
  <c r="K58" i="126"/>
  <c r="EP10" i="2"/>
  <c r="I60" i="70"/>
  <c r="J59" i="70"/>
  <c r="E10" i="6"/>
  <c r="C9" i="6"/>
  <c r="CA10" i="1"/>
  <c r="IU10" i="2"/>
  <c r="J59" i="52"/>
  <c r="I60" i="52"/>
  <c r="J58" i="11"/>
  <c r="K57" i="11" s="1"/>
  <c r="I59" i="11"/>
  <c r="E6" i="45"/>
  <c r="C5" i="45"/>
  <c r="J6" i="45"/>
  <c r="K6" i="45" s="1"/>
  <c r="C6" i="106"/>
  <c r="E7" i="106"/>
  <c r="J7" i="106"/>
  <c r="K7" i="106" s="1"/>
  <c r="FA10" i="2"/>
  <c r="E9" i="95"/>
  <c r="C8" i="95"/>
  <c r="J9" i="95"/>
  <c r="K9" i="95" s="1"/>
  <c r="I62" i="77"/>
  <c r="J61" i="77"/>
  <c r="I62" i="29"/>
  <c r="J61" i="29"/>
  <c r="K60" i="29" s="1"/>
  <c r="I60" i="126"/>
  <c r="J59" i="126"/>
  <c r="C8" i="96"/>
  <c r="E9" i="96"/>
  <c r="J9" i="96"/>
  <c r="K9" i="96" s="1"/>
  <c r="I60" i="97"/>
  <c r="J59" i="97"/>
  <c r="K58" i="97" s="1"/>
  <c r="I59" i="147"/>
  <c r="J58" i="147"/>
  <c r="K57" i="147" s="1"/>
  <c r="E7" i="84"/>
  <c r="C6" i="84"/>
  <c r="J7" i="84"/>
  <c r="K7" i="84" s="1"/>
  <c r="E6" i="160"/>
  <c r="C5" i="160"/>
  <c r="J6" i="160"/>
  <c r="K6" i="160" s="1"/>
  <c r="E8" i="22"/>
  <c r="C7" i="22"/>
  <c r="J8" i="22"/>
  <c r="K8" i="22" s="1"/>
  <c r="E9" i="78"/>
  <c r="C8" i="78"/>
  <c r="J9" i="78"/>
  <c r="K9" i="78" s="1"/>
  <c r="E9" i="134"/>
  <c r="C8" i="134"/>
  <c r="EZ9" i="2"/>
  <c r="J9" i="134"/>
  <c r="K9" i="134" s="1"/>
  <c r="E6" i="102"/>
  <c r="C5" i="102"/>
  <c r="J6" i="102"/>
  <c r="K6" i="102" s="1"/>
  <c r="E5" i="30"/>
  <c r="C4" i="30"/>
  <c r="J5" i="30"/>
  <c r="K5" i="30" s="1"/>
  <c r="K60" i="77"/>
  <c r="I63" i="42"/>
  <c r="J62" i="42"/>
  <c r="K61" i="42" s="1"/>
  <c r="E6" i="43"/>
  <c r="C5" i="43"/>
  <c r="J6" i="43"/>
  <c r="K6" i="43" s="1"/>
  <c r="C8" i="97"/>
  <c r="E9" i="97"/>
  <c r="J9" i="97"/>
  <c r="K9" i="97" s="1"/>
  <c r="C7" i="161"/>
  <c r="E8" i="161"/>
  <c r="J8" i="161"/>
  <c r="K8" i="161" s="1"/>
  <c r="J59" i="138"/>
  <c r="K58" i="138" s="1"/>
  <c r="I60" i="138"/>
  <c r="K61" i="134"/>
  <c r="C8" i="119"/>
  <c r="E9" i="119"/>
  <c r="J9" i="119"/>
  <c r="K9" i="119" s="1"/>
  <c r="AU11" i="1"/>
  <c r="J61" i="164"/>
  <c r="I62" i="164"/>
  <c r="I60" i="108"/>
  <c r="J59" i="108"/>
  <c r="K57" i="85"/>
  <c r="I64" i="61"/>
  <c r="J63" i="61"/>
  <c r="N11" i="1"/>
  <c r="AU11" i="2"/>
  <c r="C8" i="63"/>
  <c r="E9" i="63"/>
  <c r="J9" i="63"/>
  <c r="K9" i="63" s="1"/>
  <c r="C7" i="66"/>
  <c r="E8" i="66"/>
  <c r="J8" i="66"/>
  <c r="K8" i="66" s="1"/>
  <c r="J59" i="57"/>
  <c r="K58" i="57" s="1"/>
  <c r="I60" i="57"/>
  <c r="J58" i="146"/>
  <c r="I59" i="146"/>
  <c r="C9" i="92"/>
  <c r="E10" i="92"/>
  <c r="J10" i="92"/>
  <c r="K10" i="92" s="1"/>
  <c r="E8" i="68"/>
  <c r="C7" i="68"/>
  <c r="J8" i="68"/>
  <c r="K8" i="68" s="1"/>
  <c r="I62" i="132"/>
  <c r="J61" i="132"/>
  <c r="K61" i="61"/>
  <c r="I63" i="32"/>
  <c r="J62" i="32"/>
  <c r="K61" i="32" s="1"/>
  <c r="E8" i="18"/>
  <c r="C7" i="18"/>
  <c r="J8" i="18"/>
  <c r="K8" i="18" s="1"/>
  <c r="Y11" i="2"/>
  <c r="J58" i="91"/>
  <c r="I59" i="91"/>
  <c r="C9" i="50"/>
  <c r="E10" i="50"/>
  <c r="AT10" i="2"/>
  <c r="J10" i="50"/>
  <c r="K10" i="50" s="1"/>
  <c r="FL10" i="2"/>
  <c r="E9" i="114"/>
  <c r="C8" i="114"/>
  <c r="J9" i="114"/>
  <c r="K9" i="114" s="1"/>
  <c r="K59" i="92"/>
  <c r="I60" i="20"/>
  <c r="J59" i="20"/>
  <c r="K60" i="78"/>
  <c r="E9" i="169"/>
  <c r="C8" i="169"/>
  <c r="J9" i="169"/>
  <c r="K9" i="169" s="1"/>
  <c r="E10" i="28"/>
  <c r="C9" i="28"/>
  <c r="J10" i="28"/>
  <c r="K10" i="28" s="1"/>
  <c r="E9" i="15"/>
  <c r="C8" i="15"/>
  <c r="J9" i="15"/>
  <c r="K9" i="15" s="1"/>
  <c r="E9" i="88"/>
  <c r="C8" i="88"/>
  <c r="J9" i="88"/>
  <c r="K9" i="88" s="1"/>
  <c r="E9" i="70"/>
  <c r="C8" i="70"/>
  <c r="J9" i="70"/>
  <c r="K9" i="70" s="1"/>
  <c r="K56" i="140"/>
  <c r="I61" i="92"/>
  <c r="J60" i="92"/>
  <c r="C8" i="33"/>
  <c r="E9" i="33"/>
  <c r="J9" i="33"/>
  <c r="K9" i="33" s="1"/>
  <c r="I60" i="87"/>
  <c r="J59" i="87"/>
  <c r="K58" i="87" s="1"/>
  <c r="I60" i="54"/>
  <c r="J59" i="54"/>
  <c r="K58" i="54" s="1"/>
  <c r="E10" i="7"/>
  <c r="C9" i="7"/>
  <c r="AT10" i="1"/>
  <c r="J10" i="7"/>
  <c r="K10" i="7" s="1"/>
  <c r="I61" i="167"/>
  <c r="J60" i="167"/>
  <c r="J58" i="112"/>
  <c r="I59" i="112"/>
  <c r="J59" i="121"/>
  <c r="K58" i="121" s="1"/>
  <c r="I60" i="121"/>
  <c r="K60" i="32"/>
  <c r="I60" i="49"/>
  <c r="J59" i="49"/>
  <c r="I61" i="173"/>
  <c r="J60" i="173"/>
  <c r="E6" i="165"/>
  <c r="C5" i="165"/>
  <c r="J6" i="165"/>
  <c r="K6" i="165" s="1"/>
  <c r="C8" i="79"/>
  <c r="E9" i="79"/>
  <c r="J9" i="79"/>
  <c r="K9" i="79" s="1"/>
  <c r="EP11" i="2"/>
  <c r="I60" i="80"/>
  <c r="J59" i="80"/>
  <c r="I61" i="41"/>
  <c r="J60" i="41"/>
  <c r="C9" i="12"/>
  <c r="X10" i="2"/>
  <c r="E10" i="12"/>
  <c r="M10" i="1"/>
  <c r="J10" i="12"/>
  <c r="K10" i="12" s="1"/>
  <c r="E8" i="4"/>
  <c r="C7" i="4"/>
  <c r="J8" i="4"/>
  <c r="K8" i="4" s="1"/>
  <c r="CB11" i="2"/>
  <c r="I59" i="64"/>
  <c r="J58" i="64"/>
  <c r="C2" i="82"/>
  <c r="J3" i="82"/>
  <c r="K3" i="82" s="1"/>
  <c r="E3" i="82"/>
  <c r="J59" i="123"/>
  <c r="K58" i="123" s="1"/>
  <c r="I60" i="123"/>
  <c r="K56" i="64"/>
  <c r="C8" i="153"/>
  <c r="E9" i="153"/>
  <c r="J9" i="153"/>
  <c r="K9" i="153" s="1"/>
  <c r="J60" i="113"/>
  <c r="I61" i="113"/>
  <c r="K59" i="164"/>
  <c r="C6" i="72"/>
  <c r="E7" i="72"/>
  <c r="J7" i="72"/>
  <c r="K7" i="72" s="1"/>
  <c r="E8" i="139"/>
  <c r="C7" i="139"/>
  <c r="J8" i="139"/>
  <c r="K8" i="139" s="1"/>
  <c r="K56" i="17"/>
  <c r="C5" i="34"/>
  <c r="E6" i="34"/>
  <c r="J6" i="34"/>
  <c r="K6" i="34" s="1"/>
  <c r="I61" i="159"/>
  <c r="J60" i="159"/>
  <c r="K59" i="159" s="1"/>
  <c r="I59" i="143"/>
  <c r="J58" i="143"/>
  <c r="C9" i="174"/>
  <c r="E10" i="174"/>
  <c r="J10" i="174"/>
  <c r="K10" i="174" s="1"/>
  <c r="I60" i="114"/>
  <c r="J59" i="114"/>
  <c r="K58" i="114" s="1"/>
  <c r="E10" i="152"/>
  <c r="C9" i="152"/>
  <c r="M9" i="2" s="1"/>
  <c r="J10" i="152"/>
  <c r="K10" i="152" s="1"/>
  <c r="K59" i="78"/>
  <c r="E9" i="35"/>
  <c r="C8" i="35"/>
  <c r="J9" i="35"/>
  <c r="K9" i="35" s="1"/>
  <c r="J60" i="139"/>
  <c r="I61" i="139"/>
  <c r="DT9" i="2"/>
  <c r="I61" i="99"/>
  <c r="J60" i="99"/>
  <c r="C9" i="55"/>
  <c r="FK9" i="2" s="1"/>
  <c r="E10" i="55"/>
  <c r="J10" i="55"/>
  <c r="K10" i="55" s="1"/>
  <c r="I59" i="110"/>
  <c r="J58" i="110"/>
  <c r="K57" i="110" s="1"/>
  <c r="E7" i="159"/>
  <c r="C6" i="159"/>
  <c r="J7" i="159"/>
  <c r="K7" i="159" s="1"/>
  <c r="I59" i="58"/>
  <c r="J58" i="58"/>
  <c r="K57" i="58" s="1"/>
  <c r="K58" i="159"/>
  <c r="I60" i="144"/>
  <c r="J59" i="144"/>
  <c r="K58" i="144" s="1"/>
  <c r="K56" i="166"/>
  <c r="I61" i="37"/>
  <c r="J60" i="37"/>
  <c r="HZ10" i="2"/>
  <c r="E7" i="124"/>
  <c r="C6" i="124"/>
  <c r="J7" i="124"/>
  <c r="K7" i="124" s="1"/>
  <c r="I61" i="118"/>
  <c r="J60" i="118"/>
  <c r="E8" i="81"/>
  <c r="C7" i="81"/>
  <c r="J8" i="81"/>
  <c r="K8" i="81" s="1"/>
  <c r="E9" i="36"/>
  <c r="C8" i="36"/>
  <c r="CW8" i="2" s="1"/>
  <c r="J9" i="36"/>
  <c r="K9" i="36" s="1"/>
  <c r="K59" i="51"/>
  <c r="I59" i="96"/>
  <c r="J58" i="96"/>
  <c r="K59" i="99"/>
  <c r="C9" i="155"/>
  <c r="E10" i="155"/>
  <c r="J10" i="155"/>
  <c r="K10" i="155" s="1"/>
  <c r="E9" i="151"/>
  <c r="C8" i="151"/>
  <c r="J9" i="151"/>
  <c r="K9" i="151" s="1"/>
  <c r="E9" i="101"/>
  <c r="C8" i="101"/>
  <c r="J9" i="101"/>
  <c r="K9" i="101" s="1"/>
  <c r="J60" i="83"/>
  <c r="I61" i="83"/>
  <c r="Y11" i="1"/>
  <c r="C9" i="93"/>
  <c r="E10" i="93"/>
  <c r="J10" i="93"/>
  <c r="K10" i="93" s="1"/>
  <c r="C6" i="123"/>
  <c r="E7" i="123"/>
  <c r="J7" i="123"/>
  <c r="K7" i="123" s="1"/>
  <c r="E5" i="138"/>
  <c r="C4" i="138"/>
  <c r="J5" i="138"/>
  <c r="K5" i="138" s="1"/>
  <c r="J61" i="156"/>
  <c r="K60" i="156" s="1"/>
  <c r="I62" i="156"/>
  <c r="I59" i="148"/>
  <c r="J58" i="148"/>
  <c r="I60" i="19"/>
  <c r="J59" i="19"/>
  <c r="K58" i="19" s="1"/>
  <c r="C7" i="137"/>
  <c r="E8" i="137"/>
  <c r="J8" i="137"/>
  <c r="K8" i="137" s="1"/>
  <c r="I60" i="33"/>
  <c r="J59" i="33"/>
  <c r="K58" i="33" s="1"/>
  <c r="I60" i="169"/>
  <c r="J59" i="169"/>
  <c r="K59" i="118"/>
  <c r="E10" i="91"/>
  <c r="C9" i="91"/>
  <c r="J10" i="91"/>
  <c r="K10" i="91" s="1"/>
  <c r="C7" i="25"/>
  <c r="E8" i="25"/>
  <c r="J8" i="25"/>
  <c r="K8" i="25" s="1"/>
  <c r="K57" i="52"/>
  <c r="K59" i="83"/>
  <c r="E5" i="146"/>
  <c r="C4" i="146"/>
  <c r="J5" i="146"/>
  <c r="K5" i="146" s="1"/>
  <c r="K60" i="89"/>
  <c r="E7" i="62"/>
  <c r="C6" i="62"/>
  <c r="J7" i="62"/>
  <c r="K7" i="62" s="1"/>
  <c r="I62" i="78"/>
  <c r="J61" i="78"/>
  <c r="E7" i="37"/>
  <c r="C6" i="37"/>
  <c r="J7" i="37"/>
  <c r="K7" i="37" s="1"/>
  <c r="C7" i="129"/>
  <c r="E8" i="129"/>
  <c r="J8" i="129"/>
  <c r="K8" i="129" s="1"/>
  <c r="DS8" i="2"/>
  <c r="J59" i="161"/>
  <c r="K58" i="161" s="1"/>
  <c r="I60" i="161"/>
  <c r="I60" i="116"/>
  <c r="J59" i="116"/>
  <c r="K58" i="116" s="1"/>
  <c r="AI10" i="2"/>
  <c r="K57" i="138"/>
  <c r="I61" i="60"/>
  <c r="J60" i="60"/>
  <c r="K59" i="60" s="1"/>
  <c r="K57" i="80"/>
  <c r="E10" i="172"/>
  <c r="C9" i="172"/>
  <c r="J10" i="172"/>
  <c r="K10" i="172" s="1"/>
  <c r="I62" i="172"/>
  <c r="J61" i="172"/>
  <c r="K60" i="172" s="1"/>
  <c r="I64" i="145"/>
  <c r="J63" i="145"/>
  <c r="K62" i="145" s="1"/>
  <c r="C9" i="29"/>
  <c r="X9" i="1" s="1"/>
  <c r="E10" i="29"/>
  <c r="J10" i="29"/>
  <c r="K10" i="29" s="1"/>
  <c r="X10" i="1"/>
  <c r="J59" i="21"/>
  <c r="K58" i="21" s="1"/>
  <c r="I60" i="21"/>
  <c r="E9" i="162"/>
  <c r="C8" i="162"/>
  <c r="J9" i="162"/>
  <c r="K9" i="162" s="1"/>
  <c r="BQ11" i="2"/>
  <c r="E5" i="166"/>
  <c r="C4" i="166"/>
  <c r="J5" i="166"/>
  <c r="K5" i="166" s="1"/>
  <c r="I64" i="133"/>
  <c r="J63" i="133"/>
  <c r="C6" i="173"/>
  <c r="E7" i="173"/>
  <c r="J7" i="173"/>
  <c r="K7" i="173" s="1"/>
  <c r="E9" i="140"/>
  <c r="C8" i="140"/>
  <c r="J9" i="140"/>
  <c r="K9" i="140" s="1"/>
  <c r="K58" i="31"/>
  <c r="K58" i="167"/>
  <c r="E8" i="110"/>
  <c r="C7" i="110"/>
  <c r="J8" i="110"/>
  <c r="K8" i="110" s="1"/>
  <c r="J58" i="109"/>
  <c r="I59" i="109"/>
  <c r="C8" i="108"/>
  <c r="E9" i="108"/>
  <c r="J9" i="108"/>
  <c r="K9" i="108" s="1"/>
  <c r="K57" i="144"/>
  <c r="K57" i="106"/>
  <c r="E10" i="52"/>
  <c r="C9" i="52"/>
  <c r="BP10" i="2"/>
  <c r="J10" i="52"/>
  <c r="K10" i="52" s="1"/>
  <c r="C7" i="11"/>
  <c r="E8" i="11"/>
  <c r="J8" i="11"/>
  <c r="K8" i="11" s="1"/>
  <c r="I61" i="158"/>
  <c r="J60" i="158"/>
  <c r="E9" i="71"/>
  <c r="C8" i="71"/>
  <c r="J9" i="71"/>
  <c r="K9" i="71" s="1"/>
  <c r="J63" i="7"/>
  <c r="K62" i="7" s="1"/>
  <c r="I64" i="7"/>
  <c r="I61" i="72"/>
  <c r="J60" i="72"/>
  <c r="K59" i="72" s="1"/>
  <c r="K59" i="13"/>
  <c r="K58" i="18"/>
  <c r="I60" i="53"/>
  <c r="J59" i="53"/>
  <c r="J63" i="74"/>
  <c r="K62" i="74" s="1"/>
  <c r="I64" i="74"/>
  <c r="E5" i="157"/>
  <c r="C4" i="157"/>
  <c r="J5" i="157"/>
  <c r="K5" i="157" s="1"/>
  <c r="J59" i="31"/>
  <c r="I60" i="31"/>
  <c r="I59" i="141"/>
  <c r="J58" i="141"/>
  <c r="K60" i="152"/>
  <c r="K57" i="109"/>
  <c r="K57" i="50"/>
  <c r="I61" i="129"/>
  <c r="J60" i="129"/>
  <c r="K59" i="129" s="1"/>
  <c r="J58" i="38"/>
  <c r="I59" i="38"/>
  <c r="E10" i="90"/>
  <c r="C9" i="90"/>
  <c r="J10" i="90"/>
  <c r="K10" i="90" s="1"/>
  <c r="K59" i="37"/>
  <c r="K57" i="4"/>
  <c r="K60" i="71"/>
  <c r="E9" i="125"/>
  <c r="C8" i="125"/>
  <c r="J9" i="125"/>
  <c r="K9" i="125" s="1"/>
  <c r="C6" i="73"/>
  <c r="E7" i="73"/>
  <c r="J7" i="73"/>
  <c r="K7" i="73" s="1"/>
  <c r="K57" i="104"/>
  <c r="I62" i="152"/>
  <c r="J61" i="152"/>
  <c r="AJ11" i="1"/>
  <c r="I60" i="170"/>
  <c r="J59" i="170"/>
  <c r="HO10" i="2"/>
  <c r="J60" i="93"/>
  <c r="K59" i="93" s="1"/>
  <c r="I61" i="93"/>
  <c r="E9" i="77"/>
  <c r="C8" i="77"/>
  <c r="J9" i="77"/>
  <c r="K9" i="77" s="1"/>
  <c r="I60" i="76"/>
  <c r="J59" i="76"/>
  <c r="E9" i="89"/>
  <c r="C8" i="89"/>
  <c r="J9" i="89"/>
  <c r="K9" i="89" s="1"/>
  <c r="HN9" i="2"/>
  <c r="I62" i="107"/>
  <c r="J61" i="107"/>
  <c r="BF11" i="2"/>
  <c r="J60" i="10"/>
  <c r="I61" i="10"/>
  <c r="I63" i="71"/>
  <c r="J62" i="71"/>
  <c r="K61" i="71" s="1"/>
  <c r="I59" i="34"/>
  <c r="J58" i="34"/>
  <c r="K58" i="149"/>
  <c r="C6" i="141"/>
  <c r="E7" i="141"/>
  <c r="J7" i="141"/>
  <c r="K7" i="141" s="1"/>
  <c r="I60" i="111"/>
  <c r="J59" i="111"/>
  <c r="K58" i="30"/>
  <c r="J59" i="131"/>
  <c r="K58" i="131" s="1"/>
  <c r="I60" i="131"/>
  <c r="E10" i="136"/>
  <c r="C9" i="136"/>
  <c r="J10" i="136"/>
  <c r="K10" i="136" s="1"/>
  <c r="K61" i="145"/>
  <c r="E10" i="53"/>
  <c r="C9" i="53"/>
  <c r="BE9" i="2" s="1"/>
  <c r="J10" i="53"/>
  <c r="K10" i="53" s="1"/>
  <c r="I60" i="168"/>
  <c r="J59" i="168"/>
  <c r="K58" i="168" s="1"/>
  <c r="E7" i="171"/>
  <c r="C6" i="171"/>
  <c r="J7" i="171"/>
  <c r="K7" i="171" s="1"/>
  <c r="C7" i="116"/>
  <c r="E8" i="116"/>
  <c r="J8" i="116"/>
  <c r="K8" i="116" s="1"/>
  <c r="I59" i="47"/>
  <c r="J58" i="47"/>
  <c r="K57" i="47" s="1"/>
  <c r="J59" i="88"/>
  <c r="K58" i="88" s="1"/>
  <c r="I60" i="88"/>
  <c r="C7" i="167"/>
  <c r="E8" i="167"/>
  <c r="J8" i="167"/>
  <c r="K8" i="167" s="1"/>
  <c r="FL11" i="2"/>
  <c r="K56" i="102"/>
  <c r="C8" i="164"/>
  <c r="E9" i="164"/>
  <c r="J9" i="164"/>
  <c r="K9" i="164" s="1"/>
  <c r="E7" i="26"/>
  <c r="C6" i="26"/>
  <c r="J7" i="26"/>
  <c r="K7" i="26" s="1"/>
  <c r="K58" i="139"/>
  <c r="I62" i="136"/>
  <c r="J61" i="136"/>
  <c r="J61" i="117"/>
  <c r="K60" i="117" s="1"/>
  <c r="I62" i="117"/>
  <c r="C8" i="145"/>
  <c r="E9" i="145"/>
  <c r="J9" i="145"/>
  <c r="K9" i="145" s="1"/>
  <c r="K61" i="74"/>
  <c r="K58" i="124"/>
  <c r="K59" i="26"/>
  <c r="K56" i="109"/>
  <c r="C9" i="46"/>
  <c r="E10" i="46"/>
  <c r="J10" i="46"/>
  <c r="K10" i="46" s="1"/>
  <c r="K58" i="44"/>
  <c r="K57" i="170"/>
  <c r="E9" i="38"/>
  <c r="C8" i="38"/>
  <c r="J9" i="38"/>
  <c r="K9" i="38" s="1"/>
  <c r="CX10" i="2"/>
  <c r="C7" i="144"/>
  <c r="E8" i="144"/>
  <c r="J8" i="144"/>
  <c r="K8" i="144" s="1"/>
  <c r="CM11" i="2"/>
  <c r="K58" i="76"/>
  <c r="I59" i="171"/>
  <c r="J58" i="171"/>
  <c r="K57" i="171" s="1"/>
  <c r="C6" i="127"/>
  <c r="E7" i="127"/>
  <c r="J7" i="127"/>
  <c r="K7" i="127" s="1"/>
  <c r="I61" i="68"/>
  <c r="J60" i="68"/>
  <c r="K59" i="68" s="1"/>
  <c r="K58" i="93"/>
  <c r="J58" i="35"/>
  <c r="K57" i="35" s="1"/>
  <c r="I59" i="35"/>
  <c r="E7" i="51"/>
  <c r="C6" i="51"/>
  <c r="J7" i="51"/>
  <c r="K7" i="51" s="1"/>
  <c r="E7" i="47"/>
  <c r="C6" i="47"/>
  <c r="J7" i="47"/>
  <c r="K7" i="47" s="1"/>
  <c r="K60" i="136"/>
  <c r="E8" i="54"/>
  <c r="C7" i="54"/>
  <c r="J8" i="54"/>
  <c r="K8" i="54" s="1"/>
  <c r="J59" i="153"/>
  <c r="I60" i="153"/>
  <c r="BF10" i="2"/>
  <c r="E9" i="117"/>
  <c r="C8" i="117"/>
  <c r="J9" i="117"/>
  <c r="K9" i="117" s="1"/>
  <c r="I62" i="51"/>
  <c r="J61" i="51"/>
  <c r="I60" i="155"/>
  <c r="J59" i="155"/>
  <c r="K58" i="155" s="1"/>
  <c r="E7" i="86"/>
  <c r="C6" i="86"/>
  <c r="J7" i="86"/>
  <c r="K7" i="86" s="1"/>
  <c r="C9" i="107"/>
  <c r="E10" i="107"/>
  <c r="J10" i="107"/>
  <c r="K10" i="107" s="1"/>
  <c r="K57" i="174"/>
  <c r="I60" i="103"/>
  <c r="J59" i="103"/>
  <c r="I59" i="17"/>
  <c r="J58" i="17"/>
  <c r="K57" i="17" s="1"/>
  <c r="I62" i="26"/>
  <c r="J61" i="26"/>
  <c r="K60" i="26" s="1"/>
  <c r="K60" i="122"/>
  <c r="K59" i="122"/>
  <c r="K57" i="114"/>
  <c r="E9" i="156" l="1"/>
  <c r="C8" i="156"/>
  <c r="J9" i="156"/>
  <c r="K9" i="156" s="1"/>
  <c r="E8" i="149"/>
  <c r="J8" i="149"/>
  <c r="K8" i="149" s="1"/>
  <c r="C7" i="149"/>
  <c r="E9" i="130"/>
  <c r="C8" i="130"/>
  <c r="EZ8" i="2" s="1"/>
  <c r="J9" i="130"/>
  <c r="K9" i="130" s="1"/>
  <c r="J4" i="98"/>
  <c r="K4" i="98" s="1"/>
  <c r="E4" i="98"/>
  <c r="C3" i="98"/>
  <c r="E9" i="74"/>
  <c r="C8" i="74"/>
  <c r="J9" i="74"/>
  <c r="K9" i="74" s="1"/>
  <c r="E8" i="61"/>
  <c r="C7" i="61"/>
  <c r="J8" i="61"/>
  <c r="K8" i="61" s="1"/>
  <c r="C7" i="59"/>
  <c r="E8" i="59"/>
  <c r="J8" i="59"/>
  <c r="K8" i="59" s="1"/>
  <c r="J9" i="150"/>
  <c r="K9" i="150" s="1"/>
  <c r="C8" i="150"/>
  <c r="E9" i="150"/>
  <c r="BF9" i="2"/>
  <c r="Y9" i="1"/>
  <c r="CX8" i="2"/>
  <c r="FL9" i="2"/>
  <c r="E6" i="47"/>
  <c r="C5" i="47"/>
  <c r="J6" i="47"/>
  <c r="K6" i="47" s="1"/>
  <c r="I60" i="171"/>
  <c r="J59" i="171"/>
  <c r="K58" i="171" s="1"/>
  <c r="E8" i="71"/>
  <c r="C7" i="71"/>
  <c r="J8" i="71"/>
  <c r="K8" i="71" s="1"/>
  <c r="E8" i="101"/>
  <c r="C7" i="101"/>
  <c r="J8" i="101"/>
  <c r="K8" i="101" s="1"/>
  <c r="I61" i="114"/>
  <c r="J60" i="114"/>
  <c r="K59" i="114" s="1"/>
  <c r="C4" i="165"/>
  <c r="E5" i="165"/>
  <c r="J5" i="165"/>
  <c r="K5" i="165" s="1"/>
  <c r="I60" i="11"/>
  <c r="J59" i="11"/>
  <c r="K58" i="11" s="1"/>
  <c r="I61" i="85"/>
  <c r="J60" i="85"/>
  <c r="C7" i="147"/>
  <c r="E8" i="147"/>
  <c r="J8" i="147"/>
  <c r="K8" i="147" s="1"/>
  <c r="C8" i="14"/>
  <c r="E9" i="14"/>
  <c r="J9" i="14"/>
  <c r="K9" i="14" s="1"/>
  <c r="GR9" i="2"/>
  <c r="E5" i="105"/>
  <c r="C4" i="105"/>
  <c r="J5" i="105"/>
  <c r="K5" i="105" s="1"/>
  <c r="E8" i="80"/>
  <c r="C7" i="80"/>
  <c r="J8" i="80"/>
  <c r="K8" i="80" s="1"/>
  <c r="J62" i="62"/>
  <c r="I63" i="62"/>
  <c r="I63" i="122"/>
  <c r="J62" i="122"/>
  <c r="K61" i="122" s="1"/>
  <c r="E7" i="167"/>
  <c r="C6" i="167"/>
  <c r="J7" i="167"/>
  <c r="K7" i="167" s="1"/>
  <c r="J60" i="155"/>
  <c r="I61" i="155"/>
  <c r="J61" i="93"/>
  <c r="I62" i="93"/>
  <c r="K60" i="93"/>
  <c r="I60" i="38"/>
  <c r="J59" i="38"/>
  <c r="AJ10" i="2"/>
  <c r="C8" i="91"/>
  <c r="E9" i="91"/>
  <c r="J9" i="91"/>
  <c r="K9" i="91" s="1"/>
  <c r="E2" i="82"/>
  <c r="F67" i="82"/>
  <c r="J2" i="82"/>
  <c r="K2" i="82" s="1"/>
  <c r="I62" i="92"/>
  <c r="J61" i="92"/>
  <c r="K60" i="92" s="1"/>
  <c r="E9" i="50"/>
  <c r="C8" i="50"/>
  <c r="AT9" i="2"/>
  <c r="J9" i="50"/>
  <c r="K9" i="50" s="1"/>
  <c r="E8" i="97"/>
  <c r="C7" i="97"/>
  <c r="J8" i="97"/>
  <c r="K8" i="97" s="1"/>
  <c r="C5" i="84"/>
  <c r="E6" i="84"/>
  <c r="J6" i="84"/>
  <c r="K6" i="84" s="1"/>
  <c r="I60" i="69"/>
  <c r="J59" i="69"/>
  <c r="K58" i="69" s="1"/>
  <c r="K59" i="5"/>
  <c r="E9" i="56"/>
  <c r="C8" i="56"/>
  <c r="J9" i="56"/>
  <c r="K9" i="56" s="1"/>
  <c r="I61" i="106"/>
  <c r="J60" i="106"/>
  <c r="K59" i="106" s="1"/>
  <c r="E8" i="13"/>
  <c r="C7" i="13"/>
  <c r="J8" i="13"/>
  <c r="K8" i="13" s="1"/>
  <c r="IU8" i="2"/>
  <c r="I60" i="91"/>
  <c r="J59" i="91"/>
  <c r="E8" i="63"/>
  <c r="C7" i="63"/>
  <c r="J8" i="63"/>
  <c r="K8" i="63" s="1"/>
  <c r="I61" i="52"/>
  <c r="J60" i="52"/>
  <c r="K59" i="52" s="1"/>
  <c r="J61" i="28"/>
  <c r="K60" i="28" s="1"/>
  <c r="I62" i="28"/>
  <c r="J64" i="134"/>
  <c r="K63" i="134" s="1"/>
  <c r="I65" i="134"/>
  <c r="I61" i="5"/>
  <c r="J60" i="5"/>
  <c r="C5" i="115"/>
  <c r="E6" i="115"/>
  <c r="J6" i="115"/>
  <c r="K6" i="115" s="1"/>
  <c r="J61" i="158"/>
  <c r="K60" i="158" s="1"/>
  <c r="I62" i="158"/>
  <c r="K58" i="91"/>
  <c r="I63" i="13"/>
  <c r="J62" i="13"/>
  <c r="K63" i="15"/>
  <c r="C6" i="57"/>
  <c r="E7" i="57"/>
  <c r="J7" i="57"/>
  <c r="K7" i="57" s="1"/>
  <c r="I61" i="116"/>
  <c r="J60" i="116"/>
  <c r="K59" i="116" s="1"/>
  <c r="C7" i="151"/>
  <c r="E8" i="151"/>
  <c r="J8" i="151"/>
  <c r="K8" i="151" s="1"/>
  <c r="I60" i="64"/>
  <c r="J59" i="64"/>
  <c r="C7" i="117"/>
  <c r="E8" i="117"/>
  <c r="J8" i="117"/>
  <c r="K8" i="117" s="1"/>
  <c r="I61" i="131"/>
  <c r="J60" i="131"/>
  <c r="J61" i="129"/>
  <c r="I62" i="129"/>
  <c r="J60" i="161"/>
  <c r="K59" i="161" s="1"/>
  <c r="I61" i="161"/>
  <c r="E9" i="174"/>
  <c r="C8" i="174"/>
  <c r="J9" i="174"/>
  <c r="K9" i="174" s="1"/>
  <c r="C7" i="70"/>
  <c r="E8" i="70"/>
  <c r="J8" i="70"/>
  <c r="K8" i="70" s="1"/>
  <c r="E5" i="43"/>
  <c r="C4" i="43"/>
  <c r="J5" i="43"/>
  <c r="K5" i="43" s="1"/>
  <c r="IV10" i="2"/>
  <c r="I62" i="115"/>
  <c r="J61" i="115"/>
  <c r="K60" i="115" s="1"/>
  <c r="IK9" i="2"/>
  <c r="K61" i="13"/>
  <c r="K60" i="63"/>
  <c r="J59" i="140"/>
  <c r="K58" i="140" s="1"/>
  <c r="I60" i="140"/>
  <c r="J59" i="55"/>
  <c r="K58" i="55" s="1"/>
  <c r="I60" i="55"/>
  <c r="E6" i="40"/>
  <c r="C5" i="40"/>
  <c r="J6" i="40"/>
  <c r="K6" i="40" s="1"/>
  <c r="J64" i="15"/>
  <c r="I65" i="15"/>
  <c r="C5" i="173"/>
  <c r="E6" i="173"/>
  <c r="J6" i="173"/>
  <c r="K6" i="173" s="1"/>
  <c r="I61" i="169"/>
  <c r="J60" i="169"/>
  <c r="K60" i="173"/>
  <c r="K57" i="91"/>
  <c r="I60" i="147"/>
  <c r="J59" i="147"/>
  <c r="CB10" i="1"/>
  <c r="I62" i="63"/>
  <c r="J61" i="63"/>
  <c r="K58" i="163"/>
  <c r="E8" i="21"/>
  <c r="C7" i="21"/>
  <c r="J8" i="21"/>
  <c r="K8" i="21" s="1"/>
  <c r="J60" i="67"/>
  <c r="K59" i="67" s="1"/>
  <c r="I61" i="67"/>
  <c r="I62" i="30"/>
  <c r="J61" i="30"/>
  <c r="K60" i="30" s="1"/>
  <c r="K58" i="106"/>
  <c r="E9" i="3"/>
  <c r="C8" i="3"/>
  <c r="J9" i="3"/>
  <c r="K9" i="3" s="1"/>
  <c r="E7" i="11"/>
  <c r="C6" i="11"/>
  <c r="J7" i="11"/>
  <c r="K7" i="11" s="1"/>
  <c r="DT8" i="2"/>
  <c r="J59" i="58"/>
  <c r="K58" i="58" s="1"/>
  <c r="I60" i="58"/>
  <c r="I60" i="143"/>
  <c r="J59" i="143"/>
  <c r="J61" i="173"/>
  <c r="I62" i="173"/>
  <c r="E9" i="6"/>
  <c r="C8" i="6"/>
  <c r="CA9" i="1"/>
  <c r="E8" i="154"/>
  <c r="C7" i="154"/>
  <c r="J8" i="154"/>
  <c r="K8" i="154" s="1"/>
  <c r="J59" i="163"/>
  <c r="I60" i="163"/>
  <c r="I63" i="9"/>
  <c r="J62" i="9"/>
  <c r="K61" i="9" s="1"/>
  <c r="C7" i="48"/>
  <c r="E8" i="48"/>
  <c r="J8" i="48"/>
  <c r="K8" i="48" s="1"/>
  <c r="E7" i="16"/>
  <c r="C6" i="16"/>
  <c r="J7" i="16"/>
  <c r="K7" i="16" s="1"/>
  <c r="C6" i="17"/>
  <c r="E7" i="17"/>
  <c r="J7" i="17"/>
  <c r="K7" i="17" s="1"/>
  <c r="J64" i="133"/>
  <c r="I65" i="133"/>
  <c r="J60" i="33"/>
  <c r="I61" i="33"/>
  <c r="C6" i="4"/>
  <c r="E7" i="4"/>
  <c r="J7" i="4"/>
  <c r="K7" i="4" s="1"/>
  <c r="J63" i="42"/>
  <c r="I64" i="42"/>
  <c r="I61" i="97"/>
  <c r="J60" i="97"/>
  <c r="K59" i="86"/>
  <c r="C8" i="100"/>
  <c r="E9" i="100"/>
  <c r="J9" i="100"/>
  <c r="K9" i="100" s="1"/>
  <c r="J62" i="127"/>
  <c r="K61" i="127" s="1"/>
  <c r="I63" i="127"/>
  <c r="E8" i="132"/>
  <c r="C7" i="132"/>
  <c r="J8" i="132"/>
  <c r="K8" i="132" s="1"/>
  <c r="C7" i="23"/>
  <c r="E8" i="23"/>
  <c r="J8" i="23"/>
  <c r="K8" i="23" s="1"/>
  <c r="FW10" i="2"/>
  <c r="K58" i="141"/>
  <c r="BQ10" i="2"/>
  <c r="E9" i="155"/>
  <c r="C8" i="155"/>
  <c r="J9" i="155"/>
  <c r="K9" i="155" s="1"/>
  <c r="I61" i="49"/>
  <c r="J60" i="49"/>
  <c r="K59" i="49" s="1"/>
  <c r="E8" i="88"/>
  <c r="C7" i="88"/>
  <c r="J8" i="88"/>
  <c r="K8" i="88" s="1"/>
  <c r="C6" i="18"/>
  <c r="E7" i="18"/>
  <c r="J7" i="18"/>
  <c r="K7" i="18" s="1"/>
  <c r="I61" i="86"/>
  <c r="J60" i="86"/>
  <c r="E7" i="128"/>
  <c r="C6" i="128"/>
  <c r="J7" i="128"/>
  <c r="K7" i="128" s="1"/>
  <c r="J61" i="44"/>
  <c r="K60" i="44" s="1"/>
  <c r="I62" i="44"/>
  <c r="I60" i="120"/>
  <c r="J59" i="120"/>
  <c r="K58" i="120" s="1"/>
  <c r="J59" i="166"/>
  <c r="K58" i="166" s="1"/>
  <c r="I60" i="166"/>
  <c r="C5" i="26"/>
  <c r="E6" i="26"/>
  <c r="J6" i="26"/>
  <c r="K6" i="26" s="1"/>
  <c r="I62" i="159"/>
  <c r="J61" i="159"/>
  <c r="K60" i="159" s="1"/>
  <c r="I61" i="170"/>
  <c r="J60" i="170"/>
  <c r="K59" i="170" s="1"/>
  <c r="E9" i="52"/>
  <c r="C8" i="52"/>
  <c r="BP9" i="2"/>
  <c r="J9" i="52"/>
  <c r="K9" i="52" s="1"/>
  <c r="E4" i="166"/>
  <c r="C3" i="166"/>
  <c r="J4" i="166"/>
  <c r="K4" i="166" s="1"/>
  <c r="E7" i="129"/>
  <c r="C6" i="129"/>
  <c r="J7" i="129"/>
  <c r="K7" i="129" s="1"/>
  <c r="DS7" i="2"/>
  <c r="K59" i="70"/>
  <c r="I60" i="100"/>
  <c r="J59" i="100"/>
  <c r="IK10" i="2"/>
  <c r="J60" i="73"/>
  <c r="I61" i="73"/>
  <c r="C8" i="42"/>
  <c r="E9" i="42"/>
  <c r="J9" i="42"/>
  <c r="K9" i="42" s="1"/>
  <c r="FV9" i="2"/>
  <c r="J60" i="31"/>
  <c r="I61" i="31"/>
  <c r="E7" i="137"/>
  <c r="C6" i="137"/>
  <c r="J7" i="137"/>
  <c r="K7" i="137" s="1"/>
  <c r="I61" i="121"/>
  <c r="J60" i="121"/>
  <c r="K62" i="32"/>
  <c r="I65" i="61"/>
  <c r="J64" i="61"/>
  <c r="E4" i="30"/>
  <c r="C3" i="30"/>
  <c r="J4" i="30"/>
  <c r="K4" i="30" s="1"/>
  <c r="C7" i="96"/>
  <c r="E8" i="96"/>
  <c r="J8" i="96"/>
  <c r="K8" i="96" s="1"/>
  <c r="J60" i="70"/>
  <c r="I61" i="70"/>
  <c r="K58" i="100"/>
  <c r="K60" i="18"/>
  <c r="C6" i="126"/>
  <c r="E7" i="126"/>
  <c r="J7" i="126"/>
  <c r="K7" i="126" s="1"/>
  <c r="I60" i="160"/>
  <c r="J59" i="160"/>
  <c r="J60" i="137"/>
  <c r="K59" i="137" s="1"/>
  <c r="I61" i="137"/>
  <c r="K57" i="38"/>
  <c r="I60" i="141"/>
  <c r="J59" i="141"/>
  <c r="C5" i="159"/>
  <c r="E6" i="159"/>
  <c r="J6" i="159"/>
  <c r="K6" i="159" s="1"/>
  <c r="E8" i="38"/>
  <c r="C7" i="38"/>
  <c r="J8" i="38"/>
  <c r="K8" i="38" s="1"/>
  <c r="C6" i="54"/>
  <c r="E7" i="54"/>
  <c r="J7" i="54"/>
  <c r="K7" i="54" s="1"/>
  <c r="E6" i="141"/>
  <c r="C5" i="141"/>
  <c r="J6" i="141"/>
  <c r="K6" i="141" s="1"/>
  <c r="K59" i="31"/>
  <c r="C5" i="37"/>
  <c r="E6" i="37"/>
  <c r="J6" i="37"/>
  <c r="K6" i="37" s="1"/>
  <c r="I60" i="96"/>
  <c r="J59" i="96"/>
  <c r="K58" i="96" s="1"/>
  <c r="C4" i="34"/>
  <c r="E5" i="34"/>
  <c r="J5" i="34"/>
  <c r="K5" i="34" s="1"/>
  <c r="K58" i="49"/>
  <c r="K59" i="121"/>
  <c r="C7" i="15"/>
  <c r="E8" i="15"/>
  <c r="J8" i="15"/>
  <c r="K8" i="15" s="1"/>
  <c r="J63" i="32"/>
  <c r="I64" i="32"/>
  <c r="C6" i="113"/>
  <c r="E7" i="113"/>
  <c r="J7" i="113"/>
  <c r="K7" i="113" s="1"/>
  <c r="C6" i="112"/>
  <c r="E7" i="112"/>
  <c r="J7" i="112"/>
  <c r="K7" i="112" s="1"/>
  <c r="E5" i="111"/>
  <c r="C4" i="111"/>
  <c r="J5" i="111"/>
  <c r="K5" i="111" s="1"/>
  <c r="C5" i="120"/>
  <c r="E6" i="120"/>
  <c r="J6" i="120"/>
  <c r="K6" i="120" s="1"/>
  <c r="E8" i="76"/>
  <c r="C7" i="76"/>
  <c r="J8" i="76"/>
  <c r="K8" i="76" s="1"/>
  <c r="J61" i="18"/>
  <c r="I62" i="18"/>
  <c r="J64" i="75"/>
  <c r="I65" i="75"/>
  <c r="I61" i="119"/>
  <c r="J60" i="119"/>
  <c r="K59" i="119" s="1"/>
  <c r="K58" i="174"/>
  <c r="I63" i="51"/>
  <c r="J62" i="51"/>
  <c r="K61" i="51" s="1"/>
  <c r="I61" i="19"/>
  <c r="J60" i="19"/>
  <c r="K59" i="19" s="1"/>
  <c r="I60" i="110"/>
  <c r="J59" i="110"/>
  <c r="J59" i="112"/>
  <c r="I60" i="112"/>
  <c r="I61" i="126"/>
  <c r="J60" i="126"/>
  <c r="J59" i="43"/>
  <c r="I60" i="43"/>
  <c r="C6" i="118"/>
  <c r="E7" i="118"/>
  <c r="J7" i="118"/>
  <c r="K7" i="118" s="1"/>
  <c r="J60" i="104"/>
  <c r="K59" i="104" s="1"/>
  <c r="I61" i="104"/>
  <c r="I63" i="142"/>
  <c r="J62" i="142"/>
  <c r="I61" i="50"/>
  <c r="J60" i="50"/>
  <c r="K59" i="50" s="1"/>
  <c r="J59" i="174"/>
  <c r="I60" i="174"/>
  <c r="E4" i="157"/>
  <c r="C3" i="157"/>
  <c r="J4" i="157"/>
  <c r="K4" i="157" s="1"/>
  <c r="N10" i="1"/>
  <c r="K62" i="61"/>
  <c r="I61" i="108"/>
  <c r="J60" i="108"/>
  <c r="K59" i="108" s="1"/>
  <c r="K58" i="86"/>
  <c r="K62" i="79"/>
  <c r="E7" i="75"/>
  <c r="C6" i="75"/>
  <c r="J7" i="75"/>
  <c r="K7" i="75" s="1"/>
  <c r="K57" i="55"/>
  <c r="K61" i="128"/>
  <c r="E6" i="168"/>
  <c r="C5" i="168"/>
  <c r="J6" i="168"/>
  <c r="K6" i="168" s="1"/>
  <c r="I61" i="56"/>
  <c r="J60" i="56"/>
  <c r="K59" i="56" s="1"/>
  <c r="I60" i="34"/>
  <c r="J59" i="34"/>
  <c r="I63" i="152"/>
  <c r="J62" i="152"/>
  <c r="E8" i="162"/>
  <c r="C7" i="162"/>
  <c r="J8" i="162"/>
  <c r="K8" i="162" s="1"/>
  <c r="I60" i="148"/>
  <c r="J59" i="148"/>
  <c r="E8" i="36"/>
  <c r="C7" i="36"/>
  <c r="J8" i="36"/>
  <c r="K8" i="36" s="1"/>
  <c r="E7" i="139"/>
  <c r="C6" i="139"/>
  <c r="J7" i="139"/>
  <c r="K7" i="139" s="1"/>
  <c r="C8" i="28"/>
  <c r="E9" i="28"/>
  <c r="J9" i="28"/>
  <c r="K9" i="28" s="1"/>
  <c r="K57" i="112"/>
  <c r="I63" i="164"/>
  <c r="J62" i="164"/>
  <c r="K61" i="164" s="1"/>
  <c r="E5" i="102"/>
  <c r="C4" i="102"/>
  <c r="J5" i="102"/>
  <c r="K5" i="102" s="1"/>
  <c r="J60" i="154"/>
  <c r="K59" i="154" s="1"/>
  <c r="I61" i="154"/>
  <c r="D48" i="2"/>
  <c r="CY48" i="2"/>
  <c r="DU48" i="2"/>
  <c r="EQ48" i="2"/>
  <c r="IL48" i="2"/>
  <c r="FB48" i="2"/>
  <c r="HP48" i="2"/>
  <c r="DJ48" i="2"/>
  <c r="GT48" i="2"/>
  <c r="O48" i="2"/>
  <c r="FM48" i="2"/>
  <c r="AK48" i="2"/>
  <c r="IW48" i="2"/>
  <c r="EF48" i="2"/>
  <c r="AV48" i="2"/>
  <c r="BG48" i="2"/>
  <c r="CN48" i="2"/>
  <c r="FX48" i="2"/>
  <c r="HE48" i="2"/>
  <c r="CC48" i="2"/>
  <c r="IA48" i="2"/>
  <c r="Z48" i="2"/>
  <c r="BR48" i="2"/>
  <c r="I64" i="79"/>
  <c r="J63" i="79"/>
  <c r="I60" i="40"/>
  <c r="J59" i="40"/>
  <c r="I63" i="128"/>
  <c r="J62" i="128"/>
  <c r="K59" i="30"/>
  <c r="K60" i="142"/>
  <c r="J62" i="78"/>
  <c r="K61" i="78" s="1"/>
  <c r="I63" i="78"/>
  <c r="I63" i="156"/>
  <c r="J62" i="156"/>
  <c r="K61" i="156" s="1"/>
  <c r="E9" i="55"/>
  <c r="C8" i="55"/>
  <c r="J9" i="55"/>
  <c r="K9" i="55" s="1"/>
  <c r="Y10" i="2"/>
  <c r="I62" i="167"/>
  <c r="J61" i="167"/>
  <c r="K60" i="167" s="1"/>
  <c r="D48" i="1"/>
  <c r="Z48" i="1"/>
  <c r="AV48" i="1"/>
  <c r="AK48" i="1"/>
  <c r="O48" i="1"/>
  <c r="CC48" i="1"/>
  <c r="BR48" i="1"/>
  <c r="E7" i="99"/>
  <c r="C6" i="99"/>
  <c r="J7" i="99"/>
  <c r="K7" i="99" s="1"/>
  <c r="E9" i="158"/>
  <c r="C8" i="158"/>
  <c r="J9" i="158"/>
  <c r="K9" i="158" s="1"/>
  <c r="E5" i="131"/>
  <c r="C4" i="131"/>
  <c r="J5" i="131"/>
  <c r="K5" i="131" s="1"/>
  <c r="I64" i="22"/>
  <c r="J63" i="22"/>
  <c r="J60" i="88"/>
  <c r="K59" i="88" s="1"/>
  <c r="I61" i="88"/>
  <c r="J63" i="71"/>
  <c r="K62" i="71" s="1"/>
  <c r="I64" i="71"/>
  <c r="C7" i="108"/>
  <c r="E8" i="108"/>
  <c r="J8" i="108"/>
  <c r="K8" i="108" s="1"/>
  <c r="I61" i="21"/>
  <c r="J60" i="21"/>
  <c r="K59" i="21" s="1"/>
  <c r="C8" i="12"/>
  <c r="E9" i="12"/>
  <c r="X9" i="2"/>
  <c r="M9" i="1"/>
  <c r="J9" i="12"/>
  <c r="K9" i="12" s="1"/>
  <c r="K60" i="132"/>
  <c r="I63" i="132"/>
  <c r="J62" i="132"/>
  <c r="I63" i="29"/>
  <c r="J62" i="29"/>
  <c r="BG48" i="1"/>
  <c r="BF48" i="1"/>
  <c r="C6" i="5"/>
  <c r="E7" i="5"/>
  <c r="J7" i="5"/>
  <c r="K7" i="5" s="1"/>
  <c r="J59" i="90"/>
  <c r="K58" i="90" s="1"/>
  <c r="I60" i="90"/>
  <c r="J63" i="27"/>
  <c r="I64" i="27"/>
  <c r="J62" i="98"/>
  <c r="I63" i="98"/>
  <c r="K62" i="75"/>
  <c r="C7" i="20"/>
  <c r="E8" i="20"/>
  <c r="J8" i="20"/>
  <c r="K8" i="20" s="1"/>
  <c r="K60" i="51"/>
  <c r="K59" i="131"/>
  <c r="E6" i="62"/>
  <c r="C5" i="62"/>
  <c r="J6" i="62"/>
  <c r="K6" i="62" s="1"/>
  <c r="C6" i="81"/>
  <c r="E7" i="81"/>
  <c r="J7" i="81"/>
  <c r="K7" i="81" s="1"/>
  <c r="I62" i="99"/>
  <c r="J61" i="99"/>
  <c r="K57" i="143"/>
  <c r="HY9" i="2"/>
  <c r="FA9" i="2"/>
  <c r="K59" i="158"/>
  <c r="I64" i="94"/>
  <c r="J63" i="94"/>
  <c r="K62" i="94" s="1"/>
  <c r="GI48" i="2"/>
  <c r="GH48" i="2"/>
  <c r="K59" i="115"/>
  <c r="J59" i="65"/>
  <c r="I60" i="65"/>
  <c r="C5" i="85"/>
  <c r="E6" i="85"/>
  <c r="J6" i="85"/>
  <c r="K6" i="85" s="1"/>
  <c r="K61" i="94"/>
  <c r="K60" i="128"/>
  <c r="E9" i="143"/>
  <c r="C8" i="143"/>
  <c r="J9" i="143"/>
  <c r="K9" i="143" s="1"/>
  <c r="Y10" i="1"/>
  <c r="E6" i="72"/>
  <c r="C5" i="72"/>
  <c r="J6" i="72"/>
  <c r="K6" i="72" s="1"/>
  <c r="AU10" i="1"/>
  <c r="E8" i="169"/>
  <c r="C7" i="169"/>
  <c r="HY8" i="2"/>
  <c r="J8" i="169"/>
  <c r="K8" i="169" s="1"/>
  <c r="C7" i="134"/>
  <c r="E8" i="134"/>
  <c r="J8" i="134"/>
  <c r="K8" i="134" s="1"/>
  <c r="E47" i="24"/>
  <c r="C46" i="24"/>
  <c r="GG47" i="2"/>
  <c r="BE47" i="1"/>
  <c r="C47" i="1"/>
  <c r="C47" i="2"/>
  <c r="J47" i="24"/>
  <c r="K47" i="24" s="1"/>
  <c r="I62" i="66"/>
  <c r="J61" i="66"/>
  <c r="K60" i="66" s="1"/>
  <c r="I60" i="125"/>
  <c r="J59" i="125"/>
  <c r="K58" i="125" s="1"/>
  <c r="K57" i="120"/>
  <c r="K58" i="8"/>
  <c r="I60" i="109"/>
  <c r="J59" i="109"/>
  <c r="J62" i="26"/>
  <c r="I63" i="26"/>
  <c r="E6" i="51"/>
  <c r="C5" i="51"/>
  <c r="J6" i="51"/>
  <c r="K6" i="51" s="1"/>
  <c r="I60" i="47"/>
  <c r="J59" i="47"/>
  <c r="K58" i="47" s="1"/>
  <c r="E4" i="138"/>
  <c r="C3" i="138"/>
  <c r="J4" i="138"/>
  <c r="K4" i="138" s="1"/>
  <c r="K59" i="167"/>
  <c r="E9" i="7"/>
  <c r="C8" i="7"/>
  <c r="AT9" i="1"/>
  <c r="J9" i="7"/>
  <c r="K9" i="7" s="1"/>
  <c r="C6" i="68"/>
  <c r="E7" i="68"/>
  <c r="J7" i="68"/>
  <c r="K7" i="68" s="1"/>
  <c r="J62" i="77"/>
  <c r="K61" i="77" s="1"/>
  <c r="I63" i="77"/>
  <c r="C3" i="87"/>
  <c r="E4" i="87"/>
  <c r="J4" i="87"/>
  <c r="K4" i="87" s="1"/>
  <c r="C6" i="103"/>
  <c r="E7" i="103"/>
  <c r="J7" i="103"/>
  <c r="K7" i="103" s="1"/>
  <c r="C7" i="10"/>
  <c r="E8" i="10"/>
  <c r="J8" i="10"/>
  <c r="K8" i="10" s="1"/>
  <c r="J60" i="162"/>
  <c r="I61" i="162"/>
  <c r="I60" i="8"/>
  <c r="J59" i="8"/>
  <c r="E9" i="49"/>
  <c r="C8" i="49"/>
  <c r="J9" i="49"/>
  <c r="K9" i="49" s="1"/>
  <c r="I60" i="36"/>
  <c r="J59" i="36"/>
  <c r="K58" i="36" s="1"/>
  <c r="E8" i="41"/>
  <c r="C7" i="41"/>
  <c r="J8" i="41"/>
  <c r="K8" i="41" s="1"/>
  <c r="I65" i="74"/>
  <c r="J64" i="74"/>
  <c r="J59" i="17"/>
  <c r="K58" i="17" s="1"/>
  <c r="I60" i="17"/>
  <c r="K58" i="170"/>
  <c r="E6" i="73"/>
  <c r="C5" i="73"/>
  <c r="J6" i="73"/>
  <c r="K6" i="73" s="1"/>
  <c r="C6" i="110"/>
  <c r="E7" i="110"/>
  <c r="J7" i="110"/>
  <c r="K7" i="110" s="1"/>
  <c r="I62" i="118"/>
  <c r="J61" i="118"/>
  <c r="K60" i="41"/>
  <c r="E8" i="119"/>
  <c r="C7" i="119"/>
  <c r="J8" i="119"/>
  <c r="K8" i="119" s="1"/>
  <c r="E7" i="104"/>
  <c r="C6" i="104"/>
  <c r="J7" i="104"/>
  <c r="K7" i="104" s="1"/>
  <c r="E6" i="163"/>
  <c r="C5" i="163"/>
  <c r="J6" i="163"/>
  <c r="K6" i="163" s="1"/>
  <c r="DI9" i="2"/>
  <c r="K62" i="59"/>
  <c r="J59" i="130"/>
  <c r="K58" i="130" s="1"/>
  <c r="I60" i="130"/>
  <c r="I64" i="82"/>
  <c r="J63" i="82"/>
  <c r="I64" i="14"/>
  <c r="J63" i="14"/>
  <c r="K62" i="14" s="1"/>
  <c r="E8" i="164"/>
  <c r="C7" i="164"/>
  <c r="J8" i="164"/>
  <c r="K8" i="164" s="1"/>
  <c r="J60" i="53"/>
  <c r="I61" i="53"/>
  <c r="E9" i="29"/>
  <c r="C8" i="29"/>
  <c r="J9" i="29"/>
  <c r="K9" i="29" s="1"/>
  <c r="C3" i="146"/>
  <c r="E4" i="146"/>
  <c r="J4" i="146"/>
  <c r="K4" i="146" s="1"/>
  <c r="I62" i="139"/>
  <c r="J61" i="139"/>
  <c r="I62" i="113"/>
  <c r="J61" i="113"/>
  <c r="J61" i="41"/>
  <c r="I62" i="41"/>
  <c r="K59" i="41"/>
  <c r="E8" i="78"/>
  <c r="C7" i="78"/>
  <c r="J8" i="78"/>
  <c r="K8" i="78" s="1"/>
  <c r="E8" i="95"/>
  <c r="C7" i="95"/>
  <c r="J8" i="95"/>
  <c r="K8" i="95" s="1"/>
  <c r="K59" i="3"/>
  <c r="J62" i="135"/>
  <c r="K61" i="135" s="1"/>
  <c r="I63" i="135"/>
  <c r="K59" i="39"/>
  <c r="I62" i="124"/>
  <c r="J61" i="124"/>
  <c r="K60" i="124" s="1"/>
  <c r="I60" i="81"/>
  <c r="J59" i="81"/>
  <c r="J60" i="4"/>
  <c r="I61" i="4"/>
  <c r="I61" i="111"/>
  <c r="J60" i="111"/>
  <c r="C5" i="124"/>
  <c r="E6" i="124"/>
  <c r="J6" i="124"/>
  <c r="K6" i="124" s="1"/>
  <c r="J60" i="20"/>
  <c r="K59" i="20" s="1"/>
  <c r="I61" i="20"/>
  <c r="I61" i="138"/>
  <c r="J60" i="138"/>
  <c r="K59" i="138" s="1"/>
  <c r="J60" i="3"/>
  <c r="I61" i="3"/>
  <c r="I62" i="165"/>
  <c r="J61" i="165"/>
  <c r="K60" i="165" s="1"/>
  <c r="E9" i="58"/>
  <c r="C8" i="58"/>
  <c r="CA8" i="2" s="1"/>
  <c r="J9" i="58"/>
  <c r="K9" i="58" s="1"/>
  <c r="J60" i="39"/>
  <c r="I61" i="39"/>
  <c r="J64" i="12"/>
  <c r="K63" i="12" s="1"/>
  <c r="I65" i="12"/>
  <c r="C6" i="65"/>
  <c r="E7" i="65"/>
  <c r="J7" i="65"/>
  <c r="K7" i="65" s="1"/>
  <c r="E9" i="170"/>
  <c r="C8" i="170"/>
  <c r="J9" i="170"/>
  <c r="K9" i="170" s="1"/>
  <c r="J60" i="84"/>
  <c r="I61" i="84"/>
  <c r="K58" i="81"/>
  <c r="E7" i="64"/>
  <c r="C6" i="64"/>
  <c r="J7" i="64"/>
  <c r="K7" i="64" s="1"/>
  <c r="K59" i="4"/>
  <c r="I61" i="153"/>
  <c r="J60" i="153"/>
  <c r="K59" i="153" s="1"/>
  <c r="E9" i="46"/>
  <c r="C8" i="46"/>
  <c r="J9" i="46"/>
  <c r="K9" i="46" s="1"/>
  <c r="E6" i="123"/>
  <c r="C5" i="123"/>
  <c r="J6" i="123"/>
  <c r="K6" i="123" s="1"/>
  <c r="K59" i="80"/>
  <c r="I61" i="54"/>
  <c r="J60" i="54"/>
  <c r="E9" i="92"/>
  <c r="C8" i="92"/>
  <c r="J9" i="92"/>
  <c r="K9" i="92" s="1"/>
  <c r="E8" i="133"/>
  <c r="C7" i="133"/>
  <c r="J8" i="133"/>
  <c r="K8" i="133" s="1"/>
  <c r="DH8" i="2"/>
  <c r="E8" i="44"/>
  <c r="C7" i="44"/>
  <c r="J8" i="44"/>
  <c r="K8" i="44" s="1"/>
  <c r="K60" i="129"/>
  <c r="E7" i="144"/>
  <c r="C6" i="144"/>
  <c r="J7" i="144"/>
  <c r="K7" i="144" s="1"/>
  <c r="K62" i="133"/>
  <c r="K57" i="141"/>
  <c r="K61" i="172"/>
  <c r="K58" i="169"/>
  <c r="E8" i="35"/>
  <c r="C7" i="35"/>
  <c r="J8" i="35"/>
  <c r="K8" i="35" s="1"/>
  <c r="I61" i="80"/>
  <c r="J60" i="80"/>
  <c r="K58" i="80"/>
  <c r="J59" i="146"/>
  <c r="I60" i="146"/>
  <c r="C6" i="22"/>
  <c r="E7" i="22"/>
  <c r="J7" i="22"/>
  <c r="K7" i="22" s="1"/>
  <c r="BQ10" i="1"/>
  <c r="K58" i="45"/>
  <c r="K60" i="23"/>
  <c r="J4" i="32"/>
  <c r="K4" i="32" s="1"/>
  <c r="E4" i="32"/>
  <c r="C3" i="32"/>
  <c r="K61" i="14"/>
  <c r="K58" i="64"/>
  <c r="K60" i="68"/>
  <c r="I63" i="172"/>
  <c r="J62" i="172"/>
  <c r="E8" i="153"/>
  <c r="C7" i="153"/>
  <c r="J8" i="153"/>
  <c r="K8" i="153" s="1"/>
  <c r="K59" i="113"/>
  <c r="E8" i="114"/>
  <c r="C7" i="114"/>
  <c r="J8" i="114"/>
  <c r="K8" i="114" s="1"/>
  <c r="K58" i="146"/>
  <c r="K60" i="135"/>
  <c r="E9" i="8"/>
  <c r="C8" i="8"/>
  <c r="BP9" i="1"/>
  <c r="HC9" i="2"/>
  <c r="J9" i="8"/>
  <c r="K9" i="8" s="1"/>
  <c r="J59" i="45"/>
  <c r="I60" i="45"/>
  <c r="J61" i="23"/>
  <c r="I62" i="23"/>
  <c r="I63" i="16"/>
  <c r="J62" i="16"/>
  <c r="K61" i="16" s="1"/>
  <c r="J61" i="157"/>
  <c r="K60" i="157" s="1"/>
  <c r="I62" i="157"/>
  <c r="E7" i="148"/>
  <c r="C6" i="148"/>
  <c r="J7" i="148"/>
  <c r="K7" i="148" s="1"/>
  <c r="E6" i="69"/>
  <c r="C5" i="69"/>
  <c r="J6" i="69"/>
  <c r="K6" i="69" s="1"/>
  <c r="CA9" i="2"/>
  <c r="K58" i="56"/>
  <c r="C5" i="171"/>
  <c r="E6" i="171"/>
  <c r="J6" i="171"/>
  <c r="K6" i="171" s="1"/>
  <c r="K59" i="10"/>
  <c r="J61" i="72"/>
  <c r="I62" i="72"/>
  <c r="C8" i="93"/>
  <c r="E9" i="93"/>
  <c r="J9" i="93"/>
  <c r="K9" i="93" s="1"/>
  <c r="I61" i="87"/>
  <c r="J60" i="87"/>
  <c r="K59" i="87" s="1"/>
  <c r="I61" i="57"/>
  <c r="J60" i="57"/>
  <c r="K59" i="57" s="1"/>
  <c r="K58" i="108"/>
  <c r="E7" i="94"/>
  <c r="C6" i="94"/>
  <c r="J7" i="94"/>
  <c r="K7" i="94" s="1"/>
  <c r="E7" i="19"/>
  <c r="C6" i="19"/>
  <c r="J7" i="19"/>
  <c r="K7" i="19" s="1"/>
  <c r="K60" i="13"/>
  <c r="K58" i="105"/>
  <c r="K58" i="102"/>
  <c r="E6" i="39"/>
  <c r="C5" i="39"/>
  <c r="J6" i="39"/>
  <c r="K6" i="39" s="1"/>
  <c r="E8" i="31"/>
  <c r="C7" i="31"/>
  <c r="J8" i="31"/>
  <c r="K8" i="31" s="1"/>
  <c r="K58" i="111"/>
  <c r="J60" i="103"/>
  <c r="I61" i="103"/>
  <c r="I63" i="107"/>
  <c r="J62" i="107"/>
  <c r="C7" i="125"/>
  <c r="E8" i="125"/>
  <c r="J8" i="125"/>
  <c r="K8" i="125" s="1"/>
  <c r="K58" i="103"/>
  <c r="C6" i="116"/>
  <c r="E7" i="116"/>
  <c r="J7" i="116"/>
  <c r="K7" i="116" s="1"/>
  <c r="I65" i="145"/>
  <c r="J64" i="145"/>
  <c r="C7" i="89"/>
  <c r="E8" i="89"/>
  <c r="J8" i="89"/>
  <c r="K8" i="89" s="1"/>
  <c r="HN8" i="2"/>
  <c r="C8" i="107"/>
  <c r="E9" i="107"/>
  <c r="J9" i="107"/>
  <c r="K9" i="107" s="1"/>
  <c r="I62" i="68"/>
  <c r="J61" i="68"/>
  <c r="E8" i="145"/>
  <c r="C7" i="145"/>
  <c r="CW7" i="2" s="1"/>
  <c r="J8" i="145"/>
  <c r="K8" i="145" s="1"/>
  <c r="K57" i="34"/>
  <c r="I63" i="117"/>
  <c r="J62" i="117"/>
  <c r="K60" i="107"/>
  <c r="K58" i="53"/>
  <c r="E9" i="172"/>
  <c r="C8" i="172"/>
  <c r="J9" i="172"/>
  <c r="K9" i="172" s="1"/>
  <c r="K57" i="148"/>
  <c r="K57" i="64"/>
  <c r="C6" i="161"/>
  <c r="E7" i="161"/>
  <c r="J7" i="161"/>
  <c r="K7" i="161" s="1"/>
  <c r="K60" i="164"/>
  <c r="C5" i="106"/>
  <c r="E6" i="106"/>
  <c r="J6" i="106"/>
  <c r="K6" i="106" s="1"/>
  <c r="K58" i="52"/>
  <c r="K61" i="101"/>
  <c r="HD10" i="2"/>
  <c r="K57" i="45"/>
  <c r="I60" i="105"/>
  <c r="J59" i="105"/>
  <c r="I60" i="102"/>
  <c r="J59" i="102"/>
  <c r="C6" i="67"/>
  <c r="E7" i="67"/>
  <c r="J7" i="67"/>
  <c r="K7" i="67" s="1"/>
  <c r="C6" i="135"/>
  <c r="E7" i="135"/>
  <c r="J7" i="135"/>
  <c r="K7" i="135" s="1"/>
  <c r="K61" i="26"/>
  <c r="J59" i="35"/>
  <c r="I60" i="35"/>
  <c r="K63" i="145"/>
  <c r="K58" i="35"/>
  <c r="HO9" i="2"/>
  <c r="K61" i="117"/>
  <c r="I65" i="7"/>
  <c r="J64" i="7"/>
  <c r="I62" i="37"/>
  <c r="J61" i="37"/>
  <c r="K60" i="37" s="1"/>
  <c r="I61" i="123"/>
  <c r="J60" i="123"/>
  <c r="K59" i="123" s="1"/>
  <c r="N9" i="2"/>
  <c r="K58" i="70"/>
  <c r="I63" i="101"/>
  <c r="J62" i="101"/>
  <c r="C8" i="121"/>
  <c r="E9" i="121"/>
  <c r="J9" i="121"/>
  <c r="K9" i="121" s="1"/>
  <c r="K57" i="125"/>
  <c r="I63" i="89"/>
  <c r="J62" i="89"/>
  <c r="K61" i="89" s="1"/>
  <c r="E7" i="60"/>
  <c r="C6" i="60"/>
  <c r="J7" i="60"/>
  <c r="K7" i="60" s="1"/>
  <c r="C8" i="136"/>
  <c r="E9" i="136"/>
  <c r="J9" i="136"/>
  <c r="K9" i="136" s="1"/>
  <c r="I62" i="10"/>
  <c r="J61" i="10"/>
  <c r="K60" i="10" s="1"/>
  <c r="AI9" i="1"/>
  <c r="E6" i="86"/>
  <c r="C5" i="86"/>
  <c r="J6" i="86"/>
  <c r="K6" i="86" s="1"/>
  <c r="I61" i="168"/>
  <c r="J60" i="168"/>
  <c r="K59" i="168" s="1"/>
  <c r="I61" i="76"/>
  <c r="J60" i="76"/>
  <c r="K59" i="76" s="1"/>
  <c r="K58" i="153"/>
  <c r="K63" i="7"/>
  <c r="AJ9" i="2"/>
  <c r="I62" i="83"/>
  <c r="J61" i="83"/>
  <c r="K60" i="83" s="1"/>
  <c r="C8" i="152"/>
  <c r="E9" i="152"/>
  <c r="J9" i="152"/>
  <c r="K9" i="152" s="1"/>
  <c r="K59" i="173"/>
  <c r="K57" i="146"/>
  <c r="E5" i="45"/>
  <c r="C4" i="45"/>
  <c r="J5" i="45"/>
  <c r="K5" i="45" s="1"/>
  <c r="E8" i="142"/>
  <c r="C7" i="142"/>
  <c r="J8" i="142"/>
  <c r="K8" i="142" s="1"/>
  <c r="I64" i="24"/>
  <c r="J63" i="24"/>
  <c r="EE10" i="2"/>
  <c r="K57" i="95"/>
  <c r="I60" i="95"/>
  <c r="J59" i="95"/>
  <c r="K58" i="95" s="1"/>
  <c r="I61" i="151"/>
  <c r="J60" i="151"/>
  <c r="K59" i="151" s="1"/>
  <c r="E7" i="9"/>
  <c r="C6" i="9"/>
  <c r="J7" i="9"/>
  <c r="K7" i="9" s="1"/>
  <c r="K58" i="4"/>
  <c r="K57" i="160"/>
  <c r="E6" i="127"/>
  <c r="C5" i="127"/>
  <c r="J6" i="127"/>
  <c r="K6" i="127" s="1"/>
  <c r="K61" i="136"/>
  <c r="E8" i="77"/>
  <c r="C7" i="77"/>
  <c r="J8" i="77"/>
  <c r="K8" i="77" s="1"/>
  <c r="C7" i="140"/>
  <c r="E8" i="140"/>
  <c r="AI8" i="2"/>
  <c r="J8" i="140"/>
  <c r="K8" i="140" s="1"/>
  <c r="C6" i="66"/>
  <c r="E7" i="66"/>
  <c r="J7" i="66"/>
  <c r="K7" i="66" s="1"/>
  <c r="E5" i="160"/>
  <c r="C4" i="160"/>
  <c r="J5" i="160"/>
  <c r="K5" i="160" s="1"/>
  <c r="GR8" i="2"/>
  <c r="I63" i="48"/>
  <c r="J62" i="48"/>
  <c r="K61" i="48" s="1"/>
  <c r="I62" i="149"/>
  <c r="J61" i="149"/>
  <c r="E8" i="122"/>
  <c r="C7" i="122"/>
  <c r="J8" i="122"/>
  <c r="K8" i="122" s="1"/>
  <c r="E9" i="109"/>
  <c r="C8" i="109"/>
  <c r="ED9" i="2"/>
  <c r="J9" i="109"/>
  <c r="K9" i="109" s="1"/>
  <c r="I62" i="25"/>
  <c r="J61" i="25"/>
  <c r="IU9" i="2"/>
  <c r="K57" i="166"/>
  <c r="E9" i="53"/>
  <c r="C8" i="53"/>
  <c r="J9" i="53"/>
  <c r="K9" i="53" s="1"/>
  <c r="E7" i="25"/>
  <c r="C6" i="25"/>
  <c r="J7" i="25"/>
  <c r="K7" i="25" s="1"/>
  <c r="K59" i="144"/>
  <c r="K59" i="139"/>
  <c r="C7" i="79"/>
  <c r="E8" i="79"/>
  <c r="J8" i="79"/>
  <c r="K8" i="79" s="1"/>
  <c r="E8" i="33"/>
  <c r="C7" i="33"/>
  <c r="M8" i="2"/>
  <c r="J8" i="33"/>
  <c r="K8" i="33" s="1"/>
  <c r="K59" i="155"/>
  <c r="J62" i="136"/>
  <c r="I63" i="136"/>
  <c r="E9" i="90"/>
  <c r="C8" i="90"/>
  <c r="J9" i="90"/>
  <c r="K9" i="90" s="1"/>
  <c r="J61" i="60"/>
  <c r="K60" i="60" s="1"/>
  <c r="I62" i="60"/>
  <c r="K57" i="96"/>
  <c r="I61" i="144"/>
  <c r="J60" i="144"/>
  <c r="K58" i="20"/>
  <c r="AU10" i="2"/>
  <c r="CL9" i="2"/>
  <c r="EO9" i="2"/>
  <c r="K58" i="3"/>
  <c r="E7" i="83"/>
  <c r="C6" i="83"/>
  <c r="J7" i="83"/>
  <c r="K7" i="83" s="1"/>
  <c r="K59" i="85"/>
  <c r="K60" i="149"/>
  <c r="K60" i="16"/>
  <c r="K61" i="62"/>
  <c r="E9" i="27"/>
  <c r="C8" i="27"/>
  <c r="J9" i="27"/>
  <c r="K9" i="27" s="1"/>
  <c r="I65" i="46"/>
  <c r="J64" i="46"/>
  <c r="K63" i="46" s="1"/>
  <c r="K58" i="50"/>
  <c r="C7" i="156" l="1"/>
  <c r="E8" i="156"/>
  <c r="J8" i="156"/>
  <c r="K8" i="156" s="1"/>
  <c r="C6" i="149"/>
  <c r="E7" i="149"/>
  <c r="J7" i="149"/>
  <c r="K7" i="149" s="1"/>
  <c r="C7" i="130"/>
  <c r="J8" i="130"/>
  <c r="K8" i="130" s="1"/>
  <c r="E8" i="130"/>
  <c r="E3" i="98"/>
  <c r="J3" i="98"/>
  <c r="K3" i="98" s="1"/>
  <c r="C2" i="98"/>
  <c r="C7" i="74"/>
  <c r="E8" i="74"/>
  <c r="J8" i="74"/>
  <c r="K8" i="74" s="1"/>
  <c r="E7" i="61"/>
  <c r="J7" i="61"/>
  <c r="K7" i="61" s="1"/>
  <c r="C6" i="61"/>
  <c r="E7" i="59"/>
  <c r="C6" i="59"/>
  <c r="J7" i="59"/>
  <c r="K7" i="59" s="1"/>
  <c r="C7" i="150"/>
  <c r="E8" i="150"/>
  <c r="J8" i="150"/>
  <c r="K8" i="150" s="1"/>
  <c r="CX7" i="2"/>
  <c r="CB8" i="2"/>
  <c r="I61" i="47"/>
  <c r="J60" i="47"/>
  <c r="E7" i="169"/>
  <c r="C6" i="169"/>
  <c r="J7" i="169"/>
  <c r="K7" i="169" s="1"/>
  <c r="E6" i="118"/>
  <c r="C5" i="118"/>
  <c r="J6" i="118"/>
  <c r="K6" i="118" s="1"/>
  <c r="I62" i="49"/>
  <c r="J61" i="49"/>
  <c r="C5" i="4"/>
  <c r="E6" i="4"/>
  <c r="J6" i="4"/>
  <c r="K6" i="4" s="1"/>
  <c r="E4" i="43"/>
  <c r="C3" i="43"/>
  <c r="J4" i="43"/>
  <c r="K4" i="43" s="1"/>
  <c r="I61" i="91"/>
  <c r="J60" i="91"/>
  <c r="K59" i="91" s="1"/>
  <c r="AJ9" i="1"/>
  <c r="I63" i="139"/>
  <c r="J62" i="139"/>
  <c r="I61" i="40"/>
  <c r="J60" i="40"/>
  <c r="K59" i="40" s="1"/>
  <c r="J63" i="164"/>
  <c r="K62" i="164" s="1"/>
  <c r="I64" i="164"/>
  <c r="K58" i="40"/>
  <c r="J60" i="43"/>
  <c r="K59" i="43" s="1"/>
  <c r="I61" i="43"/>
  <c r="E6" i="54"/>
  <c r="C5" i="54"/>
  <c r="J6" i="54"/>
  <c r="K6" i="54" s="1"/>
  <c r="J65" i="61"/>
  <c r="K64" i="61" s="1"/>
  <c r="I66" i="61"/>
  <c r="BQ9" i="2"/>
  <c r="I61" i="143"/>
  <c r="J60" i="143"/>
  <c r="K59" i="143" s="1"/>
  <c r="K58" i="143"/>
  <c r="E6" i="57"/>
  <c r="C5" i="57"/>
  <c r="J6" i="57"/>
  <c r="K6" i="57" s="1"/>
  <c r="C6" i="147"/>
  <c r="E7" i="147"/>
  <c r="J7" i="147"/>
  <c r="K7" i="147" s="1"/>
  <c r="I63" i="72"/>
  <c r="J62" i="72"/>
  <c r="E8" i="27"/>
  <c r="C7" i="27"/>
  <c r="J8" i="27"/>
  <c r="K8" i="27" s="1"/>
  <c r="J63" i="48"/>
  <c r="K62" i="48" s="1"/>
  <c r="I64" i="48"/>
  <c r="I63" i="10"/>
  <c r="J62" i="10"/>
  <c r="K61" i="10" s="1"/>
  <c r="C6" i="125"/>
  <c r="E7" i="125"/>
  <c r="J7" i="125"/>
  <c r="K7" i="125" s="1"/>
  <c r="C6" i="119"/>
  <c r="E7" i="119"/>
  <c r="J7" i="119"/>
  <c r="K7" i="119" s="1"/>
  <c r="J63" i="29"/>
  <c r="I64" i="29"/>
  <c r="E6" i="99"/>
  <c r="C5" i="99"/>
  <c r="J6" i="99"/>
  <c r="K6" i="99" s="1"/>
  <c r="K63" i="79"/>
  <c r="E8" i="52"/>
  <c r="C7" i="52"/>
  <c r="BP8" i="2"/>
  <c r="J8" i="52"/>
  <c r="K8" i="52" s="1"/>
  <c r="E8" i="155"/>
  <c r="C7" i="155"/>
  <c r="J8" i="155"/>
  <c r="K8" i="155" s="1"/>
  <c r="J61" i="33"/>
  <c r="I62" i="33"/>
  <c r="I61" i="58"/>
  <c r="J60" i="58"/>
  <c r="IV8" i="2"/>
  <c r="C4" i="124"/>
  <c r="E5" i="124"/>
  <c r="J5" i="124"/>
  <c r="K5" i="124" s="1"/>
  <c r="E5" i="51"/>
  <c r="C4" i="51"/>
  <c r="J5" i="51"/>
  <c r="K5" i="51" s="1"/>
  <c r="HZ9" i="2"/>
  <c r="I65" i="79"/>
  <c r="J64" i="79"/>
  <c r="C6" i="38"/>
  <c r="E7" i="38"/>
  <c r="J7" i="38"/>
  <c r="K7" i="38" s="1"/>
  <c r="K60" i="33"/>
  <c r="E8" i="91"/>
  <c r="C7" i="91"/>
  <c r="J8" i="91"/>
  <c r="K8" i="91" s="1"/>
  <c r="E7" i="35"/>
  <c r="C6" i="35"/>
  <c r="J7" i="35"/>
  <c r="K7" i="35" s="1"/>
  <c r="J60" i="35"/>
  <c r="I61" i="35"/>
  <c r="E7" i="114"/>
  <c r="C6" i="114"/>
  <c r="J7" i="114"/>
  <c r="K7" i="114" s="1"/>
  <c r="C5" i="64"/>
  <c r="E6" i="64"/>
  <c r="J6" i="64"/>
  <c r="K6" i="64" s="1"/>
  <c r="I65" i="24"/>
  <c r="J64" i="24"/>
  <c r="K63" i="24" s="1"/>
  <c r="I64" i="107"/>
  <c r="J63" i="107"/>
  <c r="K62" i="107" s="1"/>
  <c r="K60" i="72"/>
  <c r="E3" i="146"/>
  <c r="C2" i="146"/>
  <c r="J3" i="146"/>
  <c r="K3" i="146" s="1"/>
  <c r="E7" i="10"/>
  <c r="C6" i="10"/>
  <c r="J7" i="10"/>
  <c r="K7" i="10" s="1"/>
  <c r="J63" i="132"/>
  <c r="I64" i="132"/>
  <c r="C5" i="75"/>
  <c r="J6" i="75"/>
  <c r="K6" i="75" s="1"/>
  <c r="E6" i="75"/>
  <c r="J61" i="126"/>
  <c r="I62" i="126"/>
  <c r="E6" i="112"/>
  <c r="C5" i="112"/>
  <c r="J6" i="112"/>
  <c r="K6" i="112" s="1"/>
  <c r="I62" i="121"/>
  <c r="J61" i="121"/>
  <c r="I66" i="133"/>
  <c r="J65" i="133"/>
  <c r="K64" i="133" s="1"/>
  <c r="K59" i="33"/>
  <c r="I62" i="169"/>
  <c r="J61" i="169"/>
  <c r="K60" i="169" s="1"/>
  <c r="C6" i="70"/>
  <c r="E7" i="70"/>
  <c r="J7" i="70"/>
  <c r="K7" i="70" s="1"/>
  <c r="E7" i="13"/>
  <c r="C6" i="13"/>
  <c r="J7" i="13"/>
  <c r="K7" i="13" s="1"/>
  <c r="J61" i="85"/>
  <c r="K60" i="85" s="1"/>
  <c r="I62" i="85"/>
  <c r="C7" i="93"/>
  <c r="E8" i="93"/>
  <c r="J8" i="93"/>
  <c r="K8" i="93" s="1"/>
  <c r="C7" i="172"/>
  <c r="E8" i="172"/>
  <c r="J8" i="172"/>
  <c r="K8" i="172" s="1"/>
  <c r="J61" i="103"/>
  <c r="I62" i="103"/>
  <c r="I62" i="111"/>
  <c r="J61" i="111"/>
  <c r="I64" i="26"/>
  <c r="J63" i="26"/>
  <c r="K62" i="26" s="1"/>
  <c r="E5" i="72"/>
  <c r="C4" i="72"/>
  <c r="J5" i="72"/>
  <c r="K5" i="72" s="1"/>
  <c r="E8" i="28"/>
  <c r="C7" i="28"/>
  <c r="J8" i="28"/>
  <c r="K8" i="28" s="1"/>
  <c r="J61" i="170"/>
  <c r="I62" i="170"/>
  <c r="E7" i="79"/>
  <c r="C6" i="79"/>
  <c r="J7" i="79"/>
  <c r="K7" i="79" s="1"/>
  <c r="E4" i="160"/>
  <c r="C3" i="160"/>
  <c r="J4" i="160"/>
  <c r="K4" i="160" s="1"/>
  <c r="C6" i="142"/>
  <c r="E7" i="142"/>
  <c r="J7" i="142"/>
  <c r="K7" i="142" s="1"/>
  <c r="E8" i="136"/>
  <c r="C7" i="136"/>
  <c r="J8" i="136"/>
  <c r="K8" i="136" s="1"/>
  <c r="K60" i="103"/>
  <c r="J61" i="84"/>
  <c r="K60" i="84" s="1"/>
  <c r="I62" i="84"/>
  <c r="I62" i="4"/>
  <c r="J61" i="4"/>
  <c r="K60" i="4" s="1"/>
  <c r="E8" i="29"/>
  <c r="C7" i="29"/>
  <c r="J8" i="29"/>
  <c r="K8" i="29" s="1"/>
  <c r="X8" i="1"/>
  <c r="I63" i="118"/>
  <c r="J62" i="118"/>
  <c r="K61" i="118" s="1"/>
  <c r="I63" i="99"/>
  <c r="J62" i="99"/>
  <c r="I61" i="112"/>
  <c r="J60" i="112"/>
  <c r="J63" i="13"/>
  <c r="K62" i="13" s="1"/>
  <c r="I64" i="13"/>
  <c r="K60" i="106"/>
  <c r="J60" i="11"/>
  <c r="I61" i="11"/>
  <c r="E5" i="171"/>
  <c r="C4" i="171"/>
  <c r="J5" i="171"/>
  <c r="K5" i="171" s="1"/>
  <c r="N9" i="1"/>
  <c r="K59" i="112"/>
  <c r="E6" i="113"/>
  <c r="C5" i="113"/>
  <c r="J6" i="113"/>
  <c r="K6" i="113" s="1"/>
  <c r="E6" i="137"/>
  <c r="C5" i="137"/>
  <c r="J6" i="137"/>
  <c r="K6" i="137" s="1"/>
  <c r="I63" i="159"/>
  <c r="J62" i="159"/>
  <c r="K63" i="133"/>
  <c r="J61" i="106"/>
  <c r="I62" i="106"/>
  <c r="J60" i="38"/>
  <c r="K59" i="38" s="1"/>
  <c r="I61" i="38"/>
  <c r="I62" i="53"/>
  <c r="J61" i="53"/>
  <c r="K60" i="53" s="1"/>
  <c r="C5" i="103"/>
  <c r="E6" i="103"/>
  <c r="J6" i="103"/>
  <c r="K6" i="103" s="1"/>
  <c r="Y9" i="2"/>
  <c r="C5" i="139"/>
  <c r="E6" i="139"/>
  <c r="J6" i="139"/>
  <c r="K6" i="139" s="1"/>
  <c r="K58" i="43"/>
  <c r="C4" i="159"/>
  <c r="E5" i="159"/>
  <c r="J5" i="159"/>
  <c r="K5" i="159" s="1"/>
  <c r="E6" i="17"/>
  <c r="C5" i="17"/>
  <c r="J6" i="17"/>
  <c r="K6" i="17" s="1"/>
  <c r="E6" i="144"/>
  <c r="C5" i="144"/>
  <c r="J6" i="144"/>
  <c r="K6" i="144" s="1"/>
  <c r="C6" i="153"/>
  <c r="E7" i="153"/>
  <c r="J7" i="153"/>
  <c r="K7" i="153" s="1"/>
  <c r="CB9" i="2"/>
  <c r="C7" i="170"/>
  <c r="E8" i="170"/>
  <c r="J8" i="170"/>
  <c r="K8" i="170" s="1"/>
  <c r="C5" i="110"/>
  <c r="E6" i="110"/>
  <c r="J6" i="110"/>
  <c r="K6" i="110" s="1"/>
  <c r="I61" i="109"/>
  <c r="J60" i="109"/>
  <c r="K58" i="109"/>
  <c r="E6" i="81"/>
  <c r="C5" i="81"/>
  <c r="J6" i="81"/>
  <c r="K6" i="81" s="1"/>
  <c r="J61" i="108"/>
  <c r="I62" i="108"/>
  <c r="I61" i="110"/>
  <c r="J60" i="110"/>
  <c r="K59" i="126"/>
  <c r="I62" i="31"/>
  <c r="J61" i="31"/>
  <c r="E6" i="11"/>
  <c r="C5" i="11"/>
  <c r="J6" i="11"/>
  <c r="K6" i="11" s="1"/>
  <c r="E5" i="173"/>
  <c r="C4" i="173"/>
  <c r="J5" i="173"/>
  <c r="K5" i="173" s="1"/>
  <c r="E8" i="174"/>
  <c r="C7" i="174"/>
  <c r="J8" i="174"/>
  <c r="K8" i="174" s="1"/>
  <c r="C7" i="56"/>
  <c r="E8" i="56"/>
  <c r="J8" i="56"/>
  <c r="K8" i="56" s="1"/>
  <c r="K61" i="139"/>
  <c r="C5" i="60"/>
  <c r="E6" i="60"/>
  <c r="J6" i="60"/>
  <c r="K6" i="60" s="1"/>
  <c r="C5" i="83"/>
  <c r="E6" i="83"/>
  <c r="J6" i="83"/>
  <c r="K6" i="83" s="1"/>
  <c r="E6" i="25"/>
  <c r="C5" i="25"/>
  <c r="J6" i="25"/>
  <c r="K6" i="25" s="1"/>
  <c r="E6" i="66"/>
  <c r="C5" i="66"/>
  <c r="J6" i="66"/>
  <c r="K6" i="66" s="1"/>
  <c r="C3" i="45"/>
  <c r="E4" i="45"/>
  <c r="J4" i="45"/>
  <c r="K4" i="45" s="1"/>
  <c r="E6" i="135"/>
  <c r="C5" i="135"/>
  <c r="J6" i="135"/>
  <c r="K6" i="135" s="1"/>
  <c r="E7" i="31"/>
  <c r="C6" i="31"/>
  <c r="J7" i="31"/>
  <c r="K7" i="31" s="1"/>
  <c r="I61" i="81"/>
  <c r="J60" i="81"/>
  <c r="K61" i="107"/>
  <c r="K59" i="53"/>
  <c r="E8" i="12"/>
  <c r="C7" i="12"/>
  <c r="M8" i="1"/>
  <c r="X8" i="2"/>
  <c r="J8" i="12"/>
  <c r="K8" i="12" s="1"/>
  <c r="I65" i="32"/>
  <c r="J64" i="32"/>
  <c r="I61" i="141"/>
  <c r="J60" i="141"/>
  <c r="K59" i="141" s="1"/>
  <c r="K60" i="31"/>
  <c r="C5" i="16"/>
  <c r="E6" i="16"/>
  <c r="J6" i="16"/>
  <c r="K6" i="16" s="1"/>
  <c r="K58" i="38"/>
  <c r="J62" i="158"/>
  <c r="K61" i="158" s="1"/>
  <c r="I63" i="158"/>
  <c r="I63" i="93"/>
  <c r="J62" i="93"/>
  <c r="K61" i="93" s="1"/>
  <c r="C3" i="165"/>
  <c r="E4" i="165"/>
  <c r="J4" i="165"/>
  <c r="K4" i="165" s="1"/>
  <c r="E5" i="69"/>
  <c r="C4" i="69"/>
  <c r="J5" i="69"/>
  <c r="K5" i="69" s="1"/>
  <c r="J63" i="172"/>
  <c r="K62" i="172" s="1"/>
  <c r="I64" i="172"/>
  <c r="C6" i="44"/>
  <c r="E7" i="44"/>
  <c r="J7" i="44"/>
  <c r="K7" i="44" s="1"/>
  <c r="K59" i="84"/>
  <c r="K59" i="103"/>
  <c r="E5" i="62"/>
  <c r="C4" i="62"/>
  <c r="J5" i="62"/>
  <c r="K5" i="62" s="1"/>
  <c r="K60" i="99"/>
  <c r="C6" i="36"/>
  <c r="CW6" i="2" s="1"/>
  <c r="E7" i="36"/>
  <c r="J7" i="36"/>
  <c r="K7" i="36" s="1"/>
  <c r="K58" i="112"/>
  <c r="J61" i="19"/>
  <c r="I62" i="19"/>
  <c r="K63" i="32"/>
  <c r="E5" i="26"/>
  <c r="C4" i="26"/>
  <c r="J5" i="26"/>
  <c r="K5" i="26" s="1"/>
  <c r="J65" i="15"/>
  <c r="K64" i="15" s="1"/>
  <c r="I66" i="15"/>
  <c r="I64" i="117"/>
  <c r="J63" i="117"/>
  <c r="K62" i="117" s="1"/>
  <c r="C4" i="73"/>
  <c r="E5" i="73"/>
  <c r="J5" i="73"/>
  <c r="K5" i="73" s="1"/>
  <c r="E3" i="87"/>
  <c r="C2" i="87"/>
  <c r="J3" i="87"/>
  <c r="K3" i="87" s="1"/>
  <c r="K61" i="29"/>
  <c r="K59" i="111"/>
  <c r="I61" i="166"/>
  <c r="J60" i="166"/>
  <c r="K59" i="166" s="1"/>
  <c r="J61" i="155"/>
  <c r="I62" i="155"/>
  <c r="I62" i="114"/>
  <c r="J61" i="114"/>
  <c r="K60" i="114" s="1"/>
  <c r="I66" i="46"/>
  <c r="J65" i="46"/>
  <c r="EP9" i="2"/>
  <c r="I64" i="89"/>
  <c r="J63" i="89"/>
  <c r="K62" i="89" s="1"/>
  <c r="E6" i="67"/>
  <c r="C5" i="67"/>
  <c r="J6" i="67"/>
  <c r="K6" i="67" s="1"/>
  <c r="E5" i="39"/>
  <c r="C4" i="39"/>
  <c r="J5" i="39"/>
  <c r="K5" i="39" s="1"/>
  <c r="K60" i="21"/>
  <c r="I62" i="137"/>
  <c r="J61" i="137"/>
  <c r="FW9" i="2"/>
  <c r="E7" i="23"/>
  <c r="C6" i="23"/>
  <c r="J7" i="23"/>
  <c r="K7" i="23" s="1"/>
  <c r="DI8" i="2"/>
  <c r="C5" i="65"/>
  <c r="E6" i="65"/>
  <c r="J6" i="65"/>
  <c r="K6" i="65" s="1"/>
  <c r="E7" i="164"/>
  <c r="C6" i="164"/>
  <c r="J7" i="164"/>
  <c r="K7" i="164" s="1"/>
  <c r="I64" i="77"/>
  <c r="J63" i="77"/>
  <c r="K62" i="77" s="1"/>
  <c r="E8" i="143"/>
  <c r="C7" i="143"/>
  <c r="J8" i="143"/>
  <c r="K8" i="143" s="1"/>
  <c r="CM9" i="2"/>
  <c r="E8" i="53"/>
  <c r="C7" i="53"/>
  <c r="J8" i="53"/>
  <c r="K8" i="53" s="1"/>
  <c r="E7" i="140"/>
  <c r="C6" i="140"/>
  <c r="J7" i="140"/>
  <c r="K7" i="140" s="1"/>
  <c r="E6" i="148"/>
  <c r="C5" i="148"/>
  <c r="J6" i="148"/>
  <c r="K6" i="148" s="1"/>
  <c r="I66" i="12"/>
  <c r="J65" i="12"/>
  <c r="I62" i="21"/>
  <c r="J61" i="21"/>
  <c r="K61" i="132"/>
  <c r="J60" i="148"/>
  <c r="K59" i="148" s="1"/>
  <c r="I61" i="148"/>
  <c r="K58" i="148"/>
  <c r="I64" i="51"/>
  <c r="J63" i="51"/>
  <c r="K62" i="51" s="1"/>
  <c r="E7" i="15"/>
  <c r="C6" i="15"/>
  <c r="J7" i="15"/>
  <c r="K7" i="15" s="1"/>
  <c r="K60" i="137"/>
  <c r="C6" i="48"/>
  <c r="E7" i="48"/>
  <c r="J7" i="48"/>
  <c r="K7" i="48" s="1"/>
  <c r="C7" i="3"/>
  <c r="E8" i="3"/>
  <c r="J8" i="3"/>
  <c r="K8" i="3" s="1"/>
  <c r="K59" i="169"/>
  <c r="I61" i="69"/>
  <c r="J60" i="69"/>
  <c r="E7" i="101"/>
  <c r="C6" i="101"/>
  <c r="J7" i="101"/>
  <c r="K7" i="101" s="1"/>
  <c r="K63" i="14"/>
  <c r="J60" i="17"/>
  <c r="I61" i="17"/>
  <c r="I61" i="125"/>
  <c r="J60" i="125"/>
  <c r="I61" i="120"/>
  <c r="J60" i="120"/>
  <c r="K59" i="120" s="1"/>
  <c r="I62" i="161"/>
  <c r="J61" i="161"/>
  <c r="E6" i="167"/>
  <c r="C5" i="167"/>
  <c r="J6" i="167"/>
  <c r="K6" i="167" s="1"/>
  <c r="I65" i="14"/>
  <c r="J64" i="14"/>
  <c r="I63" i="167"/>
  <c r="J62" i="167"/>
  <c r="C2" i="157"/>
  <c r="J3" i="157"/>
  <c r="K3" i="157" s="1"/>
  <c r="E3" i="157"/>
  <c r="C7" i="42"/>
  <c r="E8" i="42"/>
  <c r="J8" i="42"/>
  <c r="K8" i="42" s="1"/>
  <c r="FV8" i="2"/>
  <c r="I63" i="44"/>
  <c r="J62" i="44"/>
  <c r="K61" i="44" s="1"/>
  <c r="E7" i="132"/>
  <c r="C6" i="132"/>
  <c r="J7" i="132"/>
  <c r="K7" i="132" s="1"/>
  <c r="E5" i="40"/>
  <c r="C4" i="40"/>
  <c r="J5" i="40"/>
  <c r="K5" i="40" s="1"/>
  <c r="K60" i="161"/>
  <c r="I62" i="39"/>
  <c r="J61" i="39"/>
  <c r="K60" i="39" s="1"/>
  <c r="I64" i="135"/>
  <c r="J63" i="135"/>
  <c r="C5" i="68"/>
  <c r="E6" i="68"/>
  <c r="J6" i="68"/>
  <c r="K6" i="68" s="1"/>
  <c r="I63" i="66"/>
  <c r="J62" i="66"/>
  <c r="K61" i="66" s="1"/>
  <c r="E7" i="20"/>
  <c r="C6" i="20"/>
  <c r="J7" i="20"/>
  <c r="K7" i="20" s="1"/>
  <c r="E7" i="108"/>
  <c r="C6" i="108"/>
  <c r="J7" i="108"/>
  <c r="K7" i="108" s="1"/>
  <c r="C6" i="162"/>
  <c r="E7" i="162"/>
  <c r="J7" i="162"/>
  <c r="K7" i="162" s="1"/>
  <c r="J61" i="119"/>
  <c r="I62" i="119"/>
  <c r="I61" i="160"/>
  <c r="J60" i="160"/>
  <c r="I62" i="73"/>
  <c r="J61" i="73"/>
  <c r="K60" i="73" s="1"/>
  <c r="I64" i="9"/>
  <c r="J63" i="9"/>
  <c r="I63" i="129"/>
  <c r="J62" i="129"/>
  <c r="K61" i="129" s="1"/>
  <c r="E7" i="71"/>
  <c r="C6" i="71"/>
  <c r="J7" i="71"/>
  <c r="K7" i="71" s="1"/>
  <c r="N8" i="2"/>
  <c r="IV9" i="2"/>
  <c r="C7" i="152"/>
  <c r="E8" i="152"/>
  <c r="J8" i="152"/>
  <c r="K8" i="152" s="1"/>
  <c r="K62" i="24"/>
  <c r="J60" i="105"/>
  <c r="I61" i="105"/>
  <c r="I63" i="68"/>
  <c r="J62" i="68"/>
  <c r="K62" i="135"/>
  <c r="I65" i="82"/>
  <c r="J64" i="82"/>
  <c r="K63" i="82" s="1"/>
  <c r="I66" i="74"/>
  <c r="J65" i="74"/>
  <c r="K64" i="74" s="1"/>
  <c r="K63" i="74"/>
  <c r="I61" i="174"/>
  <c r="J60" i="174"/>
  <c r="K58" i="160"/>
  <c r="I64" i="127"/>
  <c r="J63" i="127"/>
  <c r="K62" i="127" s="1"/>
  <c r="J60" i="163"/>
  <c r="K59" i="163" s="1"/>
  <c r="I61" i="163"/>
  <c r="I63" i="30"/>
  <c r="J62" i="30"/>
  <c r="I61" i="55"/>
  <c r="J60" i="55"/>
  <c r="K59" i="55" s="1"/>
  <c r="C4" i="115"/>
  <c r="E5" i="115"/>
  <c r="J5" i="115"/>
  <c r="K5" i="115" s="1"/>
  <c r="J63" i="122"/>
  <c r="I64" i="122"/>
  <c r="K59" i="105"/>
  <c r="I63" i="157"/>
  <c r="J62" i="157"/>
  <c r="K59" i="162"/>
  <c r="AU9" i="1"/>
  <c r="D47" i="2"/>
  <c r="DU47" i="2"/>
  <c r="CC47" i="2"/>
  <c r="IW47" i="2"/>
  <c r="AK47" i="2"/>
  <c r="FB47" i="2"/>
  <c r="CY47" i="2"/>
  <c r="BG47" i="2"/>
  <c r="O47" i="2"/>
  <c r="DJ47" i="2"/>
  <c r="HP47" i="2"/>
  <c r="IL47" i="2"/>
  <c r="FM47" i="2"/>
  <c r="EQ47" i="2"/>
  <c r="EF47" i="2"/>
  <c r="IA47" i="2"/>
  <c r="GT47" i="2"/>
  <c r="AV47" i="2"/>
  <c r="CN47" i="2"/>
  <c r="Z47" i="2"/>
  <c r="HE47" i="2"/>
  <c r="BR47" i="2"/>
  <c r="FX47" i="2"/>
  <c r="E5" i="85"/>
  <c r="C4" i="85"/>
  <c r="J5" i="85"/>
  <c r="K5" i="85" s="1"/>
  <c r="I64" i="98"/>
  <c r="J63" i="98"/>
  <c r="I65" i="71"/>
  <c r="J64" i="71"/>
  <c r="I66" i="75"/>
  <c r="J65" i="75"/>
  <c r="E4" i="34"/>
  <c r="C3" i="34"/>
  <c r="J4" i="34"/>
  <c r="K4" i="34" s="1"/>
  <c r="E6" i="128"/>
  <c r="C5" i="128"/>
  <c r="J6" i="128"/>
  <c r="K6" i="128" s="1"/>
  <c r="I62" i="67"/>
  <c r="J61" i="67"/>
  <c r="K60" i="67" s="1"/>
  <c r="C4" i="84"/>
  <c r="E5" i="84"/>
  <c r="J5" i="84"/>
  <c r="K5" i="84" s="1"/>
  <c r="I64" i="62"/>
  <c r="J63" i="62"/>
  <c r="E8" i="92"/>
  <c r="C7" i="92"/>
  <c r="J8" i="92"/>
  <c r="K8" i="92" s="1"/>
  <c r="E8" i="58"/>
  <c r="C7" i="58"/>
  <c r="CA7" i="2" s="1"/>
  <c r="J8" i="58"/>
  <c r="K8" i="58" s="1"/>
  <c r="I61" i="130"/>
  <c r="J60" i="130"/>
  <c r="BE8" i="2"/>
  <c r="E8" i="7"/>
  <c r="AT8" i="1"/>
  <c r="C7" i="7"/>
  <c r="J8" i="7"/>
  <c r="K8" i="7" s="1"/>
  <c r="D47" i="1"/>
  <c r="Z47" i="1"/>
  <c r="O47" i="1"/>
  <c r="CC47" i="1"/>
  <c r="BR47" i="1"/>
  <c r="AV47" i="1"/>
  <c r="AK47" i="1"/>
  <c r="K63" i="71"/>
  <c r="C7" i="55"/>
  <c r="E8" i="55"/>
  <c r="J8" i="55"/>
  <c r="K8" i="55" s="1"/>
  <c r="I64" i="152"/>
  <c r="J63" i="152"/>
  <c r="K62" i="152" s="1"/>
  <c r="K64" i="75"/>
  <c r="K58" i="110"/>
  <c r="E6" i="126"/>
  <c r="C5" i="126"/>
  <c r="J6" i="126"/>
  <c r="K6" i="126" s="1"/>
  <c r="I61" i="140"/>
  <c r="J60" i="140"/>
  <c r="J61" i="131"/>
  <c r="I62" i="131"/>
  <c r="I62" i="5"/>
  <c r="J61" i="5"/>
  <c r="K62" i="62"/>
  <c r="J60" i="171"/>
  <c r="I61" i="171"/>
  <c r="I62" i="153"/>
  <c r="J61" i="153"/>
  <c r="E7" i="33"/>
  <c r="C6" i="33"/>
  <c r="M7" i="2"/>
  <c r="J7" i="33"/>
  <c r="K7" i="33" s="1"/>
  <c r="C7" i="107"/>
  <c r="E8" i="107"/>
  <c r="J8" i="107"/>
  <c r="K8" i="107" s="1"/>
  <c r="C6" i="95"/>
  <c r="E7" i="95"/>
  <c r="J7" i="95"/>
  <c r="K7" i="95" s="1"/>
  <c r="E7" i="41"/>
  <c r="C6" i="41"/>
  <c r="J7" i="41"/>
  <c r="K7" i="41" s="1"/>
  <c r="BG47" i="1"/>
  <c r="BF47" i="1"/>
  <c r="I61" i="65"/>
  <c r="J60" i="65"/>
  <c r="I65" i="27"/>
  <c r="J64" i="27"/>
  <c r="K63" i="27" s="1"/>
  <c r="I62" i="88"/>
  <c r="J61" i="88"/>
  <c r="I62" i="50"/>
  <c r="J61" i="50"/>
  <c r="K60" i="50" s="1"/>
  <c r="K59" i="96"/>
  <c r="K59" i="73"/>
  <c r="IJ8" i="2"/>
  <c r="K59" i="140"/>
  <c r="I66" i="134"/>
  <c r="J65" i="134"/>
  <c r="K64" i="134" s="1"/>
  <c r="EO8" i="2"/>
  <c r="C6" i="145"/>
  <c r="E7" i="145"/>
  <c r="J7" i="145"/>
  <c r="K7" i="145" s="1"/>
  <c r="C2" i="32"/>
  <c r="E3" i="32"/>
  <c r="J3" i="32"/>
  <c r="K3" i="32" s="1"/>
  <c r="C6" i="77"/>
  <c r="E7" i="77"/>
  <c r="J7" i="77"/>
  <c r="K7" i="77" s="1"/>
  <c r="I64" i="16"/>
  <c r="J63" i="16"/>
  <c r="I63" i="18"/>
  <c r="J62" i="18"/>
  <c r="K61" i="18" s="1"/>
  <c r="J60" i="96"/>
  <c r="I61" i="96"/>
  <c r="J60" i="100"/>
  <c r="K59" i="100" s="1"/>
  <c r="I61" i="100"/>
  <c r="I62" i="86"/>
  <c r="J61" i="86"/>
  <c r="K60" i="86" s="1"/>
  <c r="E8" i="100"/>
  <c r="C7" i="100"/>
  <c r="J8" i="100"/>
  <c r="K8" i="100" s="1"/>
  <c r="C6" i="21"/>
  <c r="E7" i="21"/>
  <c r="J7" i="21"/>
  <c r="K7" i="21" s="1"/>
  <c r="C6" i="97"/>
  <c r="E7" i="97"/>
  <c r="EO7" i="2"/>
  <c r="J7" i="97"/>
  <c r="K7" i="97" s="1"/>
  <c r="C6" i="80"/>
  <c r="E7" i="80"/>
  <c r="J7" i="80"/>
  <c r="K7" i="80" s="1"/>
  <c r="E5" i="47"/>
  <c r="C4" i="47"/>
  <c r="J5" i="47"/>
  <c r="K5" i="47" s="1"/>
  <c r="C7" i="121"/>
  <c r="E8" i="121"/>
  <c r="J8" i="121"/>
  <c r="K8" i="121" s="1"/>
  <c r="HO8" i="2"/>
  <c r="C5" i="94"/>
  <c r="E6" i="94"/>
  <c r="J6" i="94"/>
  <c r="K6" i="94" s="1"/>
  <c r="J62" i="23"/>
  <c r="I63" i="23"/>
  <c r="J61" i="54"/>
  <c r="I62" i="54"/>
  <c r="J62" i="165"/>
  <c r="K61" i="165" s="1"/>
  <c r="I63" i="165"/>
  <c r="K63" i="59"/>
  <c r="K60" i="118"/>
  <c r="C45" i="24"/>
  <c r="E46" i="24"/>
  <c r="GG46" i="2"/>
  <c r="BE46" i="1"/>
  <c r="C46" i="1"/>
  <c r="C46" i="2"/>
  <c r="J46" i="24"/>
  <c r="K46" i="24" s="1"/>
  <c r="J60" i="90"/>
  <c r="K59" i="90" s="1"/>
  <c r="I61" i="90"/>
  <c r="J63" i="156"/>
  <c r="K62" i="156" s="1"/>
  <c r="I64" i="156"/>
  <c r="K61" i="152"/>
  <c r="I64" i="142"/>
  <c r="J63" i="142"/>
  <c r="K62" i="142" s="1"/>
  <c r="E7" i="154"/>
  <c r="C6" i="154"/>
  <c r="J7" i="154"/>
  <c r="K7" i="154" s="1"/>
  <c r="IJ7" i="2"/>
  <c r="E7" i="117"/>
  <c r="C6" i="117"/>
  <c r="J7" i="117"/>
  <c r="K7" i="117" s="1"/>
  <c r="J62" i="28"/>
  <c r="K61" i="28" s="1"/>
  <c r="I63" i="28"/>
  <c r="I63" i="149"/>
  <c r="J62" i="149"/>
  <c r="J62" i="124"/>
  <c r="K61" i="124" s="1"/>
  <c r="I63" i="124"/>
  <c r="K61" i="23"/>
  <c r="J61" i="3"/>
  <c r="I62" i="3"/>
  <c r="E7" i="78"/>
  <c r="C6" i="78"/>
  <c r="J7" i="78"/>
  <c r="K7" i="78" s="1"/>
  <c r="I61" i="36"/>
  <c r="J60" i="36"/>
  <c r="K59" i="36" s="1"/>
  <c r="I65" i="22"/>
  <c r="J64" i="22"/>
  <c r="I64" i="78"/>
  <c r="J63" i="78"/>
  <c r="K62" i="78" s="1"/>
  <c r="K58" i="34"/>
  <c r="K63" i="75"/>
  <c r="I62" i="70"/>
  <c r="J61" i="70"/>
  <c r="K60" i="70" s="1"/>
  <c r="K63" i="61"/>
  <c r="C6" i="133"/>
  <c r="E7" i="133"/>
  <c r="J7" i="133"/>
  <c r="K7" i="133" s="1"/>
  <c r="DH7" i="2"/>
  <c r="I61" i="102"/>
  <c r="J60" i="102"/>
  <c r="J62" i="25"/>
  <c r="I63" i="25"/>
  <c r="C6" i="89"/>
  <c r="E7" i="89"/>
  <c r="J7" i="89"/>
  <c r="K7" i="89" s="1"/>
  <c r="HN7" i="2"/>
  <c r="I61" i="45"/>
  <c r="J60" i="45"/>
  <c r="E6" i="22"/>
  <c r="C5" i="22"/>
  <c r="J6" i="22"/>
  <c r="K6" i="22" s="1"/>
  <c r="K58" i="65"/>
  <c r="K61" i="98"/>
  <c r="J61" i="104"/>
  <c r="I62" i="104"/>
  <c r="C6" i="76"/>
  <c r="E7" i="76"/>
  <c r="J7" i="76"/>
  <c r="K7" i="76" s="1"/>
  <c r="DT7" i="2"/>
  <c r="I62" i="97"/>
  <c r="J61" i="97"/>
  <c r="CB9" i="1"/>
  <c r="I61" i="64"/>
  <c r="J60" i="64"/>
  <c r="K60" i="52"/>
  <c r="AU9" i="2"/>
  <c r="C3" i="105"/>
  <c r="E4" i="105"/>
  <c r="J4" i="105"/>
  <c r="K4" i="105" s="1"/>
  <c r="C4" i="127"/>
  <c r="E5" i="127"/>
  <c r="J5" i="127"/>
  <c r="K5" i="127" s="1"/>
  <c r="GI47" i="2"/>
  <c r="GH47" i="2"/>
  <c r="C7" i="109"/>
  <c r="E8" i="109"/>
  <c r="ED8" i="2"/>
  <c r="J8" i="109"/>
  <c r="K8" i="109" s="1"/>
  <c r="I61" i="146"/>
  <c r="J60" i="146"/>
  <c r="C4" i="123"/>
  <c r="E5" i="123"/>
  <c r="J5" i="123"/>
  <c r="K5" i="123" s="1"/>
  <c r="E8" i="49"/>
  <c r="C7" i="49"/>
  <c r="AI7" i="2" s="1"/>
  <c r="J8" i="49"/>
  <c r="K8" i="49" s="1"/>
  <c r="E3" i="138"/>
  <c r="C2" i="138"/>
  <c r="J3" i="138"/>
  <c r="K3" i="138" s="1"/>
  <c r="K62" i="27"/>
  <c r="I62" i="56"/>
  <c r="J61" i="56"/>
  <c r="K60" i="104"/>
  <c r="E5" i="37"/>
  <c r="C4" i="37"/>
  <c r="J5" i="37"/>
  <c r="K5" i="37" s="1"/>
  <c r="C5" i="18"/>
  <c r="E6" i="18"/>
  <c r="J6" i="18"/>
  <c r="K6" i="18" s="1"/>
  <c r="I65" i="42"/>
  <c r="J64" i="42"/>
  <c r="E8" i="6"/>
  <c r="C7" i="6"/>
  <c r="CA8" i="1"/>
  <c r="J62" i="63"/>
  <c r="K61" i="63" s="1"/>
  <c r="I63" i="63"/>
  <c r="I62" i="52"/>
  <c r="J61" i="52"/>
  <c r="E8" i="50"/>
  <c r="C7" i="50"/>
  <c r="AT8" i="2"/>
  <c r="J8" i="50"/>
  <c r="K8" i="50" s="1"/>
  <c r="I63" i="83"/>
  <c r="J62" i="83"/>
  <c r="C4" i="163"/>
  <c r="E5" i="163"/>
  <c r="J5" i="163"/>
  <c r="K5" i="163" s="1"/>
  <c r="FA8" i="2"/>
  <c r="J61" i="154"/>
  <c r="I62" i="154"/>
  <c r="C5" i="129"/>
  <c r="E6" i="129"/>
  <c r="J6" i="129"/>
  <c r="K6" i="129" s="1"/>
  <c r="DS6" i="2"/>
  <c r="I63" i="115"/>
  <c r="J62" i="115"/>
  <c r="K61" i="115" s="1"/>
  <c r="CL8" i="2"/>
  <c r="GS9" i="2"/>
  <c r="K60" i="139"/>
  <c r="GS8" i="2"/>
  <c r="J61" i="144"/>
  <c r="I62" i="144"/>
  <c r="J63" i="101"/>
  <c r="I64" i="101"/>
  <c r="E5" i="106"/>
  <c r="C4" i="106"/>
  <c r="J5" i="106"/>
  <c r="K5" i="106" s="1"/>
  <c r="I64" i="136"/>
  <c r="J63" i="136"/>
  <c r="K62" i="136" s="1"/>
  <c r="J61" i="168"/>
  <c r="I62" i="168"/>
  <c r="HD9" i="2"/>
  <c r="I62" i="20"/>
  <c r="J61" i="20"/>
  <c r="K60" i="20" s="1"/>
  <c r="J62" i="41"/>
  <c r="K61" i="41" s="1"/>
  <c r="I63" i="41"/>
  <c r="E4" i="131"/>
  <c r="C3" i="131"/>
  <c r="J4" i="131"/>
  <c r="K4" i="131" s="1"/>
  <c r="K62" i="22"/>
  <c r="C6" i="96"/>
  <c r="E7" i="96"/>
  <c r="J7" i="96"/>
  <c r="K7" i="96" s="1"/>
  <c r="FK8" i="2"/>
  <c r="K59" i="97"/>
  <c r="E7" i="151"/>
  <c r="C6" i="151"/>
  <c r="J7" i="151"/>
  <c r="K7" i="151" s="1"/>
  <c r="K61" i="92"/>
  <c r="K61" i="157"/>
  <c r="J60" i="34"/>
  <c r="K59" i="34" s="1"/>
  <c r="I61" i="34"/>
  <c r="I62" i="123"/>
  <c r="J61" i="123"/>
  <c r="K60" i="123" s="1"/>
  <c r="J61" i="151"/>
  <c r="K60" i="151" s="1"/>
  <c r="I62" i="151"/>
  <c r="C6" i="122"/>
  <c r="E7" i="122"/>
  <c r="J7" i="122"/>
  <c r="K7" i="122" s="1"/>
  <c r="J65" i="7"/>
  <c r="K64" i="7" s="1"/>
  <c r="I66" i="7"/>
  <c r="J61" i="87"/>
  <c r="K60" i="87" s="1"/>
  <c r="I62" i="87"/>
  <c r="BQ9" i="1"/>
  <c r="C7" i="46"/>
  <c r="E8" i="46"/>
  <c r="J8" i="46"/>
  <c r="K8" i="46" s="1"/>
  <c r="AI8" i="1"/>
  <c r="I61" i="8"/>
  <c r="J60" i="8"/>
  <c r="E7" i="134"/>
  <c r="C6" i="134"/>
  <c r="EZ7" i="2"/>
  <c r="J7" i="134"/>
  <c r="K7" i="134" s="1"/>
  <c r="E6" i="5"/>
  <c r="C5" i="5"/>
  <c r="J6" i="5"/>
  <c r="K6" i="5" s="1"/>
  <c r="C4" i="168"/>
  <c r="E5" i="168"/>
  <c r="J5" i="168"/>
  <c r="K5" i="168" s="1"/>
  <c r="C4" i="120"/>
  <c r="E5" i="120"/>
  <c r="J5" i="120"/>
  <c r="K5" i="120" s="1"/>
  <c r="E5" i="141"/>
  <c r="C4" i="141"/>
  <c r="J5" i="141"/>
  <c r="K5" i="141" s="1"/>
  <c r="E7" i="88"/>
  <c r="C6" i="88"/>
  <c r="J7" i="88"/>
  <c r="K7" i="88" s="1"/>
  <c r="K62" i="42"/>
  <c r="E7" i="63"/>
  <c r="C6" i="63"/>
  <c r="J7" i="63"/>
  <c r="K7" i="63" s="1"/>
  <c r="J62" i="92"/>
  <c r="I63" i="92"/>
  <c r="E6" i="19"/>
  <c r="C5" i="19"/>
  <c r="J6" i="19"/>
  <c r="K6" i="19" s="1"/>
  <c r="E8" i="90"/>
  <c r="C7" i="90"/>
  <c r="CL7" i="2" s="1"/>
  <c r="J8" i="90"/>
  <c r="K8" i="90" s="1"/>
  <c r="EE9" i="2"/>
  <c r="K60" i="25"/>
  <c r="C4" i="86"/>
  <c r="E5" i="86"/>
  <c r="J5" i="86"/>
  <c r="K5" i="86" s="1"/>
  <c r="E6" i="116"/>
  <c r="C5" i="116"/>
  <c r="J6" i="116"/>
  <c r="K6" i="116" s="1"/>
  <c r="C7" i="8"/>
  <c r="E8" i="8"/>
  <c r="HC8" i="2"/>
  <c r="BP8" i="1"/>
  <c r="J8" i="8"/>
  <c r="K8" i="8" s="1"/>
  <c r="I62" i="80"/>
  <c r="J61" i="80"/>
  <c r="K59" i="54"/>
  <c r="K61" i="113"/>
  <c r="C5" i="104"/>
  <c r="E6" i="104"/>
  <c r="J6" i="104"/>
  <c r="K6" i="104" s="1"/>
  <c r="K62" i="82"/>
  <c r="E4" i="102"/>
  <c r="C3" i="102"/>
  <c r="J4" i="102"/>
  <c r="K4" i="102" s="1"/>
  <c r="E3" i="30"/>
  <c r="C2" i="30"/>
  <c r="J3" i="30"/>
  <c r="K3" i="30" s="1"/>
  <c r="C2" i="166"/>
  <c r="E3" i="166"/>
  <c r="J3" i="166"/>
  <c r="K3" i="166" s="1"/>
  <c r="J62" i="173"/>
  <c r="I63" i="173"/>
  <c r="J60" i="147"/>
  <c r="I61" i="147"/>
  <c r="K58" i="147"/>
  <c r="J61" i="116"/>
  <c r="I62" i="116"/>
  <c r="E8" i="14"/>
  <c r="C7" i="14"/>
  <c r="J8" i="14"/>
  <c r="K8" i="14" s="1"/>
  <c r="AJ8" i="2"/>
  <c r="J62" i="60"/>
  <c r="K61" i="60" s="1"/>
  <c r="I63" i="60"/>
  <c r="K60" i="88"/>
  <c r="E6" i="9"/>
  <c r="C5" i="9"/>
  <c r="J6" i="9"/>
  <c r="K6" i="9" s="1"/>
  <c r="J61" i="76"/>
  <c r="K60" i="76" s="1"/>
  <c r="I62" i="76"/>
  <c r="I63" i="37"/>
  <c r="J62" i="37"/>
  <c r="K61" i="37" s="1"/>
  <c r="I66" i="145"/>
  <c r="J65" i="145"/>
  <c r="I62" i="57"/>
  <c r="J61" i="57"/>
  <c r="K60" i="57" s="1"/>
  <c r="K59" i="146"/>
  <c r="I62" i="138"/>
  <c r="J61" i="138"/>
  <c r="K64" i="46"/>
  <c r="K61" i="149"/>
  <c r="J60" i="95"/>
  <c r="I61" i="95"/>
  <c r="C5" i="161"/>
  <c r="E6" i="161"/>
  <c r="J6" i="161"/>
  <c r="K6" i="161" s="1"/>
  <c r="K60" i="153"/>
  <c r="K60" i="113"/>
  <c r="I63" i="113"/>
  <c r="J62" i="113"/>
  <c r="J61" i="162"/>
  <c r="K60" i="162" s="1"/>
  <c r="I62" i="162"/>
  <c r="K59" i="47"/>
  <c r="HZ8" i="2"/>
  <c r="I65" i="94"/>
  <c r="J64" i="94"/>
  <c r="K63" i="94" s="1"/>
  <c r="E8" i="158"/>
  <c r="C7" i="158"/>
  <c r="J8" i="158"/>
  <c r="K8" i="158" s="1"/>
  <c r="J63" i="128"/>
  <c r="I64" i="128"/>
  <c r="K61" i="142"/>
  <c r="E4" i="111"/>
  <c r="C3" i="111"/>
  <c r="J4" i="111"/>
  <c r="K4" i="111" s="1"/>
  <c r="K60" i="49"/>
  <c r="K61" i="173"/>
  <c r="E7" i="156" l="1"/>
  <c r="C6" i="156"/>
  <c r="J7" i="156"/>
  <c r="K7" i="156" s="1"/>
  <c r="C5" i="149"/>
  <c r="E6" i="149"/>
  <c r="J6" i="149"/>
  <c r="K6" i="149" s="1"/>
  <c r="C6" i="130"/>
  <c r="E7" i="130"/>
  <c r="J7" i="130"/>
  <c r="K7" i="130" s="1"/>
  <c r="E2" i="98"/>
  <c r="F67" i="98"/>
  <c r="J2" i="98"/>
  <c r="K2" i="98" s="1"/>
  <c r="E7" i="74"/>
  <c r="J7" i="74"/>
  <c r="K7" i="74" s="1"/>
  <c r="C6" i="74"/>
  <c r="J6" i="61"/>
  <c r="K6" i="61" s="1"/>
  <c r="C5" i="61"/>
  <c r="E6" i="61"/>
  <c r="C5" i="59"/>
  <c r="J6" i="59"/>
  <c r="K6" i="59" s="1"/>
  <c r="E6" i="59"/>
  <c r="C6" i="150"/>
  <c r="E7" i="150"/>
  <c r="J7" i="150"/>
  <c r="K7" i="150" s="1"/>
  <c r="CX6" i="2"/>
  <c r="CM7" i="2"/>
  <c r="AJ7" i="2"/>
  <c r="CB7" i="2"/>
  <c r="EP8" i="2"/>
  <c r="K63" i="9"/>
  <c r="C3" i="40"/>
  <c r="E4" i="40"/>
  <c r="J4" i="40"/>
  <c r="K4" i="40" s="1"/>
  <c r="K60" i="125"/>
  <c r="K59" i="125"/>
  <c r="C6" i="12"/>
  <c r="E7" i="12"/>
  <c r="X7" i="2"/>
  <c r="M7" i="1"/>
  <c r="J7" i="12"/>
  <c r="K7" i="12" s="1"/>
  <c r="I63" i="53"/>
  <c r="J62" i="53"/>
  <c r="J61" i="112"/>
  <c r="K60" i="112" s="1"/>
  <c r="I62" i="112"/>
  <c r="C4" i="64"/>
  <c r="E5" i="64"/>
  <c r="J5" i="64"/>
  <c r="K5" i="64" s="1"/>
  <c r="E4" i="124"/>
  <c r="C3" i="124"/>
  <c r="J4" i="124"/>
  <c r="K4" i="124" s="1"/>
  <c r="I65" i="127"/>
  <c r="J64" i="127"/>
  <c r="K63" i="127" s="1"/>
  <c r="I65" i="9"/>
  <c r="J64" i="9"/>
  <c r="J61" i="125"/>
  <c r="I62" i="125"/>
  <c r="I62" i="38"/>
  <c r="J61" i="38"/>
  <c r="K60" i="38" s="1"/>
  <c r="J63" i="113"/>
  <c r="I64" i="113"/>
  <c r="J66" i="7"/>
  <c r="I67" i="7"/>
  <c r="J67" i="7" s="1"/>
  <c r="I63" i="56"/>
  <c r="J62" i="56"/>
  <c r="K61" i="56" s="1"/>
  <c r="D46" i="1"/>
  <c r="BR46" i="1"/>
  <c r="CC46" i="1"/>
  <c r="AK46" i="1"/>
  <c r="AV46" i="1"/>
  <c r="Z46" i="1"/>
  <c r="O46" i="1"/>
  <c r="J66" i="134"/>
  <c r="I67" i="134"/>
  <c r="J67" i="134" s="1"/>
  <c r="E5" i="128"/>
  <c r="C4" i="128"/>
  <c r="J5" i="128"/>
  <c r="K5" i="128" s="1"/>
  <c r="K62" i="9"/>
  <c r="I62" i="17"/>
  <c r="J61" i="17"/>
  <c r="K60" i="17" s="1"/>
  <c r="C6" i="56"/>
  <c r="E7" i="56"/>
  <c r="J7" i="56"/>
  <c r="K7" i="56" s="1"/>
  <c r="E7" i="170"/>
  <c r="C6" i="170"/>
  <c r="J7" i="170"/>
  <c r="K7" i="170" s="1"/>
  <c r="J63" i="99"/>
  <c r="I64" i="99"/>
  <c r="E7" i="28"/>
  <c r="C6" i="28"/>
  <c r="J7" i="28"/>
  <c r="K7" i="28" s="1"/>
  <c r="J66" i="133"/>
  <c r="I67" i="133"/>
  <c r="J67" i="133" s="1"/>
  <c r="E6" i="114"/>
  <c r="C5" i="114"/>
  <c r="J6" i="114"/>
  <c r="K6" i="114" s="1"/>
  <c r="E7" i="27"/>
  <c r="C6" i="27"/>
  <c r="J7" i="27"/>
  <c r="K7" i="27" s="1"/>
  <c r="K60" i="91"/>
  <c r="E5" i="22"/>
  <c r="C4" i="22"/>
  <c r="J5" i="22"/>
  <c r="K5" i="22" s="1"/>
  <c r="J61" i="45"/>
  <c r="K60" i="45" s="1"/>
  <c r="I62" i="45"/>
  <c r="I63" i="3"/>
  <c r="J62" i="3"/>
  <c r="K61" i="3" s="1"/>
  <c r="BF46" i="1"/>
  <c r="BG46" i="1"/>
  <c r="E6" i="97"/>
  <c r="C5" i="97"/>
  <c r="J6" i="97"/>
  <c r="K6" i="97" s="1"/>
  <c r="N7" i="2"/>
  <c r="J61" i="166"/>
  <c r="I62" i="166"/>
  <c r="I63" i="106"/>
  <c r="J62" i="106"/>
  <c r="K61" i="106" s="1"/>
  <c r="K60" i="170"/>
  <c r="I62" i="91"/>
  <c r="J61" i="91"/>
  <c r="E4" i="120"/>
  <c r="C3" i="120"/>
  <c r="J4" i="120"/>
  <c r="K4" i="120" s="1"/>
  <c r="E4" i="127"/>
  <c r="C3" i="127"/>
  <c r="J4" i="127"/>
  <c r="K4" i="127" s="1"/>
  <c r="GI46" i="2"/>
  <c r="GH46" i="2"/>
  <c r="IK8" i="2"/>
  <c r="E6" i="33"/>
  <c r="C5" i="33"/>
  <c r="J6" i="33"/>
  <c r="K6" i="33" s="1"/>
  <c r="K60" i="174"/>
  <c r="I63" i="73"/>
  <c r="J62" i="73"/>
  <c r="K61" i="73" s="1"/>
  <c r="C5" i="132"/>
  <c r="E6" i="132"/>
  <c r="J6" i="132"/>
  <c r="K6" i="132" s="1"/>
  <c r="I67" i="12"/>
  <c r="J67" i="12" s="1"/>
  <c r="J66" i="12"/>
  <c r="E7" i="174"/>
  <c r="C6" i="174"/>
  <c r="J7" i="174"/>
  <c r="K7" i="174" s="1"/>
  <c r="K61" i="99"/>
  <c r="K62" i="72"/>
  <c r="HO7" i="2"/>
  <c r="J62" i="151"/>
  <c r="I63" i="151"/>
  <c r="E3" i="34"/>
  <c r="C2" i="34"/>
  <c r="J3" i="34"/>
  <c r="K3" i="34" s="1"/>
  <c r="I62" i="174"/>
  <c r="J61" i="174"/>
  <c r="E6" i="44"/>
  <c r="C5" i="44"/>
  <c r="J6" i="44"/>
  <c r="K6" i="44" s="1"/>
  <c r="I62" i="81"/>
  <c r="J61" i="81"/>
  <c r="K60" i="81" s="1"/>
  <c r="I64" i="118"/>
  <c r="J63" i="118"/>
  <c r="K62" i="118" s="1"/>
  <c r="I63" i="121"/>
  <c r="J62" i="121"/>
  <c r="K61" i="121" s="1"/>
  <c r="I62" i="35"/>
  <c r="J61" i="35"/>
  <c r="I62" i="58"/>
  <c r="J61" i="58"/>
  <c r="K60" i="58" s="1"/>
  <c r="I64" i="72"/>
  <c r="J63" i="72"/>
  <c r="E3" i="43"/>
  <c r="C2" i="43"/>
  <c r="J3" i="43"/>
  <c r="K3" i="43" s="1"/>
  <c r="E5" i="161"/>
  <c r="C4" i="161"/>
  <c r="J5" i="161"/>
  <c r="K5" i="161" s="1"/>
  <c r="I62" i="95"/>
  <c r="J61" i="95"/>
  <c r="I62" i="147"/>
  <c r="J61" i="147"/>
  <c r="K61" i="151"/>
  <c r="C3" i="163"/>
  <c r="E4" i="163"/>
  <c r="J4" i="163"/>
  <c r="K4" i="163" s="1"/>
  <c r="E45" i="24"/>
  <c r="C44" i="24"/>
  <c r="GG45" i="2"/>
  <c r="BE45" i="1"/>
  <c r="C45" i="2"/>
  <c r="C45" i="1"/>
  <c r="J45" i="24"/>
  <c r="K45" i="24" s="1"/>
  <c r="J61" i="160"/>
  <c r="K60" i="160" s="1"/>
  <c r="I62" i="160"/>
  <c r="E6" i="101"/>
  <c r="C5" i="101"/>
  <c r="J6" i="101"/>
  <c r="K6" i="101" s="1"/>
  <c r="E5" i="148"/>
  <c r="C4" i="148"/>
  <c r="J5" i="148"/>
  <c r="K5" i="148" s="1"/>
  <c r="I65" i="172"/>
  <c r="J64" i="172"/>
  <c r="Y8" i="1"/>
  <c r="C3" i="72"/>
  <c r="E4" i="72"/>
  <c r="J4" i="72"/>
  <c r="K4" i="72" s="1"/>
  <c r="J62" i="33"/>
  <c r="K61" i="33" s="1"/>
  <c r="I63" i="33"/>
  <c r="E4" i="86"/>
  <c r="C3" i="86"/>
  <c r="J4" i="86"/>
  <c r="K4" i="86" s="1"/>
  <c r="K60" i="168"/>
  <c r="E3" i="105"/>
  <c r="C2" i="105"/>
  <c r="J3" i="105"/>
  <c r="K3" i="105" s="1"/>
  <c r="C5" i="89"/>
  <c r="E6" i="89"/>
  <c r="J6" i="89"/>
  <c r="K6" i="89" s="1"/>
  <c r="E6" i="21"/>
  <c r="C5" i="21"/>
  <c r="J6" i="21"/>
  <c r="K6" i="21" s="1"/>
  <c r="J62" i="153"/>
  <c r="I63" i="153"/>
  <c r="E7" i="7"/>
  <c r="C6" i="7"/>
  <c r="AT7" i="1"/>
  <c r="J7" i="7"/>
  <c r="K7" i="7" s="1"/>
  <c r="I63" i="119"/>
  <c r="J62" i="119"/>
  <c r="K61" i="119" s="1"/>
  <c r="J63" i="44"/>
  <c r="K62" i="44" s="1"/>
  <c r="I64" i="44"/>
  <c r="E6" i="23"/>
  <c r="C5" i="23"/>
  <c r="J6" i="23"/>
  <c r="K6" i="23" s="1"/>
  <c r="E2" i="87"/>
  <c r="F67" i="87"/>
  <c r="J2" i="87"/>
  <c r="K2" i="87" s="1"/>
  <c r="E6" i="153"/>
  <c r="C5" i="153"/>
  <c r="J6" i="153"/>
  <c r="K6" i="153" s="1"/>
  <c r="J63" i="159"/>
  <c r="K62" i="159" s="1"/>
  <c r="I64" i="159"/>
  <c r="K65" i="134"/>
  <c r="J61" i="171"/>
  <c r="K60" i="171" s="1"/>
  <c r="I62" i="171"/>
  <c r="AU8" i="1"/>
  <c r="J66" i="75"/>
  <c r="K65" i="75" s="1"/>
  <c r="I67" i="75"/>
  <c r="J67" i="75" s="1"/>
  <c r="I67" i="74"/>
  <c r="J67" i="74" s="1"/>
  <c r="J66" i="74"/>
  <c r="FW8" i="2"/>
  <c r="C3" i="173"/>
  <c r="E4" i="173"/>
  <c r="J4" i="173"/>
  <c r="K4" i="173" s="1"/>
  <c r="C6" i="29"/>
  <c r="E7" i="29"/>
  <c r="J7" i="29"/>
  <c r="K7" i="29" s="1"/>
  <c r="X7" i="1"/>
  <c r="E5" i="112"/>
  <c r="C4" i="112"/>
  <c r="J5" i="112"/>
  <c r="K5" i="112" s="1"/>
  <c r="E6" i="35"/>
  <c r="C5" i="35"/>
  <c r="J6" i="35"/>
  <c r="K6" i="35" s="1"/>
  <c r="E6" i="147"/>
  <c r="C5" i="147"/>
  <c r="J6" i="147"/>
  <c r="K6" i="147" s="1"/>
  <c r="J64" i="136"/>
  <c r="I65" i="136"/>
  <c r="I64" i="25"/>
  <c r="J63" i="25"/>
  <c r="K62" i="25" s="1"/>
  <c r="K62" i="173"/>
  <c r="I63" i="123"/>
  <c r="J62" i="123"/>
  <c r="C6" i="100"/>
  <c r="E7" i="100"/>
  <c r="J7" i="100"/>
  <c r="K7" i="100" s="1"/>
  <c r="K59" i="174"/>
  <c r="I62" i="69"/>
  <c r="J61" i="69"/>
  <c r="K60" i="69" s="1"/>
  <c r="C3" i="69"/>
  <c r="E4" i="69"/>
  <c r="J4" i="69"/>
  <c r="K4" i="69" s="1"/>
  <c r="E6" i="31"/>
  <c r="C5" i="31"/>
  <c r="J6" i="31"/>
  <c r="K6" i="31" s="1"/>
  <c r="C4" i="137"/>
  <c r="E5" i="137"/>
  <c r="J5" i="137"/>
  <c r="K5" i="137" s="1"/>
  <c r="J64" i="26"/>
  <c r="I65" i="26"/>
  <c r="C6" i="155"/>
  <c r="E7" i="155"/>
  <c r="J7" i="155"/>
  <c r="K7" i="155" s="1"/>
  <c r="D46" i="2"/>
  <c r="DU46" i="2"/>
  <c r="CY46" i="2"/>
  <c r="AK46" i="2"/>
  <c r="EQ46" i="2"/>
  <c r="CC46" i="2"/>
  <c r="FM46" i="2"/>
  <c r="HP46" i="2"/>
  <c r="FB46" i="2"/>
  <c r="IL46" i="2"/>
  <c r="DJ46" i="2"/>
  <c r="HE46" i="2"/>
  <c r="CN46" i="2"/>
  <c r="IA46" i="2"/>
  <c r="O46" i="2"/>
  <c r="GT46" i="2"/>
  <c r="IW46" i="2"/>
  <c r="Z46" i="2"/>
  <c r="FX46" i="2"/>
  <c r="AV46" i="2"/>
  <c r="EF46" i="2"/>
  <c r="BR46" i="2"/>
  <c r="BG46" i="2"/>
  <c r="K60" i="102"/>
  <c r="BF8" i="2"/>
  <c r="J65" i="82"/>
  <c r="I66" i="82"/>
  <c r="E6" i="140"/>
  <c r="C5" i="140"/>
  <c r="J6" i="140"/>
  <c r="K6" i="140" s="1"/>
  <c r="C4" i="144"/>
  <c r="E5" i="144"/>
  <c r="J5" i="144"/>
  <c r="K5" i="144" s="1"/>
  <c r="J62" i="126"/>
  <c r="I63" i="126"/>
  <c r="E5" i="57"/>
  <c r="C4" i="57"/>
  <c r="J5" i="57"/>
  <c r="K5" i="57" s="1"/>
  <c r="E7" i="8"/>
  <c r="C6" i="8"/>
  <c r="HC7" i="2"/>
  <c r="BP7" i="1"/>
  <c r="J7" i="8"/>
  <c r="K7" i="8" s="1"/>
  <c r="J61" i="102"/>
  <c r="I62" i="102"/>
  <c r="I64" i="165"/>
  <c r="J63" i="165"/>
  <c r="K62" i="165" s="1"/>
  <c r="C5" i="162"/>
  <c r="E6" i="162"/>
  <c r="J6" i="162"/>
  <c r="K6" i="162" s="1"/>
  <c r="E7" i="42"/>
  <c r="C6" i="42"/>
  <c r="J7" i="42"/>
  <c r="K7" i="42" s="1"/>
  <c r="FV7" i="2"/>
  <c r="E4" i="73"/>
  <c r="C3" i="73"/>
  <c r="J4" i="73"/>
  <c r="K4" i="73" s="1"/>
  <c r="E5" i="11"/>
  <c r="C4" i="11"/>
  <c r="J5" i="11"/>
  <c r="K5" i="11" s="1"/>
  <c r="J62" i="4"/>
  <c r="K61" i="4" s="1"/>
  <c r="I63" i="4"/>
  <c r="K61" i="126"/>
  <c r="E5" i="4"/>
  <c r="C4" i="4"/>
  <c r="J5" i="4"/>
  <c r="K5" i="4" s="1"/>
  <c r="AI7" i="1"/>
  <c r="F67" i="166"/>
  <c r="E2" i="166"/>
  <c r="J2" i="166"/>
  <c r="K2" i="166" s="1"/>
  <c r="J64" i="101"/>
  <c r="K63" i="101" s="1"/>
  <c r="I65" i="101"/>
  <c r="AU8" i="2"/>
  <c r="I62" i="64"/>
  <c r="J61" i="64"/>
  <c r="DI7" i="2"/>
  <c r="I63" i="86"/>
  <c r="J62" i="86"/>
  <c r="K61" i="86" s="1"/>
  <c r="I63" i="5"/>
  <c r="J62" i="5"/>
  <c r="I62" i="130"/>
  <c r="J61" i="130"/>
  <c r="J65" i="71"/>
  <c r="K64" i="71" s="1"/>
  <c r="I66" i="71"/>
  <c r="K59" i="160"/>
  <c r="K61" i="137"/>
  <c r="E5" i="135"/>
  <c r="C4" i="135"/>
  <c r="J5" i="135"/>
  <c r="K5" i="135" s="1"/>
  <c r="E5" i="113"/>
  <c r="C4" i="113"/>
  <c r="J5" i="113"/>
  <c r="K5" i="113" s="1"/>
  <c r="I63" i="84"/>
  <c r="J62" i="84"/>
  <c r="K61" i="84" s="1"/>
  <c r="J62" i="111"/>
  <c r="K61" i="111" s="1"/>
  <c r="I63" i="111"/>
  <c r="C6" i="91"/>
  <c r="E7" i="91"/>
  <c r="J7" i="91"/>
  <c r="K7" i="91" s="1"/>
  <c r="BQ8" i="2"/>
  <c r="J62" i="50"/>
  <c r="K61" i="50" s="1"/>
  <c r="I63" i="50"/>
  <c r="E7" i="50"/>
  <c r="C6" i="50"/>
  <c r="AT7" i="2"/>
  <c r="J7" i="50"/>
  <c r="K7" i="50" s="1"/>
  <c r="E7" i="49"/>
  <c r="C6" i="49"/>
  <c r="J7" i="49"/>
  <c r="K7" i="49" s="1"/>
  <c r="I64" i="149"/>
  <c r="J63" i="149"/>
  <c r="J62" i="54"/>
  <c r="I63" i="54"/>
  <c r="J61" i="100"/>
  <c r="I62" i="100"/>
  <c r="I63" i="88"/>
  <c r="J62" i="88"/>
  <c r="K61" i="88" s="1"/>
  <c r="I63" i="131"/>
  <c r="J62" i="131"/>
  <c r="I64" i="157"/>
  <c r="J63" i="157"/>
  <c r="K62" i="157" s="1"/>
  <c r="C5" i="108"/>
  <c r="E6" i="108"/>
  <c r="J6" i="108"/>
  <c r="K6" i="108" s="1"/>
  <c r="K60" i="119"/>
  <c r="E7" i="53"/>
  <c r="C6" i="53"/>
  <c r="J7" i="53"/>
  <c r="K7" i="53" s="1"/>
  <c r="J62" i="137"/>
  <c r="I63" i="137"/>
  <c r="I65" i="117"/>
  <c r="J64" i="117"/>
  <c r="K63" i="117" s="1"/>
  <c r="C4" i="17"/>
  <c r="E5" i="17"/>
  <c r="J5" i="17"/>
  <c r="K5" i="17" s="1"/>
  <c r="I63" i="103"/>
  <c r="J62" i="103"/>
  <c r="K61" i="103" s="1"/>
  <c r="C6" i="52"/>
  <c r="E7" i="52"/>
  <c r="BP7" i="2"/>
  <c r="J7" i="52"/>
  <c r="K7" i="52" s="1"/>
  <c r="I63" i="49"/>
  <c r="J62" i="49"/>
  <c r="K61" i="49" s="1"/>
  <c r="K60" i="147"/>
  <c r="C3" i="168"/>
  <c r="E4" i="168"/>
  <c r="J4" i="168"/>
  <c r="K4" i="168" s="1"/>
  <c r="I64" i="28"/>
  <c r="J63" i="28"/>
  <c r="K62" i="28" s="1"/>
  <c r="K60" i="100"/>
  <c r="K64" i="27"/>
  <c r="K61" i="131"/>
  <c r="E7" i="58"/>
  <c r="C6" i="58"/>
  <c r="J7" i="58"/>
  <c r="K7" i="58" s="1"/>
  <c r="I65" i="98"/>
  <c r="J64" i="98"/>
  <c r="K62" i="101"/>
  <c r="J63" i="68"/>
  <c r="I64" i="68"/>
  <c r="E3" i="165"/>
  <c r="C2" i="165"/>
  <c r="J3" i="165"/>
  <c r="K3" i="165" s="1"/>
  <c r="J62" i="31"/>
  <c r="K61" i="31" s="1"/>
  <c r="I63" i="31"/>
  <c r="E5" i="75"/>
  <c r="C4" i="75"/>
  <c r="J5" i="75"/>
  <c r="K5" i="75" s="1"/>
  <c r="I62" i="143"/>
  <c r="J61" i="143"/>
  <c r="K60" i="143" s="1"/>
  <c r="E6" i="151"/>
  <c r="C5" i="151"/>
  <c r="J6" i="151"/>
  <c r="K6" i="151" s="1"/>
  <c r="K60" i="138"/>
  <c r="E6" i="133"/>
  <c r="C5" i="133"/>
  <c r="J6" i="133"/>
  <c r="K6" i="133" s="1"/>
  <c r="DH6" i="2"/>
  <c r="I64" i="23"/>
  <c r="J63" i="23"/>
  <c r="K62" i="23" s="1"/>
  <c r="I62" i="96"/>
  <c r="J61" i="96"/>
  <c r="I66" i="27"/>
  <c r="J65" i="27"/>
  <c r="K60" i="140"/>
  <c r="K61" i="83"/>
  <c r="I62" i="105"/>
  <c r="J61" i="105"/>
  <c r="E7" i="3"/>
  <c r="C6" i="3"/>
  <c r="J7" i="3"/>
  <c r="K7" i="3" s="1"/>
  <c r="J64" i="132"/>
  <c r="I65" i="132"/>
  <c r="K59" i="58"/>
  <c r="E5" i="116"/>
  <c r="C4" i="116"/>
  <c r="J5" i="116"/>
  <c r="K5" i="116" s="1"/>
  <c r="I64" i="173"/>
  <c r="J63" i="173"/>
  <c r="I62" i="34"/>
  <c r="J61" i="34"/>
  <c r="FA7" i="2"/>
  <c r="J62" i="52"/>
  <c r="K61" i="52" s="1"/>
  <c r="I63" i="52"/>
  <c r="I62" i="140"/>
  <c r="J61" i="140"/>
  <c r="E4" i="85"/>
  <c r="C3" i="85"/>
  <c r="J4" i="85"/>
  <c r="K4" i="85" s="1"/>
  <c r="K61" i="25"/>
  <c r="K60" i="105"/>
  <c r="C5" i="20"/>
  <c r="E6" i="20"/>
  <c r="J6" i="20"/>
  <c r="K6" i="20" s="1"/>
  <c r="F67" i="157"/>
  <c r="E2" i="157"/>
  <c r="J2" i="157"/>
  <c r="K2" i="157" s="1"/>
  <c r="J63" i="93"/>
  <c r="I64" i="93"/>
  <c r="E3" i="45"/>
  <c r="C2" i="45"/>
  <c r="J3" i="45"/>
  <c r="K3" i="45" s="1"/>
  <c r="C6" i="136"/>
  <c r="E7" i="136"/>
  <c r="J7" i="136"/>
  <c r="K7" i="136" s="1"/>
  <c r="C4" i="118"/>
  <c r="E5" i="118"/>
  <c r="J5" i="118"/>
  <c r="K5" i="118" s="1"/>
  <c r="I63" i="168"/>
  <c r="J62" i="168"/>
  <c r="K61" i="168" s="1"/>
  <c r="J62" i="97"/>
  <c r="I63" i="97"/>
  <c r="K59" i="64"/>
  <c r="E6" i="117"/>
  <c r="C5" i="117"/>
  <c r="J6" i="117"/>
  <c r="K6" i="117" s="1"/>
  <c r="J61" i="65"/>
  <c r="K60" i="65" s="1"/>
  <c r="I62" i="65"/>
  <c r="C6" i="92"/>
  <c r="E7" i="92"/>
  <c r="J7" i="92"/>
  <c r="K7" i="92" s="1"/>
  <c r="K60" i="144"/>
  <c r="I67" i="15"/>
  <c r="J67" i="15" s="1"/>
  <c r="J66" i="15"/>
  <c r="K65" i="15" s="1"/>
  <c r="I64" i="158"/>
  <c r="J63" i="158"/>
  <c r="E7" i="172"/>
  <c r="C6" i="172"/>
  <c r="J7" i="172"/>
  <c r="K7" i="172" s="1"/>
  <c r="K60" i="121"/>
  <c r="I67" i="61"/>
  <c r="J67" i="61" s="1"/>
  <c r="J66" i="61"/>
  <c r="HD8" i="2"/>
  <c r="I64" i="124"/>
  <c r="J63" i="124"/>
  <c r="J63" i="37"/>
  <c r="K62" i="37" s="1"/>
  <c r="I64" i="37"/>
  <c r="I64" i="92"/>
  <c r="J63" i="92"/>
  <c r="K62" i="92" s="1"/>
  <c r="FL8" i="2"/>
  <c r="I64" i="63"/>
  <c r="J63" i="63"/>
  <c r="E4" i="123"/>
  <c r="C3" i="123"/>
  <c r="J4" i="123"/>
  <c r="K4" i="123" s="1"/>
  <c r="K60" i="97"/>
  <c r="J63" i="18"/>
  <c r="I64" i="18"/>
  <c r="K61" i="68"/>
  <c r="J63" i="167"/>
  <c r="I64" i="167"/>
  <c r="E6" i="48"/>
  <c r="C5" i="48"/>
  <c r="J6" i="48"/>
  <c r="K6" i="48" s="1"/>
  <c r="E7" i="143"/>
  <c r="C6" i="143"/>
  <c r="J7" i="143"/>
  <c r="K7" i="143" s="1"/>
  <c r="C3" i="39"/>
  <c r="E4" i="39"/>
  <c r="J4" i="39"/>
  <c r="K4" i="39" s="1"/>
  <c r="E5" i="66"/>
  <c r="C4" i="66"/>
  <c r="J5" i="66"/>
  <c r="K5" i="66" s="1"/>
  <c r="J61" i="110"/>
  <c r="K60" i="110" s="1"/>
  <c r="I62" i="110"/>
  <c r="E4" i="159"/>
  <c r="C3" i="159"/>
  <c r="J4" i="159"/>
  <c r="K4" i="159" s="1"/>
  <c r="E6" i="10"/>
  <c r="C5" i="10"/>
  <c r="J6" i="10"/>
  <c r="K6" i="10" s="1"/>
  <c r="E5" i="99"/>
  <c r="C4" i="99"/>
  <c r="J5" i="99"/>
  <c r="K5" i="99" s="1"/>
  <c r="E6" i="78"/>
  <c r="C5" i="78"/>
  <c r="J6" i="78"/>
  <c r="K6" i="78" s="1"/>
  <c r="EP7" i="2"/>
  <c r="I64" i="83"/>
  <c r="J63" i="83"/>
  <c r="IK7" i="2"/>
  <c r="E5" i="94"/>
  <c r="C4" i="94"/>
  <c r="J5" i="94"/>
  <c r="K5" i="94" s="1"/>
  <c r="C4" i="126"/>
  <c r="E5" i="126"/>
  <c r="J5" i="126"/>
  <c r="K5" i="126" s="1"/>
  <c r="K59" i="102"/>
  <c r="I64" i="66"/>
  <c r="J63" i="66"/>
  <c r="K62" i="66" s="1"/>
  <c r="I63" i="108"/>
  <c r="J62" i="108"/>
  <c r="E4" i="171"/>
  <c r="C3" i="171"/>
  <c r="J4" i="171"/>
  <c r="K4" i="171" s="1"/>
  <c r="E6" i="134"/>
  <c r="C5" i="134"/>
  <c r="EZ6" i="2"/>
  <c r="J6" i="134"/>
  <c r="K6" i="134" s="1"/>
  <c r="I65" i="128"/>
  <c r="J64" i="128"/>
  <c r="K63" i="128" s="1"/>
  <c r="K62" i="128"/>
  <c r="CB8" i="1"/>
  <c r="J61" i="146"/>
  <c r="I62" i="146"/>
  <c r="K59" i="65"/>
  <c r="K59" i="171"/>
  <c r="I65" i="122"/>
  <c r="J64" i="122"/>
  <c r="K63" i="122" s="1"/>
  <c r="E7" i="152"/>
  <c r="C6" i="152"/>
  <c r="J7" i="152"/>
  <c r="K7" i="152" s="1"/>
  <c r="K59" i="17"/>
  <c r="K63" i="77"/>
  <c r="C3" i="26"/>
  <c r="E4" i="26"/>
  <c r="J4" i="26"/>
  <c r="K4" i="26" s="1"/>
  <c r="K59" i="110"/>
  <c r="C5" i="142"/>
  <c r="E6" i="142"/>
  <c r="J6" i="142"/>
  <c r="K6" i="142" s="1"/>
  <c r="E7" i="93"/>
  <c r="C6" i="93"/>
  <c r="J7" i="93"/>
  <c r="K7" i="93" s="1"/>
  <c r="C5" i="38"/>
  <c r="E6" i="38"/>
  <c r="J6" i="38"/>
  <c r="K6" i="38" s="1"/>
  <c r="I65" i="29"/>
  <c r="J64" i="29"/>
  <c r="C4" i="54"/>
  <c r="E5" i="54"/>
  <c r="J5" i="54"/>
  <c r="K5" i="54" s="1"/>
  <c r="C2" i="111"/>
  <c r="E3" i="111"/>
  <c r="J3" i="111"/>
  <c r="K3" i="111" s="1"/>
  <c r="I62" i="8"/>
  <c r="J61" i="8"/>
  <c r="K60" i="8" s="1"/>
  <c r="C6" i="158"/>
  <c r="E7" i="158"/>
  <c r="J7" i="158"/>
  <c r="K7" i="158" s="1"/>
  <c r="J62" i="76"/>
  <c r="I63" i="76"/>
  <c r="E6" i="96"/>
  <c r="C5" i="96"/>
  <c r="J6" i="96"/>
  <c r="K6" i="96" s="1"/>
  <c r="E7" i="6"/>
  <c r="C6" i="6"/>
  <c r="CA7" i="1"/>
  <c r="K59" i="45"/>
  <c r="C5" i="154"/>
  <c r="E6" i="154"/>
  <c r="J6" i="154"/>
  <c r="K6" i="154" s="1"/>
  <c r="IJ6" i="2"/>
  <c r="J64" i="16"/>
  <c r="I65" i="16"/>
  <c r="BE7" i="2"/>
  <c r="J64" i="77"/>
  <c r="I65" i="77"/>
  <c r="E5" i="67"/>
  <c r="C4" i="67"/>
  <c r="J5" i="67"/>
  <c r="K5" i="67" s="1"/>
  <c r="C4" i="25"/>
  <c r="E5" i="25"/>
  <c r="J5" i="25"/>
  <c r="K5" i="25" s="1"/>
  <c r="K60" i="108"/>
  <c r="I62" i="11"/>
  <c r="J61" i="11"/>
  <c r="K60" i="11" s="1"/>
  <c r="I63" i="85"/>
  <c r="J62" i="85"/>
  <c r="F67" i="146"/>
  <c r="E2" i="146"/>
  <c r="J2" i="146"/>
  <c r="K2" i="146" s="1"/>
  <c r="K60" i="126"/>
  <c r="K63" i="29"/>
  <c r="HY7" i="2"/>
  <c r="I63" i="154"/>
  <c r="J62" i="154"/>
  <c r="F67" i="138"/>
  <c r="E2" i="138"/>
  <c r="J2" i="138"/>
  <c r="K2" i="138" s="1"/>
  <c r="E2" i="30"/>
  <c r="J2" i="30"/>
  <c r="K2" i="30" s="1"/>
  <c r="I63" i="70"/>
  <c r="J62" i="70"/>
  <c r="C5" i="41"/>
  <c r="E6" i="41"/>
  <c r="J6" i="41"/>
  <c r="K6" i="41" s="1"/>
  <c r="I65" i="62"/>
  <c r="J64" i="62"/>
  <c r="E5" i="68"/>
  <c r="C4" i="68"/>
  <c r="J5" i="68"/>
  <c r="K5" i="68" s="1"/>
  <c r="I66" i="14"/>
  <c r="J65" i="14"/>
  <c r="K64" i="14" s="1"/>
  <c r="C5" i="15"/>
  <c r="E6" i="15"/>
  <c r="J6" i="15"/>
  <c r="K6" i="15" s="1"/>
  <c r="E5" i="16"/>
  <c r="C4" i="16"/>
  <c r="J5" i="16"/>
  <c r="K5" i="16" s="1"/>
  <c r="C4" i="81"/>
  <c r="E5" i="81"/>
  <c r="J5" i="81"/>
  <c r="K5" i="81" s="1"/>
  <c r="K61" i="85"/>
  <c r="K64" i="79"/>
  <c r="I62" i="43"/>
  <c r="J61" i="43"/>
  <c r="K60" i="43" s="1"/>
  <c r="C5" i="169"/>
  <c r="E6" i="169"/>
  <c r="HY6" i="2"/>
  <c r="J6" i="169"/>
  <c r="K6" i="169" s="1"/>
  <c r="J62" i="138"/>
  <c r="I63" i="138"/>
  <c r="I63" i="57"/>
  <c r="J62" i="57"/>
  <c r="K61" i="57" s="1"/>
  <c r="C5" i="164"/>
  <c r="E6" i="164"/>
  <c r="J6" i="164"/>
  <c r="K6" i="164" s="1"/>
  <c r="I63" i="19"/>
  <c r="J62" i="19"/>
  <c r="C2" i="160"/>
  <c r="E3" i="160"/>
  <c r="J3" i="160"/>
  <c r="K3" i="160" s="1"/>
  <c r="IU7" i="2"/>
  <c r="K60" i="111"/>
  <c r="I66" i="79"/>
  <c r="J65" i="79"/>
  <c r="C3" i="141"/>
  <c r="E4" i="141"/>
  <c r="J4" i="141"/>
  <c r="K4" i="141" s="1"/>
  <c r="C5" i="122"/>
  <c r="E6" i="122"/>
  <c r="J6" i="122"/>
  <c r="K6" i="122" s="1"/>
  <c r="K59" i="95"/>
  <c r="J62" i="144"/>
  <c r="I63" i="144"/>
  <c r="J66" i="145"/>
  <c r="I67" i="145"/>
  <c r="J67" i="145" s="1"/>
  <c r="C4" i="19"/>
  <c r="E5" i="19"/>
  <c r="J5" i="19"/>
  <c r="K5" i="19" s="1"/>
  <c r="C2" i="102"/>
  <c r="E3" i="102"/>
  <c r="J3" i="102"/>
  <c r="K3" i="102" s="1"/>
  <c r="K61" i="76"/>
  <c r="E6" i="63"/>
  <c r="C5" i="63"/>
  <c r="J6" i="63"/>
  <c r="K6" i="63" s="1"/>
  <c r="CL6" i="2"/>
  <c r="K60" i="154"/>
  <c r="E5" i="104"/>
  <c r="C4" i="104"/>
  <c r="J5" i="104"/>
  <c r="K5" i="104" s="1"/>
  <c r="CM8" i="2"/>
  <c r="J62" i="104"/>
  <c r="K61" i="104" s="1"/>
  <c r="I63" i="104"/>
  <c r="E6" i="77"/>
  <c r="C5" i="77"/>
  <c r="J6" i="77"/>
  <c r="K6" i="77" s="1"/>
  <c r="K59" i="130"/>
  <c r="E4" i="115"/>
  <c r="C3" i="115"/>
  <c r="J4" i="115"/>
  <c r="K4" i="115" s="1"/>
  <c r="J64" i="89"/>
  <c r="K63" i="89" s="1"/>
  <c r="I65" i="89"/>
  <c r="K61" i="19"/>
  <c r="E5" i="139"/>
  <c r="C4" i="139"/>
  <c r="J5" i="139"/>
  <c r="K5" i="139" s="1"/>
  <c r="K62" i="132"/>
  <c r="E6" i="119"/>
  <c r="C5" i="119"/>
  <c r="J6" i="119"/>
  <c r="K6" i="119" s="1"/>
  <c r="K60" i="47"/>
  <c r="AJ8" i="1"/>
  <c r="K64" i="145"/>
  <c r="J65" i="94"/>
  <c r="K64" i="94" s="1"/>
  <c r="I66" i="94"/>
  <c r="E5" i="9"/>
  <c r="C4" i="9"/>
  <c r="J5" i="9"/>
  <c r="K5" i="9" s="1"/>
  <c r="K60" i="116"/>
  <c r="E3" i="131"/>
  <c r="C2" i="131"/>
  <c r="J3" i="131"/>
  <c r="K3" i="131" s="1"/>
  <c r="EE8" i="2"/>
  <c r="I65" i="142"/>
  <c r="J64" i="142"/>
  <c r="C6" i="121"/>
  <c r="E7" i="121"/>
  <c r="J7" i="121"/>
  <c r="K7" i="121" s="1"/>
  <c r="K64" i="12"/>
  <c r="J64" i="152"/>
  <c r="K63" i="152" s="1"/>
  <c r="I65" i="152"/>
  <c r="E4" i="84"/>
  <c r="C3" i="84"/>
  <c r="J4" i="84"/>
  <c r="K4" i="84" s="1"/>
  <c r="C4" i="167"/>
  <c r="E5" i="167"/>
  <c r="J5" i="167"/>
  <c r="K5" i="167" s="1"/>
  <c r="I65" i="51"/>
  <c r="J64" i="51"/>
  <c r="I62" i="141"/>
  <c r="J61" i="141"/>
  <c r="K60" i="141" s="1"/>
  <c r="I65" i="13"/>
  <c r="J64" i="13"/>
  <c r="K63" i="13" s="1"/>
  <c r="C5" i="13"/>
  <c r="E6" i="13"/>
  <c r="J6" i="13"/>
  <c r="K6" i="13" s="1"/>
  <c r="K61" i="72"/>
  <c r="I65" i="164"/>
  <c r="J64" i="164"/>
  <c r="K63" i="164" s="1"/>
  <c r="J61" i="47"/>
  <c r="I62" i="47"/>
  <c r="I63" i="116"/>
  <c r="J62" i="116"/>
  <c r="E4" i="106"/>
  <c r="C3" i="106"/>
  <c r="J4" i="106"/>
  <c r="K4" i="106" s="1"/>
  <c r="K64" i="59"/>
  <c r="E7" i="90"/>
  <c r="C6" i="90"/>
  <c r="J7" i="90"/>
  <c r="K7" i="90" s="1"/>
  <c r="C4" i="5"/>
  <c r="E5" i="5"/>
  <c r="J5" i="5"/>
  <c r="K5" i="5" s="1"/>
  <c r="I66" i="42"/>
  <c r="J65" i="42"/>
  <c r="K64" i="42" s="1"/>
  <c r="K59" i="147"/>
  <c r="E7" i="46"/>
  <c r="C6" i="46"/>
  <c r="AI6" i="1" s="1"/>
  <c r="J7" i="46"/>
  <c r="K7" i="46" s="1"/>
  <c r="I64" i="115"/>
  <c r="J63" i="115"/>
  <c r="K62" i="115" s="1"/>
  <c r="K60" i="56"/>
  <c r="I65" i="78"/>
  <c r="J64" i="78"/>
  <c r="K63" i="78" s="1"/>
  <c r="K60" i="5"/>
  <c r="K60" i="55"/>
  <c r="C5" i="71"/>
  <c r="E6" i="71"/>
  <c r="J6" i="71"/>
  <c r="K6" i="71" s="1"/>
  <c r="I65" i="135"/>
  <c r="J64" i="135"/>
  <c r="K63" i="135" s="1"/>
  <c r="E5" i="83"/>
  <c r="C4" i="83"/>
  <c r="J5" i="83"/>
  <c r="K5" i="83" s="1"/>
  <c r="I62" i="109"/>
  <c r="J61" i="109"/>
  <c r="E6" i="79"/>
  <c r="C5" i="79"/>
  <c r="J6" i="79"/>
  <c r="K6" i="79" s="1"/>
  <c r="J64" i="107"/>
  <c r="I65" i="107"/>
  <c r="E6" i="76"/>
  <c r="C5" i="76"/>
  <c r="J6" i="76"/>
  <c r="K6" i="76" s="1"/>
  <c r="K63" i="42"/>
  <c r="K60" i="131"/>
  <c r="I62" i="55"/>
  <c r="J61" i="55"/>
  <c r="J61" i="148"/>
  <c r="K60" i="148" s="1"/>
  <c r="I62" i="148"/>
  <c r="E5" i="65"/>
  <c r="C4" i="65"/>
  <c r="J5" i="65"/>
  <c r="K5" i="65" s="1"/>
  <c r="J65" i="32"/>
  <c r="K64" i="32" s="1"/>
  <c r="I66" i="32"/>
  <c r="K59" i="109"/>
  <c r="K59" i="35"/>
  <c r="K61" i="80"/>
  <c r="I65" i="156"/>
  <c r="J64" i="156"/>
  <c r="K63" i="156" s="1"/>
  <c r="C3" i="47"/>
  <c r="E4" i="47"/>
  <c r="J4" i="47"/>
  <c r="K4" i="47" s="1"/>
  <c r="C5" i="95"/>
  <c r="E6" i="95"/>
  <c r="J6" i="95"/>
  <c r="K6" i="95" s="1"/>
  <c r="J62" i="162"/>
  <c r="K61" i="162" s="1"/>
  <c r="I63" i="162"/>
  <c r="I64" i="60"/>
  <c r="J63" i="60"/>
  <c r="I63" i="80"/>
  <c r="J62" i="80"/>
  <c r="FK7" i="2"/>
  <c r="J63" i="41"/>
  <c r="I64" i="41"/>
  <c r="DT6" i="2"/>
  <c r="E5" i="18"/>
  <c r="C4" i="18"/>
  <c r="J5" i="18"/>
  <c r="K5" i="18" s="1"/>
  <c r="I66" i="22"/>
  <c r="J65" i="22"/>
  <c r="E2" i="32"/>
  <c r="J2" i="32"/>
  <c r="K2" i="32" s="1"/>
  <c r="K62" i="16"/>
  <c r="E7" i="55"/>
  <c r="C6" i="55"/>
  <c r="FK6" i="2" s="1"/>
  <c r="J7" i="55"/>
  <c r="K7" i="55" s="1"/>
  <c r="K62" i="122"/>
  <c r="I63" i="39"/>
  <c r="J62" i="39"/>
  <c r="I63" i="161"/>
  <c r="J62" i="161"/>
  <c r="K61" i="161" s="1"/>
  <c r="I67" i="46"/>
  <c r="J67" i="46" s="1"/>
  <c r="J66" i="46"/>
  <c r="E6" i="36"/>
  <c r="C5" i="36"/>
  <c r="J6" i="36"/>
  <c r="K6" i="36" s="1"/>
  <c r="K60" i="19"/>
  <c r="K59" i="11"/>
  <c r="C3" i="51"/>
  <c r="E4" i="51"/>
  <c r="J4" i="51"/>
  <c r="K4" i="51" s="1"/>
  <c r="C5" i="125"/>
  <c r="E6" i="125"/>
  <c r="J6" i="125"/>
  <c r="K6" i="125" s="1"/>
  <c r="J61" i="40"/>
  <c r="K60" i="40" s="1"/>
  <c r="I62" i="40"/>
  <c r="K59" i="8"/>
  <c r="E7" i="109"/>
  <c r="C6" i="109"/>
  <c r="ED7" i="2"/>
  <c r="J7" i="109"/>
  <c r="K7" i="109" s="1"/>
  <c r="K62" i="60"/>
  <c r="C5" i="88"/>
  <c r="E6" i="88"/>
  <c r="J6" i="88"/>
  <c r="K6" i="88" s="1"/>
  <c r="J63" i="30"/>
  <c r="K62" i="30" s="1"/>
  <c r="I64" i="30"/>
  <c r="K61" i="114"/>
  <c r="E5" i="60"/>
  <c r="C4" i="60"/>
  <c r="J5" i="60"/>
  <c r="K5" i="60" s="1"/>
  <c r="E5" i="110"/>
  <c r="C4" i="110"/>
  <c r="J5" i="110"/>
  <c r="K5" i="110" s="1"/>
  <c r="E6" i="70"/>
  <c r="C5" i="70"/>
  <c r="J6" i="70"/>
  <c r="K6" i="70" s="1"/>
  <c r="I66" i="24"/>
  <c r="J65" i="24"/>
  <c r="K62" i="29"/>
  <c r="E7" i="14"/>
  <c r="C6" i="14"/>
  <c r="GR6" i="2" s="1"/>
  <c r="J7" i="14"/>
  <c r="K7" i="14" s="1"/>
  <c r="K65" i="7"/>
  <c r="K60" i="80"/>
  <c r="K62" i="41"/>
  <c r="K63" i="22"/>
  <c r="K62" i="113"/>
  <c r="BQ8" i="1"/>
  <c r="I63" i="87"/>
  <c r="J62" i="87"/>
  <c r="K61" i="87" s="1"/>
  <c r="E4" i="37"/>
  <c r="C3" i="37"/>
  <c r="J4" i="37"/>
  <c r="K4" i="37" s="1"/>
  <c r="K60" i="54"/>
  <c r="K60" i="3"/>
  <c r="I62" i="90"/>
  <c r="J61" i="90"/>
  <c r="K60" i="90" s="1"/>
  <c r="K62" i="98"/>
  <c r="J62" i="67"/>
  <c r="K61" i="67" s="1"/>
  <c r="I63" i="67"/>
  <c r="I62" i="163"/>
  <c r="J61" i="163"/>
  <c r="J63" i="129"/>
  <c r="K62" i="129" s="1"/>
  <c r="I64" i="129"/>
  <c r="J61" i="120"/>
  <c r="K60" i="120" s="1"/>
  <c r="I62" i="120"/>
  <c r="K60" i="155"/>
  <c r="I63" i="114"/>
  <c r="J62" i="114"/>
  <c r="Y8" i="2"/>
  <c r="GR7" i="2"/>
  <c r="E5" i="103"/>
  <c r="C4" i="103"/>
  <c r="J5" i="103"/>
  <c r="K5" i="103" s="1"/>
  <c r="K61" i="159"/>
  <c r="K61" i="169"/>
  <c r="J63" i="10"/>
  <c r="I64" i="10"/>
  <c r="I63" i="20"/>
  <c r="J62" i="20"/>
  <c r="K61" i="20" s="1"/>
  <c r="C4" i="129"/>
  <c r="E5" i="129"/>
  <c r="J5" i="129"/>
  <c r="K5" i="129" s="1"/>
  <c r="DS5" i="2"/>
  <c r="I62" i="36"/>
  <c r="J61" i="36"/>
  <c r="K60" i="36" s="1"/>
  <c r="C5" i="80"/>
  <c r="E6" i="80"/>
  <c r="J6" i="80"/>
  <c r="K6" i="80" s="1"/>
  <c r="E6" i="145"/>
  <c r="C5" i="145"/>
  <c r="J6" i="145"/>
  <c r="K6" i="145" s="1"/>
  <c r="E7" i="107"/>
  <c r="C6" i="107"/>
  <c r="BE6" i="2" s="1"/>
  <c r="J7" i="107"/>
  <c r="K7" i="107" s="1"/>
  <c r="K60" i="163"/>
  <c r="K61" i="30"/>
  <c r="K61" i="167"/>
  <c r="J62" i="21"/>
  <c r="K61" i="21" s="1"/>
  <c r="I63" i="21"/>
  <c r="K59" i="69"/>
  <c r="J62" i="155"/>
  <c r="K61" i="155" s="1"/>
  <c r="I63" i="155"/>
  <c r="J4" i="62"/>
  <c r="K4" i="62" s="1"/>
  <c r="E4" i="62"/>
  <c r="C3" i="62"/>
  <c r="N8" i="1"/>
  <c r="K59" i="81"/>
  <c r="K61" i="53"/>
  <c r="I63" i="170"/>
  <c r="J62" i="170"/>
  <c r="K61" i="170" s="1"/>
  <c r="I63" i="169"/>
  <c r="J62" i="169"/>
  <c r="I65" i="48"/>
  <c r="J64" i="48"/>
  <c r="K63" i="48" s="1"/>
  <c r="J63" i="139"/>
  <c r="K62" i="139" s="1"/>
  <c r="I64" i="139"/>
  <c r="IU6" i="2"/>
  <c r="C5" i="156" l="1"/>
  <c r="E6" i="156"/>
  <c r="J6" i="156"/>
  <c r="K6" i="156" s="1"/>
  <c r="E5" i="149"/>
  <c r="C4" i="149"/>
  <c r="J5" i="149"/>
  <c r="K5" i="149" s="1"/>
  <c r="K66" i="134"/>
  <c r="E6" i="130"/>
  <c r="C5" i="130"/>
  <c r="J6" i="130"/>
  <c r="K6" i="130" s="1"/>
  <c r="E6" i="74"/>
  <c r="C5" i="74"/>
  <c r="J6" i="74"/>
  <c r="K6" i="74" s="1"/>
  <c r="K66" i="74"/>
  <c r="C4" i="61"/>
  <c r="J5" i="61"/>
  <c r="K5" i="61" s="1"/>
  <c r="E5" i="61"/>
  <c r="K66" i="61"/>
  <c r="E5" i="59"/>
  <c r="C4" i="59"/>
  <c r="J5" i="59"/>
  <c r="K5" i="59" s="1"/>
  <c r="AI6" i="2"/>
  <c r="AJ6" i="2" s="1"/>
  <c r="K66" i="12"/>
  <c r="E6" i="150"/>
  <c r="C5" i="150"/>
  <c r="J6" i="150"/>
  <c r="K6" i="150" s="1"/>
  <c r="K66" i="133"/>
  <c r="FL6" i="2"/>
  <c r="BF6" i="2"/>
  <c r="GS6" i="2"/>
  <c r="AJ6" i="1"/>
  <c r="I64" i="144"/>
  <c r="J63" i="144"/>
  <c r="K62" i="144" s="1"/>
  <c r="E5" i="80"/>
  <c r="C4" i="80"/>
  <c r="J5" i="80"/>
  <c r="K5" i="80" s="1"/>
  <c r="J65" i="48"/>
  <c r="I66" i="48"/>
  <c r="J62" i="36"/>
  <c r="K61" i="36" s="1"/>
  <c r="I63" i="36"/>
  <c r="I63" i="141"/>
  <c r="J62" i="141"/>
  <c r="I63" i="8"/>
  <c r="J62" i="8"/>
  <c r="K61" i="8" s="1"/>
  <c r="E6" i="172"/>
  <c r="C5" i="172"/>
  <c r="J6" i="172"/>
  <c r="K6" i="172" s="1"/>
  <c r="E2" i="45"/>
  <c r="J2" i="45"/>
  <c r="K2" i="45" s="1"/>
  <c r="J63" i="49"/>
  <c r="K62" i="49" s="1"/>
  <c r="I64" i="49"/>
  <c r="I63" i="100"/>
  <c r="J62" i="100"/>
  <c r="K61" i="100" s="1"/>
  <c r="HD7" i="2"/>
  <c r="K65" i="74"/>
  <c r="E3" i="72"/>
  <c r="C2" i="72"/>
  <c r="J3" i="72"/>
  <c r="K3" i="72" s="1"/>
  <c r="I64" i="151"/>
  <c r="J63" i="151"/>
  <c r="K62" i="151" s="1"/>
  <c r="I65" i="10"/>
  <c r="J64" i="10"/>
  <c r="K63" i="10" s="1"/>
  <c r="I63" i="109"/>
  <c r="J62" i="109"/>
  <c r="DT5" i="2"/>
  <c r="I63" i="90"/>
  <c r="J62" i="90"/>
  <c r="E4" i="60"/>
  <c r="C3" i="60"/>
  <c r="J4" i="60"/>
  <c r="K4" i="60" s="1"/>
  <c r="I64" i="80"/>
  <c r="J63" i="80"/>
  <c r="K62" i="80" s="1"/>
  <c r="I67" i="14"/>
  <c r="J67" i="14" s="1"/>
  <c r="J66" i="14"/>
  <c r="J62" i="146"/>
  <c r="I63" i="146"/>
  <c r="E5" i="48"/>
  <c r="C4" i="48"/>
  <c r="J5" i="48"/>
  <c r="K5" i="48" s="1"/>
  <c r="I63" i="143"/>
  <c r="J62" i="143"/>
  <c r="E6" i="8"/>
  <c r="C5" i="8"/>
  <c r="HC6" i="2"/>
  <c r="BP6" i="1"/>
  <c r="J6" i="8"/>
  <c r="K6" i="8" s="1"/>
  <c r="C2" i="173"/>
  <c r="E3" i="173"/>
  <c r="J3" i="173"/>
  <c r="K3" i="173" s="1"/>
  <c r="J62" i="95"/>
  <c r="I63" i="95"/>
  <c r="J63" i="169"/>
  <c r="I64" i="169"/>
  <c r="E5" i="76"/>
  <c r="C4" i="76"/>
  <c r="J5" i="76"/>
  <c r="K5" i="76" s="1"/>
  <c r="I66" i="51"/>
  <c r="J65" i="51"/>
  <c r="E2" i="160"/>
  <c r="F67" i="160"/>
  <c r="J2" i="160"/>
  <c r="K2" i="160" s="1"/>
  <c r="E4" i="25"/>
  <c r="C3" i="25"/>
  <c r="J4" i="25"/>
  <c r="K4" i="25" s="1"/>
  <c r="J64" i="83"/>
  <c r="I65" i="83"/>
  <c r="I65" i="93"/>
  <c r="J64" i="93"/>
  <c r="I66" i="132"/>
  <c r="J65" i="132"/>
  <c r="I64" i="54"/>
  <c r="J63" i="54"/>
  <c r="K62" i="54" s="1"/>
  <c r="E4" i="4"/>
  <c r="C3" i="4"/>
  <c r="J4" i="4"/>
  <c r="K4" i="4" s="1"/>
  <c r="C2" i="127"/>
  <c r="E3" i="127"/>
  <c r="J3" i="127"/>
  <c r="K3" i="127" s="1"/>
  <c r="C5" i="27"/>
  <c r="E6" i="27"/>
  <c r="J6" i="27"/>
  <c r="K6" i="27" s="1"/>
  <c r="E4" i="64"/>
  <c r="C3" i="64"/>
  <c r="J4" i="64"/>
  <c r="K4" i="64" s="1"/>
  <c r="CM6" i="2"/>
  <c r="E4" i="68"/>
  <c r="C3" i="68"/>
  <c r="J4" i="68"/>
  <c r="K4" i="68" s="1"/>
  <c r="F67" i="111"/>
  <c r="E2" i="111"/>
  <c r="J2" i="111"/>
  <c r="K2" i="111" s="1"/>
  <c r="I65" i="167"/>
  <c r="J64" i="167"/>
  <c r="K64" i="132"/>
  <c r="C3" i="75"/>
  <c r="J4" i="75"/>
  <c r="K4" i="75" s="1"/>
  <c r="E4" i="75"/>
  <c r="BQ7" i="2"/>
  <c r="AU7" i="1"/>
  <c r="I64" i="162"/>
  <c r="J63" i="162"/>
  <c r="J63" i="19"/>
  <c r="K62" i="19" s="1"/>
  <c r="I64" i="19"/>
  <c r="C3" i="67"/>
  <c r="E4" i="67"/>
  <c r="J4" i="67"/>
  <c r="K4" i="67" s="1"/>
  <c r="K63" i="167"/>
  <c r="J64" i="158"/>
  <c r="I65" i="158"/>
  <c r="K62" i="93"/>
  <c r="I67" i="71"/>
  <c r="J67" i="71" s="1"/>
  <c r="J66" i="71"/>
  <c r="C3" i="57"/>
  <c r="E4" i="57"/>
  <c r="J4" i="57"/>
  <c r="K4" i="57" s="1"/>
  <c r="E6" i="100"/>
  <c r="C5" i="100"/>
  <c r="J6" i="100"/>
  <c r="K6" i="100" s="1"/>
  <c r="C5" i="7"/>
  <c r="J6" i="7"/>
  <c r="K6" i="7" s="1"/>
  <c r="E6" i="7"/>
  <c r="AT6" i="1"/>
  <c r="I63" i="112"/>
  <c r="J62" i="112"/>
  <c r="K66" i="46"/>
  <c r="J65" i="107"/>
  <c r="I66" i="107"/>
  <c r="E4" i="167"/>
  <c r="C3" i="167"/>
  <c r="J4" i="167"/>
  <c r="K4" i="167" s="1"/>
  <c r="E5" i="119"/>
  <c r="C4" i="119"/>
  <c r="J5" i="119"/>
  <c r="K5" i="119" s="1"/>
  <c r="E5" i="63"/>
  <c r="C4" i="63"/>
  <c r="J5" i="63"/>
  <c r="K5" i="63" s="1"/>
  <c r="K66" i="15"/>
  <c r="E6" i="52"/>
  <c r="C5" i="52"/>
  <c r="BP6" i="2"/>
  <c r="J6" i="52"/>
  <c r="K6" i="52" s="1"/>
  <c r="I65" i="149"/>
  <c r="J64" i="149"/>
  <c r="K63" i="149" s="1"/>
  <c r="J65" i="172"/>
  <c r="K64" i="172" s="1"/>
  <c r="I66" i="172"/>
  <c r="C3" i="161"/>
  <c r="E4" i="161"/>
  <c r="J4" i="161"/>
  <c r="K4" i="161" s="1"/>
  <c r="C2" i="120"/>
  <c r="E3" i="120"/>
  <c r="J3" i="120"/>
  <c r="K3" i="120" s="1"/>
  <c r="C4" i="114"/>
  <c r="E5" i="114"/>
  <c r="J5" i="114"/>
  <c r="K5" i="114" s="1"/>
  <c r="K61" i="112"/>
  <c r="C2" i="37"/>
  <c r="J3" i="37"/>
  <c r="K3" i="37" s="1"/>
  <c r="E3" i="37"/>
  <c r="I66" i="77"/>
  <c r="J65" i="77"/>
  <c r="I64" i="4"/>
  <c r="J63" i="4"/>
  <c r="K62" i="4" s="1"/>
  <c r="I64" i="126"/>
  <c r="J63" i="126"/>
  <c r="I64" i="153"/>
  <c r="J63" i="153"/>
  <c r="K62" i="153" s="1"/>
  <c r="I66" i="62"/>
  <c r="J65" i="62"/>
  <c r="K64" i="62" s="1"/>
  <c r="C3" i="54"/>
  <c r="E4" i="54"/>
  <c r="J4" i="54"/>
  <c r="K4" i="54" s="1"/>
  <c r="C4" i="78"/>
  <c r="E5" i="78"/>
  <c r="J5" i="78"/>
  <c r="K5" i="78" s="1"/>
  <c r="I64" i="31"/>
  <c r="J63" i="31"/>
  <c r="K62" i="31" s="1"/>
  <c r="K64" i="77"/>
  <c r="I65" i="18"/>
  <c r="J64" i="18"/>
  <c r="K63" i="18" s="1"/>
  <c r="K62" i="167"/>
  <c r="I64" i="103"/>
  <c r="J63" i="103"/>
  <c r="K62" i="103" s="1"/>
  <c r="C5" i="49"/>
  <c r="E6" i="49"/>
  <c r="J6" i="49"/>
  <c r="K6" i="49" s="1"/>
  <c r="J62" i="130"/>
  <c r="K61" i="130" s="1"/>
  <c r="I63" i="130"/>
  <c r="K62" i="126"/>
  <c r="K62" i="83"/>
  <c r="C3" i="148"/>
  <c r="E4" i="148"/>
  <c r="J4" i="148"/>
  <c r="K4" i="148" s="1"/>
  <c r="I64" i="53"/>
  <c r="J63" i="53"/>
  <c r="C4" i="36"/>
  <c r="E5" i="36"/>
  <c r="J5" i="36"/>
  <c r="K5" i="36" s="1"/>
  <c r="E5" i="95"/>
  <c r="C4" i="95"/>
  <c r="J5" i="95"/>
  <c r="K5" i="95" s="1"/>
  <c r="E5" i="79"/>
  <c r="C4" i="79"/>
  <c r="J5" i="79"/>
  <c r="K5" i="79" s="1"/>
  <c r="E4" i="5"/>
  <c r="C3" i="5"/>
  <c r="J4" i="5"/>
  <c r="K4" i="5" s="1"/>
  <c r="E3" i="84"/>
  <c r="C2" i="84"/>
  <c r="J3" i="84"/>
  <c r="K3" i="84" s="1"/>
  <c r="E5" i="164"/>
  <c r="C4" i="164"/>
  <c r="J5" i="164"/>
  <c r="K5" i="164" s="1"/>
  <c r="J65" i="29"/>
  <c r="K64" i="29" s="1"/>
  <c r="I66" i="29"/>
  <c r="K64" i="128"/>
  <c r="K65" i="61"/>
  <c r="E6" i="3"/>
  <c r="C5" i="3"/>
  <c r="J6" i="3"/>
  <c r="K6" i="3" s="1"/>
  <c r="K62" i="5"/>
  <c r="K62" i="123"/>
  <c r="J62" i="91"/>
  <c r="K61" i="91" s="1"/>
  <c r="I63" i="91"/>
  <c r="C3" i="139"/>
  <c r="E4" i="139"/>
  <c r="J4" i="139"/>
  <c r="K4" i="139" s="1"/>
  <c r="J65" i="128"/>
  <c r="I66" i="128"/>
  <c r="C4" i="20"/>
  <c r="E5" i="20"/>
  <c r="J5" i="20"/>
  <c r="K5" i="20" s="1"/>
  <c r="J2" i="165"/>
  <c r="K2" i="165" s="1"/>
  <c r="E2" i="165"/>
  <c r="F67" i="165"/>
  <c r="J63" i="5"/>
  <c r="I64" i="5"/>
  <c r="E4" i="11"/>
  <c r="C3" i="11"/>
  <c r="J4" i="11"/>
  <c r="K4" i="11" s="1"/>
  <c r="I64" i="123"/>
  <c r="J63" i="123"/>
  <c r="K66" i="75"/>
  <c r="C4" i="21"/>
  <c r="E5" i="21"/>
  <c r="J5" i="21"/>
  <c r="K5" i="21" s="1"/>
  <c r="E2" i="43"/>
  <c r="J2" i="43"/>
  <c r="K2" i="43" s="1"/>
  <c r="N7" i="1"/>
  <c r="I64" i="87"/>
  <c r="J63" i="87"/>
  <c r="K62" i="87" s="1"/>
  <c r="E6" i="90"/>
  <c r="C5" i="90"/>
  <c r="J6" i="90"/>
  <c r="K6" i="90" s="1"/>
  <c r="I66" i="152"/>
  <c r="J65" i="152"/>
  <c r="K64" i="152" s="1"/>
  <c r="F67" i="102"/>
  <c r="E2" i="102"/>
  <c r="J2" i="102"/>
  <c r="K2" i="102" s="1"/>
  <c r="I64" i="57"/>
  <c r="J63" i="57"/>
  <c r="C4" i="41"/>
  <c r="E5" i="41"/>
  <c r="J5" i="41"/>
  <c r="K5" i="41" s="1"/>
  <c r="K63" i="62"/>
  <c r="E4" i="99"/>
  <c r="C3" i="99"/>
  <c r="J4" i="99"/>
  <c r="K4" i="99" s="1"/>
  <c r="AU7" i="2"/>
  <c r="C4" i="101"/>
  <c r="E5" i="101"/>
  <c r="J5" i="101"/>
  <c r="K5" i="101" s="1"/>
  <c r="E6" i="28"/>
  <c r="C5" i="28"/>
  <c r="J6" i="28"/>
  <c r="K6" i="28" s="1"/>
  <c r="J63" i="56"/>
  <c r="I64" i="56"/>
  <c r="Y7" i="2"/>
  <c r="J64" i="60"/>
  <c r="K63" i="60" s="1"/>
  <c r="I65" i="60"/>
  <c r="I64" i="20"/>
  <c r="J63" i="20"/>
  <c r="I64" i="39"/>
  <c r="J63" i="39"/>
  <c r="E3" i="47"/>
  <c r="C2" i="47"/>
  <c r="J3" i="47"/>
  <c r="K3" i="47" s="1"/>
  <c r="K61" i="109"/>
  <c r="J63" i="138"/>
  <c r="K62" i="138" s="1"/>
  <c r="I64" i="138"/>
  <c r="BF7" i="2"/>
  <c r="E5" i="38"/>
  <c r="C4" i="38"/>
  <c r="J5" i="38"/>
  <c r="K5" i="38" s="1"/>
  <c r="FA6" i="2"/>
  <c r="C2" i="123"/>
  <c r="E3" i="123"/>
  <c r="J3" i="123"/>
  <c r="K3" i="123" s="1"/>
  <c r="E6" i="92"/>
  <c r="C5" i="92"/>
  <c r="J6" i="92"/>
  <c r="K6" i="92" s="1"/>
  <c r="J62" i="105"/>
  <c r="K61" i="105" s="1"/>
  <c r="I63" i="105"/>
  <c r="I65" i="68"/>
  <c r="J64" i="68"/>
  <c r="K63" i="68" s="1"/>
  <c r="E4" i="17"/>
  <c r="C3" i="17"/>
  <c r="J4" i="17"/>
  <c r="K4" i="17" s="1"/>
  <c r="C5" i="50"/>
  <c r="E6" i="50"/>
  <c r="AT6" i="2"/>
  <c r="J6" i="50"/>
  <c r="K6" i="50" s="1"/>
  <c r="K62" i="86"/>
  <c r="E4" i="144"/>
  <c r="C3" i="144"/>
  <c r="J4" i="144"/>
  <c r="K4" i="144" s="1"/>
  <c r="K63" i="25"/>
  <c r="HN6" i="2"/>
  <c r="E6" i="174"/>
  <c r="C5" i="174"/>
  <c r="J6" i="174"/>
  <c r="K6" i="174" s="1"/>
  <c r="J63" i="106"/>
  <c r="K62" i="106" s="1"/>
  <c r="I64" i="106"/>
  <c r="J63" i="70"/>
  <c r="I64" i="70"/>
  <c r="I66" i="16"/>
  <c r="J65" i="16"/>
  <c r="K64" i="16" s="1"/>
  <c r="C4" i="134"/>
  <c r="E5" i="134"/>
  <c r="EZ5" i="2"/>
  <c r="J5" i="134"/>
  <c r="K5" i="134" s="1"/>
  <c r="J62" i="65"/>
  <c r="I63" i="65"/>
  <c r="J63" i="86"/>
  <c r="I64" i="86"/>
  <c r="E3" i="73"/>
  <c r="C2" i="73"/>
  <c r="J3" i="73"/>
  <c r="K3" i="73" s="1"/>
  <c r="I65" i="25"/>
  <c r="J64" i="25"/>
  <c r="I63" i="171"/>
  <c r="J62" i="171"/>
  <c r="J64" i="72"/>
  <c r="K63" i="72" s="1"/>
  <c r="I65" i="72"/>
  <c r="J62" i="166"/>
  <c r="K61" i="166" s="1"/>
  <c r="I63" i="166"/>
  <c r="I65" i="99"/>
  <c r="J64" i="99"/>
  <c r="E6" i="12"/>
  <c r="C5" i="12"/>
  <c r="M6" i="1"/>
  <c r="X6" i="2"/>
  <c r="J6" i="12"/>
  <c r="K6" i="12" s="1"/>
  <c r="E6" i="93"/>
  <c r="C5" i="93"/>
  <c r="J6" i="93"/>
  <c r="K6" i="93" s="1"/>
  <c r="C4" i="10"/>
  <c r="E5" i="10"/>
  <c r="J5" i="10"/>
  <c r="K5" i="10" s="1"/>
  <c r="K63" i="63"/>
  <c r="E3" i="85"/>
  <c r="C2" i="85"/>
  <c r="J3" i="85"/>
  <c r="K3" i="85" s="1"/>
  <c r="I66" i="136"/>
  <c r="J65" i="136"/>
  <c r="K64" i="136" s="1"/>
  <c r="J62" i="160"/>
  <c r="K61" i="160" s="1"/>
  <c r="I63" i="160"/>
  <c r="K63" i="99"/>
  <c r="C3" i="103"/>
  <c r="E4" i="103"/>
  <c r="J4" i="103"/>
  <c r="K4" i="103" s="1"/>
  <c r="J65" i="89"/>
  <c r="I66" i="89"/>
  <c r="E4" i="19"/>
  <c r="C3" i="19"/>
  <c r="J4" i="19"/>
  <c r="K4" i="19" s="1"/>
  <c r="HZ6" i="2"/>
  <c r="IK6" i="2"/>
  <c r="J64" i="63"/>
  <c r="I65" i="63"/>
  <c r="K62" i="18"/>
  <c r="J65" i="117"/>
  <c r="I66" i="117"/>
  <c r="I64" i="50"/>
  <c r="J63" i="50"/>
  <c r="K62" i="149"/>
  <c r="FW7" i="2"/>
  <c r="C4" i="140"/>
  <c r="E5" i="140"/>
  <c r="J5" i="140"/>
  <c r="K5" i="140" s="1"/>
  <c r="C4" i="89"/>
  <c r="E5" i="89"/>
  <c r="J5" i="89"/>
  <c r="K5" i="89" s="1"/>
  <c r="I63" i="58"/>
  <c r="J62" i="58"/>
  <c r="K65" i="12"/>
  <c r="EE7" i="2"/>
  <c r="E6" i="55"/>
  <c r="C5" i="55"/>
  <c r="J6" i="55"/>
  <c r="K6" i="55" s="1"/>
  <c r="E4" i="83"/>
  <c r="C3" i="83"/>
  <c r="J4" i="83"/>
  <c r="K4" i="83" s="1"/>
  <c r="E3" i="106"/>
  <c r="C2" i="106"/>
  <c r="J3" i="106"/>
  <c r="K3" i="106" s="1"/>
  <c r="E6" i="121"/>
  <c r="C5" i="121"/>
  <c r="J6" i="121"/>
  <c r="K6" i="121" s="1"/>
  <c r="E3" i="171"/>
  <c r="C2" i="171"/>
  <c r="J3" i="171"/>
  <c r="K3" i="171" s="1"/>
  <c r="J66" i="27"/>
  <c r="K65" i="27" s="1"/>
  <c r="I67" i="27"/>
  <c r="J67" i="27" s="1"/>
  <c r="I66" i="98"/>
  <c r="J65" i="98"/>
  <c r="K64" i="98" s="1"/>
  <c r="J63" i="137"/>
  <c r="K62" i="137" s="1"/>
  <c r="I64" i="137"/>
  <c r="K62" i="50"/>
  <c r="C5" i="155"/>
  <c r="CL5" i="2" s="1"/>
  <c r="E6" i="155"/>
  <c r="J6" i="155"/>
  <c r="K6" i="155" s="1"/>
  <c r="K61" i="153"/>
  <c r="K66" i="7"/>
  <c r="J65" i="156"/>
  <c r="K64" i="156" s="1"/>
  <c r="I66" i="156"/>
  <c r="I64" i="21"/>
  <c r="J63" i="21"/>
  <c r="K62" i="21" s="1"/>
  <c r="GS7" i="2"/>
  <c r="E6" i="109"/>
  <c r="C5" i="109"/>
  <c r="ED6" i="2"/>
  <c r="J6" i="109"/>
  <c r="K6" i="109" s="1"/>
  <c r="K63" i="51"/>
  <c r="K66" i="145"/>
  <c r="E5" i="169"/>
  <c r="C4" i="169"/>
  <c r="J5" i="169"/>
  <c r="K5" i="169" s="1"/>
  <c r="C4" i="117"/>
  <c r="E5" i="117"/>
  <c r="J5" i="117"/>
  <c r="K5" i="117" s="1"/>
  <c r="J62" i="140"/>
  <c r="I63" i="140"/>
  <c r="E6" i="42"/>
  <c r="C5" i="42"/>
  <c r="J6" i="42"/>
  <c r="K6" i="42" s="1"/>
  <c r="FV6" i="2"/>
  <c r="I67" i="82"/>
  <c r="J67" i="82" s="1"/>
  <c r="J66" i="82"/>
  <c r="I66" i="26"/>
  <c r="J65" i="26"/>
  <c r="E5" i="147"/>
  <c r="C4" i="147"/>
  <c r="J5" i="147"/>
  <c r="K5" i="147" s="1"/>
  <c r="I65" i="159"/>
  <c r="J64" i="159"/>
  <c r="F67" i="105"/>
  <c r="E2" i="105"/>
  <c r="J2" i="105"/>
  <c r="K2" i="105" s="1"/>
  <c r="I63" i="35"/>
  <c r="J62" i="35"/>
  <c r="K61" i="35" s="1"/>
  <c r="E6" i="170"/>
  <c r="C5" i="170"/>
  <c r="J6" i="170"/>
  <c r="K6" i="170" s="1"/>
  <c r="J64" i="113"/>
  <c r="K63" i="113" s="1"/>
  <c r="I65" i="113"/>
  <c r="C5" i="58"/>
  <c r="E6" i="58"/>
  <c r="J6" i="58"/>
  <c r="K6" i="58" s="1"/>
  <c r="K63" i="159"/>
  <c r="D45" i="1"/>
  <c r="Z45" i="1"/>
  <c r="O45" i="1"/>
  <c r="BR45" i="1"/>
  <c r="AV45" i="1"/>
  <c r="CC45" i="1"/>
  <c r="AK45" i="1"/>
  <c r="C4" i="154"/>
  <c r="E5" i="154"/>
  <c r="J5" i="154"/>
  <c r="K5" i="154" s="1"/>
  <c r="IJ5" i="2"/>
  <c r="C4" i="142"/>
  <c r="E5" i="142"/>
  <c r="J5" i="142"/>
  <c r="K5" i="142" s="1"/>
  <c r="J62" i="96"/>
  <c r="K61" i="96" s="1"/>
  <c r="I63" i="96"/>
  <c r="I67" i="32"/>
  <c r="J67" i="32" s="1"/>
  <c r="J66" i="32"/>
  <c r="K65" i="32" s="1"/>
  <c r="J63" i="116"/>
  <c r="K62" i="116" s="1"/>
  <c r="I64" i="116"/>
  <c r="E3" i="115"/>
  <c r="C2" i="115"/>
  <c r="J3" i="115"/>
  <c r="K3" i="115" s="1"/>
  <c r="I63" i="43"/>
  <c r="J62" i="43"/>
  <c r="K61" i="43" s="1"/>
  <c r="K61" i="70"/>
  <c r="J63" i="108"/>
  <c r="I64" i="108"/>
  <c r="K60" i="96"/>
  <c r="C5" i="53"/>
  <c r="E6" i="53"/>
  <c r="J6" i="53"/>
  <c r="K6" i="53" s="1"/>
  <c r="I63" i="64"/>
  <c r="J62" i="64"/>
  <c r="D45" i="2"/>
  <c r="CY45" i="2"/>
  <c r="DU45" i="2"/>
  <c r="CN45" i="2"/>
  <c r="EQ45" i="2"/>
  <c r="HP45" i="2"/>
  <c r="IW45" i="2"/>
  <c r="CC45" i="2"/>
  <c r="O45" i="2"/>
  <c r="IA45" i="2"/>
  <c r="FB45" i="2"/>
  <c r="DJ45" i="2"/>
  <c r="FM45" i="2"/>
  <c r="IL45" i="2"/>
  <c r="FX45" i="2"/>
  <c r="BG45" i="2"/>
  <c r="EF45" i="2"/>
  <c r="BR45" i="2"/>
  <c r="AK45" i="2"/>
  <c r="HE45" i="2"/>
  <c r="AV45" i="2"/>
  <c r="Z45" i="2"/>
  <c r="GT45" i="2"/>
  <c r="J63" i="121"/>
  <c r="K62" i="121" s="1"/>
  <c r="I64" i="121"/>
  <c r="K65" i="133"/>
  <c r="I64" i="170"/>
  <c r="J63" i="170"/>
  <c r="J65" i="135"/>
  <c r="I66" i="135"/>
  <c r="K61" i="108"/>
  <c r="I63" i="110"/>
  <c r="J62" i="110"/>
  <c r="J63" i="97"/>
  <c r="I64" i="97"/>
  <c r="I65" i="23"/>
  <c r="J64" i="23"/>
  <c r="K63" i="23" s="1"/>
  <c r="E5" i="35"/>
  <c r="C4" i="35"/>
  <c r="J5" i="35"/>
  <c r="K5" i="35" s="1"/>
  <c r="E5" i="153"/>
  <c r="C4" i="153"/>
  <c r="J5" i="153"/>
  <c r="K5" i="153" s="1"/>
  <c r="BG45" i="1"/>
  <c r="BF45" i="1"/>
  <c r="K63" i="118"/>
  <c r="K62" i="99"/>
  <c r="E3" i="40"/>
  <c r="C2" i="40"/>
  <c r="J3" i="40"/>
  <c r="K3" i="40" s="1"/>
  <c r="I64" i="154"/>
  <c r="J63" i="154"/>
  <c r="K62" i="154" s="1"/>
  <c r="CB7" i="1"/>
  <c r="J64" i="66"/>
  <c r="K63" i="66" s="1"/>
  <c r="I65" i="66"/>
  <c r="K61" i="110"/>
  <c r="K63" i="92"/>
  <c r="K62" i="97"/>
  <c r="K61" i="97"/>
  <c r="C4" i="162"/>
  <c r="E5" i="162"/>
  <c r="J5" i="162"/>
  <c r="K5" i="162" s="1"/>
  <c r="C3" i="137"/>
  <c r="E4" i="137"/>
  <c r="J4" i="137"/>
  <c r="K4" i="137" s="1"/>
  <c r="GI45" i="2"/>
  <c r="GH45" i="2"/>
  <c r="I65" i="118"/>
  <c r="J64" i="118"/>
  <c r="EO6" i="2"/>
  <c r="C5" i="56"/>
  <c r="E6" i="56"/>
  <c r="J6" i="56"/>
  <c r="K6" i="56" s="1"/>
  <c r="I63" i="40"/>
  <c r="J62" i="40"/>
  <c r="K61" i="40" s="1"/>
  <c r="HZ7" i="2"/>
  <c r="C5" i="6"/>
  <c r="IU5" i="2" s="1"/>
  <c r="E6" i="6"/>
  <c r="CA6" i="1"/>
  <c r="I65" i="92"/>
  <c r="J64" i="92"/>
  <c r="K62" i="168"/>
  <c r="I64" i="52"/>
  <c r="J63" i="52"/>
  <c r="K62" i="52" s="1"/>
  <c r="C5" i="91"/>
  <c r="E6" i="91"/>
  <c r="J6" i="91"/>
  <c r="K6" i="91" s="1"/>
  <c r="I66" i="101"/>
  <c r="J65" i="101"/>
  <c r="K63" i="172"/>
  <c r="E44" i="24"/>
  <c r="C43" i="24"/>
  <c r="GG44" i="2"/>
  <c r="BE44" i="1"/>
  <c r="C44" i="2"/>
  <c r="C44" i="1"/>
  <c r="J44" i="24"/>
  <c r="K44" i="24" s="1"/>
  <c r="E5" i="132"/>
  <c r="C4" i="132"/>
  <c r="J5" i="132"/>
  <c r="K5" i="132" s="1"/>
  <c r="E5" i="97"/>
  <c r="C4" i="97"/>
  <c r="EO5" i="2"/>
  <c r="J5" i="97"/>
  <c r="K5" i="97" s="1"/>
  <c r="K60" i="166"/>
  <c r="J62" i="38"/>
  <c r="I63" i="38"/>
  <c r="DI6" i="2"/>
  <c r="E6" i="107"/>
  <c r="C5" i="107"/>
  <c r="J6" i="107"/>
  <c r="K6" i="107" s="1"/>
  <c r="I67" i="22"/>
  <c r="J67" i="22" s="1"/>
  <c r="J66" i="22"/>
  <c r="E4" i="65"/>
  <c r="C3" i="65"/>
  <c r="J4" i="65"/>
  <c r="K4" i="65" s="1"/>
  <c r="C4" i="71"/>
  <c r="J5" i="71"/>
  <c r="K5" i="71" s="1"/>
  <c r="E5" i="71"/>
  <c r="J65" i="164"/>
  <c r="K64" i="164" s="1"/>
  <c r="I66" i="164"/>
  <c r="E5" i="122"/>
  <c r="C4" i="122"/>
  <c r="J5" i="122"/>
  <c r="K5" i="122" s="1"/>
  <c r="C2" i="26"/>
  <c r="E3" i="26"/>
  <c r="J3" i="26"/>
  <c r="K3" i="26" s="1"/>
  <c r="C3" i="66"/>
  <c r="E4" i="66"/>
  <c r="J4" i="66"/>
  <c r="K4" i="66" s="1"/>
  <c r="I65" i="37"/>
  <c r="J64" i="37"/>
  <c r="J63" i="168"/>
  <c r="I64" i="168"/>
  <c r="K61" i="54"/>
  <c r="I64" i="111"/>
  <c r="J63" i="111"/>
  <c r="K60" i="130"/>
  <c r="CA6" i="2"/>
  <c r="CW5" i="2"/>
  <c r="K63" i="136"/>
  <c r="J62" i="81"/>
  <c r="I63" i="81"/>
  <c r="J62" i="125"/>
  <c r="K61" i="125" s="1"/>
  <c r="I63" i="125"/>
  <c r="J62" i="47"/>
  <c r="I63" i="47"/>
  <c r="C4" i="133"/>
  <c r="E5" i="133"/>
  <c r="J5" i="133"/>
  <c r="K5" i="133" s="1"/>
  <c r="DH5" i="2"/>
  <c r="E5" i="108"/>
  <c r="C4" i="108"/>
  <c r="J5" i="108"/>
  <c r="K5" i="108" s="1"/>
  <c r="K61" i="5"/>
  <c r="E5" i="31"/>
  <c r="C4" i="31"/>
  <c r="CA5" i="2"/>
  <c r="J5" i="31"/>
  <c r="K5" i="31" s="1"/>
  <c r="E4" i="112"/>
  <c r="C3" i="112"/>
  <c r="J4" i="112"/>
  <c r="K4" i="112" s="1"/>
  <c r="I64" i="73"/>
  <c r="J63" i="73"/>
  <c r="K62" i="73" s="1"/>
  <c r="J66" i="42"/>
  <c r="I67" i="42"/>
  <c r="J67" i="42" s="1"/>
  <c r="E5" i="88"/>
  <c r="C4" i="88"/>
  <c r="FK5" i="2"/>
  <c r="J5" i="88"/>
  <c r="K5" i="88" s="1"/>
  <c r="I64" i="114"/>
  <c r="J63" i="114"/>
  <c r="K62" i="114" s="1"/>
  <c r="E6" i="14"/>
  <c r="C5" i="14"/>
  <c r="J6" i="14"/>
  <c r="K6" i="14" s="1"/>
  <c r="K65" i="46"/>
  <c r="J62" i="120"/>
  <c r="K61" i="120" s="1"/>
  <c r="I63" i="120"/>
  <c r="K62" i="10"/>
  <c r="E5" i="96"/>
  <c r="C4" i="96"/>
  <c r="J5" i="96"/>
  <c r="K5" i="96" s="1"/>
  <c r="E4" i="126"/>
  <c r="C3" i="126"/>
  <c r="J4" i="126"/>
  <c r="K4" i="126" s="1"/>
  <c r="K62" i="158"/>
  <c r="I65" i="28"/>
  <c r="J64" i="28"/>
  <c r="K62" i="68"/>
  <c r="E5" i="44"/>
  <c r="C4" i="44"/>
  <c r="J5" i="44"/>
  <c r="K5" i="44" s="1"/>
  <c r="C4" i="77"/>
  <c r="E5" i="77"/>
  <c r="J5" i="77"/>
  <c r="K5" i="77" s="1"/>
  <c r="C4" i="125"/>
  <c r="E5" i="125"/>
  <c r="J5" i="125"/>
  <c r="K5" i="125" s="1"/>
  <c r="C3" i="18"/>
  <c r="E4" i="18"/>
  <c r="J4" i="18"/>
  <c r="K4" i="18" s="1"/>
  <c r="K63" i="142"/>
  <c r="E3" i="141"/>
  <c r="C2" i="141"/>
  <c r="J3" i="141"/>
  <c r="K3" i="141" s="1"/>
  <c r="E4" i="81"/>
  <c r="C3" i="81"/>
  <c r="J4" i="81"/>
  <c r="K4" i="81" s="1"/>
  <c r="I65" i="124"/>
  <c r="J64" i="124"/>
  <c r="K63" i="124" s="1"/>
  <c r="E4" i="118"/>
  <c r="C3" i="118"/>
  <c r="J4" i="118"/>
  <c r="K4" i="118" s="1"/>
  <c r="I64" i="84"/>
  <c r="J63" i="84"/>
  <c r="K62" i="84" s="1"/>
  <c r="K63" i="26"/>
  <c r="E3" i="86"/>
  <c r="C2" i="86"/>
  <c r="J3" i="86"/>
  <c r="K3" i="86" s="1"/>
  <c r="E3" i="163"/>
  <c r="C2" i="163"/>
  <c r="J3" i="163"/>
  <c r="K3" i="163" s="1"/>
  <c r="K62" i="3"/>
  <c r="J65" i="9"/>
  <c r="K64" i="9" s="1"/>
  <c r="I66" i="9"/>
  <c r="K65" i="24"/>
  <c r="I64" i="104"/>
  <c r="J63" i="104"/>
  <c r="I64" i="76"/>
  <c r="J63" i="76"/>
  <c r="K62" i="76" s="1"/>
  <c r="E6" i="152"/>
  <c r="C5" i="152"/>
  <c r="M5" i="2" s="1"/>
  <c r="J6" i="152"/>
  <c r="K6" i="152" s="1"/>
  <c r="C3" i="94"/>
  <c r="E4" i="94"/>
  <c r="J4" i="94"/>
  <c r="K4" i="94" s="1"/>
  <c r="K63" i="132"/>
  <c r="J62" i="34"/>
  <c r="K61" i="34" s="1"/>
  <c r="I63" i="34"/>
  <c r="I65" i="157"/>
  <c r="J64" i="157"/>
  <c r="AJ7" i="1"/>
  <c r="I65" i="165"/>
  <c r="J64" i="165"/>
  <c r="Y7" i="1"/>
  <c r="C4" i="23"/>
  <c r="E5" i="23"/>
  <c r="J5" i="23"/>
  <c r="K5" i="23" s="1"/>
  <c r="M6" i="2"/>
  <c r="J63" i="3"/>
  <c r="I64" i="3"/>
  <c r="J62" i="17"/>
  <c r="I63" i="17"/>
  <c r="K62" i="170"/>
  <c r="E4" i="129"/>
  <c r="C3" i="129"/>
  <c r="J4" i="129"/>
  <c r="K4" i="129" s="1"/>
  <c r="DS4" i="2"/>
  <c r="I66" i="142"/>
  <c r="J65" i="142"/>
  <c r="I66" i="78"/>
  <c r="J65" i="78"/>
  <c r="C4" i="70"/>
  <c r="E5" i="70"/>
  <c r="J5" i="70"/>
  <c r="K5" i="70" s="1"/>
  <c r="C2" i="51"/>
  <c r="E3" i="51"/>
  <c r="J3" i="51"/>
  <c r="K3" i="51" s="1"/>
  <c r="K61" i="39"/>
  <c r="E5" i="13"/>
  <c r="C4" i="13"/>
  <c r="J5" i="13"/>
  <c r="K5" i="13" s="1"/>
  <c r="K62" i="104"/>
  <c r="E4" i="16"/>
  <c r="C3" i="16"/>
  <c r="J4" i="16"/>
  <c r="K4" i="16" s="1"/>
  <c r="K61" i="144"/>
  <c r="C2" i="168"/>
  <c r="E3" i="168"/>
  <c r="J3" i="168"/>
  <c r="K3" i="168" s="1"/>
  <c r="K63" i="98"/>
  <c r="E4" i="113"/>
  <c r="C3" i="113"/>
  <c r="J4" i="113"/>
  <c r="K4" i="113" s="1"/>
  <c r="K62" i="124"/>
  <c r="J62" i="102"/>
  <c r="I63" i="102"/>
  <c r="E3" i="69"/>
  <c r="C2" i="69"/>
  <c r="J3" i="69"/>
  <c r="K3" i="69" s="1"/>
  <c r="I64" i="33"/>
  <c r="J63" i="33"/>
  <c r="K62" i="33" s="1"/>
  <c r="C4" i="33"/>
  <c r="E5" i="33"/>
  <c r="J5" i="33"/>
  <c r="K5" i="33" s="1"/>
  <c r="I63" i="45"/>
  <c r="J62" i="45"/>
  <c r="K61" i="45" s="1"/>
  <c r="J65" i="127"/>
  <c r="I66" i="127"/>
  <c r="C2" i="159"/>
  <c r="J3" i="159"/>
  <c r="K3" i="159" s="1"/>
  <c r="E3" i="159"/>
  <c r="K63" i="107"/>
  <c r="J66" i="24"/>
  <c r="E4" i="9"/>
  <c r="C3" i="9"/>
  <c r="J4" i="9"/>
  <c r="K4" i="9" s="1"/>
  <c r="I67" i="79"/>
  <c r="J67" i="79" s="1"/>
  <c r="J66" i="79"/>
  <c r="I64" i="85"/>
  <c r="J63" i="85"/>
  <c r="K62" i="85" s="1"/>
  <c r="C2" i="39"/>
  <c r="E3" i="39"/>
  <c r="J3" i="39"/>
  <c r="K3" i="39" s="1"/>
  <c r="I65" i="173"/>
  <c r="J64" i="173"/>
  <c r="K63" i="173" s="1"/>
  <c r="K61" i="138"/>
  <c r="K60" i="64"/>
  <c r="K61" i="102"/>
  <c r="I65" i="44"/>
  <c r="J64" i="44"/>
  <c r="K63" i="44" s="1"/>
  <c r="I63" i="174"/>
  <c r="J62" i="174"/>
  <c r="I64" i="161"/>
  <c r="J63" i="161"/>
  <c r="E3" i="62"/>
  <c r="C2" i="62"/>
  <c r="J3" i="62"/>
  <c r="K3" i="62" s="1"/>
  <c r="I64" i="155"/>
  <c r="J63" i="155"/>
  <c r="I63" i="148"/>
  <c r="J62" i="148"/>
  <c r="I65" i="129"/>
  <c r="J64" i="129"/>
  <c r="K63" i="129" s="1"/>
  <c r="K61" i="148"/>
  <c r="IV6" i="2"/>
  <c r="I66" i="13"/>
  <c r="J65" i="13"/>
  <c r="K64" i="13" s="1"/>
  <c r="I66" i="122"/>
  <c r="J65" i="122"/>
  <c r="C5" i="136"/>
  <c r="E6" i="136"/>
  <c r="J6" i="136"/>
  <c r="K6" i="136" s="1"/>
  <c r="E5" i="151"/>
  <c r="C4" i="151"/>
  <c r="J5" i="151"/>
  <c r="K5" i="151" s="1"/>
  <c r="J63" i="131"/>
  <c r="K62" i="131" s="1"/>
  <c r="I64" i="131"/>
  <c r="K60" i="34"/>
  <c r="K61" i="154"/>
  <c r="I63" i="69"/>
  <c r="J62" i="69"/>
  <c r="E6" i="29"/>
  <c r="C5" i="29"/>
  <c r="J6" i="29"/>
  <c r="K6" i="29" s="1"/>
  <c r="X6" i="1"/>
  <c r="K60" i="35"/>
  <c r="E4" i="128"/>
  <c r="C3" i="128"/>
  <c r="J4" i="128"/>
  <c r="K4" i="128" s="1"/>
  <c r="I65" i="30"/>
  <c r="J64" i="30"/>
  <c r="K63" i="30" s="1"/>
  <c r="J2" i="131"/>
  <c r="K2" i="131" s="1"/>
  <c r="E2" i="131"/>
  <c r="F67" i="131"/>
  <c r="E5" i="145"/>
  <c r="C4" i="145"/>
  <c r="CW4" i="2" s="1"/>
  <c r="J5" i="145"/>
  <c r="K5" i="145" s="1"/>
  <c r="I63" i="163"/>
  <c r="J62" i="163"/>
  <c r="K64" i="24"/>
  <c r="J66" i="94"/>
  <c r="I67" i="94"/>
  <c r="J67" i="94" s="1"/>
  <c r="IV7" i="2"/>
  <c r="I63" i="11"/>
  <c r="J62" i="11"/>
  <c r="E6" i="158"/>
  <c r="C5" i="158"/>
  <c r="J6" i="158"/>
  <c r="K6" i="158" s="1"/>
  <c r="K60" i="146"/>
  <c r="E6" i="143"/>
  <c r="C5" i="143"/>
  <c r="J6" i="143"/>
  <c r="K6" i="143" s="1"/>
  <c r="E4" i="116"/>
  <c r="C3" i="116"/>
  <c r="J4" i="116"/>
  <c r="K4" i="116" s="1"/>
  <c r="K61" i="116"/>
  <c r="C3" i="135"/>
  <c r="J4" i="135"/>
  <c r="K4" i="135" s="1"/>
  <c r="E4" i="135"/>
  <c r="K61" i="123"/>
  <c r="K64" i="82"/>
  <c r="E2" i="34"/>
  <c r="J2" i="34"/>
  <c r="K2" i="34" s="1"/>
  <c r="C3" i="22"/>
  <c r="E4" i="22"/>
  <c r="J4" i="22"/>
  <c r="K4" i="22" s="1"/>
  <c r="C2" i="124"/>
  <c r="J3" i="124"/>
  <c r="K3" i="124" s="1"/>
  <c r="E3" i="124"/>
  <c r="I65" i="139"/>
  <c r="J64" i="139"/>
  <c r="K63" i="139" s="1"/>
  <c r="I64" i="67"/>
  <c r="J63" i="67"/>
  <c r="K62" i="67" s="1"/>
  <c r="I65" i="41"/>
  <c r="J64" i="41"/>
  <c r="I63" i="55"/>
  <c r="J62" i="55"/>
  <c r="J64" i="115"/>
  <c r="I65" i="115"/>
  <c r="C3" i="110"/>
  <c r="E4" i="110"/>
  <c r="J4" i="110"/>
  <c r="K4" i="110" s="1"/>
  <c r="K60" i="109"/>
  <c r="K64" i="48"/>
  <c r="FL7" i="2"/>
  <c r="K64" i="22"/>
  <c r="E6" i="46"/>
  <c r="C5" i="46"/>
  <c r="J6" i="46"/>
  <c r="K6" i="46" s="1"/>
  <c r="K61" i="141"/>
  <c r="E4" i="104"/>
  <c r="C3" i="104"/>
  <c r="J4" i="104"/>
  <c r="K4" i="104" s="1"/>
  <c r="E5" i="15"/>
  <c r="J5" i="15"/>
  <c r="K5" i="15" s="1"/>
  <c r="C4" i="15"/>
  <c r="K63" i="16"/>
  <c r="K62" i="63"/>
  <c r="K65" i="145"/>
  <c r="I64" i="88"/>
  <c r="J63" i="88"/>
  <c r="K60" i="95"/>
  <c r="BQ7" i="1"/>
  <c r="I64" i="119"/>
  <c r="J63" i="119"/>
  <c r="K62" i="119" s="1"/>
  <c r="I63" i="147"/>
  <c r="J62" i="147"/>
  <c r="K61" i="147" s="1"/>
  <c r="C4" i="156" l="1"/>
  <c r="E5" i="156"/>
  <c r="J5" i="156"/>
  <c r="K5" i="156" s="1"/>
  <c r="J4" i="149"/>
  <c r="K4" i="149" s="1"/>
  <c r="E4" i="149"/>
  <c r="C3" i="149"/>
  <c r="E5" i="130"/>
  <c r="C4" i="130"/>
  <c r="J5" i="130"/>
  <c r="K5" i="130" s="1"/>
  <c r="K66" i="82"/>
  <c r="K66" i="79"/>
  <c r="K65" i="79"/>
  <c r="E5" i="74"/>
  <c r="C4" i="74"/>
  <c r="J5" i="74"/>
  <c r="K5" i="74" s="1"/>
  <c r="C3" i="61"/>
  <c r="J4" i="61"/>
  <c r="K4" i="61" s="1"/>
  <c r="E4" i="61"/>
  <c r="E4" i="59"/>
  <c r="C3" i="59"/>
  <c r="J4" i="59"/>
  <c r="K4" i="59" s="1"/>
  <c r="K66" i="59"/>
  <c r="K66" i="22"/>
  <c r="K66" i="14"/>
  <c r="K65" i="14"/>
  <c r="E5" i="150"/>
  <c r="C4" i="150"/>
  <c r="J5" i="150"/>
  <c r="K5" i="150" s="1"/>
  <c r="K66" i="42"/>
  <c r="CX4" i="2"/>
  <c r="CM5" i="2"/>
  <c r="J64" i="119"/>
  <c r="K63" i="119" s="1"/>
  <c r="I65" i="119"/>
  <c r="I64" i="17"/>
  <c r="J63" i="17"/>
  <c r="E3" i="18"/>
  <c r="J3" i="18"/>
  <c r="K3" i="18" s="1"/>
  <c r="C2" i="18"/>
  <c r="E4" i="71"/>
  <c r="C3" i="71"/>
  <c r="J4" i="71"/>
  <c r="K4" i="71" s="1"/>
  <c r="E4" i="142"/>
  <c r="C3" i="142"/>
  <c r="J4" i="142"/>
  <c r="K4" i="142" s="1"/>
  <c r="J65" i="159"/>
  <c r="I66" i="159"/>
  <c r="I67" i="117"/>
  <c r="J67" i="117" s="1"/>
  <c r="J66" i="117"/>
  <c r="I66" i="68"/>
  <c r="J65" i="68"/>
  <c r="I65" i="56"/>
  <c r="J64" i="56"/>
  <c r="K63" i="56" s="1"/>
  <c r="J64" i="87"/>
  <c r="K63" i="87" s="1"/>
  <c r="I65" i="87"/>
  <c r="E4" i="36"/>
  <c r="C3" i="36"/>
  <c r="J4" i="36"/>
  <c r="K4" i="36" s="1"/>
  <c r="I66" i="149"/>
  <c r="J65" i="149"/>
  <c r="K64" i="149" s="1"/>
  <c r="C4" i="143"/>
  <c r="E5" i="143"/>
  <c r="J5" i="143"/>
  <c r="K5" i="143" s="1"/>
  <c r="I64" i="148"/>
  <c r="J63" i="148"/>
  <c r="K62" i="148" s="1"/>
  <c r="C2" i="9"/>
  <c r="E3" i="9"/>
  <c r="J3" i="9"/>
  <c r="K3" i="9" s="1"/>
  <c r="E2" i="168"/>
  <c r="F67" i="168"/>
  <c r="J2" i="168"/>
  <c r="K2" i="168" s="1"/>
  <c r="K62" i="17"/>
  <c r="I67" i="9"/>
  <c r="J67" i="9" s="1"/>
  <c r="J66" i="9"/>
  <c r="I65" i="114"/>
  <c r="J64" i="114"/>
  <c r="I64" i="125"/>
  <c r="J63" i="125"/>
  <c r="J65" i="23"/>
  <c r="K64" i="23" s="1"/>
  <c r="I66" i="23"/>
  <c r="IK5" i="2"/>
  <c r="I64" i="65"/>
  <c r="J63" i="65"/>
  <c r="J63" i="105"/>
  <c r="I64" i="105"/>
  <c r="C2" i="54"/>
  <c r="E3" i="54"/>
  <c r="J3" i="54"/>
  <c r="K3" i="54" s="1"/>
  <c r="E3" i="57"/>
  <c r="C2" i="57"/>
  <c r="J3" i="57"/>
  <c r="K3" i="57" s="1"/>
  <c r="C2" i="68"/>
  <c r="J3" i="68"/>
  <c r="K3" i="68" s="1"/>
  <c r="E3" i="68"/>
  <c r="I65" i="3"/>
  <c r="J64" i="3"/>
  <c r="K62" i="125"/>
  <c r="E3" i="65"/>
  <c r="C2" i="65"/>
  <c r="J3" i="65"/>
  <c r="K3" i="65" s="1"/>
  <c r="I65" i="97"/>
  <c r="J64" i="97"/>
  <c r="E4" i="147"/>
  <c r="C3" i="147"/>
  <c r="J4" i="147"/>
  <c r="K4" i="147" s="1"/>
  <c r="F67" i="106"/>
  <c r="E2" i="106"/>
  <c r="J2" i="106"/>
  <c r="K2" i="106" s="1"/>
  <c r="K62" i="65"/>
  <c r="J64" i="53"/>
  <c r="K63" i="53" s="1"/>
  <c r="I65" i="53"/>
  <c r="K65" i="62"/>
  <c r="BQ6" i="2"/>
  <c r="K66" i="71"/>
  <c r="K64" i="41"/>
  <c r="K61" i="17"/>
  <c r="C3" i="125"/>
  <c r="E4" i="125"/>
  <c r="J4" i="125"/>
  <c r="K4" i="125" s="1"/>
  <c r="E4" i="10"/>
  <c r="C3" i="10"/>
  <c r="J4" i="10"/>
  <c r="K4" i="10" s="1"/>
  <c r="E5" i="28"/>
  <c r="C4" i="28"/>
  <c r="J5" i="28"/>
  <c r="K5" i="28" s="1"/>
  <c r="K62" i="56"/>
  <c r="E5" i="3"/>
  <c r="C4" i="3"/>
  <c r="J5" i="3"/>
  <c r="K5" i="3" s="1"/>
  <c r="I67" i="62"/>
  <c r="J67" i="62" s="1"/>
  <c r="J66" i="62"/>
  <c r="E5" i="52"/>
  <c r="C4" i="52"/>
  <c r="BP5" i="2"/>
  <c r="J5" i="52"/>
  <c r="K5" i="52" s="1"/>
  <c r="K64" i="51"/>
  <c r="E5" i="172"/>
  <c r="C4" i="172"/>
  <c r="J5" i="172"/>
  <c r="K5" i="172" s="1"/>
  <c r="J63" i="81"/>
  <c r="I64" i="81"/>
  <c r="E4" i="154"/>
  <c r="C3" i="154"/>
  <c r="J4" i="154"/>
  <c r="K4" i="154" s="1"/>
  <c r="K65" i="26"/>
  <c r="I65" i="21"/>
  <c r="J64" i="21"/>
  <c r="K63" i="21" s="1"/>
  <c r="FA5" i="2"/>
  <c r="E5" i="92"/>
  <c r="C4" i="92"/>
  <c r="J5" i="92"/>
  <c r="K5" i="92" s="1"/>
  <c r="K62" i="53"/>
  <c r="J66" i="51"/>
  <c r="I67" i="51"/>
  <c r="J67" i="51" s="1"/>
  <c r="E3" i="137"/>
  <c r="C2" i="137"/>
  <c r="J3" i="137"/>
  <c r="K3" i="137" s="1"/>
  <c r="E4" i="88"/>
  <c r="C3" i="88"/>
  <c r="J4" i="88"/>
  <c r="K4" i="88" s="1"/>
  <c r="I67" i="101"/>
  <c r="J67" i="101" s="1"/>
  <c r="J66" i="101"/>
  <c r="I64" i="110"/>
  <c r="J63" i="110"/>
  <c r="K62" i="110" s="1"/>
  <c r="I67" i="26"/>
  <c r="J67" i="26" s="1"/>
  <c r="J66" i="26"/>
  <c r="K62" i="155"/>
  <c r="J65" i="63"/>
  <c r="I66" i="63"/>
  <c r="E5" i="93"/>
  <c r="C4" i="93"/>
  <c r="J5" i="93"/>
  <c r="K5" i="93" s="1"/>
  <c r="K65" i="42"/>
  <c r="J64" i="80"/>
  <c r="I65" i="80"/>
  <c r="FL5" i="2"/>
  <c r="I65" i="67"/>
  <c r="J64" i="67"/>
  <c r="F67" i="163"/>
  <c r="E2" i="163"/>
  <c r="J2" i="163"/>
  <c r="K2" i="163" s="1"/>
  <c r="C3" i="77"/>
  <c r="J4" i="77"/>
  <c r="K4" i="77" s="1"/>
  <c r="E4" i="77"/>
  <c r="K65" i="59"/>
  <c r="E3" i="83"/>
  <c r="C2" i="83"/>
  <c r="J3" i="83"/>
  <c r="K3" i="83" s="1"/>
  <c r="E4" i="134"/>
  <c r="C3" i="134"/>
  <c r="EZ4" i="2"/>
  <c r="J4" i="134"/>
  <c r="K4" i="134" s="1"/>
  <c r="E3" i="148"/>
  <c r="C2" i="148"/>
  <c r="J3" i="148"/>
  <c r="K3" i="148" s="1"/>
  <c r="J64" i="153"/>
  <c r="I65" i="153"/>
  <c r="J65" i="158"/>
  <c r="I66" i="158"/>
  <c r="J63" i="8"/>
  <c r="I64" i="8"/>
  <c r="J65" i="41"/>
  <c r="I66" i="41"/>
  <c r="E5" i="158"/>
  <c r="C4" i="158"/>
  <c r="J5" i="158"/>
  <c r="K5" i="158" s="1"/>
  <c r="C4" i="29"/>
  <c r="E5" i="29"/>
  <c r="J5" i="29"/>
  <c r="K5" i="29" s="1"/>
  <c r="X5" i="1"/>
  <c r="E2" i="62"/>
  <c r="F67" i="62"/>
  <c r="J2" i="62"/>
  <c r="K2" i="62" s="1"/>
  <c r="K66" i="24"/>
  <c r="N6" i="2"/>
  <c r="I64" i="11"/>
  <c r="J63" i="11"/>
  <c r="J63" i="69"/>
  <c r="I64" i="69"/>
  <c r="I65" i="161"/>
  <c r="J64" i="161"/>
  <c r="E3" i="16"/>
  <c r="C2" i="16"/>
  <c r="J3" i="16"/>
  <c r="K3" i="16" s="1"/>
  <c r="E4" i="23"/>
  <c r="C3" i="23"/>
  <c r="J4" i="23"/>
  <c r="K4" i="23" s="1"/>
  <c r="CX5" i="2"/>
  <c r="E5" i="107"/>
  <c r="C4" i="107"/>
  <c r="J5" i="107"/>
  <c r="K5" i="107" s="1"/>
  <c r="C3" i="162"/>
  <c r="E4" i="162"/>
  <c r="J4" i="162"/>
  <c r="K4" i="162" s="1"/>
  <c r="I64" i="64"/>
  <c r="J63" i="64"/>
  <c r="K62" i="64" s="1"/>
  <c r="J66" i="156"/>
  <c r="K65" i="156" s="1"/>
  <c r="I67" i="156"/>
  <c r="J67" i="156" s="1"/>
  <c r="K65" i="16"/>
  <c r="K64" i="158"/>
  <c r="E3" i="64"/>
  <c r="C2" i="64"/>
  <c r="J3" i="64"/>
  <c r="K3" i="64" s="1"/>
  <c r="E4" i="76"/>
  <c r="C3" i="76"/>
  <c r="J4" i="76"/>
  <c r="K4" i="76" s="1"/>
  <c r="C2" i="60"/>
  <c r="J3" i="60"/>
  <c r="K3" i="60" s="1"/>
  <c r="E3" i="60"/>
  <c r="FW6" i="2"/>
  <c r="I67" i="16"/>
  <c r="J67" i="16" s="1"/>
  <c r="J66" i="16"/>
  <c r="F67" i="123"/>
  <c r="E2" i="123"/>
  <c r="J2" i="123"/>
  <c r="K2" i="123" s="1"/>
  <c r="E4" i="101"/>
  <c r="J4" i="101"/>
  <c r="K4" i="101" s="1"/>
  <c r="C3" i="101"/>
  <c r="E4" i="21"/>
  <c r="C3" i="21"/>
  <c r="J4" i="21"/>
  <c r="K4" i="21" s="1"/>
  <c r="J64" i="126"/>
  <c r="K63" i="126" s="1"/>
  <c r="I65" i="126"/>
  <c r="F67" i="86"/>
  <c r="E2" i="86"/>
  <c r="J2" i="86"/>
  <c r="K2" i="86" s="1"/>
  <c r="K63" i="52"/>
  <c r="E5" i="55"/>
  <c r="C4" i="55"/>
  <c r="J5" i="55"/>
  <c r="K5" i="55" s="1"/>
  <c r="I65" i="70"/>
  <c r="J64" i="70"/>
  <c r="C3" i="63"/>
  <c r="E4" i="63"/>
  <c r="J4" i="63"/>
  <c r="K4" i="63" s="1"/>
  <c r="I64" i="141"/>
  <c r="J63" i="141"/>
  <c r="K62" i="141" s="1"/>
  <c r="I67" i="127"/>
  <c r="J67" i="127" s="1"/>
  <c r="J66" i="127"/>
  <c r="K64" i="165"/>
  <c r="E4" i="44"/>
  <c r="C3" i="44"/>
  <c r="J4" i="44"/>
  <c r="K4" i="44" s="1"/>
  <c r="K64" i="101"/>
  <c r="J64" i="52"/>
  <c r="I65" i="52"/>
  <c r="E5" i="53"/>
  <c r="C4" i="53"/>
  <c r="J5" i="53"/>
  <c r="K5" i="53" s="1"/>
  <c r="E5" i="42"/>
  <c r="C4" i="42"/>
  <c r="J5" i="42"/>
  <c r="K5" i="42" s="1"/>
  <c r="FV5" i="2"/>
  <c r="Y6" i="2"/>
  <c r="I67" i="29"/>
  <c r="J67" i="29" s="1"/>
  <c r="J66" i="29"/>
  <c r="I65" i="4"/>
  <c r="J64" i="4"/>
  <c r="I65" i="169"/>
  <c r="J64" i="169"/>
  <c r="I64" i="90"/>
  <c r="J63" i="90"/>
  <c r="K65" i="127"/>
  <c r="J64" i="170"/>
  <c r="K63" i="170" s="1"/>
  <c r="I65" i="170"/>
  <c r="N6" i="1"/>
  <c r="J64" i="123"/>
  <c r="I65" i="123"/>
  <c r="I64" i="130"/>
  <c r="J63" i="130"/>
  <c r="E3" i="67"/>
  <c r="C2" i="67"/>
  <c r="J3" i="67"/>
  <c r="K3" i="67" s="1"/>
  <c r="E5" i="27"/>
  <c r="C4" i="27"/>
  <c r="IJ4" i="2" s="1"/>
  <c r="J5" i="27"/>
  <c r="K5" i="27" s="1"/>
  <c r="K63" i="169"/>
  <c r="K61" i="90"/>
  <c r="J64" i="155"/>
  <c r="K63" i="155" s="1"/>
  <c r="I65" i="155"/>
  <c r="I64" i="174"/>
  <c r="J63" i="174"/>
  <c r="K66" i="94"/>
  <c r="I65" i="73"/>
  <c r="J64" i="73"/>
  <c r="K63" i="73" s="1"/>
  <c r="E3" i="104"/>
  <c r="C2" i="104"/>
  <c r="J3" i="104"/>
  <c r="K3" i="104" s="1"/>
  <c r="E2" i="124"/>
  <c r="F67" i="124"/>
  <c r="J2" i="124"/>
  <c r="K2" i="124" s="1"/>
  <c r="K63" i="41"/>
  <c r="C3" i="13"/>
  <c r="E4" i="13"/>
  <c r="J4" i="13"/>
  <c r="K4" i="13" s="1"/>
  <c r="K63" i="165"/>
  <c r="I65" i="111"/>
  <c r="J64" i="111"/>
  <c r="K63" i="111" s="1"/>
  <c r="K65" i="22"/>
  <c r="I66" i="66"/>
  <c r="J65" i="66"/>
  <c r="K64" i="66" s="1"/>
  <c r="E3" i="19"/>
  <c r="C2" i="19"/>
  <c r="J3" i="19"/>
  <c r="K3" i="19" s="1"/>
  <c r="E5" i="12"/>
  <c r="C4" i="12"/>
  <c r="J5" i="12"/>
  <c r="K5" i="12" s="1"/>
  <c r="X5" i="2"/>
  <c r="M5" i="1"/>
  <c r="I65" i="106"/>
  <c r="J64" i="106"/>
  <c r="E4" i="38"/>
  <c r="C3" i="38"/>
  <c r="J4" i="38"/>
  <c r="K4" i="38" s="1"/>
  <c r="K62" i="130"/>
  <c r="E4" i="119"/>
  <c r="C3" i="119"/>
  <c r="J4" i="119"/>
  <c r="K4" i="119" s="1"/>
  <c r="I65" i="19"/>
  <c r="J64" i="19"/>
  <c r="K63" i="19" s="1"/>
  <c r="I64" i="36"/>
  <c r="J63" i="36"/>
  <c r="K62" i="36" s="1"/>
  <c r="K62" i="174"/>
  <c r="E2" i="159"/>
  <c r="F67" i="159"/>
  <c r="J2" i="159"/>
  <c r="K2" i="159" s="1"/>
  <c r="I66" i="165"/>
  <c r="J65" i="165"/>
  <c r="I64" i="38"/>
  <c r="J63" i="38"/>
  <c r="J65" i="92"/>
  <c r="I66" i="92"/>
  <c r="I65" i="121"/>
  <c r="J64" i="121"/>
  <c r="K63" i="121" s="1"/>
  <c r="I65" i="108"/>
  <c r="J64" i="108"/>
  <c r="K63" i="108" s="1"/>
  <c r="E3" i="99"/>
  <c r="C2" i="99"/>
  <c r="J3" i="99"/>
  <c r="K3" i="99" s="1"/>
  <c r="C2" i="11"/>
  <c r="E3" i="11"/>
  <c r="J3" i="11"/>
  <c r="K3" i="11" s="1"/>
  <c r="C3" i="164"/>
  <c r="E4" i="164"/>
  <c r="J4" i="164"/>
  <c r="K4" i="164" s="1"/>
  <c r="I67" i="77"/>
  <c r="J67" i="77" s="1"/>
  <c r="J66" i="77"/>
  <c r="I64" i="95"/>
  <c r="J63" i="95"/>
  <c r="K62" i="169"/>
  <c r="C2" i="112"/>
  <c r="E3" i="112"/>
  <c r="J3" i="112"/>
  <c r="K3" i="112" s="1"/>
  <c r="CB6" i="1"/>
  <c r="J63" i="140"/>
  <c r="K62" i="140" s="1"/>
  <c r="I64" i="140"/>
  <c r="I67" i="89"/>
  <c r="J67" i="89" s="1"/>
  <c r="J66" i="89"/>
  <c r="E2" i="127"/>
  <c r="F67" i="127"/>
  <c r="J2" i="127"/>
  <c r="K2" i="127" s="1"/>
  <c r="K62" i="95"/>
  <c r="J66" i="48"/>
  <c r="K65" i="48" s="1"/>
  <c r="I67" i="48"/>
  <c r="J67" i="48" s="1"/>
  <c r="E3" i="22"/>
  <c r="C2" i="22"/>
  <c r="J3" i="22"/>
  <c r="K3" i="22" s="1"/>
  <c r="N5" i="2"/>
  <c r="I66" i="28"/>
  <c r="J65" i="28"/>
  <c r="K64" i="28" s="1"/>
  <c r="I65" i="168"/>
  <c r="J64" i="168"/>
  <c r="K65" i="89"/>
  <c r="C4" i="174"/>
  <c r="E5" i="174"/>
  <c r="J5" i="174"/>
  <c r="K5" i="174" s="1"/>
  <c r="I65" i="5"/>
  <c r="J64" i="5"/>
  <c r="K63" i="5" s="1"/>
  <c r="E5" i="49"/>
  <c r="C4" i="49"/>
  <c r="AI4" i="2" s="1"/>
  <c r="J5" i="49"/>
  <c r="K5" i="49" s="1"/>
  <c r="E3" i="167"/>
  <c r="J3" i="167"/>
  <c r="K3" i="167" s="1"/>
  <c r="C2" i="167"/>
  <c r="I65" i="162"/>
  <c r="J64" i="162"/>
  <c r="J63" i="109"/>
  <c r="K62" i="109" s="1"/>
  <c r="I64" i="109"/>
  <c r="J63" i="45"/>
  <c r="K62" i="45" s="1"/>
  <c r="I64" i="45"/>
  <c r="K65" i="94"/>
  <c r="I66" i="157"/>
  <c r="J65" i="157"/>
  <c r="K64" i="157" s="1"/>
  <c r="K63" i="157"/>
  <c r="K64" i="26"/>
  <c r="K61" i="55"/>
  <c r="I66" i="44"/>
  <c r="J65" i="44"/>
  <c r="K64" i="44" s="1"/>
  <c r="I64" i="34"/>
  <c r="J63" i="34"/>
  <c r="E5" i="6"/>
  <c r="C4" i="6"/>
  <c r="IU4" i="2" s="1"/>
  <c r="CA5" i="1"/>
  <c r="K62" i="43"/>
  <c r="K65" i="82"/>
  <c r="I64" i="58"/>
  <c r="J63" i="58"/>
  <c r="K62" i="58" s="1"/>
  <c r="K62" i="70"/>
  <c r="F67" i="84"/>
  <c r="E2" i="84"/>
  <c r="J2" i="84"/>
  <c r="K2" i="84" s="1"/>
  <c r="J2" i="37"/>
  <c r="K2" i="37" s="1"/>
  <c r="E2" i="37"/>
  <c r="E3" i="4"/>
  <c r="C2" i="4"/>
  <c r="J3" i="4"/>
  <c r="K3" i="4" s="1"/>
  <c r="I64" i="55"/>
  <c r="J63" i="55"/>
  <c r="E5" i="91"/>
  <c r="C4" i="91"/>
  <c r="J5" i="91"/>
  <c r="K5" i="91" s="1"/>
  <c r="E4" i="151"/>
  <c r="C3" i="151"/>
  <c r="J4" i="151"/>
  <c r="K4" i="151" s="1"/>
  <c r="I65" i="84"/>
  <c r="J64" i="84"/>
  <c r="K63" i="84" s="1"/>
  <c r="C4" i="46"/>
  <c r="E5" i="46"/>
  <c r="J5" i="46"/>
  <c r="K5" i="46" s="1"/>
  <c r="E5" i="136"/>
  <c r="C4" i="136"/>
  <c r="J5" i="136"/>
  <c r="K5" i="136" s="1"/>
  <c r="K61" i="69"/>
  <c r="C3" i="33"/>
  <c r="E4" i="33"/>
  <c r="J4" i="33"/>
  <c r="K4" i="33" s="1"/>
  <c r="J2" i="51"/>
  <c r="K2" i="51" s="1"/>
  <c r="E2" i="51"/>
  <c r="K62" i="34"/>
  <c r="CB5" i="2"/>
  <c r="EP5" i="2"/>
  <c r="J64" i="154"/>
  <c r="K63" i="154" s="1"/>
  <c r="I65" i="154"/>
  <c r="I64" i="43"/>
  <c r="J63" i="43"/>
  <c r="K61" i="64"/>
  <c r="C4" i="155"/>
  <c r="E5" i="155"/>
  <c r="J5" i="155"/>
  <c r="K5" i="155" s="1"/>
  <c r="I65" i="138"/>
  <c r="J64" i="138"/>
  <c r="BE5" i="2"/>
  <c r="I65" i="103"/>
  <c r="J64" i="103"/>
  <c r="K63" i="103" s="1"/>
  <c r="J66" i="107"/>
  <c r="I67" i="107"/>
  <c r="J67" i="107" s="1"/>
  <c r="J65" i="10"/>
  <c r="K64" i="10" s="1"/>
  <c r="I66" i="10"/>
  <c r="E4" i="80"/>
  <c r="C3" i="80"/>
  <c r="J4" i="80"/>
  <c r="K4" i="80" s="1"/>
  <c r="K61" i="174"/>
  <c r="E3" i="118"/>
  <c r="C2" i="118"/>
  <c r="J3" i="118"/>
  <c r="K3" i="118" s="1"/>
  <c r="C3" i="31"/>
  <c r="E4" i="31"/>
  <c r="CA4" i="2"/>
  <c r="J4" i="31"/>
  <c r="K4" i="31" s="1"/>
  <c r="J65" i="37"/>
  <c r="K64" i="37" s="1"/>
  <c r="I66" i="37"/>
  <c r="E4" i="97"/>
  <c r="C3" i="97"/>
  <c r="EO4" i="2"/>
  <c r="J4" i="97"/>
  <c r="K4" i="97" s="1"/>
  <c r="C3" i="117"/>
  <c r="E4" i="117"/>
  <c r="J4" i="117"/>
  <c r="K4" i="117" s="1"/>
  <c r="HN5" i="2"/>
  <c r="C2" i="103"/>
  <c r="E3" i="103"/>
  <c r="J3" i="103"/>
  <c r="K3" i="103" s="1"/>
  <c r="J65" i="99"/>
  <c r="K64" i="99" s="1"/>
  <c r="I66" i="99"/>
  <c r="HO6" i="2"/>
  <c r="E2" i="173"/>
  <c r="F67" i="173"/>
  <c r="J2" i="173"/>
  <c r="K2" i="173" s="1"/>
  <c r="I65" i="131"/>
  <c r="J64" i="131"/>
  <c r="K63" i="131" s="1"/>
  <c r="J66" i="122"/>
  <c r="K65" i="122" s="1"/>
  <c r="I67" i="122"/>
  <c r="J67" i="122" s="1"/>
  <c r="K63" i="33"/>
  <c r="E3" i="126"/>
  <c r="C2" i="126"/>
  <c r="J3" i="126"/>
  <c r="K3" i="126" s="1"/>
  <c r="J64" i="137"/>
  <c r="K63" i="137" s="1"/>
  <c r="I65" i="137"/>
  <c r="I64" i="166"/>
  <c r="J63" i="166"/>
  <c r="K62" i="166" s="1"/>
  <c r="C3" i="41"/>
  <c r="E4" i="41"/>
  <c r="BE4" i="2"/>
  <c r="J4" i="41"/>
  <c r="K4" i="41" s="1"/>
  <c r="C2" i="5"/>
  <c r="E3" i="5"/>
  <c r="J3" i="5"/>
  <c r="K3" i="5" s="1"/>
  <c r="K62" i="162"/>
  <c r="I65" i="151"/>
  <c r="J64" i="151"/>
  <c r="K63" i="151" s="1"/>
  <c r="E4" i="15"/>
  <c r="C3" i="15"/>
  <c r="J4" i="15"/>
  <c r="K4" i="15" s="1"/>
  <c r="CB6" i="2"/>
  <c r="J63" i="163"/>
  <c r="K62" i="163" s="1"/>
  <c r="I64" i="163"/>
  <c r="K61" i="11"/>
  <c r="J64" i="33"/>
  <c r="I65" i="33"/>
  <c r="E4" i="70"/>
  <c r="C3" i="70"/>
  <c r="J4" i="70"/>
  <c r="K4" i="70" s="1"/>
  <c r="K61" i="47"/>
  <c r="E2" i="40"/>
  <c r="J2" i="40"/>
  <c r="K2" i="40" s="1"/>
  <c r="E2" i="115"/>
  <c r="F67" i="115"/>
  <c r="J2" i="115"/>
  <c r="K2" i="115" s="1"/>
  <c r="C4" i="58"/>
  <c r="E5" i="58"/>
  <c r="J5" i="58"/>
  <c r="K5" i="58" s="1"/>
  <c r="C3" i="114"/>
  <c r="E4" i="114"/>
  <c r="J4" i="114"/>
  <c r="K4" i="114" s="1"/>
  <c r="I65" i="54"/>
  <c r="J64" i="54"/>
  <c r="K63" i="54" s="1"/>
  <c r="BQ6" i="1"/>
  <c r="K61" i="95"/>
  <c r="I65" i="144"/>
  <c r="J64" i="144"/>
  <c r="Y6" i="1"/>
  <c r="I67" i="135"/>
  <c r="J67" i="135" s="1"/>
  <c r="J66" i="135"/>
  <c r="C3" i="145"/>
  <c r="E4" i="145"/>
  <c r="J4" i="145"/>
  <c r="K4" i="145" s="1"/>
  <c r="K61" i="163"/>
  <c r="C2" i="94"/>
  <c r="J3" i="94"/>
  <c r="K3" i="94" s="1"/>
  <c r="E3" i="94"/>
  <c r="J65" i="124"/>
  <c r="K64" i="124" s="1"/>
  <c r="I66" i="124"/>
  <c r="K62" i="111"/>
  <c r="E3" i="66"/>
  <c r="C2" i="66"/>
  <c r="J3" i="66"/>
  <c r="K3" i="66" s="1"/>
  <c r="J4" i="132"/>
  <c r="K4" i="132" s="1"/>
  <c r="E4" i="132"/>
  <c r="C3" i="132"/>
  <c r="K62" i="40"/>
  <c r="I66" i="113"/>
  <c r="J65" i="113"/>
  <c r="K64" i="113" s="1"/>
  <c r="E4" i="89"/>
  <c r="C3" i="89"/>
  <c r="J4" i="89"/>
  <c r="K4" i="89" s="1"/>
  <c r="K61" i="58"/>
  <c r="I66" i="72"/>
  <c r="J65" i="72"/>
  <c r="E3" i="144"/>
  <c r="C2" i="144"/>
  <c r="J3" i="144"/>
  <c r="K3" i="144" s="1"/>
  <c r="J64" i="57"/>
  <c r="K63" i="57" s="1"/>
  <c r="I65" i="57"/>
  <c r="I66" i="18"/>
  <c r="J65" i="18"/>
  <c r="K64" i="18" s="1"/>
  <c r="K62" i="112"/>
  <c r="HD6" i="2"/>
  <c r="AI5" i="1"/>
  <c r="J63" i="40"/>
  <c r="I64" i="40"/>
  <c r="I65" i="116"/>
  <c r="J64" i="116"/>
  <c r="K63" i="116" s="1"/>
  <c r="I67" i="98"/>
  <c r="J67" i="98" s="1"/>
  <c r="J66" i="98"/>
  <c r="K65" i="98" s="1"/>
  <c r="J63" i="160"/>
  <c r="K62" i="160" s="1"/>
  <c r="I64" i="160"/>
  <c r="K64" i="72"/>
  <c r="E2" i="47"/>
  <c r="J2" i="47"/>
  <c r="K2" i="47" s="1"/>
  <c r="C3" i="20"/>
  <c r="E4" i="20"/>
  <c r="J4" i="20"/>
  <c r="K4" i="20" s="1"/>
  <c r="I64" i="112"/>
  <c r="J63" i="112"/>
  <c r="I67" i="132"/>
  <c r="J67" i="132" s="1"/>
  <c r="J66" i="132"/>
  <c r="K65" i="132" s="1"/>
  <c r="E5" i="8"/>
  <c r="C4" i="8"/>
  <c r="BP5" i="1"/>
  <c r="HC5" i="2"/>
  <c r="J5" i="8"/>
  <c r="K5" i="8" s="1"/>
  <c r="F67" i="72"/>
  <c r="E2" i="72"/>
  <c r="J2" i="72"/>
  <c r="K2" i="72" s="1"/>
  <c r="J66" i="13"/>
  <c r="K65" i="13" s="1"/>
  <c r="I67" i="13"/>
  <c r="J67" i="13" s="1"/>
  <c r="F67" i="69"/>
  <c r="E2" i="69"/>
  <c r="J2" i="69"/>
  <c r="K2" i="69" s="1"/>
  <c r="E4" i="96"/>
  <c r="C3" i="96"/>
  <c r="J4" i="96"/>
  <c r="K4" i="96" s="1"/>
  <c r="K63" i="115"/>
  <c r="I66" i="173"/>
  <c r="J65" i="173"/>
  <c r="K64" i="173" s="1"/>
  <c r="I67" i="78"/>
  <c r="J67" i="78" s="1"/>
  <c r="J66" i="78"/>
  <c r="K66" i="78" s="1"/>
  <c r="C4" i="152"/>
  <c r="M4" i="2" s="1"/>
  <c r="E5" i="152"/>
  <c r="J5" i="152"/>
  <c r="K5" i="152" s="1"/>
  <c r="E3" i="81"/>
  <c r="C2" i="81"/>
  <c r="J3" i="81"/>
  <c r="K3" i="81" s="1"/>
  <c r="E4" i="108"/>
  <c r="C3" i="108"/>
  <c r="J4" i="108"/>
  <c r="K4" i="108" s="1"/>
  <c r="K61" i="81"/>
  <c r="HY5" i="2"/>
  <c r="I67" i="128"/>
  <c r="J67" i="128" s="1"/>
  <c r="J66" i="128"/>
  <c r="K65" i="128" s="1"/>
  <c r="E4" i="79"/>
  <c r="C3" i="79"/>
  <c r="J4" i="79"/>
  <c r="K4" i="79" s="1"/>
  <c r="F67" i="120"/>
  <c r="E2" i="120"/>
  <c r="J2" i="120"/>
  <c r="K2" i="120" s="1"/>
  <c r="C2" i="75"/>
  <c r="E3" i="75"/>
  <c r="J3" i="75"/>
  <c r="K3" i="75" s="1"/>
  <c r="I64" i="102"/>
  <c r="J63" i="102"/>
  <c r="K62" i="102" s="1"/>
  <c r="E2" i="26"/>
  <c r="J2" i="26"/>
  <c r="K2" i="26" s="1"/>
  <c r="K64" i="135"/>
  <c r="E5" i="170"/>
  <c r="C4" i="170"/>
  <c r="J5" i="170"/>
  <c r="K5" i="170" s="1"/>
  <c r="C3" i="169"/>
  <c r="E4" i="169"/>
  <c r="HY4" i="2"/>
  <c r="J4" i="169"/>
  <c r="K4" i="169" s="1"/>
  <c r="K66" i="27"/>
  <c r="AI5" i="2"/>
  <c r="K61" i="171"/>
  <c r="I64" i="171"/>
  <c r="J63" i="171"/>
  <c r="K62" i="171" s="1"/>
  <c r="AU6" i="1"/>
  <c r="I66" i="93"/>
  <c r="J65" i="93"/>
  <c r="K64" i="93" s="1"/>
  <c r="E3" i="135"/>
  <c r="C2" i="135"/>
  <c r="J3" i="135"/>
  <c r="K3" i="135" s="1"/>
  <c r="K62" i="88"/>
  <c r="I67" i="142"/>
  <c r="J67" i="142" s="1"/>
  <c r="J66" i="142"/>
  <c r="K65" i="142" s="1"/>
  <c r="K63" i="28"/>
  <c r="D44" i="1"/>
  <c r="AK44" i="1"/>
  <c r="CC44" i="1"/>
  <c r="Z44" i="1"/>
  <c r="O44" i="1"/>
  <c r="AV44" i="1"/>
  <c r="BR44" i="1"/>
  <c r="K61" i="38"/>
  <c r="K66" i="32"/>
  <c r="K61" i="140"/>
  <c r="AU6" i="2"/>
  <c r="I65" i="39"/>
  <c r="J64" i="39"/>
  <c r="K63" i="39" s="1"/>
  <c r="K62" i="57"/>
  <c r="K63" i="93"/>
  <c r="J65" i="83"/>
  <c r="I66" i="83"/>
  <c r="K62" i="143"/>
  <c r="I65" i="76"/>
  <c r="J64" i="76"/>
  <c r="K63" i="76" s="1"/>
  <c r="E2" i="141"/>
  <c r="F67" i="141"/>
  <c r="J2" i="141"/>
  <c r="K2" i="141" s="1"/>
  <c r="J63" i="120"/>
  <c r="I64" i="120"/>
  <c r="DI5" i="2"/>
  <c r="C3" i="122"/>
  <c r="E4" i="122"/>
  <c r="J4" i="122"/>
  <c r="K4" i="122" s="1"/>
  <c r="D44" i="2"/>
  <c r="CY44" i="2"/>
  <c r="DU44" i="2"/>
  <c r="GT44" i="2"/>
  <c r="HP44" i="2"/>
  <c r="CN44" i="2"/>
  <c r="IL44" i="2"/>
  <c r="AK44" i="2"/>
  <c r="DJ44" i="2"/>
  <c r="EQ44" i="2"/>
  <c r="FM44" i="2"/>
  <c r="FB44" i="2"/>
  <c r="HE44" i="2"/>
  <c r="BG44" i="2"/>
  <c r="CC44" i="2"/>
  <c r="AV44" i="2"/>
  <c r="EF44" i="2"/>
  <c r="BR44" i="2"/>
  <c r="IW44" i="2"/>
  <c r="Z44" i="2"/>
  <c r="O44" i="2"/>
  <c r="FX44" i="2"/>
  <c r="IA44" i="2"/>
  <c r="E4" i="140"/>
  <c r="C3" i="140"/>
  <c r="J4" i="140"/>
  <c r="K4" i="140" s="1"/>
  <c r="J66" i="136"/>
  <c r="K65" i="136" s="1"/>
  <c r="I67" i="136"/>
  <c r="J67" i="136" s="1"/>
  <c r="I66" i="25"/>
  <c r="J65" i="25"/>
  <c r="K64" i="25" s="1"/>
  <c r="I67" i="152"/>
  <c r="J67" i="152" s="1"/>
  <c r="J66" i="152"/>
  <c r="K66" i="152" s="1"/>
  <c r="C3" i="95"/>
  <c r="E4" i="95"/>
  <c r="J4" i="95"/>
  <c r="K4" i="95" s="1"/>
  <c r="K63" i="158"/>
  <c r="I64" i="143"/>
  <c r="J63" i="143"/>
  <c r="J2" i="39"/>
  <c r="K2" i="39" s="1"/>
  <c r="E2" i="39"/>
  <c r="DT4" i="2"/>
  <c r="J63" i="147"/>
  <c r="K62" i="147" s="1"/>
  <c r="I64" i="147"/>
  <c r="K64" i="30"/>
  <c r="K64" i="78"/>
  <c r="K64" i="122"/>
  <c r="K63" i="104"/>
  <c r="BF44" i="1"/>
  <c r="BG44" i="1"/>
  <c r="E4" i="153"/>
  <c r="C3" i="153"/>
  <c r="J4" i="153"/>
  <c r="K4" i="153" s="1"/>
  <c r="I64" i="96"/>
  <c r="J63" i="96"/>
  <c r="I64" i="35"/>
  <c r="J63" i="35"/>
  <c r="K62" i="35" s="1"/>
  <c r="F67" i="171"/>
  <c r="E2" i="171"/>
  <c r="J2" i="171"/>
  <c r="K2" i="171" s="1"/>
  <c r="K64" i="117"/>
  <c r="C4" i="50"/>
  <c r="E5" i="50"/>
  <c r="AT5" i="2"/>
  <c r="J5" i="50"/>
  <c r="K5" i="50" s="1"/>
  <c r="J64" i="20"/>
  <c r="I65" i="20"/>
  <c r="I65" i="31"/>
  <c r="J64" i="31"/>
  <c r="C2" i="161"/>
  <c r="E3" i="161"/>
  <c r="J3" i="161"/>
  <c r="K3" i="161" s="1"/>
  <c r="C4" i="7"/>
  <c r="J5" i="7"/>
  <c r="K5" i="7" s="1"/>
  <c r="E5" i="7"/>
  <c r="AT5" i="1"/>
  <c r="K61" i="146"/>
  <c r="K62" i="100"/>
  <c r="C2" i="116"/>
  <c r="E3" i="116"/>
  <c r="J3" i="116"/>
  <c r="K3" i="116" s="1"/>
  <c r="I66" i="30"/>
  <c r="J65" i="30"/>
  <c r="E3" i="113"/>
  <c r="C2" i="113"/>
  <c r="J3" i="113"/>
  <c r="K3" i="113" s="1"/>
  <c r="C2" i="129"/>
  <c r="J3" i="129"/>
  <c r="K3" i="129" s="1"/>
  <c r="E3" i="129"/>
  <c r="DS3" i="2"/>
  <c r="I65" i="104"/>
  <c r="J64" i="104"/>
  <c r="J66" i="164"/>
  <c r="I67" i="164"/>
  <c r="J67" i="164" s="1"/>
  <c r="GI44" i="2"/>
  <c r="GH44" i="2"/>
  <c r="E5" i="56"/>
  <c r="C4" i="56"/>
  <c r="J5" i="56"/>
  <c r="K5" i="56" s="1"/>
  <c r="K64" i="142"/>
  <c r="F67" i="73"/>
  <c r="E2" i="73"/>
  <c r="J2" i="73"/>
  <c r="K2" i="73" s="1"/>
  <c r="I66" i="60"/>
  <c r="J65" i="60"/>
  <c r="C4" i="90"/>
  <c r="E5" i="90"/>
  <c r="J5" i="90"/>
  <c r="K5" i="90" s="1"/>
  <c r="C2" i="139"/>
  <c r="E3" i="139"/>
  <c r="J3" i="139"/>
  <c r="K3" i="139" s="1"/>
  <c r="K62" i="161"/>
  <c r="I67" i="172"/>
  <c r="J67" i="172" s="1"/>
  <c r="J66" i="172"/>
  <c r="K65" i="172" s="1"/>
  <c r="I66" i="167"/>
  <c r="J65" i="167"/>
  <c r="K64" i="167" s="1"/>
  <c r="E4" i="48"/>
  <c r="C3" i="48"/>
  <c r="J4" i="48"/>
  <c r="K4" i="48" s="1"/>
  <c r="I64" i="100"/>
  <c r="J63" i="100"/>
  <c r="J64" i="85"/>
  <c r="K63" i="85" s="1"/>
  <c r="I65" i="85"/>
  <c r="C3" i="133"/>
  <c r="E4" i="133"/>
  <c r="J4" i="133"/>
  <c r="K4" i="133" s="1"/>
  <c r="DH4" i="2"/>
  <c r="K65" i="164"/>
  <c r="C42" i="24"/>
  <c r="E43" i="24"/>
  <c r="GG43" i="2"/>
  <c r="BE43" i="1"/>
  <c r="C43" i="2"/>
  <c r="C43" i="1"/>
  <c r="J43" i="24"/>
  <c r="K43" i="24" s="1"/>
  <c r="EP6" i="2"/>
  <c r="K62" i="108"/>
  <c r="K64" i="89"/>
  <c r="F67" i="85"/>
  <c r="J2" i="85"/>
  <c r="K2" i="85" s="1"/>
  <c r="E2" i="85"/>
  <c r="C2" i="17"/>
  <c r="E3" i="17"/>
  <c r="J3" i="17"/>
  <c r="K3" i="17" s="1"/>
  <c r="K64" i="60"/>
  <c r="K62" i="20"/>
  <c r="K64" i="107"/>
  <c r="E5" i="100"/>
  <c r="C4" i="100"/>
  <c r="FK4" i="2" s="1"/>
  <c r="J5" i="100"/>
  <c r="K5" i="100" s="1"/>
  <c r="C2" i="25"/>
  <c r="E3" i="25"/>
  <c r="J3" i="25"/>
  <c r="K3" i="25" s="1"/>
  <c r="J64" i="49"/>
  <c r="K63" i="49" s="1"/>
  <c r="I65" i="49"/>
  <c r="J64" i="88"/>
  <c r="K63" i="88" s="1"/>
  <c r="I65" i="88"/>
  <c r="I66" i="139"/>
  <c r="J65" i="139"/>
  <c r="IV5" i="2"/>
  <c r="C2" i="128"/>
  <c r="E3" i="128"/>
  <c r="J3" i="128"/>
  <c r="K3" i="128" s="1"/>
  <c r="I66" i="129"/>
  <c r="J65" i="129"/>
  <c r="E5" i="14"/>
  <c r="J5" i="14"/>
  <c r="K5" i="14" s="1"/>
  <c r="C4" i="14"/>
  <c r="GR5" i="2"/>
  <c r="K63" i="37"/>
  <c r="K64" i="118"/>
  <c r="C3" i="35"/>
  <c r="E4" i="35"/>
  <c r="J4" i="35"/>
  <c r="K4" i="35" s="1"/>
  <c r="EE6" i="2"/>
  <c r="I65" i="86"/>
  <c r="J64" i="86"/>
  <c r="K63" i="86" s="1"/>
  <c r="K62" i="39"/>
  <c r="I64" i="91"/>
  <c r="J63" i="91"/>
  <c r="K62" i="91" s="1"/>
  <c r="C3" i="78"/>
  <c r="E4" i="78"/>
  <c r="J4" i="78"/>
  <c r="K4" i="78" s="1"/>
  <c r="K65" i="71"/>
  <c r="K63" i="83"/>
  <c r="E3" i="110"/>
  <c r="C2" i="110"/>
  <c r="J3" i="110"/>
  <c r="K3" i="110" s="1"/>
  <c r="I66" i="115"/>
  <c r="J65" i="115"/>
  <c r="K64" i="127"/>
  <c r="J63" i="47"/>
  <c r="K62" i="47" s="1"/>
  <c r="I64" i="47"/>
  <c r="I66" i="118"/>
  <c r="J65" i="118"/>
  <c r="K64" i="159"/>
  <c r="E5" i="109"/>
  <c r="C4" i="109"/>
  <c r="ED5" i="2"/>
  <c r="J5" i="109"/>
  <c r="K5" i="109" s="1"/>
  <c r="C4" i="121"/>
  <c r="E5" i="121"/>
  <c r="J5" i="121"/>
  <c r="K5" i="121" s="1"/>
  <c r="I65" i="50"/>
  <c r="J64" i="50"/>
  <c r="K61" i="65"/>
  <c r="K64" i="68"/>
  <c r="I64" i="146"/>
  <c r="J63" i="146"/>
  <c r="K62" i="146" s="1"/>
  <c r="K61" i="143"/>
  <c r="J4" i="156" l="1"/>
  <c r="K4" i="156" s="1"/>
  <c r="E4" i="156"/>
  <c r="C3" i="156"/>
  <c r="K66" i="172"/>
  <c r="K65" i="152"/>
  <c r="J3" i="149"/>
  <c r="K3" i="149" s="1"/>
  <c r="E3" i="149"/>
  <c r="C2" i="149"/>
  <c r="K66" i="135"/>
  <c r="C3" i="130"/>
  <c r="E4" i="130"/>
  <c r="J4" i="130"/>
  <c r="K4" i="130" s="1"/>
  <c r="X4" i="1"/>
  <c r="K66" i="101"/>
  <c r="AI4" i="1"/>
  <c r="AJ4" i="1" s="1"/>
  <c r="K66" i="107"/>
  <c r="E4" i="74"/>
  <c r="C3" i="74"/>
  <c r="J4" i="74"/>
  <c r="K4" i="74" s="1"/>
  <c r="K66" i="62"/>
  <c r="C2" i="61"/>
  <c r="E3" i="61"/>
  <c r="J3" i="61"/>
  <c r="K3" i="61" s="1"/>
  <c r="C2" i="59"/>
  <c r="E3" i="59"/>
  <c r="J3" i="59"/>
  <c r="K3" i="59" s="1"/>
  <c r="K66" i="51"/>
  <c r="K66" i="48"/>
  <c r="K66" i="29"/>
  <c r="K66" i="117"/>
  <c r="K66" i="9"/>
  <c r="E4" i="150"/>
  <c r="C3" i="150"/>
  <c r="J4" i="150"/>
  <c r="K4" i="150" s="1"/>
  <c r="FL4" i="2"/>
  <c r="IK4" i="2"/>
  <c r="Y4" i="1"/>
  <c r="N4" i="2"/>
  <c r="I65" i="102"/>
  <c r="J64" i="102"/>
  <c r="K63" i="102" s="1"/>
  <c r="BF5" i="2"/>
  <c r="J65" i="84"/>
  <c r="K64" i="84" s="1"/>
  <c r="I66" i="84"/>
  <c r="I65" i="34"/>
  <c r="J64" i="34"/>
  <c r="K63" i="34" s="1"/>
  <c r="I65" i="130"/>
  <c r="J64" i="130"/>
  <c r="K63" i="130" s="1"/>
  <c r="C2" i="162"/>
  <c r="E3" i="162"/>
  <c r="J3" i="162"/>
  <c r="K3" i="162" s="1"/>
  <c r="E3" i="122"/>
  <c r="J3" i="122"/>
  <c r="K3" i="122" s="1"/>
  <c r="C2" i="122"/>
  <c r="I66" i="116"/>
  <c r="J65" i="116"/>
  <c r="E2" i="112"/>
  <c r="F67" i="112"/>
  <c r="J2" i="112"/>
  <c r="K2" i="112" s="1"/>
  <c r="IV4" i="2"/>
  <c r="K65" i="29"/>
  <c r="I66" i="52"/>
  <c r="J65" i="52"/>
  <c r="K64" i="52" s="1"/>
  <c r="E3" i="21"/>
  <c r="C2" i="21"/>
  <c r="J3" i="21"/>
  <c r="K3" i="21" s="1"/>
  <c r="I67" i="41"/>
  <c r="J67" i="41" s="1"/>
  <c r="J66" i="41"/>
  <c r="K65" i="41" s="1"/>
  <c r="J65" i="67"/>
  <c r="K64" i="67" s="1"/>
  <c r="I66" i="67"/>
  <c r="I66" i="97"/>
  <c r="J65" i="97"/>
  <c r="K64" i="97" s="1"/>
  <c r="I67" i="68"/>
  <c r="J67" i="68" s="1"/>
  <c r="J66" i="68"/>
  <c r="J66" i="99"/>
  <c r="K65" i="99" s="1"/>
  <c r="I67" i="99"/>
  <c r="J67" i="99" s="1"/>
  <c r="E4" i="121"/>
  <c r="C3" i="121"/>
  <c r="J4" i="121"/>
  <c r="K4" i="121" s="1"/>
  <c r="I65" i="96"/>
  <c r="J64" i="96"/>
  <c r="K66" i="136"/>
  <c r="E3" i="96"/>
  <c r="C2" i="96"/>
  <c r="J3" i="96"/>
  <c r="K3" i="96" s="1"/>
  <c r="J64" i="40"/>
  <c r="I65" i="40"/>
  <c r="K65" i="30"/>
  <c r="K66" i="142"/>
  <c r="K63" i="40"/>
  <c r="I66" i="138"/>
  <c r="J65" i="138"/>
  <c r="E3" i="151"/>
  <c r="C2" i="151"/>
  <c r="J3" i="151"/>
  <c r="K3" i="151" s="1"/>
  <c r="I67" i="44"/>
  <c r="J67" i="44" s="1"/>
  <c r="J66" i="44"/>
  <c r="I66" i="123"/>
  <c r="J65" i="123"/>
  <c r="K64" i="123" s="1"/>
  <c r="C3" i="107"/>
  <c r="E4" i="107"/>
  <c r="J4" i="107"/>
  <c r="K4" i="107" s="1"/>
  <c r="J64" i="125"/>
  <c r="K63" i="125" s="1"/>
  <c r="I65" i="125"/>
  <c r="EE5" i="2"/>
  <c r="E3" i="35"/>
  <c r="C2" i="35"/>
  <c r="J3" i="35"/>
  <c r="K3" i="35" s="1"/>
  <c r="E2" i="17"/>
  <c r="J2" i="17"/>
  <c r="K2" i="17" s="1"/>
  <c r="J66" i="30"/>
  <c r="I67" i="30"/>
  <c r="J67" i="30" s="1"/>
  <c r="C2" i="153"/>
  <c r="E3" i="153"/>
  <c r="J3" i="153"/>
  <c r="K3" i="153" s="1"/>
  <c r="AJ4" i="2"/>
  <c r="J64" i="120"/>
  <c r="I65" i="120"/>
  <c r="K65" i="78"/>
  <c r="F67" i="66"/>
  <c r="E2" i="66"/>
  <c r="J2" i="66"/>
  <c r="K2" i="66" s="1"/>
  <c r="C2" i="101"/>
  <c r="E3" i="101"/>
  <c r="J3" i="101"/>
  <c r="K3" i="101" s="1"/>
  <c r="I65" i="8"/>
  <c r="J64" i="8"/>
  <c r="K63" i="8" s="1"/>
  <c r="E4" i="92"/>
  <c r="C3" i="92"/>
  <c r="J4" i="92"/>
  <c r="K4" i="92" s="1"/>
  <c r="E2" i="65"/>
  <c r="F67" i="65"/>
  <c r="J2" i="65"/>
  <c r="K2" i="65" s="1"/>
  <c r="K64" i="114"/>
  <c r="K63" i="120"/>
  <c r="K63" i="95"/>
  <c r="E3" i="13"/>
  <c r="C2" i="13"/>
  <c r="J3" i="13"/>
  <c r="K3" i="13" s="1"/>
  <c r="J65" i="114"/>
  <c r="I66" i="114"/>
  <c r="I67" i="159"/>
  <c r="J67" i="159" s="1"/>
  <c r="J66" i="159"/>
  <c r="I67" i="167"/>
  <c r="J67" i="167" s="1"/>
  <c r="J66" i="167"/>
  <c r="K66" i="167" s="1"/>
  <c r="E4" i="109"/>
  <c r="C3" i="109"/>
  <c r="ED4" i="2"/>
  <c r="J4" i="109"/>
  <c r="K4" i="109" s="1"/>
  <c r="E3" i="140"/>
  <c r="C2" i="140"/>
  <c r="J3" i="140"/>
  <c r="K3" i="140" s="1"/>
  <c r="F67" i="75"/>
  <c r="E2" i="75"/>
  <c r="J2" i="75"/>
  <c r="K2" i="75" s="1"/>
  <c r="E2" i="103"/>
  <c r="J2" i="103"/>
  <c r="K2" i="103" s="1"/>
  <c r="F67" i="103"/>
  <c r="J65" i="168"/>
  <c r="I66" i="168"/>
  <c r="K62" i="8"/>
  <c r="C3" i="28"/>
  <c r="E4" i="28"/>
  <c r="J4" i="28"/>
  <c r="K4" i="28" s="1"/>
  <c r="AJ5" i="1"/>
  <c r="J2" i="5"/>
  <c r="K2" i="5" s="1"/>
  <c r="E2" i="5"/>
  <c r="HO5" i="2"/>
  <c r="E4" i="91"/>
  <c r="C3" i="91"/>
  <c r="J4" i="91"/>
  <c r="K4" i="91" s="1"/>
  <c r="I65" i="95"/>
  <c r="J64" i="95"/>
  <c r="J64" i="36"/>
  <c r="K63" i="36" s="1"/>
  <c r="I65" i="36"/>
  <c r="I67" i="158"/>
  <c r="J67" i="158" s="1"/>
  <c r="J66" i="158"/>
  <c r="K65" i="158" s="1"/>
  <c r="J65" i="80"/>
  <c r="K64" i="80" s="1"/>
  <c r="I66" i="80"/>
  <c r="K65" i="159"/>
  <c r="E4" i="155"/>
  <c r="C3" i="155"/>
  <c r="J4" i="155"/>
  <c r="K4" i="155" s="1"/>
  <c r="I67" i="28"/>
  <c r="J67" i="28" s="1"/>
  <c r="J66" i="28"/>
  <c r="C2" i="44"/>
  <c r="J3" i="44"/>
  <c r="K3" i="44" s="1"/>
  <c r="E3" i="44"/>
  <c r="K65" i="9"/>
  <c r="C3" i="14"/>
  <c r="J4" i="14"/>
  <c r="K4" i="14" s="1"/>
  <c r="E4" i="14"/>
  <c r="K62" i="120"/>
  <c r="E2" i="135"/>
  <c r="J2" i="135"/>
  <c r="K2" i="135" s="1"/>
  <c r="F67" i="135"/>
  <c r="K66" i="13"/>
  <c r="K65" i="124"/>
  <c r="E4" i="58"/>
  <c r="C3" i="58"/>
  <c r="J4" i="58"/>
  <c r="K4" i="58" s="1"/>
  <c r="BF4" i="2"/>
  <c r="K63" i="55"/>
  <c r="K66" i="77"/>
  <c r="J65" i="19"/>
  <c r="K64" i="19" s="1"/>
  <c r="I66" i="19"/>
  <c r="E3" i="23"/>
  <c r="C2" i="23"/>
  <c r="J3" i="23"/>
  <c r="K3" i="23" s="1"/>
  <c r="I66" i="153"/>
  <c r="J65" i="153"/>
  <c r="K64" i="153" s="1"/>
  <c r="E3" i="10"/>
  <c r="C2" i="10"/>
  <c r="J3" i="10"/>
  <c r="K3" i="10" s="1"/>
  <c r="K64" i="3"/>
  <c r="C2" i="142"/>
  <c r="E3" i="142"/>
  <c r="J3" i="142"/>
  <c r="K3" i="142" s="1"/>
  <c r="J66" i="124"/>
  <c r="I67" i="124"/>
  <c r="J67" i="124" s="1"/>
  <c r="E3" i="117"/>
  <c r="C2" i="117"/>
  <c r="J3" i="117"/>
  <c r="K3" i="117" s="1"/>
  <c r="I65" i="55"/>
  <c r="J64" i="55"/>
  <c r="K63" i="153"/>
  <c r="J65" i="21"/>
  <c r="K64" i="21" s="1"/>
  <c r="I66" i="21"/>
  <c r="I66" i="3"/>
  <c r="J65" i="3"/>
  <c r="J64" i="43"/>
  <c r="K63" i="43" s="1"/>
  <c r="I65" i="43"/>
  <c r="I67" i="157"/>
  <c r="J67" i="157" s="1"/>
  <c r="J66" i="157"/>
  <c r="E3" i="119"/>
  <c r="C2" i="119"/>
  <c r="J3" i="119"/>
  <c r="K3" i="119" s="1"/>
  <c r="I66" i="170"/>
  <c r="J65" i="170"/>
  <c r="K66" i="127"/>
  <c r="K66" i="16"/>
  <c r="EP4" i="2"/>
  <c r="K64" i="170"/>
  <c r="E2" i="16"/>
  <c r="J2" i="16"/>
  <c r="K2" i="16" s="1"/>
  <c r="E2" i="148"/>
  <c r="F67" i="148"/>
  <c r="J2" i="148"/>
  <c r="K2" i="148" s="1"/>
  <c r="E4" i="93"/>
  <c r="C3" i="93"/>
  <c r="J4" i="93"/>
  <c r="K4" i="93" s="1"/>
  <c r="K63" i="97"/>
  <c r="I66" i="154"/>
  <c r="J65" i="154"/>
  <c r="K64" i="154" s="1"/>
  <c r="J2" i="22"/>
  <c r="K2" i="22" s="1"/>
  <c r="E2" i="22"/>
  <c r="J66" i="129"/>
  <c r="K65" i="129" s="1"/>
  <c r="I67" i="129"/>
  <c r="J67" i="129" s="1"/>
  <c r="I67" i="60"/>
  <c r="J67" i="60" s="1"/>
  <c r="J66" i="60"/>
  <c r="K65" i="60" s="1"/>
  <c r="I67" i="83"/>
  <c r="J67" i="83" s="1"/>
  <c r="J66" i="83"/>
  <c r="K66" i="83" s="1"/>
  <c r="K66" i="128"/>
  <c r="I67" i="18"/>
  <c r="J67" i="18" s="1"/>
  <c r="J66" i="18"/>
  <c r="K65" i="18" s="1"/>
  <c r="I65" i="166"/>
  <c r="J64" i="166"/>
  <c r="C2" i="97"/>
  <c r="E3" i="97"/>
  <c r="J3" i="97"/>
  <c r="K3" i="97" s="1"/>
  <c r="C2" i="164"/>
  <c r="E3" i="164"/>
  <c r="J3" i="164"/>
  <c r="K3" i="164" s="1"/>
  <c r="K65" i="77"/>
  <c r="E2" i="68"/>
  <c r="F67" i="68"/>
  <c r="J2" i="68"/>
  <c r="K2" i="68" s="1"/>
  <c r="E3" i="71"/>
  <c r="C2" i="71"/>
  <c r="J3" i="71"/>
  <c r="K3" i="71" s="1"/>
  <c r="J65" i="137"/>
  <c r="I66" i="137"/>
  <c r="E2" i="4"/>
  <c r="J2" i="4"/>
  <c r="K2" i="4" s="1"/>
  <c r="I65" i="141"/>
  <c r="J64" i="141"/>
  <c r="K64" i="161"/>
  <c r="I67" i="63"/>
  <c r="J67" i="63" s="1"/>
  <c r="J66" i="63"/>
  <c r="E3" i="154"/>
  <c r="C2" i="154"/>
  <c r="J3" i="154"/>
  <c r="K3" i="154" s="1"/>
  <c r="HD5" i="2"/>
  <c r="I66" i="57"/>
  <c r="J65" i="57"/>
  <c r="K64" i="57" s="1"/>
  <c r="D43" i="2"/>
  <c r="DU43" i="2"/>
  <c r="FM43" i="2"/>
  <c r="DJ43" i="2"/>
  <c r="CN43" i="2"/>
  <c r="IW43" i="2"/>
  <c r="IL43" i="2"/>
  <c r="FB43" i="2"/>
  <c r="CY43" i="2"/>
  <c r="GT43" i="2"/>
  <c r="EQ43" i="2"/>
  <c r="IA43" i="2"/>
  <c r="AK43" i="2"/>
  <c r="HP43" i="2"/>
  <c r="CC43" i="2"/>
  <c r="FX43" i="2"/>
  <c r="O43" i="2"/>
  <c r="BG43" i="2"/>
  <c r="Z43" i="2"/>
  <c r="EF43" i="2"/>
  <c r="AV43" i="2"/>
  <c r="BR43" i="2"/>
  <c r="HE43" i="2"/>
  <c r="E4" i="7"/>
  <c r="C3" i="7"/>
  <c r="EO3" i="2" s="1"/>
  <c r="AT4" i="1"/>
  <c r="J4" i="7"/>
  <c r="K4" i="7" s="1"/>
  <c r="BQ5" i="1"/>
  <c r="K64" i="137"/>
  <c r="I67" i="37"/>
  <c r="J67" i="37" s="1"/>
  <c r="J66" i="37"/>
  <c r="K66" i="37" s="1"/>
  <c r="I65" i="45"/>
  <c r="J64" i="45"/>
  <c r="K62" i="90"/>
  <c r="J65" i="161"/>
  <c r="I66" i="161"/>
  <c r="FA4" i="2"/>
  <c r="E3" i="125"/>
  <c r="C2" i="125"/>
  <c r="J3" i="125"/>
  <c r="K3" i="125" s="1"/>
  <c r="E2" i="57"/>
  <c r="F67" i="57"/>
  <c r="J2" i="57"/>
  <c r="K2" i="57" s="1"/>
  <c r="J2" i="9"/>
  <c r="K2" i="9" s="1"/>
  <c r="E2" i="9"/>
  <c r="AU5" i="1"/>
  <c r="E2" i="11"/>
  <c r="J2" i="11"/>
  <c r="K2" i="11" s="1"/>
  <c r="E3" i="38"/>
  <c r="C2" i="38"/>
  <c r="J3" i="38"/>
  <c r="K3" i="38" s="1"/>
  <c r="F67" i="104"/>
  <c r="E2" i="104"/>
  <c r="J2" i="104"/>
  <c r="K2" i="104" s="1"/>
  <c r="I65" i="90"/>
  <c r="J64" i="90"/>
  <c r="K63" i="90" s="1"/>
  <c r="CL4" i="2"/>
  <c r="I65" i="69"/>
  <c r="J64" i="69"/>
  <c r="E3" i="134"/>
  <c r="C2" i="134"/>
  <c r="J3" i="134"/>
  <c r="K3" i="134" s="1"/>
  <c r="EZ3" i="2"/>
  <c r="K63" i="114"/>
  <c r="K66" i="26"/>
  <c r="K65" i="101"/>
  <c r="K63" i="3"/>
  <c r="K62" i="55"/>
  <c r="C3" i="8"/>
  <c r="E4" i="8"/>
  <c r="HC4" i="2"/>
  <c r="BP4" i="1"/>
  <c r="J4" i="8"/>
  <c r="K4" i="8" s="1"/>
  <c r="HZ5" i="2"/>
  <c r="F67" i="144"/>
  <c r="E2" i="144"/>
  <c r="J2" i="144"/>
  <c r="K2" i="144" s="1"/>
  <c r="E3" i="145"/>
  <c r="C2" i="145"/>
  <c r="J3" i="145"/>
  <c r="K3" i="145" s="1"/>
  <c r="F67" i="126"/>
  <c r="E2" i="126"/>
  <c r="J2" i="126"/>
  <c r="K2" i="126" s="1"/>
  <c r="E2" i="110"/>
  <c r="F67" i="110"/>
  <c r="J2" i="110"/>
  <c r="K2" i="110" s="1"/>
  <c r="K62" i="96"/>
  <c r="K64" i="39"/>
  <c r="I65" i="171"/>
  <c r="J64" i="171"/>
  <c r="K63" i="171" s="1"/>
  <c r="K66" i="132"/>
  <c r="CB4" i="2"/>
  <c r="I65" i="109"/>
  <c r="J64" i="109"/>
  <c r="K63" i="109" s="1"/>
  <c r="E2" i="99"/>
  <c r="J2" i="99"/>
  <c r="K2" i="99" s="1"/>
  <c r="F67" i="99"/>
  <c r="I66" i="169"/>
  <c r="J65" i="169"/>
  <c r="K64" i="169" s="1"/>
  <c r="F67" i="60"/>
  <c r="J2" i="60"/>
  <c r="K2" i="60" s="1"/>
  <c r="E2" i="60"/>
  <c r="K64" i="63"/>
  <c r="J64" i="81"/>
  <c r="K63" i="81" s="1"/>
  <c r="I65" i="81"/>
  <c r="J2" i="18"/>
  <c r="K2" i="18" s="1"/>
  <c r="E2" i="18"/>
  <c r="F67" i="116"/>
  <c r="E2" i="116"/>
  <c r="J2" i="116"/>
  <c r="K2" i="116" s="1"/>
  <c r="I66" i="106"/>
  <c r="J65" i="106"/>
  <c r="I66" i="73"/>
  <c r="J65" i="73"/>
  <c r="C2" i="63"/>
  <c r="E3" i="63"/>
  <c r="J3" i="63"/>
  <c r="K3" i="63" s="1"/>
  <c r="J64" i="11"/>
  <c r="K63" i="11" s="1"/>
  <c r="I65" i="11"/>
  <c r="F67" i="54"/>
  <c r="E2" i="54"/>
  <c r="J2" i="54"/>
  <c r="K2" i="54" s="1"/>
  <c r="E3" i="41"/>
  <c r="C2" i="41"/>
  <c r="J3" i="41"/>
  <c r="K3" i="41" s="1"/>
  <c r="D43" i="1"/>
  <c r="AV43" i="1"/>
  <c r="BR43" i="1"/>
  <c r="O43" i="1"/>
  <c r="AK43" i="1"/>
  <c r="CC43" i="1"/>
  <c r="Z43" i="1"/>
  <c r="I65" i="147"/>
  <c r="J64" i="147"/>
  <c r="F67" i="128"/>
  <c r="J2" i="128"/>
  <c r="K2" i="128" s="1"/>
  <c r="E2" i="128"/>
  <c r="I66" i="39"/>
  <c r="J65" i="39"/>
  <c r="J66" i="72"/>
  <c r="I67" i="72"/>
  <c r="J67" i="72" s="1"/>
  <c r="E3" i="31"/>
  <c r="C2" i="31"/>
  <c r="J3" i="31"/>
  <c r="K3" i="31" s="1"/>
  <c r="K63" i="106"/>
  <c r="N5" i="1"/>
  <c r="I66" i="4"/>
  <c r="J65" i="4"/>
  <c r="K63" i="4"/>
  <c r="C2" i="76"/>
  <c r="E3" i="76"/>
  <c r="J3" i="76"/>
  <c r="K3" i="76" s="1"/>
  <c r="K64" i="139"/>
  <c r="I65" i="110"/>
  <c r="J64" i="110"/>
  <c r="I65" i="148"/>
  <c r="J64" i="148"/>
  <c r="K65" i="37"/>
  <c r="E3" i="108"/>
  <c r="C2" i="108"/>
  <c r="J3" i="108"/>
  <c r="K3" i="108" s="1"/>
  <c r="F67" i="83"/>
  <c r="J2" i="83"/>
  <c r="K2" i="83" s="1"/>
  <c r="E2" i="83"/>
  <c r="K63" i="17"/>
  <c r="J66" i="115"/>
  <c r="I67" i="115"/>
  <c r="J67" i="115" s="1"/>
  <c r="BG43" i="1"/>
  <c r="BF43" i="1"/>
  <c r="GI43" i="2"/>
  <c r="GH43" i="2"/>
  <c r="I65" i="112"/>
  <c r="J64" i="112"/>
  <c r="J65" i="33"/>
  <c r="I66" i="33"/>
  <c r="K66" i="122"/>
  <c r="J65" i="162"/>
  <c r="I66" i="162"/>
  <c r="K63" i="162"/>
  <c r="Y5" i="2"/>
  <c r="K64" i="70"/>
  <c r="E4" i="172"/>
  <c r="C3" i="172"/>
  <c r="J4" i="172"/>
  <c r="K4" i="172" s="1"/>
  <c r="I66" i="20"/>
  <c r="J65" i="20"/>
  <c r="J64" i="143"/>
  <c r="K63" i="143" s="1"/>
  <c r="I65" i="143"/>
  <c r="HN4" i="2"/>
  <c r="K64" i="33"/>
  <c r="E2" i="118"/>
  <c r="F67" i="118"/>
  <c r="J2" i="118"/>
  <c r="K2" i="118" s="1"/>
  <c r="F67" i="167"/>
  <c r="J2" i="167"/>
  <c r="K2" i="167" s="1"/>
  <c r="E2" i="167"/>
  <c r="K66" i="89"/>
  <c r="I66" i="108"/>
  <c r="J65" i="108"/>
  <c r="K64" i="108" s="1"/>
  <c r="I65" i="174"/>
  <c r="J64" i="174"/>
  <c r="K63" i="174" s="1"/>
  <c r="J65" i="70"/>
  <c r="I66" i="70"/>
  <c r="I65" i="105"/>
  <c r="J64" i="105"/>
  <c r="I65" i="17"/>
  <c r="J64" i="17"/>
  <c r="K65" i="72"/>
  <c r="E4" i="56"/>
  <c r="C3" i="56"/>
  <c r="J4" i="56"/>
  <c r="K4" i="56" s="1"/>
  <c r="E4" i="12"/>
  <c r="C3" i="12"/>
  <c r="J4" i="12"/>
  <c r="K4" i="12" s="1"/>
  <c r="M4" i="1"/>
  <c r="X4" i="2"/>
  <c r="I66" i="155"/>
  <c r="J65" i="155"/>
  <c r="K64" i="155" s="1"/>
  <c r="K63" i="123"/>
  <c r="E2" i="64"/>
  <c r="F67" i="64"/>
  <c r="J2" i="64"/>
  <c r="K2" i="64" s="1"/>
  <c r="K62" i="81"/>
  <c r="E4" i="143"/>
  <c r="C3" i="143"/>
  <c r="J4" i="143"/>
  <c r="K4" i="143" s="1"/>
  <c r="K64" i="115"/>
  <c r="F67" i="81"/>
  <c r="E2" i="81"/>
  <c r="J2" i="81"/>
  <c r="K2" i="81" s="1"/>
  <c r="C2" i="20"/>
  <c r="E3" i="20"/>
  <c r="J3" i="20"/>
  <c r="K3" i="20" s="1"/>
  <c r="E3" i="89"/>
  <c r="C2" i="89"/>
  <c r="J3" i="89"/>
  <c r="K3" i="89" s="1"/>
  <c r="HN3" i="2"/>
  <c r="I65" i="163"/>
  <c r="J64" i="163"/>
  <c r="I66" i="131"/>
  <c r="J65" i="131"/>
  <c r="K64" i="131" s="1"/>
  <c r="I65" i="140"/>
  <c r="J64" i="140"/>
  <c r="K63" i="140" s="1"/>
  <c r="I66" i="121"/>
  <c r="J65" i="121"/>
  <c r="K64" i="121" s="1"/>
  <c r="K63" i="70"/>
  <c r="C3" i="55"/>
  <c r="E4" i="55"/>
  <c r="J4" i="55"/>
  <c r="K4" i="55" s="1"/>
  <c r="K65" i="51"/>
  <c r="I66" i="53"/>
  <c r="J65" i="53"/>
  <c r="K64" i="53" s="1"/>
  <c r="K63" i="65"/>
  <c r="I66" i="119"/>
  <c r="J65" i="119"/>
  <c r="I65" i="47"/>
  <c r="J64" i="47"/>
  <c r="K63" i="47" s="1"/>
  <c r="AJ5" i="2"/>
  <c r="E3" i="33"/>
  <c r="C2" i="33"/>
  <c r="J3" i="33"/>
  <c r="K3" i="33" s="1"/>
  <c r="I65" i="58"/>
  <c r="J64" i="58"/>
  <c r="K63" i="58" s="1"/>
  <c r="I65" i="65"/>
  <c r="J64" i="65"/>
  <c r="K65" i="149"/>
  <c r="K64" i="119"/>
  <c r="E4" i="90"/>
  <c r="C3" i="90"/>
  <c r="J4" i="90"/>
  <c r="K4" i="90" s="1"/>
  <c r="I67" i="93"/>
  <c r="J67" i="93" s="1"/>
  <c r="J66" i="93"/>
  <c r="F67" i="94"/>
  <c r="E2" i="94"/>
  <c r="J2" i="94"/>
  <c r="K2" i="94" s="1"/>
  <c r="K63" i="166"/>
  <c r="C2" i="80"/>
  <c r="E3" i="80"/>
  <c r="J3" i="80"/>
  <c r="K3" i="80" s="1"/>
  <c r="E4" i="49"/>
  <c r="C3" i="49"/>
  <c r="J4" i="49"/>
  <c r="K4" i="49" s="1"/>
  <c r="I67" i="92"/>
  <c r="J67" i="92" s="1"/>
  <c r="J66" i="92"/>
  <c r="J2" i="19"/>
  <c r="K2" i="19" s="1"/>
  <c r="E2" i="19"/>
  <c r="K65" i="135"/>
  <c r="E3" i="88"/>
  <c r="C2" i="88"/>
  <c r="J3" i="88"/>
  <c r="K3" i="88" s="1"/>
  <c r="BQ5" i="2"/>
  <c r="K62" i="105"/>
  <c r="K65" i="117"/>
  <c r="J66" i="149"/>
  <c r="I67" i="149"/>
  <c r="J67" i="149" s="1"/>
  <c r="FW5" i="2"/>
  <c r="E3" i="77"/>
  <c r="C2" i="77"/>
  <c r="J3" i="77"/>
  <c r="K3" i="77" s="1"/>
  <c r="E4" i="52"/>
  <c r="C3" i="52"/>
  <c r="BP4" i="2"/>
  <c r="J4" i="52"/>
  <c r="K4" i="52" s="1"/>
  <c r="K63" i="112"/>
  <c r="K64" i="83"/>
  <c r="J64" i="146"/>
  <c r="K63" i="146" s="1"/>
  <c r="I65" i="146"/>
  <c r="J3" i="133"/>
  <c r="K3" i="133" s="1"/>
  <c r="E3" i="133"/>
  <c r="C2" i="133"/>
  <c r="DH3" i="2"/>
  <c r="AU5" i="2"/>
  <c r="E3" i="169"/>
  <c r="C2" i="169"/>
  <c r="J3" i="169"/>
  <c r="K3" i="169" s="1"/>
  <c r="I66" i="144"/>
  <c r="J65" i="144"/>
  <c r="K64" i="144" s="1"/>
  <c r="E2" i="25"/>
  <c r="J2" i="25"/>
  <c r="K2" i="25" s="1"/>
  <c r="K64" i="129"/>
  <c r="J65" i="104"/>
  <c r="I66" i="104"/>
  <c r="E4" i="50"/>
  <c r="C3" i="50"/>
  <c r="AT4" i="2"/>
  <c r="J4" i="50"/>
  <c r="K4" i="50" s="1"/>
  <c r="C3" i="170"/>
  <c r="E4" i="170"/>
  <c r="J4" i="170"/>
  <c r="K4" i="170" s="1"/>
  <c r="I65" i="91"/>
  <c r="J64" i="91"/>
  <c r="K63" i="91" s="1"/>
  <c r="DT3" i="2"/>
  <c r="E3" i="95"/>
  <c r="C2" i="95"/>
  <c r="J3" i="95"/>
  <c r="K3" i="95" s="1"/>
  <c r="E4" i="152"/>
  <c r="C3" i="152"/>
  <c r="M3" i="2" s="1"/>
  <c r="J4" i="152"/>
  <c r="K4" i="152" s="1"/>
  <c r="I65" i="160"/>
  <c r="J64" i="160"/>
  <c r="I67" i="10"/>
  <c r="J67" i="10" s="1"/>
  <c r="J66" i="10"/>
  <c r="C3" i="136"/>
  <c r="E4" i="136"/>
  <c r="J4" i="136"/>
  <c r="K4" i="136" s="1"/>
  <c r="K64" i="5"/>
  <c r="K63" i="38"/>
  <c r="E4" i="27"/>
  <c r="C3" i="27"/>
  <c r="J4" i="27"/>
  <c r="K4" i="27" s="1"/>
  <c r="Y5" i="1"/>
  <c r="K63" i="67"/>
  <c r="E3" i="36"/>
  <c r="C2" i="36"/>
  <c r="J3" i="36"/>
  <c r="K3" i="36" s="1"/>
  <c r="E2" i="139"/>
  <c r="F67" i="139"/>
  <c r="J2" i="139"/>
  <c r="K2" i="139" s="1"/>
  <c r="E42" i="24"/>
  <c r="C41" i="24"/>
  <c r="GG42" i="2"/>
  <c r="BE42" i="1"/>
  <c r="C42" i="2"/>
  <c r="C42" i="1"/>
  <c r="J42" i="24"/>
  <c r="K42" i="24" s="1"/>
  <c r="E3" i="70"/>
  <c r="C2" i="70"/>
  <c r="J3" i="70"/>
  <c r="K3" i="70" s="1"/>
  <c r="CB5" i="1"/>
  <c r="I66" i="5"/>
  <c r="J65" i="5"/>
  <c r="I65" i="38"/>
  <c r="J64" i="38"/>
  <c r="I67" i="66"/>
  <c r="J67" i="66" s="1"/>
  <c r="J66" i="66"/>
  <c r="K65" i="66" s="1"/>
  <c r="C3" i="42"/>
  <c r="J4" i="42"/>
  <c r="K4" i="42" s="1"/>
  <c r="E4" i="42"/>
  <c r="FV4" i="2"/>
  <c r="K66" i="156"/>
  <c r="I67" i="23"/>
  <c r="J67" i="23" s="1"/>
  <c r="J66" i="23"/>
  <c r="K63" i="45"/>
  <c r="I67" i="139"/>
  <c r="J67" i="139" s="1"/>
  <c r="J66" i="139"/>
  <c r="K66" i="98"/>
  <c r="I66" i="54"/>
  <c r="J65" i="54"/>
  <c r="K64" i="54" s="1"/>
  <c r="K65" i="107"/>
  <c r="C3" i="6"/>
  <c r="IU3" i="2" s="1"/>
  <c r="E4" i="6"/>
  <c r="CA4" i="1"/>
  <c r="K62" i="38"/>
  <c r="K64" i="92"/>
  <c r="F67" i="137"/>
  <c r="E2" i="137"/>
  <c r="J2" i="137"/>
  <c r="K2" i="137" s="1"/>
  <c r="I66" i="87"/>
  <c r="J65" i="87"/>
  <c r="K64" i="31"/>
  <c r="J65" i="88"/>
  <c r="K64" i="88" s="1"/>
  <c r="I66" i="88"/>
  <c r="I66" i="49"/>
  <c r="J65" i="49"/>
  <c r="K64" i="20"/>
  <c r="K64" i="49"/>
  <c r="K66" i="164"/>
  <c r="C2" i="78"/>
  <c r="E3" i="78"/>
  <c r="J3" i="78"/>
  <c r="K3" i="78" s="1"/>
  <c r="E4" i="100"/>
  <c r="C3" i="100"/>
  <c r="J4" i="100"/>
  <c r="K4" i="100" s="1"/>
  <c r="C2" i="15"/>
  <c r="J3" i="15"/>
  <c r="K3" i="15" s="1"/>
  <c r="E3" i="15"/>
  <c r="I66" i="86"/>
  <c r="J65" i="86"/>
  <c r="E3" i="48"/>
  <c r="C2" i="48"/>
  <c r="J3" i="48"/>
  <c r="K3" i="48" s="1"/>
  <c r="E2" i="129"/>
  <c r="F67" i="129"/>
  <c r="J2" i="129"/>
  <c r="K2" i="129" s="1"/>
  <c r="DS2" i="2"/>
  <c r="K63" i="20"/>
  <c r="I67" i="113"/>
  <c r="J67" i="113" s="1"/>
  <c r="J66" i="113"/>
  <c r="K66" i="113" s="1"/>
  <c r="K63" i="144"/>
  <c r="K63" i="138"/>
  <c r="F67" i="67"/>
  <c r="E2" i="67"/>
  <c r="J2" i="67"/>
  <c r="K2" i="67" s="1"/>
  <c r="I65" i="64"/>
  <c r="J64" i="64"/>
  <c r="K63" i="64" s="1"/>
  <c r="C3" i="29"/>
  <c r="E4" i="29"/>
  <c r="J4" i="29"/>
  <c r="K4" i="29" s="1"/>
  <c r="K63" i="161"/>
  <c r="F67" i="161"/>
  <c r="E2" i="161"/>
  <c r="J2" i="161"/>
  <c r="K2" i="161" s="1"/>
  <c r="DI4" i="2"/>
  <c r="J65" i="31"/>
  <c r="I66" i="31"/>
  <c r="HZ4" i="2"/>
  <c r="I66" i="85"/>
  <c r="J65" i="85"/>
  <c r="K64" i="85" s="1"/>
  <c r="K63" i="31"/>
  <c r="J64" i="100"/>
  <c r="I65" i="100"/>
  <c r="I66" i="50"/>
  <c r="J65" i="50"/>
  <c r="K63" i="50"/>
  <c r="I67" i="173"/>
  <c r="J67" i="173" s="1"/>
  <c r="J66" i="173"/>
  <c r="K66" i="173" s="1"/>
  <c r="E4" i="46"/>
  <c r="C3" i="46"/>
  <c r="J4" i="46"/>
  <c r="K4" i="46" s="1"/>
  <c r="K63" i="168"/>
  <c r="C3" i="174"/>
  <c r="E4" i="174"/>
  <c r="J4" i="174"/>
  <c r="K4" i="174" s="1"/>
  <c r="CW3" i="2"/>
  <c r="J66" i="165"/>
  <c r="K65" i="165" s="1"/>
  <c r="I67" i="165"/>
  <c r="J67" i="165" s="1"/>
  <c r="K64" i="111"/>
  <c r="E4" i="53"/>
  <c r="C3" i="53"/>
  <c r="J4" i="53"/>
  <c r="K4" i="53" s="1"/>
  <c r="I66" i="126"/>
  <c r="J65" i="126"/>
  <c r="K64" i="126" s="1"/>
  <c r="K62" i="69"/>
  <c r="K63" i="80"/>
  <c r="E4" i="3"/>
  <c r="C3" i="3"/>
  <c r="J4" i="3"/>
  <c r="K4" i="3" s="1"/>
  <c r="E3" i="147"/>
  <c r="C2" i="147"/>
  <c r="J3" i="147"/>
  <c r="K3" i="147" s="1"/>
  <c r="GS5" i="2"/>
  <c r="J66" i="118"/>
  <c r="K65" i="118" s="1"/>
  <c r="I67" i="118"/>
  <c r="J67" i="118" s="1"/>
  <c r="I66" i="76"/>
  <c r="J65" i="76"/>
  <c r="C2" i="79"/>
  <c r="E3" i="79"/>
  <c r="J3" i="79"/>
  <c r="K3" i="79" s="1"/>
  <c r="K65" i="167"/>
  <c r="E2" i="113"/>
  <c r="F67" i="113"/>
  <c r="J2" i="113"/>
  <c r="K2" i="113" s="1"/>
  <c r="I65" i="35"/>
  <c r="J64" i="35"/>
  <c r="K63" i="35" s="1"/>
  <c r="I67" i="25"/>
  <c r="J67" i="25" s="1"/>
  <c r="J66" i="25"/>
  <c r="K65" i="25" s="1"/>
  <c r="K64" i="116"/>
  <c r="J3" i="132"/>
  <c r="K3" i="132" s="1"/>
  <c r="C2" i="132"/>
  <c r="E3" i="132"/>
  <c r="E3" i="114"/>
  <c r="C2" i="114"/>
  <c r="J3" i="114"/>
  <c r="K3" i="114" s="1"/>
  <c r="I66" i="151"/>
  <c r="J65" i="151"/>
  <c r="K64" i="151" s="1"/>
  <c r="J65" i="103"/>
  <c r="K64" i="103" s="1"/>
  <c r="I66" i="103"/>
  <c r="I66" i="111"/>
  <c r="J65" i="111"/>
  <c r="C3" i="158"/>
  <c r="E4" i="158"/>
  <c r="J4" i="158"/>
  <c r="K4" i="158" s="1"/>
  <c r="K62" i="11"/>
  <c r="J65" i="56"/>
  <c r="K64" i="56" s="1"/>
  <c r="I66" i="56"/>
  <c r="GR4" i="2"/>
  <c r="J3" i="156" l="1"/>
  <c r="K3" i="156" s="1"/>
  <c r="C2" i="156"/>
  <c r="E3" i="156"/>
  <c r="K66" i="159"/>
  <c r="F67" i="149"/>
  <c r="E2" i="149"/>
  <c r="J2" i="149"/>
  <c r="K2" i="149" s="1"/>
  <c r="K66" i="139"/>
  <c r="E3" i="130"/>
  <c r="C2" i="130"/>
  <c r="J3" i="130"/>
  <c r="K3" i="130" s="1"/>
  <c r="K66" i="115"/>
  <c r="BE3" i="2"/>
  <c r="K66" i="99"/>
  <c r="K66" i="93"/>
  <c r="K65" i="93"/>
  <c r="K66" i="92"/>
  <c r="K65" i="83"/>
  <c r="C2" i="74"/>
  <c r="E3" i="74"/>
  <c r="J3" i="74"/>
  <c r="K3" i="74" s="1"/>
  <c r="K66" i="72"/>
  <c r="K66" i="68"/>
  <c r="K66" i="63"/>
  <c r="J2" i="61"/>
  <c r="K2" i="61" s="1"/>
  <c r="F67" i="61"/>
  <c r="E2" i="61"/>
  <c r="J2" i="59"/>
  <c r="K2" i="59" s="1"/>
  <c r="E2" i="59"/>
  <c r="F67" i="59"/>
  <c r="K66" i="23"/>
  <c r="K65" i="23"/>
  <c r="J3" i="150"/>
  <c r="K3" i="150" s="1"/>
  <c r="C2" i="150"/>
  <c r="E3" i="150"/>
  <c r="N3" i="2"/>
  <c r="EP3" i="2"/>
  <c r="BF3" i="2"/>
  <c r="I67" i="39"/>
  <c r="J67" i="39" s="1"/>
  <c r="J66" i="39"/>
  <c r="K65" i="39" s="1"/>
  <c r="I66" i="45"/>
  <c r="J65" i="45"/>
  <c r="K64" i="45" s="1"/>
  <c r="J2" i="13"/>
  <c r="K2" i="13" s="1"/>
  <c r="E2" i="13"/>
  <c r="K64" i="96"/>
  <c r="E2" i="122"/>
  <c r="F67" i="122"/>
  <c r="J2" i="122"/>
  <c r="K2" i="122" s="1"/>
  <c r="E2" i="77"/>
  <c r="F67" i="77"/>
  <c r="J2" i="77"/>
  <c r="K2" i="77" s="1"/>
  <c r="E3" i="55"/>
  <c r="C2" i="55"/>
  <c r="J3" i="55"/>
  <c r="K3" i="55" s="1"/>
  <c r="K65" i="139"/>
  <c r="I67" i="73"/>
  <c r="J67" i="73" s="1"/>
  <c r="J66" i="73"/>
  <c r="E2" i="164"/>
  <c r="F67" i="164"/>
  <c r="J2" i="164"/>
  <c r="K2" i="164" s="1"/>
  <c r="C2" i="14"/>
  <c r="E3" i="14"/>
  <c r="J3" i="14"/>
  <c r="K3" i="14" s="1"/>
  <c r="I66" i="96"/>
  <c r="J65" i="96"/>
  <c r="E3" i="100"/>
  <c r="C2" i="100"/>
  <c r="J3" i="100"/>
  <c r="K3" i="100" s="1"/>
  <c r="AU4" i="2"/>
  <c r="J65" i="69"/>
  <c r="K64" i="69" s="1"/>
  <c r="I66" i="69"/>
  <c r="E2" i="10"/>
  <c r="J2" i="10"/>
  <c r="K2" i="10" s="1"/>
  <c r="E2" i="35"/>
  <c r="J2" i="35"/>
  <c r="K2" i="35" s="1"/>
  <c r="E3" i="170"/>
  <c r="C2" i="170"/>
  <c r="J3" i="170"/>
  <c r="K3" i="170" s="1"/>
  <c r="E2" i="36"/>
  <c r="J2" i="36"/>
  <c r="K2" i="36" s="1"/>
  <c r="E3" i="29"/>
  <c r="C2" i="29"/>
  <c r="J3" i="29"/>
  <c r="K3" i="29" s="1"/>
  <c r="X3" i="1"/>
  <c r="I67" i="106"/>
  <c r="J67" i="106" s="1"/>
  <c r="J66" i="106"/>
  <c r="CM4" i="2"/>
  <c r="K65" i="115"/>
  <c r="E3" i="121"/>
  <c r="C2" i="121"/>
  <c r="J3" i="121"/>
  <c r="K3" i="121" s="1"/>
  <c r="K63" i="96"/>
  <c r="C2" i="46"/>
  <c r="E3" i="46"/>
  <c r="J3" i="46"/>
  <c r="K3" i="46" s="1"/>
  <c r="E3" i="50"/>
  <c r="C2" i="50"/>
  <c r="AT3" i="2"/>
  <c r="J3" i="50"/>
  <c r="K3" i="50" s="1"/>
  <c r="HO4" i="2"/>
  <c r="K65" i="111"/>
  <c r="K65" i="76"/>
  <c r="E3" i="90"/>
  <c r="C2" i="90"/>
  <c r="J3" i="90"/>
  <c r="K3" i="90" s="1"/>
  <c r="K65" i="121"/>
  <c r="J66" i="155"/>
  <c r="I67" i="155"/>
  <c r="J67" i="155" s="1"/>
  <c r="I66" i="143"/>
  <c r="J65" i="143"/>
  <c r="K64" i="143" s="1"/>
  <c r="K65" i="68"/>
  <c r="E3" i="174"/>
  <c r="C2" i="174"/>
  <c r="J3" i="174"/>
  <c r="K3" i="174" s="1"/>
  <c r="E3" i="158"/>
  <c r="C2" i="158"/>
  <c r="J3" i="158"/>
  <c r="K3" i="158" s="1"/>
  <c r="E2" i="79"/>
  <c r="F67" i="79"/>
  <c r="J2" i="79"/>
  <c r="K2" i="79" s="1"/>
  <c r="J66" i="111"/>
  <c r="I67" i="111"/>
  <c r="J67" i="111" s="1"/>
  <c r="J66" i="76"/>
  <c r="I67" i="76"/>
  <c r="J67" i="76" s="1"/>
  <c r="J65" i="64"/>
  <c r="K64" i="64" s="1"/>
  <c r="I66" i="64"/>
  <c r="F67" i="78"/>
  <c r="E2" i="78"/>
  <c r="J2" i="78"/>
  <c r="K2" i="78" s="1"/>
  <c r="J66" i="104"/>
  <c r="I67" i="104"/>
  <c r="J67" i="104" s="1"/>
  <c r="K65" i="92"/>
  <c r="I67" i="121"/>
  <c r="J67" i="121" s="1"/>
  <c r="J66" i="121"/>
  <c r="Y4" i="2"/>
  <c r="E2" i="108"/>
  <c r="F67" i="108"/>
  <c r="J2" i="108"/>
  <c r="K2" i="108" s="1"/>
  <c r="J65" i="90"/>
  <c r="I66" i="90"/>
  <c r="I67" i="57"/>
  <c r="J67" i="57" s="1"/>
  <c r="J66" i="57"/>
  <c r="K65" i="57" s="1"/>
  <c r="E3" i="28"/>
  <c r="C2" i="28"/>
  <c r="J3" i="28"/>
  <c r="K3" i="28" s="1"/>
  <c r="FW4" i="2"/>
  <c r="IV3" i="2"/>
  <c r="N4" i="1"/>
  <c r="K65" i="20"/>
  <c r="I66" i="147"/>
  <c r="J65" i="147"/>
  <c r="K64" i="147" s="1"/>
  <c r="J2" i="97"/>
  <c r="K2" i="97" s="1"/>
  <c r="E2" i="97"/>
  <c r="F67" i="97"/>
  <c r="I67" i="170"/>
  <c r="J67" i="170" s="1"/>
  <c r="J66" i="170"/>
  <c r="J66" i="153"/>
  <c r="K65" i="153" s="1"/>
  <c r="I67" i="153"/>
  <c r="J67" i="153" s="1"/>
  <c r="J65" i="125"/>
  <c r="I66" i="125"/>
  <c r="C2" i="27"/>
  <c r="IJ2" i="2" s="1"/>
  <c r="E3" i="27"/>
  <c r="J3" i="27"/>
  <c r="K3" i="27" s="1"/>
  <c r="J65" i="140"/>
  <c r="I66" i="140"/>
  <c r="I67" i="20"/>
  <c r="J67" i="20" s="1"/>
  <c r="J66" i="20"/>
  <c r="K63" i="147"/>
  <c r="K66" i="149"/>
  <c r="C2" i="12"/>
  <c r="J3" i="12"/>
  <c r="K3" i="12" s="1"/>
  <c r="E3" i="12"/>
  <c r="M3" i="1"/>
  <c r="X3" i="2"/>
  <c r="IJ3" i="2"/>
  <c r="I66" i="166"/>
  <c r="J65" i="166"/>
  <c r="K64" i="166" s="1"/>
  <c r="F67" i="119"/>
  <c r="E2" i="119"/>
  <c r="J2" i="119"/>
  <c r="K2" i="119" s="1"/>
  <c r="E2" i="23"/>
  <c r="J2" i="23"/>
  <c r="K2" i="23" s="1"/>
  <c r="E2" i="44"/>
  <c r="J2" i="44"/>
  <c r="K2" i="44" s="1"/>
  <c r="K65" i="49"/>
  <c r="C2" i="42"/>
  <c r="E3" i="42"/>
  <c r="J3" i="42"/>
  <c r="K3" i="42" s="1"/>
  <c r="FV3" i="2"/>
  <c r="I66" i="65"/>
  <c r="J65" i="65"/>
  <c r="K64" i="148"/>
  <c r="F67" i="145"/>
  <c r="E2" i="145"/>
  <c r="J2" i="145"/>
  <c r="K2" i="145" s="1"/>
  <c r="AU4" i="1"/>
  <c r="K66" i="18"/>
  <c r="J66" i="168"/>
  <c r="K65" i="168" s="1"/>
  <c r="I67" i="168"/>
  <c r="J67" i="168" s="1"/>
  <c r="E3" i="92"/>
  <c r="C2" i="92"/>
  <c r="J3" i="92"/>
  <c r="K3" i="92" s="1"/>
  <c r="F67" i="162"/>
  <c r="E2" i="162"/>
  <c r="J2" i="162"/>
  <c r="K2" i="162" s="1"/>
  <c r="I67" i="131"/>
  <c r="J67" i="131" s="1"/>
  <c r="J66" i="131"/>
  <c r="C2" i="172"/>
  <c r="E3" i="172"/>
  <c r="J3" i="172"/>
  <c r="K3" i="172" s="1"/>
  <c r="I66" i="148"/>
  <c r="J65" i="148"/>
  <c r="E2" i="38"/>
  <c r="J2" i="38"/>
  <c r="K2" i="38" s="1"/>
  <c r="E3" i="7"/>
  <c r="J3" i="7"/>
  <c r="K3" i="7" s="1"/>
  <c r="C2" i="7"/>
  <c r="AT3" i="1"/>
  <c r="E2" i="154"/>
  <c r="F67" i="154"/>
  <c r="J2" i="154"/>
  <c r="K2" i="154" s="1"/>
  <c r="K66" i="157"/>
  <c r="K66" i="28"/>
  <c r="K66" i="118"/>
  <c r="I66" i="81"/>
  <c r="J65" i="81"/>
  <c r="E3" i="107"/>
  <c r="C2" i="107"/>
  <c r="J3" i="107"/>
  <c r="K3" i="107" s="1"/>
  <c r="I67" i="97"/>
  <c r="J67" i="97" s="1"/>
  <c r="J66" i="97"/>
  <c r="K65" i="97" s="1"/>
  <c r="J65" i="130"/>
  <c r="K64" i="130" s="1"/>
  <c r="I66" i="130"/>
  <c r="I67" i="103"/>
  <c r="J67" i="103" s="1"/>
  <c r="J66" i="103"/>
  <c r="E2" i="147"/>
  <c r="F67" i="147"/>
  <c r="J2" i="147"/>
  <c r="K2" i="147" s="1"/>
  <c r="K64" i="58"/>
  <c r="J65" i="163"/>
  <c r="I66" i="163"/>
  <c r="I66" i="110"/>
  <c r="J65" i="110"/>
  <c r="K64" i="81"/>
  <c r="I66" i="43"/>
  <c r="J65" i="43"/>
  <c r="K64" i="43" s="1"/>
  <c r="J65" i="8"/>
  <c r="I66" i="8"/>
  <c r="I67" i="67"/>
  <c r="J67" i="67" s="1"/>
  <c r="J66" i="67"/>
  <c r="J66" i="88"/>
  <c r="I67" i="88"/>
  <c r="J67" i="88" s="1"/>
  <c r="J66" i="144"/>
  <c r="K65" i="144" s="1"/>
  <c r="I67" i="144"/>
  <c r="J67" i="144" s="1"/>
  <c r="I67" i="50"/>
  <c r="J67" i="50" s="1"/>
  <c r="J66" i="50"/>
  <c r="K65" i="50" s="1"/>
  <c r="I66" i="38"/>
  <c r="J65" i="38"/>
  <c r="J65" i="58"/>
  <c r="I66" i="58"/>
  <c r="C2" i="56"/>
  <c r="E3" i="56"/>
  <c r="J3" i="56"/>
  <c r="K3" i="56" s="1"/>
  <c r="GR3" i="2"/>
  <c r="E3" i="155"/>
  <c r="C2" i="155"/>
  <c r="J3" i="155"/>
  <c r="K3" i="155" s="1"/>
  <c r="J65" i="34"/>
  <c r="K64" i="34" s="1"/>
  <c r="I66" i="34"/>
  <c r="C2" i="136"/>
  <c r="J3" i="136"/>
  <c r="K3" i="136" s="1"/>
  <c r="E3" i="136"/>
  <c r="HY3" i="2"/>
  <c r="FK3" i="2"/>
  <c r="HO3" i="2"/>
  <c r="K66" i="60"/>
  <c r="I67" i="123"/>
  <c r="J67" i="123" s="1"/>
  <c r="J66" i="123"/>
  <c r="K65" i="123" s="1"/>
  <c r="K66" i="41"/>
  <c r="I67" i="84"/>
  <c r="J67" i="84" s="1"/>
  <c r="J66" i="84"/>
  <c r="K65" i="84" s="1"/>
  <c r="K65" i="173"/>
  <c r="I67" i="151"/>
  <c r="J67" i="151" s="1"/>
  <c r="J66" i="151"/>
  <c r="E3" i="3"/>
  <c r="C2" i="3"/>
  <c r="J3" i="3"/>
  <c r="K3" i="3" s="1"/>
  <c r="I66" i="100"/>
  <c r="J65" i="100"/>
  <c r="K64" i="100" s="1"/>
  <c r="K65" i="87"/>
  <c r="I67" i="5"/>
  <c r="J67" i="5" s="1"/>
  <c r="J66" i="5"/>
  <c r="K65" i="5" s="1"/>
  <c r="K66" i="10"/>
  <c r="E2" i="169"/>
  <c r="F67" i="169"/>
  <c r="HY2" i="2"/>
  <c r="J2" i="169"/>
  <c r="K2" i="169" s="1"/>
  <c r="E2" i="88"/>
  <c r="F67" i="88"/>
  <c r="FK2" i="2"/>
  <c r="J2" i="88"/>
  <c r="K2" i="88" s="1"/>
  <c r="J66" i="3"/>
  <c r="I67" i="3"/>
  <c r="J67" i="3" s="1"/>
  <c r="E2" i="101"/>
  <c r="F67" i="101"/>
  <c r="J2" i="101"/>
  <c r="K2" i="101" s="1"/>
  <c r="K66" i="44"/>
  <c r="J2" i="41"/>
  <c r="K2" i="41" s="1"/>
  <c r="E2" i="41"/>
  <c r="I66" i="141"/>
  <c r="J65" i="141"/>
  <c r="K64" i="141" s="1"/>
  <c r="I67" i="21"/>
  <c r="J67" i="21" s="1"/>
  <c r="J66" i="21"/>
  <c r="I67" i="19"/>
  <c r="J67" i="19" s="1"/>
  <c r="J66" i="19"/>
  <c r="I67" i="80"/>
  <c r="J67" i="80" s="1"/>
  <c r="J66" i="80"/>
  <c r="J2" i="33"/>
  <c r="K2" i="33" s="1"/>
  <c r="E2" i="33"/>
  <c r="M2" i="2"/>
  <c r="I67" i="162"/>
  <c r="J67" i="162" s="1"/>
  <c r="J66" i="162"/>
  <c r="K66" i="162" s="1"/>
  <c r="E2" i="76"/>
  <c r="F67" i="76"/>
  <c r="J2" i="76"/>
  <c r="K2" i="76" s="1"/>
  <c r="K66" i="129"/>
  <c r="K65" i="21"/>
  <c r="K65" i="80"/>
  <c r="K64" i="168"/>
  <c r="E2" i="21"/>
  <c r="J2" i="21"/>
  <c r="K2" i="21" s="1"/>
  <c r="K64" i="104"/>
  <c r="K65" i="10"/>
  <c r="J65" i="160"/>
  <c r="K64" i="160" s="1"/>
  <c r="I66" i="160"/>
  <c r="K63" i="163"/>
  <c r="J65" i="17"/>
  <c r="K64" i="17" s="1"/>
  <c r="I66" i="17"/>
  <c r="K64" i="76"/>
  <c r="BQ4" i="1"/>
  <c r="K66" i="158"/>
  <c r="AI3" i="2"/>
  <c r="F67" i="151"/>
  <c r="E2" i="151"/>
  <c r="J2" i="151"/>
  <c r="K2" i="151" s="1"/>
  <c r="DI3" i="2"/>
  <c r="K64" i="105"/>
  <c r="K63" i="148"/>
  <c r="J66" i="169"/>
  <c r="K65" i="169" s="1"/>
  <c r="I67" i="169"/>
  <c r="J67" i="169" s="1"/>
  <c r="HD4" i="2"/>
  <c r="F67" i="140"/>
  <c r="E2" i="140"/>
  <c r="J2" i="140"/>
  <c r="K2" i="140" s="1"/>
  <c r="J65" i="102"/>
  <c r="K64" i="102" s="1"/>
  <c r="I66" i="102"/>
  <c r="J66" i="49"/>
  <c r="I67" i="49"/>
  <c r="J67" i="49" s="1"/>
  <c r="F67" i="70"/>
  <c r="J2" i="70"/>
  <c r="K2" i="70" s="1"/>
  <c r="E2" i="70"/>
  <c r="E3" i="152"/>
  <c r="C2" i="152"/>
  <c r="J3" i="152"/>
  <c r="K3" i="152" s="1"/>
  <c r="J2" i="133"/>
  <c r="K2" i="133" s="1"/>
  <c r="E2" i="133"/>
  <c r="F67" i="133"/>
  <c r="DH2" i="2"/>
  <c r="J2" i="20"/>
  <c r="K2" i="20" s="1"/>
  <c r="E2" i="20"/>
  <c r="J65" i="105"/>
  <c r="I66" i="105"/>
  <c r="I67" i="33"/>
  <c r="J67" i="33" s="1"/>
  <c r="J66" i="33"/>
  <c r="I67" i="4"/>
  <c r="J67" i="4" s="1"/>
  <c r="J66" i="4"/>
  <c r="K64" i="73"/>
  <c r="I67" i="137"/>
  <c r="J67" i="137" s="1"/>
  <c r="J66" i="137"/>
  <c r="K65" i="157"/>
  <c r="I66" i="36"/>
  <c r="J65" i="36"/>
  <c r="J66" i="52"/>
  <c r="I67" i="52"/>
  <c r="J67" i="52" s="1"/>
  <c r="E2" i="114"/>
  <c r="F67" i="114"/>
  <c r="J2" i="114"/>
  <c r="K2" i="114" s="1"/>
  <c r="K64" i="47"/>
  <c r="I67" i="70"/>
  <c r="J67" i="70" s="1"/>
  <c r="J66" i="70"/>
  <c r="K66" i="70" s="1"/>
  <c r="K64" i="106"/>
  <c r="E3" i="8"/>
  <c r="C2" i="8"/>
  <c r="HC3" i="2"/>
  <c r="BP3" i="1"/>
  <c r="J3" i="8"/>
  <c r="K3" i="8" s="1"/>
  <c r="I67" i="154"/>
  <c r="J67" i="154" s="1"/>
  <c r="J66" i="154"/>
  <c r="K64" i="55"/>
  <c r="J66" i="138"/>
  <c r="I67" i="138"/>
  <c r="J67" i="138" s="1"/>
  <c r="DT2" i="2"/>
  <c r="I67" i="85"/>
  <c r="J67" i="85" s="1"/>
  <c r="J66" i="85"/>
  <c r="J2" i="48"/>
  <c r="K2" i="48" s="1"/>
  <c r="E2" i="48"/>
  <c r="J66" i="126"/>
  <c r="K65" i="126" s="1"/>
  <c r="I67" i="126"/>
  <c r="J67" i="126" s="1"/>
  <c r="J65" i="47"/>
  <c r="I66" i="47"/>
  <c r="E2" i="125"/>
  <c r="F67" i="125"/>
  <c r="J2" i="125"/>
  <c r="K2" i="125" s="1"/>
  <c r="J65" i="55"/>
  <c r="I66" i="55"/>
  <c r="EE4" i="2"/>
  <c r="I66" i="120"/>
  <c r="J65" i="120"/>
  <c r="K64" i="120" s="1"/>
  <c r="F67" i="95"/>
  <c r="E2" i="95"/>
  <c r="J2" i="95"/>
  <c r="K2" i="95" s="1"/>
  <c r="I66" i="146"/>
  <c r="J65" i="146"/>
  <c r="K64" i="146" s="1"/>
  <c r="E3" i="49"/>
  <c r="C2" i="49"/>
  <c r="J3" i="49"/>
  <c r="K3" i="49" s="1"/>
  <c r="K64" i="174"/>
  <c r="I66" i="112"/>
  <c r="J65" i="112"/>
  <c r="E3" i="58"/>
  <c r="C2" i="58"/>
  <c r="J3" i="58"/>
  <c r="K3" i="58" s="1"/>
  <c r="I66" i="95"/>
  <c r="J65" i="95"/>
  <c r="E3" i="109"/>
  <c r="C2" i="109"/>
  <c r="ED3" i="2"/>
  <c r="J3" i="109"/>
  <c r="K3" i="109" s="1"/>
  <c r="J2" i="89"/>
  <c r="K2" i="89" s="1"/>
  <c r="E2" i="89"/>
  <c r="F67" i="89"/>
  <c r="HN2" i="2"/>
  <c r="D42" i="1"/>
  <c r="Z42" i="1"/>
  <c r="O42" i="1"/>
  <c r="CC42" i="1"/>
  <c r="BR42" i="1"/>
  <c r="AV42" i="1"/>
  <c r="AK42" i="1"/>
  <c r="K66" i="25"/>
  <c r="E3" i="53"/>
  <c r="C2" i="53"/>
  <c r="X2" i="1" s="1"/>
  <c r="J3" i="53"/>
  <c r="K3" i="53" s="1"/>
  <c r="I67" i="86"/>
  <c r="J67" i="86" s="1"/>
  <c r="J66" i="86"/>
  <c r="CB4" i="1"/>
  <c r="D42" i="2"/>
  <c r="DU42" i="2"/>
  <c r="EQ42" i="2"/>
  <c r="FB42" i="2"/>
  <c r="AK42" i="2"/>
  <c r="CY42" i="2"/>
  <c r="HP42" i="2"/>
  <c r="BG42" i="2"/>
  <c r="CC42" i="2"/>
  <c r="CN42" i="2"/>
  <c r="DJ42" i="2"/>
  <c r="IL42" i="2"/>
  <c r="O42" i="2"/>
  <c r="FX42" i="2"/>
  <c r="IW42" i="2"/>
  <c r="IA42" i="2"/>
  <c r="GT42" i="2"/>
  <c r="AV42" i="2"/>
  <c r="EF42" i="2"/>
  <c r="Z42" i="2"/>
  <c r="BR42" i="2"/>
  <c r="HE42" i="2"/>
  <c r="FM42" i="2"/>
  <c r="I67" i="119"/>
  <c r="J67" i="119" s="1"/>
  <c r="J66" i="119"/>
  <c r="I66" i="174"/>
  <c r="J65" i="174"/>
  <c r="K64" i="162"/>
  <c r="K63" i="110"/>
  <c r="K65" i="63"/>
  <c r="J2" i="71"/>
  <c r="K2" i="71" s="1"/>
  <c r="F67" i="71"/>
  <c r="E2" i="71"/>
  <c r="K65" i="28"/>
  <c r="K65" i="44"/>
  <c r="I66" i="11"/>
  <c r="J65" i="11"/>
  <c r="K64" i="11" s="1"/>
  <c r="C2" i="93"/>
  <c r="E3" i="93"/>
  <c r="J3" i="93"/>
  <c r="K3" i="93" s="1"/>
  <c r="E2" i="117"/>
  <c r="F67" i="117"/>
  <c r="J2" i="117"/>
  <c r="K2" i="117" s="1"/>
  <c r="K64" i="138"/>
  <c r="AI3" i="1"/>
  <c r="K64" i="50"/>
  <c r="K64" i="86"/>
  <c r="C2" i="6"/>
  <c r="CA3" i="1"/>
  <c r="E3" i="6"/>
  <c r="GI42" i="2"/>
  <c r="GH42" i="2"/>
  <c r="E3" i="143"/>
  <c r="C2" i="143"/>
  <c r="J3" i="143"/>
  <c r="K3" i="143" s="1"/>
  <c r="I67" i="108"/>
  <c r="J67" i="108" s="1"/>
  <c r="J66" i="108"/>
  <c r="CA3" i="2"/>
  <c r="I66" i="109"/>
  <c r="J65" i="109"/>
  <c r="K63" i="69"/>
  <c r="C2" i="91"/>
  <c r="E3" i="91"/>
  <c r="J3" i="91"/>
  <c r="K3" i="91" s="1"/>
  <c r="J65" i="40"/>
  <c r="K64" i="40" s="1"/>
  <c r="I66" i="40"/>
  <c r="BG42" i="1"/>
  <c r="BF42" i="1"/>
  <c r="GS4" i="2"/>
  <c r="J65" i="35"/>
  <c r="K64" i="35" s="1"/>
  <c r="I66" i="35"/>
  <c r="E41" i="24"/>
  <c r="C40" i="24"/>
  <c r="GG41" i="2"/>
  <c r="BE41" i="1"/>
  <c r="C41" i="1"/>
  <c r="C41" i="2"/>
  <c r="J41" i="24"/>
  <c r="K41" i="24" s="1"/>
  <c r="K63" i="100"/>
  <c r="E2" i="31"/>
  <c r="J2" i="31"/>
  <c r="K2" i="31" s="1"/>
  <c r="CL3" i="2"/>
  <c r="I67" i="161"/>
  <c r="J67" i="161" s="1"/>
  <c r="J66" i="161"/>
  <c r="CW2" i="2"/>
  <c r="K66" i="66"/>
  <c r="J2" i="80"/>
  <c r="K2" i="80" s="1"/>
  <c r="E2" i="80"/>
  <c r="F67" i="80"/>
  <c r="J66" i="53"/>
  <c r="K65" i="53" s="1"/>
  <c r="I67" i="53"/>
  <c r="J67" i="53" s="1"/>
  <c r="I67" i="56"/>
  <c r="J67" i="56" s="1"/>
  <c r="J66" i="56"/>
  <c r="K66" i="165"/>
  <c r="K63" i="105"/>
  <c r="K66" i="124"/>
  <c r="E2" i="153"/>
  <c r="F67" i="153"/>
  <c r="J2" i="153"/>
  <c r="K2" i="153" s="1"/>
  <c r="I67" i="87"/>
  <c r="J67" i="87" s="1"/>
  <c r="J66" i="87"/>
  <c r="E2" i="15"/>
  <c r="J2" i="15"/>
  <c r="K2" i="15" s="1"/>
  <c r="I67" i="54"/>
  <c r="J67" i="54" s="1"/>
  <c r="J66" i="54"/>
  <c r="I66" i="91"/>
  <c r="J65" i="91"/>
  <c r="BQ4" i="2"/>
  <c r="FA3" i="2"/>
  <c r="K63" i="141"/>
  <c r="J66" i="114"/>
  <c r="I67" i="114"/>
  <c r="J67" i="114" s="1"/>
  <c r="E2" i="96"/>
  <c r="F67" i="96"/>
  <c r="J2" i="96"/>
  <c r="K2" i="96" s="1"/>
  <c r="I67" i="31"/>
  <c r="J67" i="31" s="1"/>
  <c r="J66" i="31"/>
  <c r="K63" i="160"/>
  <c r="K65" i="113"/>
  <c r="E2" i="63"/>
  <c r="F67" i="63"/>
  <c r="J2" i="63"/>
  <c r="K2" i="63" s="1"/>
  <c r="CL2" i="2"/>
  <c r="K65" i="114"/>
  <c r="K66" i="30"/>
  <c r="J2" i="132"/>
  <c r="K2" i="132" s="1"/>
  <c r="F67" i="132"/>
  <c r="E2" i="132"/>
  <c r="CX3" i="2"/>
  <c r="E3" i="52"/>
  <c r="C2" i="52"/>
  <c r="BP3" i="2"/>
  <c r="J3" i="52"/>
  <c r="K3" i="52" s="1"/>
  <c r="K64" i="87"/>
  <c r="K64" i="4"/>
  <c r="I66" i="171"/>
  <c r="J65" i="171"/>
  <c r="F67" i="134"/>
  <c r="E2" i="134"/>
  <c r="EZ2" i="2"/>
  <c r="J2" i="134"/>
  <c r="K2" i="134" s="1"/>
  <c r="F67" i="142"/>
  <c r="E2" i="142"/>
  <c r="J2" i="142"/>
  <c r="K2" i="142" s="1"/>
  <c r="J66" i="116"/>
  <c r="K65" i="116" s="1"/>
  <c r="I67" i="116"/>
  <c r="J67" i="116" s="1"/>
  <c r="E2" i="156" l="1"/>
  <c r="F67" i="156"/>
  <c r="J2" i="156"/>
  <c r="K2" i="156" s="1"/>
  <c r="K66" i="170"/>
  <c r="K66" i="161"/>
  <c r="K66" i="155"/>
  <c r="K66" i="154"/>
  <c r="K66" i="151"/>
  <c r="K66" i="131"/>
  <c r="F67" i="130"/>
  <c r="E2" i="130"/>
  <c r="J2" i="130"/>
  <c r="K2" i="130" s="1"/>
  <c r="K66" i="119"/>
  <c r="K66" i="108"/>
  <c r="K65" i="108"/>
  <c r="K66" i="106"/>
  <c r="K66" i="88"/>
  <c r="K66" i="87"/>
  <c r="K66" i="86"/>
  <c r="K66" i="85"/>
  <c r="K66" i="80"/>
  <c r="E2" i="74"/>
  <c r="F67" i="74"/>
  <c r="J2" i="74"/>
  <c r="K2" i="74" s="1"/>
  <c r="K66" i="73"/>
  <c r="K66" i="67"/>
  <c r="K66" i="56"/>
  <c r="K66" i="54"/>
  <c r="K66" i="52"/>
  <c r="K66" i="49"/>
  <c r="K66" i="33"/>
  <c r="K66" i="31"/>
  <c r="K66" i="20"/>
  <c r="K66" i="19"/>
  <c r="E2" i="150"/>
  <c r="J2" i="150"/>
  <c r="K2" i="150" s="1"/>
  <c r="F67" i="150"/>
  <c r="K66" i="3"/>
  <c r="Y2" i="1"/>
  <c r="IK2" i="2"/>
  <c r="E2" i="158"/>
  <c r="F67" i="158"/>
  <c r="J2" i="158"/>
  <c r="K2" i="158" s="1"/>
  <c r="J66" i="11"/>
  <c r="I67" i="11"/>
  <c r="J67" i="11" s="1"/>
  <c r="K66" i="126"/>
  <c r="I67" i="36"/>
  <c r="J67" i="36" s="1"/>
  <c r="J66" i="36"/>
  <c r="FL3" i="2"/>
  <c r="I67" i="95"/>
  <c r="J67" i="95" s="1"/>
  <c r="J66" i="95"/>
  <c r="HZ3" i="2"/>
  <c r="K65" i="170"/>
  <c r="K66" i="53"/>
  <c r="K65" i="154"/>
  <c r="K65" i="19"/>
  <c r="FL2" i="2"/>
  <c r="K66" i="57"/>
  <c r="F67" i="174"/>
  <c r="E2" i="174"/>
  <c r="J2" i="174"/>
  <c r="K2" i="174" s="1"/>
  <c r="K65" i="109"/>
  <c r="F67" i="58"/>
  <c r="E2" i="58"/>
  <c r="J2" i="58"/>
  <c r="K2" i="58" s="1"/>
  <c r="K66" i="137"/>
  <c r="J66" i="8"/>
  <c r="I67" i="8"/>
  <c r="J67" i="8" s="1"/>
  <c r="I67" i="140"/>
  <c r="J67" i="140" s="1"/>
  <c r="J66" i="140"/>
  <c r="E2" i="136"/>
  <c r="F67" i="136"/>
  <c r="J2" i="136"/>
  <c r="K2" i="136" s="1"/>
  <c r="K65" i="8"/>
  <c r="I67" i="90"/>
  <c r="J67" i="90" s="1"/>
  <c r="J66" i="90"/>
  <c r="K66" i="90" s="1"/>
  <c r="I67" i="109"/>
  <c r="J67" i="109" s="1"/>
  <c r="J66" i="109"/>
  <c r="K66" i="169"/>
  <c r="I67" i="171"/>
  <c r="J67" i="171" s="1"/>
  <c r="J66" i="171"/>
  <c r="K66" i="114"/>
  <c r="K65" i="131"/>
  <c r="Y3" i="1"/>
  <c r="CB3" i="2"/>
  <c r="J66" i="112"/>
  <c r="I67" i="112"/>
  <c r="J67" i="112" s="1"/>
  <c r="K66" i="4"/>
  <c r="K65" i="4"/>
  <c r="HZ2" i="2"/>
  <c r="K65" i="151"/>
  <c r="I67" i="43"/>
  <c r="J67" i="43" s="1"/>
  <c r="J66" i="43"/>
  <c r="K64" i="90"/>
  <c r="E2" i="91"/>
  <c r="F67" i="91"/>
  <c r="J2" i="91"/>
  <c r="K2" i="91" s="1"/>
  <c r="I67" i="34"/>
  <c r="J67" i="34" s="1"/>
  <c r="J66" i="34"/>
  <c r="K65" i="34" s="1"/>
  <c r="I67" i="65"/>
  <c r="J67" i="65" s="1"/>
  <c r="J66" i="65"/>
  <c r="E2" i="27"/>
  <c r="J2" i="27"/>
  <c r="K2" i="27" s="1"/>
  <c r="E2" i="29"/>
  <c r="J2" i="29"/>
  <c r="K2" i="29" s="1"/>
  <c r="F67" i="55"/>
  <c r="E2" i="55"/>
  <c r="J2" i="55"/>
  <c r="K2" i="55" s="1"/>
  <c r="K65" i="110"/>
  <c r="FW3" i="2"/>
  <c r="J66" i="125"/>
  <c r="I67" i="125"/>
  <c r="J67" i="125" s="1"/>
  <c r="I67" i="143"/>
  <c r="J67" i="143" s="1"/>
  <c r="J66" i="143"/>
  <c r="K66" i="138"/>
  <c r="K65" i="67"/>
  <c r="I67" i="110"/>
  <c r="J67" i="110" s="1"/>
  <c r="J66" i="110"/>
  <c r="AU3" i="1"/>
  <c r="K65" i="125"/>
  <c r="K65" i="119"/>
  <c r="F67" i="143"/>
  <c r="E2" i="143"/>
  <c r="J2" i="143"/>
  <c r="K2" i="143" s="1"/>
  <c r="K65" i="31"/>
  <c r="E2" i="49"/>
  <c r="J2" i="49"/>
  <c r="K2" i="49" s="1"/>
  <c r="K64" i="36"/>
  <c r="J66" i="105"/>
  <c r="K65" i="105" s="1"/>
  <c r="I67" i="105"/>
  <c r="J67" i="105" s="1"/>
  <c r="K65" i="85"/>
  <c r="K66" i="5"/>
  <c r="I67" i="163"/>
  <c r="J67" i="163" s="1"/>
  <c r="J66" i="163"/>
  <c r="J2" i="7"/>
  <c r="K2" i="7" s="1"/>
  <c r="E2" i="7"/>
  <c r="AT2" i="1"/>
  <c r="N2" i="2"/>
  <c r="K65" i="163"/>
  <c r="E2" i="42"/>
  <c r="J2" i="42"/>
  <c r="K2" i="42" s="1"/>
  <c r="FV2" i="2"/>
  <c r="K66" i="153"/>
  <c r="J2" i="155"/>
  <c r="K2" i="155" s="1"/>
  <c r="F67" i="155"/>
  <c r="E2" i="155"/>
  <c r="F67" i="170"/>
  <c r="E2" i="170"/>
  <c r="J2" i="170"/>
  <c r="K2" i="170" s="1"/>
  <c r="J2" i="52"/>
  <c r="K2" i="52" s="1"/>
  <c r="E2" i="52"/>
  <c r="F67" i="52"/>
  <c r="BP2" i="2"/>
  <c r="I67" i="91"/>
  <c r="J67" i="91" s="1"/>
  <c r="J66" i="91"/>
  <c r="CA2" i="2"/>
  <c r="J66" i="146"/>
  <c r="K65" i="146" s="1"/>
  <c r="I67" i="146"/>
  <c r="J67" i="146" s="1"/>
  <c r="K66" i="121"/>
  <c r="E2" i="90"/>
  <c r="F67" i="90"/>
  <c r="J2" i="90"/>
  <c r="K2" i="90" s="1"/>
  <c r="K65" i="171"/>
  <c r="K65" i="137"/>
  <c r="DI2" i="2"/>
  <c r="I67" i="100"/>
  <c r="J67" i="100" s="1"/>
  <c r="J66" i="100"/>
  <c r="EO2" i="2"/>
  <c r="AJ3" i="2"/>
  <c r="GS3" i="2"/>
  <c r="I67" i="148"/>
  <c r="J67" i="148" s="1"/>
  <c r="J66" i="148"/>
  <c r="CB3" i="1"/>
  <c r="BQ3" i="1"/>
  <c r="D41" i="2"/>
  <c r="CY41" i="2"/>
  <c r="DU41" i="2"/>
  <c r="EQ41" i="2"/>
  <c r="FM41" i="2"/>
  <c r="IL41" i="2"/>
  <c r="CN41" i="2"/>
  <c r="BG41" i="2"/>
  <c r="AK41" i="2"/>
  <c r="IA41" i="2"/>
  <c r="DJ41" i="2"/>
  <c r="O41" i="2"/>
  <c r="FB41" i="2"/>
  <c r="GT41" i="2"/>
  <c r="Z41" i="2"/>
  <c r="IW41" i="2"/>
  <c r="BR41" i="2"/>
  <c r="HE41" i="2"/>
  <c r="AV41" i="2"/>
  <c r="FX41" i="2"/>
  <c r="EF41" i="2"/>
  <c r="HP41" i="2"/>
  <c r="CC41" i="2"/>
  <c r="E2" i="6"/>
  <c r="CA2" i="1"/>
  <c r="IU2" i="2"/>
  <c r="K65" i="120"/>
  <c r="HD3" i="2"/>
  <c r="F2" i="174"/>
  <c r="F66" i="174" s="1"/>
  <c r="E2" i="3"/>
  <c r="J2" i="3"/>
  <c r="K2" i="3" s="1"/>
  <c r="K66" i="103"/>
  <c r="K66" i="104"/>
  <c r="E2" i="8"/>
  <c r="HC2" i="2"/>
  <c r="BP2" i="1"/>
  <c r="J2" i="8"/>
  <c r="K2" i="8" s="1"/>
  <c r="K66" i="21"/>
  <c r="F67" i="56"/>
  <c r="E2" i="56"/>
  <c r="J2" i="56"/>
  <c r="K2" i="56" s="1"/>
  <c r="I67" i="69"/>
  <c r="J67" i="69" s="1"/>
  <c r="J66" i="69"/>
  <c r="K65" i="45"/>
  <c r="J66" i="58"/>
  <c r="I67" i="58"/>
  <c r="J67" i="58" s="1"/>
  <c r="I67" i="130"/>
  <c r="J67" i="130" s="1"/>
  <c r="J66" i="130"/>
  <c r="K65" i="130" s="1"/>
  <c r="E2" i="172"/>
  <c r="F67" i="172"/>
  <c r="J2" i="172"/>
  <c r="K2" i="172" s="1"/>
  <c r="I67" i="147"/>
  <c r="J67" i="147" s="1"/>
  <c r="J66" i="147"/>
  <c r="I67" i="45"/>
  <c r="J67" i="45" s="1"/>
  <c r="J66" i="45"/>
  <c r="I67" i="120"/>
  <c r="J67" i="120" s="1"/>
  <c r="J66" i="120"/>
  <c r="K65" i="58"/>
  <c r="K65" i="155"/>
  <c r="K65" i="106"/>
  <c r="K65" i="73"/>
  <c r="K65" i="56"/>
  <c r="C39" i="24"/>
  <c r="E40" i="24"/>
  <c r="GG40" i="2"/>
  <c r="BE40" i="1"/>
  <c r="C40" i="1"/>
  <c r="C40" i="2"/>
  <c r="J40" i="24"/>
  <c r="K40" i="24" s="1"/>
  <c r="K65" i="86"/>
  <c r="K64" i="95"/>
  <c r="K65" i="33"/>
  <c r="K65" i="162"/>
  <c r="I67" i="141"/>
  <c r="J67" i="141" s="1"/>
  <c r="J66" i="141"/>
  <c r="K65" i="38"/>
  <c r="K66" i="97"/>
  <c r="J66" i="166"/>
  <c r="I67" i="166"/>
  <c r="J67" i="166" s="1"/>
  <c r="J66" i="64"/>
  <c r="I67" i="64"/>
  <c r="J67" i="64" s="1"/>
  <c r="K66" i="39"/>
  <c r="J66" i="38"/>
  <c r="I67" i="38"/>
  <c r="J67" i="38" s="1"/>
  <c r="IK3" i="2"/>
  <c r="AU3" i="2"/>
  <c r="CX2" i="2"/>
  <c r="J2" i="152"/>
  <c r="K2" i="152" s="1"/>
  <c r="E2" i="152"/>
  <c r="F67" i="152"/>
  <c r="AJ3" i="1"/>
  <c r="HO2" i="2"/>
  <c r="J66" i="55"/>
  <c r="K65" i="55" s="1"/>
  <c r="I67" i="55"/>
  <c r="J67" i="55" s="1"/>
  <c r="BE2" i="2"/>
  <c r="I67" i="35"/>
  <c r="J67" i="35" s="1"/>
  <c r="J66" i="35"/>
  <c r="K65" i="17"/>
  <c r="K66" i="84"/>
  <c r="K65" i="88"/>
  <c r="Y3" i="2"/>
  <c r="K64" i="140"/>
  <c r="E2" i="50"/>
  <c r="J2" i="50"/>
  <c r="K2" i="50" s="1"/>
  <c r="AT2" i="2"/>
  <c r="K66" i="50"/>
  <c r="F67" i="107"/>
  <c r="E2" i="107"/>
  <c r="J2" i="107"/>
  <c r="K2" i="107" s="1"/>
  <c r="N3" i="1"/>
  <c r="K66" i="76"/>
  <c r="F67" i="100"/>
  <c r="E2" i="100"/>
  <c r="J2" i="100"/>
  <c r="K2" i="100" s="1"/>
  <c r="CM3" i="2"/>
  <c r="I67" i="174"/>
  <c r="J67" i="174" s="1"/>
  <c r="J66" i="174"/>
  <c r="K65" i="174" s="1"/>
  <c r="BQ3" i="2"/>
  <c r="K65" i="91"/>
  <c r="D41" i="1"/>
  <c r="O41" i="1"/>
  <c r="Z41" i="1"/>
  <c r="CC41" i="1"/>
  <c r="AK41" i="1"/>
  <c r="BR41" i="1"/>
  <c r="AV41" i="1"/>
  <c r="I67" i="160"/>
  <c r="J67" i="160" s="1"/>
  <c r="J66" i="160"/>
  <c r="AI2" i="1"/>
  <c r="K65" i="11"/>
  <c r="GI41" i="2"/>
  <c r="GH41" i="2"/>
  <c r="K65" i="161"/>
  <c r="I67" i="102"/>
  <c r="J67" i="102" s="1"/>
  <c r="J66" i="102"/>
  <c r="K66" i="123"/>
  <c r="K65" i="103"/>
  <c r="K64" i="8"/>
  <c r="F67" i="92"/>
  <c r="J2" i="92"/>
  <c r="K2" i="92" s="1"/>
  <c r="E2" i="92"/>
  <c r="K65" i="104"/>
  <c r="K66" i="111"/>
  <c r="J2" i="53"/>
  <c r="K2" i="53" s="1"/>
  <c r="F67" i="53"/>
  <c r="E2" i="53"/>
  <c r="K64" i="171"/>
  <c r="K65" i="102"/>
  <c r="E2" i="12"/>
  <c r="J2" i="12"/>
  <c r="K2" i="12" s="1"/>
  <c r="M2" i="1"/>
  <c r="X2" i="2"/>
  <c r="E2" i="46"/>
  <c r="J2" i="46"/>
  <c r="K2" i="46" s="1"/>
  <c r="J66" i="96"/>
  <c r="I67" i="96"/>
  <c r="J67" i="96" s="1"/>
  <c r="K66" i="116"/>
  <c r="K64" i="112"/>
  <c r="K64" i="91"/>
  <c r="K65" i="70"/>
  <c r="K65" i="52"/>
  <c r="K65" i="3"/>
  <c r="K66" i="144"/>
  <c r="I67" i="81"/>
  <c r="J67" i="81" s="1"/>
  <c r="J66" i="81"/>
  <c r="K64" i="65"/>
  <c r="FA2" i="2"/>
  <c r="BG41" i="1"/>
  <c r="BF41" i="1"/>
  <c r="CM2" i="2"/>
  <c r="K65" i="54"/>
  <c r="I67" i="40"/>
  <c r="J67" i="40" s="1"/>
  <c r="J66" i="40"/>
  <c r="K65" i="40" s="1"/>
  <c r="E2" i="93"/>
  <c r="F67" i="93"/>
  <c r="J2" i="93"/>
  <c r="K2" i="93" s="1"/>
  <c r="EE3" i="2"/>
  <c r="I67" i="47"/>
  <c r="J67" i="47" s="1"/>
  <c r="J66" i="47"/>
  <c r="K64" i="38"/>
  <c r="K64" i="110"/>
  <c r="K66" i="168"/>
  <c r="I67" i="17"/>
  <c r="J67" i="17" s="1"/>
  <c r="J66" i="17"/>
  <c r="K64" i="109"/>
  <c r="F67" i="109"/>
  <c r="E2" i="109"/>
  <c r="ED2" i="2"/>
  <c r="J2" i="109"/>
  <c r="K2" i="109" s="1"/>
  <c r="K65" i="138"/>
  <c r="AI2" i="2"/>
  <c r="K64" i="163"/>
  <c r="K64" i="125"/>
  <c r="E2" i="28"/>
  <c r="J2" i="28"/>
  <c r="K2" i="28" s="1"/>
  <c r="F67" i="121"/>
  <c r="J2" i="121"/>
  <c r="K2" i="121" s="1"/>
  <c r="E2" i="121"/>
  <c r="E2" i="14"/>
  <c r="J2" i="14"/>
  <c r="K2" i="14" s="1"/>
  <c r="GR2" i="2"/>
  <c r="K66" i="148" l="1"/>
  <c r="K66" i="143"/>
  <c r="K66" i="140"/>
  <c r="K66" i="130"/>
  <c r="K66" i="125"/>
  <c r="K66" i="110"/>
  <c r="K66" i="105"/>
  <c r="K66" i="100"/>
  <c r="K66" i="95"/>
  <c r="K66" i="69"/>
  <c r="K66" i="65"/>
  <c r="K66" i="64"/>
  <c r="K66" i="43"/>
  <c r="K65" i="43"/>
  <c r="K66" i="38"/>
  <c r="K66" i="35"/>
  <c r="K65" i="35"/>
  <c r="K66" i="17"/>
  <c r="K66" i="160"/>
  <c r="K66" i="109"/>
  <c r="K66" i="81"/>
  <c r="K65" i="81"/>
  <c r="K66" i="40"/>
  <c r="K66" i="36"/>
  <c r="AU2" i="2"/>
  <c r="K66" i="147"/>
  <c r="CB2" i="1"/>
  <c r="FW2" i="2"/>
  <c r="K66" i="166"/>
  <c r="K66" i="112"/>
  <c r="AJ2" i="1"/>
  <c r="EP2" i="2"/>
  <c r="K66" i="141"/>
  <c r="AU2" i="1"/>
  <c r="K66" i="96"/>
  <c r="K66" i="58"/>
  <c r="K65" i="90"/>
  <c r="K66" i="163"/>
  <c r="Y2" i="2"/>
  <c r="K65" i="112"/>
  <c r="BF2" i="2"/>
  <c r="K65" i="147"/>
  <c r="K66" i="47"/>
  <c r="D40" i="2"/>
  <c r="DU40" i="2"/>
  <c r="O40" i="2"/>
  <c r="AK40" i="2"/>
  <c r="CY40" i="2"/>
  <c r="FB40" i="2"/>
  <c r="CN40" i="2"/>
  <c r="DJ40" i="2"/>
  <c r="EQ40" i="2"/>
  <c r="CC40" i="2"/>
  <c r="FM40" i="2"/>
  <c r="Z40" i="2"/>
  <c r="AV40" i="2"/>
  <c r="IA40" i="2"/>
  <c r="IL40" i="2"/>
  <c r="HP40" i="2"/>
  <c r="IW40" i="2"/>
  <c r="GT40" i="2"/>
  <c r="EF40" i="2"/>
  <c r="BG40" i="2"/>
  <c r="FX40" i="2"/>
  <c r="BR40" i="2"/>
  <c r="HE40" i="2"/>
  <c r="K66" i="171"/>
  <c r="D40" i="1"/>
  <c r="AK40" i="1"/>
  <c r="CC40" i="1"/>
  <c r="O40" i="1"/>
  <c r="AV40" i="1"/>
  <c r="BR40" i="1"/>
  <c r="Z40" i="1"/>
  <c r="BF40" i="1"/>
  <c r="BG40" i="1"/>
  <c r="K65" i="100"/>
  <c r="K65" i="143"/>
  <c r="K66" i="146"/>
  <c r="CB2" i="2"/>
  <c r="GI40" i="2"/>
  <c r="GH40" i="2"/>
  <c r="BQ2" i="1"/>
  <c r="HD2" i="2"/>
  <c r="K66" i="91"/>
  <c r="K65" i="96"/>
  <c r="K66" i="34"/>
  <c r="K65" i="140"/>
  <c r="BQ2" i="2"/>
  <c r="K65" i="95"/>
  <c r="K65" i="166"/>
  <c r="K66" i="11"/>
  <c r="K66" i="55"/>
  <c r="EE2" i="2"/>
  <c r="GS2" i="2"/>
  <c r="N2" i="1"/>
  <c r="K65" i="64"/>
  <c r="K65" i="141"/>
  <c r="K65" i="65"/>
  <c r="K66" i="120"/>
  <c r="K65" i="36"/>
  <c r="K66" i="8"/>
  <c r="K65" i="160"/>
  <c r="K66" i="45"/>
  <c r="AJ2" i="2"/>
  <c r="K65" i="47"/>
  <c r="K66" i="102"/>
  <c r="K66" i="174"/>
  <c r="E39" i="24"/>
  <c r="C38" i="24"/>
  <c r="GG39" i="2"/>
  <c r="BE39" i="1"/>
  <c r="C39" i="2"/>
  <c r="C39" i="1"/>
  <c r="J39" i="24"/>
  <c r="K39" i="24" s="1"/>
  <c r="K65" i="69"/>
  <c r="IV2" i="2"/>
  <c r="K65" i="148"/>
  <c r="GH39" i="2" l="1"/>
  <c r="GI39" i="2"/>
  <c r="D39" i="1"/>
  <c r="O39" i="1"/>
  <c r="CC39" i="1"/>
  <c r="BR39" i="1"/>
  <c r="AV39" i="1"/>
  <c r="AK39" i="1"/>
  <c r="Z39" i="1"/>
  <c r="D39" i="2"/>
  <c r="CY39" i="2"/>
  <c r="DU39" i="2"/>
  <c r="EQ39" i="2"/>
  <c r="BG39" i="2"/>
  <c r="HP39" i="2"/>
  <c r="FM39" i="2"/>
  <c r="IL39" i="2"/>
  <c r="O39" i="2"/>
  <c r="IW39" i="2"/>
  <c r="IA39" i="2"/>
  <c r="DJ39" i="2"/>
  <c r="CC39" i="2"/>
  <c r="FB39" i="2"/>
  <c r="AK39" i="2"/>
  <c r="BR39" i="2"/>
  <c r="EF39" i="2"/>
  <c r="CN39" i="2"/>
  <c r="GT39" i="2"/>
  <c r="Z39" i="2"/>
  <c r="FX39" i="2"/>
  <c r="HE39" i="2"/>
  <c r="AV39" i="2"/>
  <c r="BG39" i="1"/>
  <c r="BF39" i="1"/>
  <c r="E38" i="24"/>
  <c r="C37" i="24"/>
  <c r="GG38" i="2"/>
  <c r="BE38" i="1"/>
  <c r="C38" i="1"/>
  <c r="C38" i="2"/>
  <c r="J38" i="24"/>
  <c r="K38" i="24" s="1"/>
  <c r="D38" i="1" l="1"/>
  <c r="AV38" i="1"/>
  <c r="O38" i="1"/>
  <c r="BR38" i="1"/>
  <c r="Z38" i="1"/>
  <c r="AK38" i="1"/>
  <c r="CC38" i="1"/>
  <c r="BG38" i="1"/>
  <c r="BF38" i="1"/>
  <c r="D38" i="2"/>
  <c r="CY38" i="2"/>
  <c r="DU38" i="2"/>
  <c r="O38" i="2"/>
  <c r="BG38" i="2"/>
  <c r="EQ38" i="2"/>
  <c r="IW38" i="2"/>
  <c r="FB38" i="2"/>
  <c r="FM38" i="2"/>
  <c r="IL38" i="2"/>
  <c r="AK38" i="2"/>
  <c r="DJ38" i="2"/>
  <c r="HE38" i="2"/>
  <c r="BR38" i="2"/>
  <c r="CC38" i="2"/>
  <c r="FX38" i="2"/>
  <c r="HP38" i="2"/>
  <c r="AV38" i="2"/>
  <c r="EF38" i="2"/>
  <c r="IA38" i="2"/>
  <c r="CN38" i="2"/>
  <c r="Z38" i="2"/>
  <c r="GT38" i="2"/>
  <c r="E37" i="24"/>
  <c r="C36" i="24"/>
  <c r="GG37" i="2"/>
  <c r="BE37" i="1"/>
  <c r="C37" i="1"/>
  <c r="C37" i="2"/>
  <c r="J37" i="24"/>
  <c r="K37" i="24" s="1"/>
  <c r="GI38" i="2"/>
  <c r="GH38" i="2"/>
  <c r="D37" i="2" l="1"/>
  <c r="CY37" i="2"/>
  <c r="DU37" i="2"/>
  <c r="O37" i="2"/>
  <c r="IL37" i="2"/>
  <c r="CC37" i="2"/>
  <c r="HP37" i="2"/>
  <c r="FB37" i="2"/>
  <c r="IA37" i="2"/>
  <c r="DJ37" i="2"/>
  <c r="BR37" i="2"/>
  <c r="AV37" i="2"/>
  <c r="AK37" i="2"/>
  <c r="HE37" i="2"/>
  <c r="IW37" i="2"/>
  <c r="GT37" i="2"/>
  <c r="BG37" i="2"/>
  <c r="FX37" i="2"/>
  <c r="EQ37" i="2"/>
  <c r="EF37" i="2"/>
  <c r="FM37" i="2"/>
  <c r="Z37" i="2"/>
  <c r="CN37" i="2"/>
  <c r="D37" i="1"/>
  <c r="AV37" i="1"/>
  <c r="O37" i="1"/>
  <c r="CC37" i="1"/>
  <c r="Z37" i="1"/>
  <c r="AK37" i="1"/>
  <c r="BR37" i="1"/>
  <c r="GI37" i="2"/>
  <c r="GH37" i="2"/>
  <c r="BG37" i="1"/>
  <c r="BF37" i="1"/>
  <c r="E36" i="24"/>
  <c r="C35" i="24"/>
  <c r="GG36" i="2"/>
  <c r="BE36" i="1"/>
  <c r="J36" i="24"/>
  <c r="K36" i="24" s="1"/>
  <c r="C36" i="2"/>
  <c r="C36" i="1"/>
  <c r="D36" i="2" l="1"/>
  <c r="DU36" i="2"/>
  <c r="IL36" i="2"/>
  <c r="EQ36" i="2"/>
  <c r="O36" i="2"/>
  <c r="BG36" i="2"/>
  <c r="FB36" i="2"/>
  <c r="AK36" i="2"/>
  <c r="DJ36" i="2"/>
  <c r="CY36" i="2"/>
  <c r="FM36" i="2"/>
  <c r="CN36" i="2"/>
  <c r="CC36" i="2"/>
  <c r="Z36" i="2"/>
  <c r="GT36" i="2"/>
  <c r="IA36" i="2"/>
  <c r="HP36" i="2"/>
  <c r="EF36" i="2"/>
  <c r="AV36" i="2"/>
  <c r="HE36" i="2"/>
  <c r="BR36" i="2"/>
  <c r="FX36" i="2"/>
  <c r="IW36" i="2"/>
  <c r="D36" i="1"/>
  <c r="CC36" i="1"/>
  <c r="O36" i="1"/>
  <c r="AK36" i="1"/>
  <c r="AV36" i="1"/>
  <c r="BR36" i="1"/>
  <c r="Z36" i="1"/>
  <c r="GI36" i="2"/>
  <c r="GH36" i="2"/>
  <c r="E35" i="24"/>
  <c r="C34" i="24"/>
  <c r="GG35" i="2"/>
  <c r="J35" i="24"/>
  <c r="K35" i="24" s="1"/>
  <c r="BE35" i="1"/>
  <c r="C35" i="2"/>
  <c r="C35" i="1"/>
  <c r="BG36" i="1"/>
  <c r="BF36" i="1"/>
  <c r="D35" i="1" l="1"/>
  <c r="Z35" i="1"/>
  <c r="AK35" i="1"/>
  <c r="AV35" i="1"/>
  <c r="BR35" i="1"/>
  <c r="O35" i="1"/>
  <c r="CC35" i="1"/>
  <c r="GH35" i="2"/>
  <c r="GI35" i="2"/>
  <c r="BG35" i="1"/>
  <c r="BF35" i="1"/>
  <c r="C33" i="24"/>
  <c r="E34" i="24"/>
  <c r="GG34" i="2"/>
  <c r="J34" i="24"/>
  <c r="K34" i="24" s="1"/>
  <c r="BE34" i="1"/>
  <c r="C34" i="2"/>
  <c r="C34" i="1"/>
  <c r="D35" i="2"/>
  <c r="CY35" i="2"/>
  <c r="DU35" i="2"/>
  <c r="CC35" i="2"/>
  <c r="FM35" i="2"/>
  <c r="IA35" i="2"/>
  <c r="CN35" i="2"/>
  <c r="FB35" i="2"/>
  <c r="IL35" i="2"/>
  <c r="DJ35" i="2"/>
  <c r="IW35" i="2"/>
  <c r="HP35" i="2"/>
  <c r="HE35" i="2"/>
  <c r="Z35" i="2"/>
  <c r="EQ35" i="2"/>
  <c r="AK35" i="2"/>
  <c r="O35" i="2"/>
  <c r="AV35" i="2"/>
  <c r="FX35" i="2"/>
  <c r="BR35" i="2"/>
  <c r="BG35" i="2"/>
  <c r="GT35" i="2"/>
  <c r="EF35" i="2"/>
  <c r="D34" i="2" l="1"/>
  <c r="CY34" i="2"/>
  <c r="DU34" i="2"/>
  <c r="O34" i="2"/>
  <c r="CC34" i="2"/>
  <c r="EQ34" i="2"/>
  <c r="FM34" i="2"/>
  <c r="AK34" i="2"/>
  <c r="HP34" i="2"/>
  <c r="DJ34" i="2"/>
  <c r="CN34" i="2"/>
  <c r="IW34" i="2"/>
  <c r="FB34" i="2"/>
  <c r="IA34" i="2"/>
  <c r="BG34" i="2"/>
  <c r="FX34" i="2"/>
  <c r="HE34" i="2"/>
  <c r="IL34" i="2"/>
  <c r="AV34" i="2"/>
  <c r="GT34" i="2"/>
  <c r="EF34" i="2"/>
  <c r="Z34" i="2"/>
  <c r="BR34" i="2"/>
  <c r="BG34" i="1"/>
  <c r="BF34" i="1"/>
  <c r="GH34" i="2"/>
  <c r="GI34" i="2"/>
  <c r="D34" i="1"/>
  <c r="AK34" i="1"/>
  <c r="Z34" i="1"/>
  <c r="BR34" i="1"/>
  <c r="AV34" i="1"/>
  <c r="CC34" i="1"/>
  <c r="O34" i="1"/>
  <c r="C32" i="24"/>
  <c r="E33" i="24"/>
  <c r="GG33" i="2"/>
  <c r="J33" i="24"/>
  <c r="K33" i="24" s="1"/>
  <c r="BE33" i="1"/>
  <c r="C33" i="1"/>
  <c r="C33" i="2"/>
  <c r="D33" i="2" l="1"/>
  <c r="DU33" i="2"/>
  <c r="FB33" i="2"/>
  <c r="CN33" i="2"/>
  <c r="CC33" i="2"/>
  <c r="GT33" i="2"/>
  <c r="AK33" i="2"/>
  <c r="FM33" i="2"/>
  <c r="CY33" i="2"/>
  <c r="HP33" i="2"/>
  <c r="DJ33" i="2"/>
  <c r="IA33" i="2"/>
  <c r="IL33" i="2"/>
  <c r="EF33" i="2"/>
  <c r="BR33" i="2"/>
  <c r="O33" i="2"/>
  <c r="BG33" i="2"/>
  <c r="IW33" i="2"/>
  <c r="EQ33" i="2"/>
  <c r="HE33" i="2"/>
  <c r="AV33" i="2"/>
  <c r="FX33" i="2"/>
  <c r="Z33" i="2"/>
  <c r="BG33" i="1"/>
  <c r="BF33" i="1"/>
  <c r="D33" i="1"/>
  <c r="AK33" i="1"/>
  <c r="Z33" i="1"/>
  <c r="CC33" i="1"/>
  <c r="AV33" i="1"/>
  <c r="BR33" i="1"/>
  <c r="O33" i="1"/>
  <c r="E32" i="24"/>
  <c r="C31" i="24"/>
  <c r="GG32" i="2"/>
  <c r="J32" i="24"/>
  <c r="K32" i="24" s="1"/>
  <c r="BE32" i="1"/>
  <c r="C32" i="1"/>
  <c r="C32" i="2"/>
  <c r="GI33" i="2"/>
  <c r="GH33" i="2"/>
  <c r="D32" i="2" l="1"/>
  <c r="CY32" i="2"/>
  <c r="DU32" i="2"/>
  <c r="CC32" i="2"/>
  <c r="BG32" i="2"/>
  <c r="HP32" i="2"/>
  <c r="DJ32" i="2"/>
  <c r="EQ32" i="2"/>
  <c r="O32" i="2"/>
  <c r="FB32" i="2"/>
  <c r="IA32" i="2"/>
  <c r="AV32" i="2"/>
  <c r="Z32" i="2"/>
  <c r="IL32" i="2"/>
  <c r="EF32" i="2"/>
  <c r="FM32" i="2"/>
  <c r="FX32" i="2"/>
  <c r="AK32" i="2"/>
  <c r="HE32" i="2"/>
  <c r="BR32" i="2"/>
  <c r="GT32" i="2"/>
  <c r="CN32" i="2"/>
  <c r="IW32" i="2"/>
  <c r="D32" i="1"/>
  <c r="AK32" i="1"/>
  <c r="Z32" i="1"/>
  <c r="CC32" i="1"/>
  <c r="AV32" i="1"/>
  <c r="O32" i="1"/>
  <c r="BR32" i="1"/>
  <c r="BG32" i="1"/>
  <c r="BF32" i="1"/>
  <c r="GI32" i="2"/>
  <c r="GH32" i="2"/>
  <c r="C30" i="24"/>
  <c r="E31" i="24"/>
  <c r="GG31" i="2"/>
  <c r="J31" i="24"/>
  <c r="K31" i="24" s="1"/>
  <c r="BE31" i="1"/>
  <c r="C31" i="1"/>
  <c r="C31" i="2"/>
  <c r="D31" i="1" l="1"/>
  <c r="AK31" i="1"/>
  <c r="O31" i="1"/>
  <c r="CC31" i="1"/>
  <c r="Z31" i="1"/>
  <c r="AV31" i="1"/>
  <c r="BR31" i="1"/>
  <c r="BF31" i="1"/>
  <c r="BG31" i="1"/>
  <c r="D31" i="2"/>
  <c r="DU31" i="2"/>
  <c r="FM31" i="2"/>
  <c r="BG31" i="2"/>
  <c r="CC31" i="2"/>
  <c r="CN31" i="2"/>
  <c r="O31" i="2"/>
  <c r="IA31" i="2"/>
  <c r="IL31" i="2"/>
  <c r="EQ31" i="2"/>
  <c r="DJ31" i="2"/>
  <c r="IW31" i="2"/>
  <c r="FB31" i="2"/>
  <c r="CY31" i="2"/>
  <c r="GT31" i="2"/>
  <c r="Z31" i="2"/>
  <c r="BR31" i="2"/>
  <c r="AV31" i="2"/>
  <c r="HP31" i="2"/>
  <c r="HE31" i="2"/>
  <c r="FX31" i="2"/>
  <c r="AK31" i="2"/>
  <c r="EF31" i="2"/>
  <c r="C29" i="24"/>
  <c r="E30" i="24"/>
  <c r="GG30" i="2"/>
  <c r="J30" i="24"/>
  <c r="K30" i="24" s="1"/>
  <c r="BE30" i="1"/>
  <c r="C30" i="2"/>
  <c r="C30" i="1"/>
  <c r="GI31" i="2"/>
  <c r="GH31" i="2"/>
  <c r="D30" i="2" l="1"/>
  <c r="DU30" i="2"/>
  <c r="IL30" i="2"/>
  <c r="IA30" i="2"/>
  <c r="EQ30" i="2"/>
  <c r="BG30" i="2"/>
  <c r="DJ30" i="2"/>
  <c r="AK30" i="2"/>
  <c r="O30" i="2"/>
  <c r="FB30" i="2"/>
  <c r="CY30" i="2"/>
  <c r="FM30" i="2"/>
  <c r="AV30" i="2"/>
  <c r="FX30" i="2"/>
  <c r="CN30" i="2"/>
  <c r="BR30" i="2"/>
  <c r="CC30" i="2"/>
  <c r="HE30" i="2"/>
  <c r="IW30" i="2"/>
  <c r="EF30" i="2"/>
  <c r="GT30" i="2"/>
  <c r="Z30" i="2"/>
  <c r="HP30" i="2"/>
  <c r="BG30" i="1"/>
  <c r="BF30" i="1"/>
  <c r="D30" i="1"/>
  <c r="Z30" i="1"/>
  <c r="O30" i="1"/>
  <c r="CC30" i="1"/>
  <c r="AK30" i="1"/>
  <c r="AV30" i="1"/>
  <c r="BR30" i="1"/>
  <c r="GH30" i="2"/>
  <c r="GI30" i="2"/>
  <c r="E29" i="24"/>
  <c r="C28" i="24"/>
  <c r="GG29" i="2"/>
  <c r="J29" i="24"/>
  <c r="K29" i="24" s="1"/>
  <c r="BE29" i="1"/>
  <c r="C29" i="1"/>
  <c r="C29" i="2"/>
  <c r="D29" i="1" l="1"/>
  <c r="BR29" i="1"/>
  <c r="CC29" i="1"/>
  <c r="O29" i="1"/>
  <c r="AV29" i="1"/>
  <c r="Z29" i="1"/>
  <c r="AK29" i="1"/>
  <c r="D29" i="2"/>
  <c r="DU29" i="2"/>
  <c r="IA29" i="2"/>
  <c r="CC29" i="2"/>
  <c r="AK29" i="2"/>
  <c r="O29" i="2"/>
  <c r="DJ29" i="2"/>
  <c r="FM29" i="2"/>
  <c r="CY29" i="2"/>
  <c r="FB29" i="2"/>
  <c r="HE29" i="2"/>
  <c r="Z29" i="2"/>
  <c r="EQ29" i="2"/>
  <c r="BR29" i="2"/>
  <c r="HP29" i="2"/>
  <c r="BG29" i="2"/>
  <c r="FX29" i="2"/>
  <c r="EF29" i="2"/>
  <c r="IL29" i="2"/>
  <c r="GT29" i="2"/>
  <c r="CN29" i="2"/>
  <c r="IW29" i="2"/>
  <c r="AV29" i="2"/>
  <c r="GI29" i="2"/>
  <c r="GH29" i="2"/>
  <c r="BG29" i="1"/>
  <c r="BF29" i="1"/>
  <c r="C27" i="24"/>
  <c r="E28" i="24"/>
  <c r="GG28" i="2"/>
  <c r="J28" i="24"/>
  <c r="K28" i="24" s="1"/>
  <c r="BE28" i="1"/>
  <c r="C28" i="2"/>
  <c r="C28" i="1"/>
  <c r="D28" i="1" l="1"/>
  <c r="O28" i="1"/>
  <c r="Z28" i="1"/>
  <c r="AV28" i="1"/>
  <c r="AK28" i="1"/>
  <c r="BR28" i="1"/>
  <c r="CC28" i="1"/>
  <c r="BF28" i="1"/>
  <c r="BG28" i="1"/>
  <c r="D28" i="2"/>
  <c r="DU28" i="2"/>
  <c r="CY28" i="2"/>
  <c r="AK28" i="2"/>
  <c r="IL28" i="2"/>
  <c r="BG28" i="2"/>
  <c r="DJ28" i="2"/>
  <c r="IW28" i="2"/>
  <c r="EQ28" i="2"/>
  <c r="CC28" i="2"/>
  <c r="FB28" i="2"/>
  <c r="CN28" i="2"/>
  <c r="Z28" i="2"/>
  <c r="HE28" i="2"/>
  <c r="HP28" i="2"/>
  <c r="BR28" i="2"/>
  <c r="EF28" i="2"/>
  <c r="FX28" i="2"/>
  <c r="FM28" i="2"/>
  <c r="AV28" i="2"/>
  <c r="GT28" i="2"/>
  <c r="IA28" i="2"/>
  <c r="O28" i="2"/>
  <c r="GI28" i="2"/>
  <c r="GH28" i="2"/>
  <c r="C26" i="24"/>
  <c r="E27" i="24"/>
  <c r="GG27" i="2"/>
  <c r="J27" i="24"/>
  <c r="K27" i="24" s="1"/>
  <c r="BE27" i="1"/>
  <c r="C27" i="1"/>
  <c r="C27" i="2"/>
  <c r="D27" i="1" l="1"/>
  <c r="AK27" i="1"/>
  <c r="BR27" i="1"/>
  <c r="O27" i="1"/>
  <c r="Z27" i="1"/>
  <c r="CC27" i="1"/>
  <c r="AV27" i="1"/>
  <c r="BG27" i="1"/>
  <c r="BF27" i="1"/>
  <c r="D27" i="2"/>
  <c r="DU27" i="2"/>
  <c r="AK27" i="2"/>
  <c r="BG27" i="2"/>
  <c r="O27" i="2"/>
  <c r="DJ27" i="2"/>
  <c r="HP27" i="2"/>
  <c r="IA27" i="2"/>
  <c r="IL27" i="2"/>
  <c r="CC27" i="2"/>
  <c r="IW27" i="2"/>
  <c r="FB27" i="2"/>
  <c r="CY27" i="2"/>
  <c r="BR27" i="2"/>
  <c r="AV27" i="2"/>
  <c r="FM27" i="2"/>
  <c r="GT27" i="2"/>
  <c r="EF27" i="2"/>
  <c r="FX27" i="2"/>
  <c r="CN27" i="2"/>
  <c r="EQ27" i="2"/>
  <c r="Z27" i="2"/>
  <c r="HE27" i="2"/>
  <c r="GH27" i="2"/>
  <c r="GI27" i="2"/>
  <c r="E26" i="24"/>
  <c r="C25" i="24"/>
  <c r="GG26" i="2"/>
  <c r="J26" i="24"/>
  <c r="K26" i="24" s="1"/>
  <c r="BE26" i="1"/>
  <c r="C26" i="2"/>
  <c r="C26" i="1"/>
  <c r="D26" i="1" l="1"/>
  <c r="AK26" i="1"/>
  <c r="BR26" i="1"/>
  <c r="O26" i="1"/>
  <c r="CC26" i="1"/>
  <c r="Z26" i="1"/>
  <c r="AV26" i="1"/>
  <c r="BG26" i="1"/>
  <c r="BF26" i="1"/>
  <c r="GI26" i="2"/>
  <c r="GH26" i="2"/>
  <c r="D26" i="2"/>
  <c r="DU26" i="2"/>
  <c r="CC26" i="2"/>
  <c r="IA26" i="2"/>
  <c r="FB26" i="2"/>
  <c r="CN26" i="2"/>
  <c r="IL26" i="2"/>
  <c r="HP26" i="2"/>
  <c r="CY26" i="2"/>
  <c r="O26" i="2"/>
  <c r="FM26" i="2"/>
  <c r="DJ26" i="2"/>
  <c r="FX26" i="2"/>
  <c r="AV26" i="2"/>
  <c r="EF26" i="2"/>
  <c r="Z26" i="2"/>
  <c r="HE26" i="2"/>
  <c r="GT26" i="2"/>
  <c r="BG26" i="2"/>
  <c r="BR26" i="2"/>
  <c r="EQ26" i="2"/>
  <c r="IW26" i="2"/>
  <c r="AK26" i="2"/>
  <c r="C24" i="24"/>
  <c r="E25" i="24"/>
  <c r="GG25" i="2"/>
  <c r="J25" i="24"/>
  <c r="K25" i="24" s="1"/>
  <c r="BE25" i="1"/>
  <c r="C25" i="1"/>
  <c r="C25" i="2"/>
  <c r="BF25" i="1" l="1"/>
  <c r="BG25" i="1"/>
  <c r="D25" i="1"/>
  <c r="Z25" i="1"/>
  <c r="BR25" i="1"/>
  <c r="O25" i="1"/>
  <c r="CC25" i="1"/>
  <c r="AV25" i="1"/>
  <c r="AK25" i="1"/>
  <c r="E24" i="24"/>
  <c r="C23" i="24"/>
  <c r="GG24" i="2"/>
  <c r="J24" i="24"/>
  <c r="K24" i="24" s="1"/>
  <c r="BE24" i="1"/>
  <c r="C24" i="2"/>
  <c r="C24" i="1"/>
  <c r="D25" i="2"/>
  <c r="DU25" i="2"/>
  <c r="O25" i="2"/>
  <c r="CY25" i="2"/>
  <c r="CC25" i="2"/>
  <c r="HP25" i="2"/>
  <c r="AK25" i="2"/>
  <c r="IL25" i="2"/>
  <c r="IW25" i="2"/>
  <c r="EQ25" i="2"/>
  <c r="CN25" i="2"/>
  <c r="DJ25" i="2"/>
  <c r="FB25" i="2"/>
  <c r="IA25" i="2"/>
  <c r="FM25" i="2"/>
  <c r="EF25" i="2"/>
  <c r="GT25" i="2"/>
  <c r="BG25" i="2"/>
  <c r="HE25" i="2"/>
  <c r="FX25" i="2"/>
  <c r="AV25" i="2"/>
  <c r="Z25" i="2"/>
  <c r="BR25" i="2"/>
  <c r="GI25" i="2"/>
  <c r="GH25" i="2"/>
  <c r="BG24" i="1" l="1"/>
  <c r="BF24" i="1"/>
  <c r="D24" i="1"/>
  <c r="CC24" i="1"/>
  <c r="AV24" i="1"/>
  <c r="AK24" i="1"/>
  <c r="O24" i="1"/>
  <c r="Z24" i="1"/>
  <c r="BR24" i="1"/>
  <c r="E23" i="24"/>
  <c r="C22" i="24"/>
  <c r="GG23" i="2"/>
  <c r="J23" i="24"/>
  <c r="K23" i="24" s="1"/>
  <c r="BE23" i="1"/>
  <c r="C23" i="2"/>
  <c r="C23" i="1"/>
  <c r="D24" i="2"/>
  <c r="CY24" i="2"/>
  <c r="DU24" i="2"/>
  <c r="O24" i="2"/>
  <c r="IL24" i="2"/>
  <c r="BG24" i="2"/>
  <c r="IW24" i="2"/>
  <c r="FM24" i="2"/>
  <c r="FB24" i="2"/>
  <c r="EQ24" i="2"/>
  <c r="DJ24" i="2"/>
  <c r="IA24" i="2"/>
  <c r="Z24" i="2"/>
  <c r="CC24" i="2"/>
  <c r="AV24" i="2"/>
  <c r="EF24" i="2"/>
  <c r="HE24" i="2"/>
  <c r="HP24" i="2"/>
  <c r="GT24" i="2"/>
  <c r="BR24" i="2"/>
  <c r="FX24" i="2"/>
  <c r="AK24" i="2"/>
  <c r="CN24" i="2"/>
  <c r="GH24" i="2"/>
  <c r="GI24" i="2"/>
  <c r="D23" i="2" l="1"/>
  <c r="DU23" i="2"/>
  <c r="IL23" i="2"/>
  <c r="CC23" i="2"/>
  <c r="DJ23" i="2"/>
  <c r="EQ23" i="2"/>
  <c r="IA23" i="2"/>
  <c r="CN23" i="2"/>
  <c r="BG23" i="2"/>
  <c r="AK23" i="2"/>
  <c r="GT23" i="2"/>
  <c r="FB23" i="2"/>
  <c r="CY23" i="2"/>
  <c r="HP23" i="2"/>
  <c r="FM23" i="2"/>
  <c r="AV23" i="2"/>
  <c r="HE23" i="2"/>
  <c r="O23" i="2"/>
  <c r="BR23" i="2"/>
  <c r="IW23" i="2"/>
  <c r="FX23" i="2"/>
  <c r="EF23" i="2"/>
  <c r="Z23" i="2"/>
  <c r="BF23" i="1"/>
  <c r="BG23" i="1"/>
  <c r="D23" i="1"/>
  <c r="Z23" i="1"/>
  <c r="CC23" i="1"/>
  <c r="AK23" i="1"/>
  <c r="AV23" i="1"/>
  <c r="BR23" i="1"/>
  <c r="O23" i="1"/>
  <c r="E22" i="24"/>
  <c r="C21" i="24"/>
  <c r="GG22" i="2"/>
  <c r="J22" i="24"/>
  <c r="K22" i="24" s="1"/>
  <c r="BE22" i="1"/>
  <c r="C22" i="1"/>
  <c r="C22" i="2"/>
  <c r="GI23" i="2"/>
  <c r="GH23" i="2"/>
  <c r="D22" i="1" l="1"/>
  <c r="Z22" i="1"/>
  <c r="O22" i="1"/>
  <c r="BR22" i="1"/>
  <c r="CC22" i="1"/>
  <c r="AV22" i="1"/>
  <c r="AK22" i="1"/>
  <c r="D22" i="2"/>
  <c r="DU22" i="2"/>
  <c r="BG22" i="2"/>
  <c r="HP22" i="2"/>
  <c r="EQ22" i="2"/>
  <c r="IA22" i="2"/>
  <c r="DJ22" i="2"/>
  <c r="CY22" i="2"/>
  <c r="FM22" i="2"/>
  <c r="O22" i="2"/>
  <c r="FB22" i="2"/>
  <c r="IW22" i="2"/>
  <c r="IL22" i="2"/>
  <c r="EF22" i="2"/>
  <c r="GT22" i="2"/>
  <c r="AK22" i="2"/>
  <c r="CN22" i="2"/>
  <c r="FX22" i="2"/>
  <c r="HE22" i="2"/>
  <c r="AV22" i="2"/>
  <c r="BR22" i="2"/>
  <c r="Z22" i="2"/>
  <c r="CC22" i="2"/>
  <c r="GI22" i="2"/>
  <c r="GH22" i="2"/>
  <c r="BG22" i="1"/>
  <c r="BF22" i="1"/>
  <c r="E21" i="24"/>
  <c r="C20" i="24"/>
  <c r="GG21" i="2"/>
  <c r="J21" i="24"/>
  <c r="K21" i="24" s="1"/>
  <c r="BE21" i="1"/>
  <c r="C21" i="1"/>
  <c r="C21" i="2"/>
  <c r="D21" i="1" l="1"/>
  <c r="O21" i="1"/>
  <c r="Z21" i="1"/>
  <c r="CC21" i="1"/>
  <c r="AV21" i="1"/>
  <c r="BR21" i="1"/>
  <c r="AK21" i="1"/>
  <c r="D21" i="2"/>
  <c r="CY21" i="2"/>
  <c r="DU21" i="2"/>
  <c r="CN21" i="2"/>
  <c r="BG21" i="2"/>
  <c r="FB21" i="2"/>
  <c r="IL21" i="2"/>
  <c r="O21" i="2"/>
  <c r="DJ21" i="2"/>
  <c r="IA21" i="2"/>
  <c r="FX21" i="2"/>
  <c r="AV21" i="2"/>
  <c r="CC21" i="2"/>
  <c r="BR21" i="2"/>
  <c r="Z21" i="2"/>
  <c r="HE21" i="2"/>
  <c r="AK21" i="2"/>
  <c r="FM21" i="2"/>
  <c r="GT21" i="2"/>
  <c r="HP21" i="2"/>
  <c r="EF21" i="2"/>
  <c r="EQ21" i="2"/>
  <c r="IW21" i="2"/>
  <c r="E20" i="24"/>
  <c r="C19" i="24"/>
  <c r="GG20" i="2"/>
  <c r="J20" i="24"/>
  <c r="K20" i="24" s="1"/>
  <c r="BE20" i="1"/>
  <c r="C20" i="1"/>
  <c r="C20" i="2"/>
  <c r="GI21" i="2"/>
  <c r="GH21" i="2"/>
  <c r="BF21" i="1"/>
  <c r="BG21" i="1"/>
  <c r="D20" i="2" l="1"/>
  <c r="DU20" i="2"/>
  <c r="FM20" i="2"/>
  <c r="DJ20" i="2"/>
  <c r="AK20" i="2"/>
  <c r="CN20" i="2"/>
  <c r="HP20" i="2"/>
  <c r="BG20" i="2"/>
  <c r="IL20" i="2"/>
  <c r="FB20" i="2"/>
  <c r="CC20" i="2"/>
  <c r="CY20" i="2"/>
  <c r="EQ20" i="2"/>
  <c r="EF20" i="2"/>
  <c r="BR20" i="2"/>
  <c r="HE20" i="2"/>
  <c r="IW20" i="2"/>
  <c r="Z20" i="2"/>
  <c r="AV20" i="2"/>
  <c r="GT20" i="2"/>
  <c r="FX20" i="2"/>
  <c r="IA20" i="2"/>
  <c r="O20" i="2"/>
  <c r="E19" i="24"/>
  <c r="C18" i="24"/>
  <c r="GG19" i="2"/>
  <c r="J19" i="24"/>
  <c r="K19" i="24" s="1"/>
  <c r="BE19" i="1"/>
  <c r="C19" i="1"/>
  <c r="C19" i="2"/>
  <c r="BF20" i="1"/>
  <c r="BG20" i="1"/>
  <c r="D20" i="1"/>
  <c r="Z20" i="1"/>
  <c r="AK20" i="1"/>
  <c r="CC20" i="1"/>
  <c r="AV20" i="1"/>
  <c r="BR20" i="1"/>
  <c r="O20" i="1"/>
  <c r="GI20" i="2"/>
  <c r="GH20" i="2"/>
  <c r="BF19" i="1" l="1"/>
  <c r="BG19" i="1"/>
  <c r="E18" i="24"/>
  <c r="C17" i="24"/>
  <c r="GG18" i="2"/>
  <c r="J18" i="24"/>
  <c r="K18" i="24" s="1"/>
  <c r="BE18" i="1"/>
  <c r="C18" i="1"/>
  <c r="C18" i="2"/>
  <c r="D19" i="1"/>
  <c r="AV19" i="1"/>
  <c r="BR19" i="1"/>
  <c r="CC19" i="1"/>
  <c r="O19" i="1"/>
  <c r="Z19" i="1"/>
  <c r="AK19" i="1"/>
  <c r="GH19" i="2"/>
  <c r="GI19" i="2"/>
  <c r="D19" i="2"/>
  <c r="DU19" i="2"/>
  <c r="CY19" i="2"/>
  <c r="IL19" i="2"/>
  <c r="BG19" i="2"/>
  <c r="AK19" i="2"/>
  <c r="FB19" i="2"/>
  <c r="EQ19" i="2"/>
  <c r="IA19" i="2"/>
  <c r="DJ19" i="2"/>
  <c r="O19" i="2"/>
  <c r="FM19" i="2"/>
  <c r="HP19" i="2"/>
  <c r="EF19" i="2"/>
  <c r="HE19" i="2"/>
  <c r="AV19" i="2"/>
  <c r="CN19" i="2"/>
  <c r="Z19" i="2"/>
  <c r="CC19" i="2"/>
  <c r="FX19" i="2"/>
  <c r="IW19" i="2"/>
  <c r="BR19" i="2"/>
  <c r="GT19" i="2"/>
  <c r="D18" i="2" l="1"/>
  <c r="CY18" i="2"/>
  <c r="DU18" i="2"/>
  <c r="BG18" i="2"/>
  <c r="GT18" i="2"/>
  <c r="EQ18" i="2"/>
  <c r="FB18" i="2"/>
  <c r="DJ18" i="2"/>
  <c r="CN18" i="2"/>
  <c r="IA18" i="2"/>
  <c r="HP18" i="2"/>
  <c r="IL18" i="2"/>
  <c r="BR18" i="2"/>
  <c r="AK18" i="2"/>
  <c r="FM18" i="2"/>
  <c r="CC18" i="2"/>
  <c r="O18" i="2"/>
  <c r="Z18" i="2"/>
  <c r="FX18" i="2"/>
  <c r="AV18" i="2"/>
  <c r="HE18" i="2"/>
  <c r="EF18" i="2"/>
  <c r="IW18" i="2"/>
  <c r="BG18" i="1"/>
  <c r="BF18" i="1"/>
  <c r="D18" i="1"/>
  <c r="AV18" i="1"/>
  <c r="BR18" i="1"/>
  <c r="CC18" i="1"/>
  <c r="AK18" i="1"/>
  <c r="O18" i="1"/>
  <c r="Z18" i="1"/>
  <c r="GI18" i="2"/>
  <c r="GH18" i="2"/>
  <c r="C16" i="24"/>
  <c r="E17" i="24"/>
  <c r="GG17" i="2"/>
  <c r="J17" i="24"/>
  <c r="K17" i="24" s="1"/>
  <c r="BE17" i="1"/>
  <c r="C17" i="2"/>
  <c r="C17" i="1"/>
  <c r="D17" i="2" l="1"/>
  <c r="DU17" i="2"/>
  <c r="HP17" i="2"/>
  <c r="DJ17" i="2"/>
  <c r="CY17" i="2"/>
  <c r="BG17" i="2"/>
  <c r="CN17" i="2"/>
  <c r="IA17" i="2"/>
  <c r="EQ17" i="2"/>
  <c r="AK17" i="2"/>
  <c r="IL17" i="2"/>
  <c r="FM17" i="2"/>
  <c r="CC17" i="2"/>
  <c r="IW17" i="2"/>
  <c r="O17" i="2"/>
  <c r="FB17" i="2"/>
  <c r="Z17" i="2"/>
  <c r="GT17" i="2"/>
  <c r="HE17" i="2"/>
  <c r="FX17" i="2"/>
  <c r="AV17" i="2"/>
  <c r="BR17" i="2"/>
  <c r="EF17" i="2"/>
  <c r="D17" i="1"/>
  <c r="AK17" i="1"/>
  <c r="O17" i="1"/>
  <c r="Z17" i="1"/>
  <c r="CC17" i="1"/>
  <c r="AV17" i="1"/>
  <c r="BR17" i="1"/>
  <c r="GI17" i="2"/>
  <c r="GH17" i="2"/>
  <c r="BF17" i="1"/>
  <c r="BG17" i="1"/>
  <c r="E16" i="24"/>
  <c r="C15" i="24"/>
  <c r="GG16" i="2"/>
  <c r="J16" i="24"/>
  <c r="K16" i="24" s="1"/>
  <c r="BE16" i="1"/>
  <c r="C16" i="1"/>
  <c r="C16" i="2"/>
  <c r="D16" i="2" l="1"/>
  <c r="CY16" i="2"/>
  <c r="DU16" i="2"/>
  <c r="AK16" i="2"/>
  <c r="FB16" i="2"/>
  <c r="CN16" i="2"/>
  <c r="HP16" i="2"/>
  <c r="O16" i="2"/>
  <c r="EQ16" i="2"/>
  <c r="DJ16" i="2"/>
  <c r="IL16" i="2"/>
  <c r="BG16" i="2"/>
  <c r="IW16" i="2"/>
  <c r="IA16" i="2"/>
  <c r="FM16" i="2"/>
  <c r="AV16" i="2"/>
  <c r="FX16" i="2"/>
  <c r="EF16" i="2"/>
  <c r="GT16" i="2"/>
  <c r="BR16" i="2"/>
  <c r="Z16" i="2"/>
  <c r="CC16" i="2"/>
  <c r="HE16" i="2"/>
  <c r="BG16" i="1"/>
  <c r="BF16" i="1"/>
  <c r="GH16" i="2"/>
  <c r="GI16" i="2"/>
  <c r="D16" i="1"/>
  <c r="AK16" i="1"/>
  <c r="O16" i="1"/>
  <c r="BR16" i="1"/>
  <c r="CC16" i="1"/>
  <c r="AV16" i="1"/>
  <c r="Z16" i="1"/>
  <c r="C14" i="24"/>
  <c r="E15" i="24"/>
  <c r="GG15" i="2"/>
  <c r="J15" i="24"/>
  <c r="K15" i="24" s="1"/>
  <c r="BE15" i="1"/>
  <c r="C15" i="2"/>
  <c r="C15" i="1"/>
  <c r="D15" i="2" l="1"/>
  <c r="DU15" i="2"/>
  <c r="CY15" i="2"/>
  <c r="AK15" i="2"/>
  <c r="DJ15" i="2"/>
  <c r="GT15" i="2"/>
  <c r="IA15" i="2"/>
  <c r="BG15" i="2"/>
  <c r="O15" i="2"/>
  <c r="FM15" i="2"/>
  <c r="FB15" i="2"/>
  <c r="HP15" i="2"/>
  <c r="FX15" i="2"/>
  <c r="CN15" i="2"/>
  <c r="BR15" i="2"/>
  <c r="AV15" i="2"/>
  <c r="HE15" i="2"/>
  <c r="Z15" i="2"/>
  <c r="EF15" i="2"/>
  <c r="IL15" i="2"/>
  <c r="IW15" i="2"/>
  <c r="EQ15" i="2"/>
  <c r="CC15" i="2"/>
  <c r="D15" i="1"/>
  <c r="CC15" i="1"/>
  <c r="AV15" i="1"/>
  <c r="AK15" i="1"/>
  <c r="BR15" i="1"/>
  <c r="Z15" i="1"/>
  <c r="O15" i="1"/>
  <c r="GI15" i="2"/>
  <c r="GH15" i="2"/>
  <c r="BG15" i="1"/>
  <c r="BF15" i="1"/>
  <c r="C13" i="24"/>
  <c r="E14" i="24"/>
  <c r="GG14" i="2"/>
  <c r="J14" i="24"/>
  <c r="K14" i="24" s="1"/>
  <c r="BE14" i="1"/>
  <c r="C14" i="1"/>
  <c r="C14" i="2"/>
  <c r="BG14" i="1" l="1"/>
  <c r="BF14" i="1"/>
  <c r="D14" i="1"/>
  <c r="AV14" i="1"/>
  <c r="O14" i="1"/>
  <c r="CC14" i="1"/>
  <c r="AK14" i="1"/>
  <c r="BR14" i="1"/>
  <c r="Z14" i="1"/>
  <c r="E13" i="24"/>
  <c r="C12" i="24"/>
  <c r="GG13" i="2"/>
  <c r="J13" i="24"/>
  <c r="K13" i="24" s="1"/>
  <c r="BE13" i="1"/>
  <c r="C13" i="2"/>
  <c r="C13" i="1"/>
  <c r="GI14" i="2"/>
  <c r="GH14" i="2"/>
  <c r="D14" i="2"/>
  <c r="DU14" i="2"/>
  <c r="EQ14" i="2"/>
  <c r="CN14" i="2"/>
  <c r="DJ14" i="2"/>
  <c r="CC14" i="2"/>
  <c r="IW14" i="2"/>
  <c r="FB14" i="2"/>
  <c r="IL14" i="2"/>
  <c r="HP14" i="2"/>
  <c r="CY14" i="2"/>
  <c r="AK14" i="2"/>
  <c r="O14" i="2"/>
  <c r="IA14" i="2"/>
  <c r="FM14" i="2"/>
  <c r="HE14" i="2"/>
  <c r="AV14" i="2"/>
  <c r="BR14" i="2"/>
  <c r="BG14" i="2"/>
  <c r="GT14" i="2"/>
  <c r="Z14" i="2"/>
  <c r="FX14" i="2"/>
  <c r="EF14" i="2"/>
  <c r="GH13" i="2" l="1"/>
  <c r="GI13" i="2"/>
  <c r="D13" i="2"/>
  <c r="CY13" i="2"/>
  <c r="DU13" i="2"/>
  <c r="CC13" i="2"/>
  <c r="DJ13" i="2"/>
  <c r="AK13" i="2"/>
  <c r="BG13" i="2"/>
  <c r="FB13" i="2"/>
  <c r="IA13" i="2"/>
  <c r="EQ13" i="2"/>
  <c r="HE13" i="2"/>
  <c r="FX13" i="2"/>
  <c r="HP13" i="2"/>
  <c r="IW13" i="2"/>
  <c r="Z13" i="2"/>
  <c r="BR13" i="2"/>
  <c r="CN13" i="2"/>
  <c r="O13" i="2"/>
  <c r="FM13" i="2"/>
  <c r="GT13" i="2"/>
  <c r="IL13" i="2"/>
  <c r="AV13" i="2"/>
  <c r="EF13" i="2"/>
  <c r="BG13" i="1"/>
  <c r="BF13" i="1"/>
  <c r="E12" i="24"/>
  <c r="C11" i="24"/>
  <c r="GG12" i="2"/>
  <c r="J12" i="24"/>
  <c r="K12" i="24" s="1"/>
  <c r="BE12" i="1"/>
  <c r="C12" i="1"/>
  <c r="C12" i="2"/>
  <c r="D13" i="1"/>
  <c r="Z13" i="1"/>
  <c r="CC13" i="1"/>
  <c r="BR13" i="1"/>
  <c r="AK13" i="1"/>
  <c r="O13" i="1"/>
  <c r="AV13" i="1"/>
  <c r="GI12" i="2" l="1"/>
  <c r="GH12" i="2"/>
  <c r="C10" i="24"/>
  <c r="E11" i="24"/>
  <c r="GG11" i="2"/>
  <c r="J11" i="24"/>
  <c r="K11" i="24" s="1"/>
  <c r="BE11" i="1"/>
  <c r="C11" i="1"/>
  <c r="C11" i="2"/>
  <c r="D12" i="2"/>
  <c r="DU12" i="2"/>
  <c r="FM12" i="2"/>
  <c r="BG12" i="2"/>
  <c r="AK12" i="2"/>
  <c r="O12" i="2"/>
  <c r="EQ12" i="2"/>
  <c r="CY12" i="2"/>
  <c r="IL12" i="2"/>
  <c r="IA12" i="2"/>
  <c r="CC12" i="2"/>
  <c r="FB12" i="2"/>
  <c r="DJ12" i="2"/>
  <c r="HP12" i="2"/>
  <c r="HE12" i="2"/>
  <c r="CN12" i="2"/>
  <c r="EF12" i="2"/>
  <c r="Z12" i="2"/>
  <c r="BR12" i="2"/>
  <c r="GT12" i="2"/>
  <c r="IW12" i="2"/>
  <c r="AV12" i="2"/>
  <c r="FX12" i="2"/>
  <c r="D12" i="1"/>
  <c r="AK12" i="1"/>
  <c r="Z12" i="1"/>
  <c r="CC12" i="1"/>
  <c r="BR12" i="1"/>
  <c r="O12" i="1"/>
  <c r="AV12" i="1"/>
  <c r="BF12" i="1"/>
  <c r="BG12" i="1"/>
  <c r="D11" i="1" l="1"/>
  <c r="Z11" i="1"/>
  <c r="CC11" i="1"/>
  <c r="AV11" i="1"/>
  <c r="AK11" i="1"/>
  <c r="BR11" i="1"/>
  <c r="O11" i="1"/>
  <c r="D11" i="2"/>
  <c r="CY11" i="2"/>
  <c r="DU11" i="2"/>
  <c r="AK11" i="2"/>
  <c r="IW11" i="2"/>
  <c r="O11" i="2"/>
  <c r="DJ11" i="2"/>
  <c r="IL11" i="2"/>
  <c r="FB11" i="2"/>
  <c r="IA11" i="2"/>
  <c r="EQ11" i="2"/>
  <c r="FX11" i="2"/>
  <c r="CN11" i="2"/>
  <c r="HP11" i="2"/>
  <c r="HE11" i="2"/>
  <c r="BG11" i="2"/>
  <c r="GT11" i="2"/>
  <c r="FM11" i="2"/>
  <c r="BR11" i="2"/>
  <c r="EF11" i="2"/>
  <c r="AV11" i="2"/>
  <c r="Z11" i="2"/>
  <c r="CC11" i="2"/>
  <c r="GI11" i="2"/>
  <c r="GH11" i="2"/>
  <c r="BG11" i="1"/>
  <c r="BF11" i="1"/>
  <c r="E10" i="24"/>
  <c r="C9" i="24"/>
  <c r="GG10" i="2"/>
  <c r="J10" i="24"/>
  <c r="K10" i="24" s="1"/>
  <c r="BE10" i="1"/>
  <c r="C10" i="1"/>
  <c r="C10" i="2"/>
  <c r="D10" i="1" l="1"/>
  <c r="AK10" i="1"/>
  <c r="CC10" i="1"/>
  <c r="BR10" i="1"/>
  <c r="O10" i="1"/>
  <c r="Z10" i="1"/>
  <c r="AV10" i="1"/>
  <c r="BG10" i="1"/>
  <c r="BF10" i="1"/>
  <c r="D10" i="2"/>
  <c r="DU10" i="2"/>
  <c r="O10" i="2"/>
  <c r="CN10" i="2"/>
  <c r="FM10" i="2"/>
  <c r="CY10" i="2"/>
  <c r="BG10" i="2"/>
  <c r="IA10" i="2"/>
  <c r="FB10" i="2"/>
  <c r="HP10" i="2"/>
  <c r="DJ10" i="2"/>
  <c r="EQ10" i="2"/>
  <c r="CC10" i="2"/>
  <c r="GT10" i="2"/>
  <c r="IW10" i="2"/>
  <c r="HE10" i="2"/>
  <c r="AV10" i="2"/>
  <c r="IL10" i="2"/>
  <c r="Z10" i="2"/>
  <c r="FX10" i="2"/>
  <c r="AK10" i="2"/>
  <c r="BR10" i="2"/>
  <c r="EF10" i="2"/>
  <c r="GI10" i="2"/>
  <c r="GH10" i="2"/>
  <c r="C8" i="24"/>
  <c r="E9" i="24"/>
  <c r="GG9" i="2"/>
  <c r="J9" i="24"/>
  <c r="K9" i="24" s="1"/>
  <c r="BE9" i="1"/>
  <c r="C9" i="2"/>
  <c r="C9" i="1"/>
  <c r="D9" i="1" l="1"/>
  <c r="Z9" i="1"/>
  <c r="BR9" i="1"/>
  <c r="O9" i="1"/>
  <c r="CC9" i="1"/>
  <c r="AV9" i="1"/>
  <c r="AK9" i="1"/>
  <c r="D9" i="2"/>
  <c r="CY9" i="2"/>
  <c r="DU9" i="2"/>
  <c r="AK9" i="2"/>
  <c r="BG9" i="2"/>
  <c r="FM9" i="2"/>
  <c r="IL9" i="2"/>
  <c r="DJ9" i="2"/>
  <c r="O9" i="2"/>
  <c r="HP9" i="2"/>
  <c r="FB9" i="2"/>
  <c r="EF9" i="2"/>
  <c r="IA9" i="2"/>
  <c r="Z9" i="2"/>
  <c r="EQ9" i="2"/>
  <c r="GT9" i="2"/>
  <c r="IW9" i="2"/>
  <c r="HE9" i="2"/>
  <c r="BR9" i="2"/>
  <c r="CN9" i="2"/>
  <c r="FX9" i="2"/>
  <c r="AV9" i="2"/>
  <c r="CC9" i="2"/>
  <c r="E8" i="24"/>
  <c r="C7" i="24"/>
  <c r="GG8" i="2"/>
  <c r="J8" i="24"/>
  <c r="K8" i="24" s="1"/>
  <c r="BE8" i="1"/>
  <c r="C8" i="1"/>
  <c r="C8" i="2"/>
  <c r="BF9" i="1"/>
  <c r="BG9" i="1"/>
  <c r="GI9" i="2"/>
  <c r="GH9" i="2"/>
  <c r="D8" i="1" l="1"/>
  <c r="AV8" i="1"/>
  <c r="BR8" i="1"/>
  <c r="O8" i="1"/>
  <c r="CC8" i="1"/>
  <c r="AK8" i="1"/>
  <c r="Z8" i="1"/>
  <c r="D8" i="2"/>
  <c r="CY8" i="2"/>
  <c r="DU8" i="2"/>
  <c r="AK8" i="2"/>
  <c r="CC8" i="2"/>
  <c r="DJ8" i="2"/>
  <c r="IA8" i="2"/>
  <c r="O8" i="2"/>
  <c r="HP8" i="2"/>
  <c r="GT8" i="2"/>
  <c r="IW8" i="2"/>
  <c r="FB8" i="2"/>
  <c r="IL8" i="2"/>
  <c r="CN8" i="2"/>
  <c r="HE8" i="2"/>
  <c r="EQ8" i="2"/>
  <c r="EF8" i="2"/>
  <c r="AV8" i="2"/>
  <c r="BG8" i="2"/>
  <c r="FM8" i="2"/>
  <c r="BR8" i="2"/>
  <c r="Z8" i="2"/>
  <c r="FX8" i="2"/>
  <c r="E7" i="24"/>
  <c r="C6" i="24"/>
  <c r="GG7" i="2"/>
  <c r="J7" i="24"/>
  <c r="K7" i="24" s="1"/>
  <c r="BE7" i="1"/>
  <c r="C7" i="2"/>
  <c r="C7" i="1"/>
  <c r="BF8" i="1"/>
  <c r="BG8" i="1"/>
  <c r="GI8" i="2"/>
  <c r="GH8" i="2"/>
  <c r="D7" i="2" l="1"/>
  <c r="CY7" i="2"/>
  <c r="DU7" i="2"/>
  <c r="CN7" i="2"/>
  <c r="IL7" i="2"/>
  <c r="AK7" i="2"/>
  <c r="CC7" i="2"/>
  <c r="FB7" i="2"/>
  <c r="O7" i="2"/>
  <c r="DJ7" i="2"/>
  <c r="HP7" i="2"/>
  <c r="EQ7" i="2"/>
  <c r="Z7" i="2"/>
  <c r="FX7" i="2"/>
  <c r="HE7" i="2"/>
  <c r="FM7" i="2"/>
  <c r="BR7" i="2"/>
  <c r="IA7" i="2"/>
  <c r="IW7" i="2"/>
  <c r="BG7" i="2"/>
  <c r="EF7" i="2"/>
  <c r="AV7" i="2"/>
  <c r="GT7" i="2"/>
  <c r="BG7" i="1"/>
  <c r="BF7" i="1"/>
  <c r="D7" i="1"/>
  <c r="BR7" i="1"/>
  <c r="AV7" i="1"/>
  <c r="Z7" i="1"/>
  <c r="CC7" i="1"/>
  <c r="AK7" i="1"/>
  <c r="O7" i="1"/>
  <c r="E6" i="24"/>
  <c r="C5" i="24"/>
  <c r="GG6" i="2"/>
  <c r="J6" i="24"/>
  <c r="K6" i="24" s="1"/>
  <c r="BE6" i="1"/>
  <c r="C6" i="2"/>
  <c r="C6" i="1"/>
  <c r="GH7" i="2"/>
  <c r="GI7" i="2"/>
  <c r="D6" i="2" l="1"/>
  <c r="CY6" i="2"/>
  <c r="DU6" i="2"/>
  <c r="AK6" i="2"/>
  <c r="FM6" i="2"/>
  <c r="BG6" i="2"/>
  <c r="IW6" i="2"/>
  <c r="GT6" i="2"/>
  <c r="FB6" i="2"/>
  <c r="IA6" i="2"/>
  <c r="DJ6" i="2"/>
  <c r="IL6" i="2"/>
  <c r="CN6" i="2"/>
  <c r="EF6" i="2"/>
  <c r="HP6" i="2"/>
  <c r="AV6" i="2"/>
  <c r="HE6" i="2"/>
  <c r="CC6" i="2"/>
  <c r="Z6" i="2"/>
  <c r="EQ6" i="2"/>
  <c r="BR6" i="2"/>
  <c r="O6" i="2"/>
  <c r="FX6" i="2"/>
  <c r="D6" i="1"/>
  <c r="AK6" i="1"/>
  <c r="CC6" i="1"/>
  <c r="BR6" i="1"/>
  <c r="Z6" i="1"/>
  <c r="AV6" i="1"/>
  <c r="O6" i="1"/>
  <c r="GI6" i="2"/>
  <c r="GH6" i="2"/>
  <c r="BF6" i="1"/>
  <c r="BG6" i="1"/>
  <c r="E5" i="24"/>
  <c r="C4" i="24"/>
  <c r="GG5" i="2"/>
  <c r="J5" i="24"/>
  <c r="K5" i="24" s="1"/>
  <c r="BE5" i="1"/>
  <c r="C5" i="1"/>
  <c r="C5" i="2"/>
  <c r="D5" i="2" l="1"/>
  <c r="DU5" i="2"/>
  <c r="CN5" i="2"/>
  <c r="IL5" i="2"/>
  <c r="CC5" i="2"/>
  <c r="IW5" i="2"/>
  <c r="EQ5" i="2"/>
  <c r="O5" i="2"/>
  <c r="FB5" i="2"/>
  <c r="CY5" i="2"/>
  <c r="FM5" i="2"/>
  <c r="DJ5" i="2"/>
  <c r="HP5" i="2"/>
  <c r="AK5" i="2"/>
  <c r="AV5" i="2"/>
  <c r="BG5" i="2"/>
  <c r="IA5" i="2"/>
  <c r="Z5" i="2"/>
  <c r="BR5" i="2"/>
  <c r="GT5" i="2"/>
  <c r="HE5" i="2"/>
  <c r="EF5" i="2"/>
  <c r="FX5" i="2"/>
  <c r="BG5" i="1"/>
  <c r="BF5" i="1"/>
  <c r="E4" i="24"/>
  <c r="C3" i="24"/>
  <c r="GG4" i="2"/>
  <c r="J4" i="24"/>
  <c r="K4" i="24" s="1"/>
  <c r="BE4" i="1"/>
  <c r="C4" i="1"/>
  <c r="C4" i="2"/>
  <c r="D5" i="1"/>
  <c r="O5" i="1"/>
  <c r="CC5" i="1"/>
  <c r="AV5" i="1"/>
  <c r="BR5" i="1"/>
  <c r="Z5" i="1"/>
  <c r="AK5" i="1"/>
  <c r="GI5" i="2"/>
  <c r="GH5" i="2"/>
  <c r="D4" i="1" l="1"/>
  <c r="AK4" i="1"/>
  <c r="Z4" i="1"/>
  <c r="O4" i="1"/>
  <c r="BR4" i="1"/>
  <c r="CC4" i="1"/>
  <c r="AV4" i="1"/>
  <c r="GH4" i="2"/>
  <c r="GI4" i="2"/>
  <c r="D4" i="2"/>
  <c r="CY4" i="2"/>
  <c r="DU4" i="2"/>
  <c r="FM4" i="2"/>
  <c r="DJ4" i="2"/>
  <c r="IL4" i="2"/>
  <c r="CC4" i="2"/>
  <c r="FB4" i="2"/>
  <c r="AK4" i="2"/>
  <c r="IW4" i="2"/>
  <c r="IA4" i="2"/>
  <c r="BG4" i="2"/>
  <c r="O4" i="2"/>
  <c r="EQ4" i="2"/>
  <c r="FX4" i="2"/>
  <c r="GT4" i="2"/>
  <c r="AV4" i="2"/>
  <c r="EF4" i="2"/>
  <c r="HP4" i="2"/>
  <c r="Z4" i="2"/>
  <c r="BR4" i="2"/>
  <c r="CN4" i="2"/>
  <c r="HE4" i="2"/>
  <c r="BF4" i="1"/>
  <c r="BG4" i="1"/>
  <c r="C2" i="24"/>
  <c r="E3" i="24"/>
  <c r="GG3" i="2"/>
  <c r="J3" i="24"/>
  <c r="K3" i="24" s="1"/>
  <c r="BE3" i="1"/>
  <c r="C3" i="2"/>
  <c r="C3" i="1"/>
  <c r="D3" i="1" l="1"/>
  <c r="CC3" i="1"/>
  <c r="AV3" i="1"/>
  <c r="O3" i="1"/>
  <c r="BR3" i="1"/>
  <c r="AK3" i="1"/>
  <c r="Z3" i="1"/>
  <c r="BG3" i="1"/>
  <c r="BF3" i="1"/>
  <c r="D3" i="2"/>
  <c r="DU3" i="2"/>
  <c r="O3" i="2"/>
  <c r="EQ3" i="2"/>
  <c r="IW3" i="2"/>
  <c r="BG3" i="2"/>
  <c r="CY3" i="2"/>
  <c r="FB3" i="2"/>
  <c r="DJ3" i="2"/>
  <c r="HP3" i="2"/>
  <c r="HE3" i="2"/>
  <c r="IL3" i="2"/>
  <c r="EF3" i="2"/>
  <c r="AV3" i="2"/>
  <c r="BR3" i="2"/>
  <c r="CN3" i="2"/>
  <c r="FM3" i="2"/>
  <c r="IA3" i="2"/>
  <c r="GT3" i="2"/>
  <c r="FX3" i="2"/>
  <c r="Z3" i="2"/>
  <c r="CC3" i="2"/>
  <c r="AK3" i="2"/>
  <c r="GI3" i="2"/>
  <c r="GH3" i="2"/>
  <c r="J2" i="24"/>
  <c r="K2" i="24" s="1"/>
  <c r="E2" i="24"/>
  <c r="GG2" i="2"/>
  <c r="BE2" i="1"/>
  <c r="C2" i="2"/>
  <c r="C2" i="1"/>
  <c r="D2" i="1" l="1"/>
  <c r="Z2" i="1"/>
  <c r="AV2" i="1"/>
  <c r="O2" i="1"/>
  <c r="BR2" i="1"/>
  <c r="AK2" i="1"/>
  <c r="CC2" i="1"/>
  <c r="D2" i="2"/>
  <c r="DU2" i="2"/>
  <c r="IA2" i="2"/>
  <c r="FB2" i="2"/>
  <c r="IL2" i="2"/>
  <c r="HP2" i="2"/>
  <c r="CN2" i="2"/>
  <c r="CY2" i="2"/>
  <c r="DJ2" i="2"/>
  <c r="FM2" i="2"/>
  <c r="O2" i="2"/>
  <c r="AV2" i="2"/>
  <c r="CC2" i="2"/>
  <c r="AK2" i="2"/>
  <c r="FX2" i="2"/>
  <c r="EQ2" i="2"/>
  <c r="HE2" i="2"/>
  <c r="BR2" i="2"/>
  <c r="IW2" i="2"/>
  <c r="EF2" i="2"/>
  <c r="GT2" i="2"/>
  <c r="Z2" i="2"/>
  <c r="BG2" i="2"/>
  <c r="GI2" i="2"/>
  <c r="GH2" i="2"/>
  <c r="BG2" i="1"/>
  <c r="BF2" i="1"/>
  <c r="I2" i="6"/>
  <c r="J2" i="6" s="1"/>
  <c r="I3" i="6" l="1"/>
  <c r="J3" i="6" s="1"/>
  <c r="I4" i="6"/>
  <c r="J4" i="6" s="1"/>
  <c r="I5" i="6"/>
  <c r="J5" i="6" s="1"/>
  <c r="I6" i="6"/>
  <c r="J6" i="6" s="1"/>
  <c r="K3" i="6"/>
  <c r="K2" i="6"/>
  <c r="K5" i="6"/>
  <c r="K4" i="6"/>
  <c r="I7" i="6" l="1"/>
  <c r="J7" i="6" l="1"/>
  <c r="K6" i="6" s="1"/>
  <c r="I8" i="6"/>
  <c r="J8" i="6" l="1"/>
  <c r="K7" i="6" s="1"/>
  <c r="I9" i="6"/>
  <c r="J9" i="6" l="1"/>
  <c r="K8" i="6" s="1"/>
  <c r="I10" i="6"/>
  <c r="J10" i="6" l="1"/>
  <c r="I11" i="6"/>
  <c r="K9" i="6" l="1"/>
  <c r="J11" i="6"/>
  <c r="K10" i="6" s="1"/>
  <c r="I12" i="6"/>
  <c r="J12" i="6" l="1"/>
  <c r="I13" i="6"/>
  <c r="J13" i="6" l="1"/>
  <c r="I14" i="6"/>
  <c r="K11" i="6"/>
  <c r="K12" i="6"/>
  <c r="I15" i="6" l="1"/>
  <c r="J14" i="6"/>
  <c r="K13" i="6" s="1"/>
  <c r="J15" i="6" l="1"/>
  <c r="K14" i="6" s="1"/>
  <c r="I16" i="6"/>
  <c r="J16" i="6" l="1"/>
  <c r="K15" i="6" s="1"/>
  <c r="I17" i="6"/>
  <c r="J17" i="6" l="1"/>
  <c r="I18" i="6"/>
  <c r="K16" i="6"/>
  <c r="J18" i="6" l="1"/>
  <c r="K17" i="6" s="1"/>
  <c r="I19" i="6"/>
  <c r="J19" i="6" l="1"/>
  <c r="I20" i="6"/>
  <c r="J20" i="6" l="1"/>
  <c r="I21" i="6"/>
  <c r="K18" i="6"/>
  <c r="K19" i="6"/>
  <c r="I22" i="6" l="1"/>
  <c r="J21" i="6"/>
  <c r="K20" i="6" s="1"/>
  <c r="J22" i="6" l="1"/>
  <c r="K21" i="6" s="1"/>
  <c r="I23" i="6"/>
  <c r="J23" i="6" l="1"/>
  <c r="K22" i="6" s="1"/>
  <c r="I24" i="6"/>
  <c r="J24" i="6" l="1"/>
  <c r="I25" i="6"/>
  <c r="J25" i="6" l="1"/>
  <c r="I26" i="6"/>
  <c r="K23" i="6"/>
  <c r="K24" i="6"/>
  <c r="J26" i="6" l="1"/>
  <c r="I27" i="6"/>
  <c r="K25" i="6"/>
  <c r="J27" i="6" l="1"/>
  <c r="K26" i="6" s="1"/>
  <c r="I28" i="6"/>
  <c r="J28" i="6" l="1"/>
  <c r="K27" i="6" s="1"/>
  <c r="I29" i="6"/>
  <c r="J29" i="6" l="1"/>
  <c r="K28" i="6" s="1"/>
  <c r="I30" i="6"/>
  <c r="J30" i="6" l="1"/>
  <c r="K29" i="6" s="1"/>
  <c r="I31" i="6"/>
  <c r="J31" i="6" l="1"/>
  <c r="I32" i="6"/>
  <c r="K30" i="6"/>
  <c r="J32" i="6" l="1"/>
  <c r="K31" i="6" s="1"/>
  <c r="I33" i="6"/>
  <c r="J33" i="6" l="1"/>
  <c r="K32" i="6" s="1"/>
  <c r="I34" i="6"/>
  <c r="J34" i="6" l="1"/>
  <c r="I35" i="6"/>
  <c r="K33" i="6"/>
  <c r="J35" i="6" l="1"/>
  <c r="I36" i="6"/>
  <c r="K34" i="6"/>
  <c r="J36" i="6" l="1"/>
  <c r="I37" i="6"/>
  <c r="K35" i="6"/>
  <c r="J37" i="6" l="1"/>
  <c r="K36" i="6" s="1"/>
  <c r="I38" i="6"/>
  <c r="J38" i="6" l="1"/>
  <c r="I39" i="6"/>
  <c r="K37" i="6" l="1"/>
  <c r="J39" i="6"/>
  <c r="I40" i="6"/>
  <c r="J40" i="6" l="1"/>
  <c r="K39" i="6" s="1"/>
  <c r="I41" i="6"/>
  <c r="K38" i="6"/>
  <c r="J41" i="6" l="1"/>
  <c r="K40" i="6" s="1"/>
  <c r="I42" i="6"/>
  <c r="J42" i="6" l="1"/>
  <c r="K41" i="6" s="1"/>
  <c r="I43" i="6"/>
  <c r="J43" i="6" l="1"/>
  <c r="K42" i="6" s="1"/>
  <c r="I44" i="6"/>
  <c r="J44" i="6" l="1"/>
  <c r="K43" i="6" s="1"/>
  <c r="I45" i="6"/>
  <c r="J45" i="6" l="1"/>
  <c r="I46" i="6"/>
  <c r="K44" i="6"/>
  <c r="J46" i="6" l="1"/>
  <c r="K45" i="6" s="1"/>
  <c r="I47" i="6"/>
  <c r="J47" i="6" l="1"/>
  <c r="I48" i="6"/>
  <c r="K46" i="6"/>
  <c r="J48" i="6" l="1"/>
  <c r="K47" i="6" s="1"/>
  <c r="I49" i="6"/>
  <c r="J49" i="6" l="1"/>
  <c r="I50" i="6"/>
  <c r="K48" i="6"/>
  <c r="J50" i="6" l="1"/>
  <c r="K49" i="6" s="1"/>
  <c r="I51" i="6"/>
  <c r="J51" i="6" l="1"/>
  <c r="I52" i="6"/>
  <c r="K50" i="6"/>
  <c r="J52" i="6" l="1"/>
  <c r="I53" i="6"/>
  <c r="K51" i="6"/>
  <c r="J53" i="6" l="1"/>
  <c r="K52" i="6" s="1"/>
  <c r="I54" i="6"/>
  <c r="J54" i="6" l="1"/>
  <c r="K53" i="6" s="1"/>
  <c r="I55" i="6"/>
  <c r="J55" i="6" l="1"/>
  <c r="I56" i="6"/>
  <c r="K54" i="6"/>
  <c r="J56" i="6" l="1"/>
  <c r="K55" i="6" s="1"/>
  <c r="I57" i="6"/>
  <c r="J57" i="6" l="1"/>
  <c r="K56" i="6" s="1"/>
  <c r="I58" i="6"/>
  <c r="J58" i="6" l="1"/>
  <c r="I59" i="6"/>
  <c r="K57" i="6" l="1"/>
  <c r="J59" i="6"/>
  <c r="I60" i="6"/>
  <c r="J60" i="6" l="1"/>
  <c r="I61" i="6"/>
  <c r="K58" i="6"/>
  <c r="J61" i="6" l="1"/>
  <c r="I62" i="6"/>
  <c r="K60" i="6"/>
  <c r="K59" i="6"/>
  <c r="J62" i="6" l="1"/>
  <c r="K61" i="6" s="1"/>
  <c r="I63" i="6"/>
  <c r="J63" i="6" l="1"/>
  <c r="K62" i="6" s="1"/>
  <c r="I64" i="6"/>
  <c r="J64" i="6" l="1"/>
  <c r="K63" i="6" s="1"/>
  <c r="I65" i="6"/>
  <c r="J65" i="6" l="1"/>
  <c r="K64" i="6" s="1"/>
  <c r="I66" i="6"/>
  <c r="I67" i="6" l="1"/>
  <c r="J67" i="6" s="1"/>
  <c r="J66" i="6"/>
  <c r="K65" i="6"/>
  <c r="K66" i="6" l="1"/>
</calcChain>
</file>

<file path=xl/sharedStrings.xml><?xml version="1.0" encoding="utf-8"?>
<sst xmlns="http://schemas.openxmlformats.org/spreadsheetml/2006/main" count="4082" uniqueCount="150">
  <si>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</si>
  <si>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</si>
  <si>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</si>
  <si>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</si>
  <si>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</si>
  <si>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</si>
  <si>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</si>
  <si>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</si>
  <si>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</si>
  <si>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</si>
  <si>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</si>
  <si>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</si>
  <si>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</si>
  <si>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</si>
  <si>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</si>
  <si>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</si>
  <si>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</si>
  <si>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</si>
  <si>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</si>
  <si>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</si>
  <si>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</si>
  <si>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</si>
  <si>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</si>
  <si>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</si>
  <si>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</si>
  <si>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</si>
  <si>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</si>
  <si>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</si>
  <si>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</si>
  <si>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</si>
  <si>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</si>
  <si>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</si>
  <si>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</si>
  <si>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</si>
  <si>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</si>
  <si>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</si>
  <si>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</si>
  <si>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</si>
  <si>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</si>
  <si>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</si>
  <si>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</si>
  <si>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</si>
  <si>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</si>
  <si>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</si>
  <si>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</si>
  <si>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</si>
  <si>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</si>
  <si>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</si>
  <si>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</si>
  <si>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</si>
  <si>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</si>
  <si>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</si>
  <si>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</si>
  <si>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</si>
  <si>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</si>
  <si>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</si>
  <si>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</si>
  <si>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</si>
  <si>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</si>
  <si>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</si>
  <si>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</si>
  <si>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</si>
  <si>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</si>
  <si>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</si>
  <si>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</si>
  <si>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</si>
  <si>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</si>
  <si>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</si>
  <si>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</si>
  <si>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</si>
  <si>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</si>
  <si>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</si>
  <si>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</si>
  <si>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</si>
  <si>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</si>
  <si>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</si>
  <si>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</si>
  <si>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</si>
  <si>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Sivoso</t>
  </si>
  <si>
    <t>GDP/cap growth</t>
  </si>
  <si>
    <t>GDP/cap override ($)</t>
  </si>
  <si>
    <t>GDP per Capita ($)</t>
  </si>
  <si>
    <t>GDP (nominal, $)</t>
  </si>
  <si>
    <t>GDP growth (total)</t>
  </si>
  <si>
    <t>Notes</t>
  </si>
  <si>
    <t>What it means</t>
  </si>
  <si>
    <t>Rearmament Squeeze - Cold War military budgets crowd out civilian growth.</t>
  </si>
  <si>
    <t>Rearmament Squeeze (1751-53): the Cold War arms race that diverted spending from civilian growth, beginning Estijan's long stagnation.</t>
  </si>
  <si>
    <t>The Great Crash - global stock-market crash &amp; recession.</t>
  </si>
  <si>
    <t>The Great Crash (1740): the global stock-market crash set off by the collapse of the Estijan Huan.</t>
  </si>
  <si>
    <t>Great War of Massir begins - northern-Massir war economy.</t>
  </si>
  <si>
    <t>Great War of Massir (from 1731): a major war across northern Massir that strained the region's economies.</t>
  </si>
  <si>
    <t>The Great Slump - global depression after the Massiran Credit Crisis &amp; Global Austerity.</t>
  </si>
  <si>
    <t>The Great Slump (1729-33): the worldwide depression that followed the 1729 Massiran Credit Crisis and the GTU's Global Austerity doctrine.</t>
  </si>
  <si>
    <t>Massiran Credit Crisis - epicentre: banking sector collapsed, saved only by government bailouts.</t>
  </si>
  <si>
    <t>Massiran Credit Crisis (1729): a credit crunch that began in Dahe's banking sector, spread across Massir, and forced the GTU's 'Global Austerity' response.</t>
  </si>
  <si>
    <t>Oil Crisis - hit by the global oil shortage &amp; price spike (MPU supply cut).</t>
  </si>
  <si>
    <t>Oil Crisis (1725): a worldwide oil shortage after the MPU cartel restricted global supply - felt in every economy.</t>
  </si>
  <si>
    <t>GTU 'Global Austerity' doctrine adopted amid the Massiran Credit Crisis.</t>
  </si>
  <si>
    <t>GTU Global Austerity (1729): the world austerity doctrine adopted during the Massiran Credit Crisis.</t>
  </si>
  <si>
    <t>Arten Fiscal Crisis - trade &amp; financial fallout across the region.</t>
  </si>
  <si>
    <t>Arten Fiscal Crisis (1713-15): capital flight and imperial-debt default triggered by the Arten Revolution and the 1715 Declaration of Rights.</t>
  </si>
  <si>
    <t>Aetintine Civil War begins (to 1734).</t>
  </si>
  <si>
    <t>Aetintine Civil War (1710-34): a decades-long internal conflict.</t>
  </si>
  <si>
    <t>Ahokini Civil War (1703-11).</t>
  </si>
  <si>
    <t>Ahokini Civil War (1703-11): an internal conflict.</t>
  </si>
  <si>
    <t>Mahean Debt Crisis - continent-wide defaults after over-borrowing.</t>
  </si>
  <si>
    <t>Mahean Debt Crisis (1750-52): a chain of sovereign defaults across Mahea's commodity exporters after the borrowing boom reversed.</t>
  </si>
  <si>
    <t>Arten Fiscal Crisis - epicentre: capital flight &amp; imperial-debt default after the Declaration of Rights.</t>
  </si>
  <si>
    <t>Left the Quian Union - loss of the common market.</t>
  </si>
  <si>
    <t>Quian Union exit (1747): Ashain's departure from the Quian common market.</t>
  </si>
  <si>
    <t>Massiran Credit Crisis - regional banking &amp; credit crunch spreading from Dahe.</t>
  </si>
  <si>
    <t>Collapse of the Huan - secession &amp; transition shock.</t>
  </si>
  <si>
    <t>Collapse of the Huan (1740): dissolution of the Estijan Huan, hyperinflating its currency and breaking the empire apart.</t>
  </si>
  <si>
    <t>Zenashan Wars &amp; war with Ukhdari (1743-50).</t>
  </si>
  <si>
    <t>Zenashan Wars (1743-50): Ealdorii's costly interventions in Zenashan and war with Ukhdari.</t>
  </si>
  <si>
    <t>Decolonisation shock - serial loss of colonies (Amcha, North Ayre, Disal Nila).</t>
  </si>
  <si>
    <t>Decolonisation (1700s): loss of colonial revenue as overseas territories broke away.</t>
  </si>
  <si>
    <t>Decolonisation - loss of Candenat &amp; Migoku; the Migoku Crisis.</t>
  </si>
  <si>
    <t>Emaran decolonisation (1715-19): loss of Candenat and Migoku and the Migoku Crisis.</t>
  </si>
  <si>
    <t>Islatan Stabilisation Crisis - 6th Republic falls; the Islatan is reset under the 7th Republic.</t>
  </si>
  <si>
    <t>Islatan Stabilisation Crisis (1711): Emara's currency collapse as the 6th Republic fell, forcing a hard reset of the Islatan under the 7th Republic.</t>
  </si>
  <si>
    <t>Keiratam War with Ztesh &amp; population transfer.</t>
  </si>
  <si>
    <t>Keiratam War (1701-02): Ztesh's war with Erkizil over Keiratam, ending in a forced population transfer.</t>
  </si>
  <si>
    <t>Estijan-Daconia War - invasion &amp; overthrow of Daconia.</t>
  </si>
  <si>
    <t>Estijan-Daconia War (1747): Estijan's invasion and overthrow of the Daconian government.</t>
  </si>
  <si>
    <t>Collapse of the Huan (Jan) &amp; the Great Crash (Mar) - hyperinflation &amp; empire dissolution.</t>
  </si>
  <si>
    <t>Fincen Civil War begins (to 1727).</t>
  </si>
  <si>
    <t>Fincen Civil War (1711-27): a prolonged internal conflict.</t>
  </si>
  <si>
    <t>Ihnerian Civil War begins - 12-year economic collapse (to 1724).</t>
  </si>
  <si>
    <t>Ihnerian Civil War (1712-24): a twelve-year internal war that collapsed Ihner's economy.</t>
  </si>
  <si>
    <t>Ocaun Famine.</t>
  </si>
  <si>
    <t>Ocaun Famine (1738): a mass food shortage.</t>
  </si>
  <si>
    <t>Sokato Spice Bubble bursts - colonial spice-trade mania &amp; crash.</t>
  </si>
  <si>
    <t>Sokato Spice Bubble (1719-21): a speculative mania in colonial spice-trade companies after Oyreain's independence broke Siana's Sokato monopoly - ending in a crash.</t>
  </si>
  <si>
    <t>Won independence amid Siana's collapse &amp; the Minalu bombing.</t>
  </si>
  <si>
    <t>Sinian Collapse (1716-17): the war-finance ruin of Siana during the Sinian Revolution, worsened by the nuclear bombing of Minalu.</t>
  </si>
  <si>
    <t>Massiran Credit Crisis - oil-price collapse -&gt; inflation &amp; deadly food riots.</t>
  </si>
  <si>
    <t>Shadow Oil Scandal - exposed as manipulating oil in neutral states.</t>
  </si>
  <si>
    <t>Shadow Oil Scandal (1728): exposure of covert Raledrian manipulation of oil prices in neutral states.</t>
  </si>
  <si>
    <t>Won independence amid Siana's collapse.</t>
  </si>
  <si>
    <t>Seytinemasi Civil War (1717-19).</t>
  </si>
  <si>
    <t>Seytinemasi Civil War (1717-19): an internal conflict.</t>
  </si>
  <si>
    <t>Sinian Collapse - treasury ruin, loss of colonies, surrender of its nuclear arsenal.</t>
  </si>
  <si>
    <t>War with Ealdorii.</t>
  </si>
  <si>
    <t>Regime collapse - fall of the dictatorship, socialist takeover.</t>
  </si>
  <si>
    <t>Verste regime collapse (1723): fall of the dictatorship and socialist takeover.</t>
  </si>
  <si>
    <t>Massiran Credit Crisis - cargo ships seized by Dahe; trade &amp; relations collapsed.</t>
  </si>
  <si>
    <t>Keiratam War with Erkizil &amp; forced population transfer.</t>
  </si>
  <si>
    <t>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</si>
</sst>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#,###"/>
    <numFmt numFmtId="166" formatCode="0.00&quot;%&quot;;[Red]\-0.00&quot;%&quot;"/>
    <numFmt numFmtId="167" formatCode="0.0&quot;%&quot;;[Red]\-0.0&quot;%&quot;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181A1B"/>
      <name val="Arial"/>
      <family val="2"/>
      <scheme val="minor"/>
    </font>
    <font>
      <sz val="10"/>
      <color theme="1"/>
      <name val="Google Sans Text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EEDD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2" fillId="3" borderId="1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166" fontId="0" fillId="4" borderId="0" xfId="0" applyNumberForma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7" fontId="0" fillId="4" borderId="0" xfId="0" applyNumberFormat="1" applyFill="1" applyAlignment="1">
      <alignment horizontal="center" vertical="center" wrapText="1"/>
    </xf>
    <xf numFmtId="167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167" fontId="5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8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name="GlobalContinent Population-style" pivot="0" count="4" xr9:uid="{00000000-0011-0000-FFFF-FFFF00000000}">
      <tableStyleElement type="wholeTable" size="0" dxfId="815"/>
      <tableStyleElement type="headerRow" dxfId="814"/>
      <tableStyleElement type="firstRowStripe" dxfId="813"/>
      <tableStyleElement type="secondRowStripe" dxfId="812"/>
    </tableStyle>
    <tableStyle name="GlobalContinent Population-style 2" pivot="0" count="4" xr9:uid="{00000000-0011-0000-FFFF-FFFF01000000}">
      <tableStyleElement type="wholeTable" size="0" dxfId="811"/>
      <tableStyleElement type="headerRow" dxfId="810"/>
      <tableStyleElement type="firstRowStripe" dxfId="809"/>
      <tableStyleElement type="secondRowStripe" dxfId="808"/>
    </tableStyle>
    <tableStyle name="GlobalContinent Population-style 3" pivot="0" count="4" xr9:uid="{00000000-0011-0000-FFFF-FFFF02000000}">
      <tableStyleElement type="wholeTable" size="0" dxfId="807"/>
      <tableStyleElement type="headerRow" dxfId="806"/>
      <tableStyleElement type="firstRowStripe" dxfId="805"/>
      <tableStyleElement type="secondRowStripe" dxfId="804"/>
    </tableStyle>
    <tableStyle name="GlobalContinent Population-style 4" pivot="0" count="4" xr9:uid="{00000000-0011-0000-FFFF-FFFF03000000}">
      <tableStyleElement type="wholeTable" size="0" dxfId="803"/>
      <tableStyleElement type="headerRow" dxfId="802"/>
      <tableStyleElement type="firstRowStripe" dxfId="801"/>
      <tableStyleElement type="secondRowStripe" dxfId="800"/>
    </tableStyle>
    <tableStyle name="GlobalContinent Population-style 5" pivot="0" count="4" xr9:uid="{00000000-0011-0000-FFFF-FFFF04000000}">
      <tableStyleElement type="wholeTable" size="0" dxfId="799"/>
      <tableStyleElement type="headerRow" dxfId="798"/>
      <tableStyleElement type="firstRowStripe" dxfId="797"/>
      <tableStyleElement type="secondRowStripe" dxfId="796"/>
    </tableStyle>
    <tableStyle name="GlobalContinent Population-style 6" pivot="0" count="4" xr9:uid="{00000000-0011-0000-FFFF-FFFF05000000}">
      <tableStyleElement type="wholeTable" size="0" dxfId="795"/>
      <tableStyleElement type="headerRow" dxfId="794"/>
      <tableStyleElement type="firstRowStripe" dxfId="793"/>
      <tableStyleElement type="secondRowStripe" dxfId="792"/>
    </tableStyle>
    <tableStyle name="GlobalContinent Population-style 7" pivot="0" count="4" xr9:uid="{00000000-0011-0000-FFFF-FFFF06000000}">
      <tableStyleElement type="wholeTable" size="0" dxfId="791"/>
      <tableStyleElement type="headerRow" dxfId="790"/>
      <tableStyleElement type="firstRowStripe" dxfId="789"/>
      <tableStyleElement type="secondRowStripe" dxfId="788"/>
    </tableStyle>
    <tableStyle name="GlobalContinent Population-style 8" pivot="0" count="4" xr9:uid="{00000000-0011-0000-FFFF-FFFF07000000}">
      <tableStyleElement type="wholeTable" size="0" dxfId="787"/>
      <tableStyleElement type="headerRow" dxfId="786"/>
      <tableStyleElement type="firstRowStripe" dxfId="785"/>
      <tableStyleElement type="secondRowStripe" dxfId="784"/>
    </tableStyle>
    <tableStyle name="Geoscheme Population-style" pivot="0" count="4" xr9:uid="{00000000-0011-0000-FFFF-FFFF08000000}">
      <tableStyleElement type="wholeTable" size="0" dxfId="783"/>
      <tableStyleElement type="headerRow" dxfId="782"/>
      <tableStyleElement type="firstRowStripe" dxfId="781"/>
      <tableStyleElement type="secondRowStripe" dxfId="780"/>
    </tableStyle>
    <tableStyle name="Geoscheme Population-style 2" pivot="0" count="4" xr9:uid="{00000000-0011-0000-FFFF-FFFF09000000}">
      <tableStyleElement type="wholeTable" size="0" dxfId="779"/>
      <tableStyleElement type="headerRow" dxfId="778"/>
      <tableStyleElement type="firstRowStripe" dxfId="777"/>
      <tableStyleElement type="secondRowStripe" dxfId="776"/>
    </tableStyle>
    <tableStyle name="Geoscheme Population-style 3" pivot="0" count="4" xr9:uid="{00000000-0011-0000-FFFF-FFFF0A000000}">
      <tableStyleElement type="wholeTable" size="0" dxfId="775"/>
      <tableStyleElement type="headerRow" dxfId="774"/>
      <tableStyleElement type="firstRowStripe" dxfId="773"/>
      <tableStyleElement type="secondRowStripe" dxfId="772"/>
    </tableStyle>
    <tableStyle name="Geoscheme Population-style 4" pivot="0" count="4" xr9:uid="{00000000-0011-0000-FFFF-FFFF0B000000}">
      <tableStyleElement type="wholeTable" size="0" dxfId="771"/>
      <tableStyleElement type="headerRow" dxfId="770"/>
      <tableStyleElement type="firstRowStripe" dxfId="769"/>
      <tableStyleElement type="secondRowStripe" dxfId="768"/>
    </tableStyle>
    <tableStyle name="Geoscheme Population-style 5" pivot="0" count="4" xr9:uid="{00000000-0011-0000-FFFF-FFFF0C000000}">
      <tableStyleElement type="wholeTable" size="0" dxfId="767"/>
      <tableStyleElement type="headerRow" dxfId="766"/>
      <tableStyleElement type="firstRowStripe" dxfId="765"/>
      <tableStyleElement type="secondRowStripe" dxfId="764"/>
    </tableStyle>
    <tableStyle name="Geoscheme Population-style 6" pivot="0" count="4" xr9:uid="{00000000-0011-0000-FFFF-FFFF0D000000}">
      <tableStyleElement type="wholeTable" size="0" dxfId="763"/>
      <tableStyleElement type="headerRow" dxfId="762"/>
      <tableStyleElement type="firstRowStripe" dxfId="761"/>
      <tableStyleElement type="secondRowStripe" dxfId="760"/>
    </tableStyle>
    <tableStyle name="Geoscheme Population-style 7" pivot="0" count="4" xr9:uid="{00000000-0011-0000-FFFF-FFFF0E000000}">
      <tableStyleElement type="wholeTable" size="0" dxfId="759"/>
      <tableStyleElement type="headerRow" dxfId="758"/>
      <tableStyleElement type="firstRowStripe" dxfId="757"/>
      <tableStyleElement type="secondRowStripe" dxfId="756"/>
    </tableStyle>
    <tableStyle name="Geoscheme Population-style 8" pivot="0" count="4" xr9:uid="{00000000-0011-0000-FFFF-FFFF0F000000}">
      <tableStyleElement type="wholeTable" size="0" dxfId="755"/>
      <tableStyleElement type="headerRow" dxfId="754"/>
      <tableStyleElement type="firstRowStripe" dxfId="753"/>
      <tableStyleElement type="secondRowStripe" dxfId="752"/>
    </tableStyle>
    <tableStyle name="Geoscheme Population-style 9" pivot="0" count="4" xr9:uid="{00000000-0011-0000-FFFF-FFFF10000000}">
      <tableStyleElement type="wholeTable" size="0" dxfId="751"/>
      <tableStyleElement type="headerRow" dxfId="750"/>
      <tableStyleElement type="firstRowStripe" dxfId="749"/>
      <tableStyleElement type="secondRowStripe" dxfId="748"/>
    </tableStyle>
    <tableStyle name="Geoscheme Population-style 10" pivot="0" count="4" xr9:uid="{00000000-0011-0000-FFFF-FFFF11000000}">
      <tableStyleElement type="wholeTable" size="0" dxfId="747"/>
      <tableStyleElement type="headerRow" dxfId="746"/>
      <tableStyleElement type="firstRowStripe" dxfId="745"/>
      <tableStyleElement type="secondRowStripe" dxfId="744"/>
    </tableStyle>
    <tableStyle name="Geoscheme Population-style 11" pivot="0" count="4" xr9:uid="{00000000-0011-0000-FFFF-FFFF12000000}">
      <tableStyleElement type="wholeTable" size="0" dxfId="743"/>
      <tableStyleElement type="headerRow" dxfId="742"/>
      <tableStyleElement type="firstRowStripe" dxfId="741"/>
      <tableStyleElement type="secondRowStripe" dxfId="740"/>
    </tableStyle>
    <tableStyle name="Geoscheme Population-style 12" pivot="0" count="4" xr9:uid="{00000000-0011-0000-FFFF-FFFF13000000}">
      <tableStyleElement type="wholeTable" size="0" dxfId="739"/>
      <tableStyleElement type="headerRow" dxfId="738"/>
      <tableStyleElement type="firstRowStripe" dxfId="737"/>
      <tableStyleElement type="secondRowStripe" dxfId="736"/>
    </tableStyle>
    <tableStyle name="Geoscheme Population-style 13" pivot="0" count="4" xr9:uid="{00000000-0011-0000-FFFF-FFFF14000000}">
      <tableStyleElement type="wholeTable" size="0" dxfId="735"/>
      <tableStyleElement type="headerRow" dxfId="734"/>
      <tableStyleElement type="firstRowStripe" dxfId="733"/>
      <tableStyleElement type="secondRowStripe" dxfId="732"/>
    </tableStyle>
    <tableStyle name="Geoscheme Population-style 14" pivot="0" count="4" xr9:uid="{00000000-0011-0000-FFFF-FFFF15000000}">
      <tableStyleElement type="wholeTable" size="0" dxfId="731"/>
      <tableStyleElement type="headerRow" dxfId="730"/>
      <tableStyleElement type="firstRowStripe" dxfId="729"/>
      <tableStyleElement type="secondRowStripe" dxfId="728"/>
    </tableStyle>
    <tableStyle name="Geoscheme Population-style 15" pivot="0" count="4" xr9:uid="{00000000-0011-0000-FFFF-FFFF16000000}">
      <tableStyleElement type="wholeTable" size="0" dxfId="727"/>
      <tableStyleElement type="headerRow" dxfId="726"/>
      <tableStyleElement type="firstRowStripe" dxfId="725"/>
      <tableStyleElement type="secondRowStripe" dxfId="724"/>
    </tableStyle>
    <tableStyle name="Geoscheme Population-style 16" pivot="0" count="4" xr9:uid="{00000000-0011-0000-FFFF-FFFF17000000}">
      <tableStyleElement type="wholeTable" size="0" dxfId="723"/>
      <tableStyleElement type="headerRow" dxfId="722"/>
      <tableStyleElement type="firstRowStripe" dxfId="721"/>
      <tableStyleElement type="secondRowStripe" dxfId="720"/>
    </tableStyle>
    <tableStyle name="Geoscheme Population-style 17" pivot="0" count="4" xr9:uid="{00000000-0011-0000-FFFF-FFFF18000000}">
      <tableStyleElement type="wholeTable" size="0" dxfId="719"/>
      <tableStyleElement type="headerRow" dxfId="718"/>
      <tableStyleElement type="firstRowStripe" dxfId="717"/>
      <tableStyleElement type="secondRowStripe" dxfId="716"/>
    </tableStyle>
    <tableStyle name="Geoscheme Population-style 18" pivot="0" count="4" xr9:uid="{00000000-0011-0000-FFFF-FFFF19000000}">
      <tableStyleElement type="wholeTable" size="0" dxfId="715"/>
      <tableStyleElement type="headerRow" dxfId="714"/>
      <tableStyleElement type="firstRowStripe" dxfId="713"/>
      <tableStyleElement type="secondRowStripe" dxfId="712"/>
    </tableStyle>
    <tableStyle name="Geoscheme Population-style 19" pivot="0" count="4" xr9:uid="{00000000-0011-0000-FFFF-FFFF1A000000}">
      <tableStyleElement type="wholeTable" size="0" dxfId="711"/>
      <tableStyleElement type="headerRow" dxfId="710"/>
      <tableStyleElement type="firstRowStripe" dxfId="709"/>
      <tableStyleElement type="secondRowStripe" dxfId="708"/>
    </tableStyle>
    <tableStyle name="Geoscheme Population-style 20" pivot="0" count="4" xr9:uid="{00000000-0011-0000-FFFF-FFFF1B000000}">
      <tableStyleElement type="wholeTable" size="0" dxfId="707"/>
      <tableStyleElement type="headerRow" dxfId="706"/>
      <tableStyleElement type="firstRowStripe" dxfId="705"/>
      <tableStyleElement type="secondRowStripe" dxfId="704"/>
    </tableStyle>
    <tableStyle name="Geoscheme Population-style 21" pivot="0" count="4" xr9:uid="{00000000-0011-0000-FFFF-FFFF1C000000}">
      <tableStyleElement type="wholeTable" size="0" dxfId="703"/>
      <tableStyleElement type="headerRow" dxfId="702"/>
      <tableStyleElement type="firstRowStripe" dxfId="701"/>
      <tableStyleElement type="secondRowStripe" dxfId="700"/>
    </tableStyle>
    <tableStyle name="Geoscheme Population-style 22" pivot="0" count="4" xr9:uid="{00000000-0011-0000-FFFF-FFFF1D000000}">
      <tableStyleElement type="wholeTable" size="0" dxfId="699"/>
      <tableStyleElement type="headerRow" dxfId="698"/>
      <tableStyleElement type="firstRowStripe" dxfId="697"/>
      <tableStyleElement type="secondRowStripe" dxfId="696"/>
    </tableStyle>
    <tableStyle name="Geoscheme Population-style 23" pivot="0" count="4" xr9:uid="{00000000-0011-0000-FFFF-FFFF1E000000}">
      <tableStyleElement type="wholeTable" size="0" dxfId="695"/>
      <tableStyleElement type="headerRow" dxfId="694"/>
      <tableStyleElement type="firstRowStripe" dxfId="693"/>
      <tableStyleElement type="secondRowStripe" dxfId="692"/>
    </tableStyle>
    <tableStyle name="Geoscheme Population-style 24" pivot="0" count="4" xr9:uid="{00000000-0011-0000-FFFF-FFFF1F000000}">
      <tableStyleElement type="wholeTable" size="0" dxfId="691"/>
      <tableStyleElement type="headerRow" dxfId="690"/>
      <tableStyleElement type="firstRowStripe" dxfId="689"/>
      <tableStyleElement type="secondRowStripe" dxfId="688"/>
    </tableStyle>
    <tableStyle name="Acetoa-style" pivot="0" count="4" xr9:uid="{00000000-0011-0000-FFFF-FFFF20000000}">
      <tableStyleElement type="wholeTable" size="0" dxfId="687"/>
      <tableStyleElement type="headerRow" dxfId="686"/>
      <tableStyleElement type="firstRowStripe" dxfId="685"/>
      <tableStyleElement type="secondRowStripe" dxfId="684"/>
    </tableStyle>
    <tableStyle name="Acrana-style" pivot="0" count="4" xr9:uid="{00000000-0011-0000-FFFF-FFFF21000000}">
      <tableStyleElement type="wholeTable" size="0" dxfId="683"/>
      <tableStyleElement type="headerRow" dxfId="682"/>
      <tableStyleElement type="firstRowStripe" dxfId="681"/>
      <tableStyleElement type="secondRowStripe" dxfId="680"/>
    </tableStyle>
    <tableStyle name="Aetintio-style" pivot="0" count="4" xr9:uid="{00000000-0011-0000-FFFF-FFFF22000000}">
      <tableStyleElement type="wholeTable" size="0" dxfId="679"/>
      <tableStyleElement type="headerRow" dxfId="678"/>
      <tableStyleElement type="firstRowStripe" dxfId="677"/>
      <tableStyleElement type="secondRowStripe" dxfId="676"/>
    </tableStyle>
    <tableStyle name="Ahokini-style" pivot="0" count="4" xr9:uid="{00000000-0011-0000-FFFF-FFFF23000000}">
      <tableStyleElement type="wholeTable" size="0" dxfId="675"/>
      <tableStyleElement type="headerRow" dxfId="674"/>
      <tableStyleElement type="firstRowStripe" dxfId="673"/>
      <tableStyleElement type="secondRowStripe" dxfId="672"/>
    </tableStyle>
    <tableStyle name="Amcha-style" pivot="0" count="4" xr9:uid="{00000000-0011-0000-FFFF-FFFF24000000}">
      <tableStyleElement type="wholeTable" size="0" dxfId="671"/>
      <tableStyleElement type="headerRow" dxfId="670"/>
      <tableStyleElement type="firstRowStripe" dxfId="669"/>
      <tableStyleElement type="secondRowStripe" dxfId="668"/>
    </tableStyle>
    <tableStyle name="Andsaudare-style" pivot="0" count="4" xr9:uid="{00000000-0011-0000-FFFF-FFFF25000000}">
      <tableStyleElement type="wholeTable" size="0" dxfId="667"/>
      <tableStyleElement type="headerRow" dxfId="666"/>
      <tableStyleElement type="firstRowStripe" dxfId="665"/>
      <tableStyleElement type="secondRowStripe" dxfId="664"/>
    </tableStyle>
    <tableStyle name="Anymna-style" pivot="0" count="4" xr9:uid="{00000000-0011-0000-FFFF-FFFF26000000}">
      <tableStyleElement type="wholeTable" size="0" dxfId="663"/>
      <tableStyleElement type="headerRow" dxfId="662"/>
      <tableStyleElement type="firstRowStripe" dxfId="661"/>
      <tableStyleElement type="secondRowStripe" dxfId="660"/>
    </tableStyle>
    <tableStyle name="Aplasia-style" pivot="0" count="4" xr9:uid="{00000000-0011-0000-FFFF-FFFF27000000}">
      <tableStyleElement type="wholeTable" size="0" dxfId="659"/>
      <tableStyleElement type="headerRow" dxfId="658"/>
      <tableStyleElement type="firstRowStripe" dxfId="657"/>
      <tableStyleElement type="secondRowStripe" dxfId="656"/>
    </tableStyle>
    <tableStyle name="Arbiya-style" pivot="0" count="4" xr9:uid="{00000000-0011-0000-FFFF-FFFF28000000}">
      <tableStyleElement type="wholeTable" size="0" dxfId="655"/>
      <tableStyleElement type="headerRow" dxfId="654"/>
      <tableStyleElement type="firstRowStripe" dxfId="653"/>
      <tableStyleElement type="secondRowStripe" dxfId="652"/>
    </tableStyle>
    <tableStyle name="Areoix Lie-style" pivot="0" count="4" xr9:uid="{00000000-0011-0000-FFFF-FFFF29000000}">
      <tableStyleElement type="wholeTable" size="0" dxfId="651"/>
      <tableStyleElement type="headerRow" dxfId="650"/>
      <tableStyleElement type="firstRowStripe" dxfId="649"/>
      <tableStyleElement type="secondRowStripe" dxfId="648"/>
    </tableStyle>
    <tableStyle name="Ashain-style" pivot="0" count="4" xr9:uid="{00000000-0011-0000-FFFF-FFFF2A000000}">
      <tableStyleElement type="wholeTable" size="0" dxfId="647"/>
      <tableStyleElement type="headerRow" dxfId="646"/>
      <tableStyleElement type="firstRowStripe" dxfId="645"/>
      <tableStyleElement type="secondRowStripe" dxfId="644"/>
    </tableStyle>
    <tableStyle name="Astye-style" pivot="0" count="4" xr9:uid="{00000000-0011-0000-FFFF-FFFF2B000000}">
      <tableStyleElement type="wholeTable" size="0" dxfId="643"/>
      <tableStyleElement type="headerRow" dxfId="642"/>
      <tableStyleElement type="firstRowStripe" dxfId="641"/>
      <tableStyleElement type="secondRowStripe" dxfId="640"/>
    </tableStyle>
    <tableStyle name="Baluyde-style" pivot="0" count="4" xr9:uid="{00000000-0011-0000-FFFF-FFFF2C000000}">
      <tableStyleElement type="wholeTable" size="0" dxfId="639"/>
      <tableStyleElement type="headerRow" dxfId="638"/>
      <tableStyleElement type="firstRowStripe" dxfId="637"/>
      <tableStyleElement type="secondRowStripe" dxfId="636"/>
    </tableStyle>
    <tableStyle name="Byllu-style" pivot="0" count="4" xr9:uid="{00000000-0011-0000-FFFF-FFFF2D000000}">
      <tableStyleElement type="wholeTable" size="0" dxfId="635"/>
      <tableStyleElement type="headerRow" dxfId="634"/>
      <tableStyleElement type="firstRowStripe" dxfId="633"/>
      <tableStyleElement type="secondRowStripe" dxfId="632"/>
    </tableStyle>
    <tableStyle name="Candenat-style" pivot="0" count="4" xr9:uid="{00000000-0011-0000-FFFF-FFFF2E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Canldives-style" pivot="0" count="4" xr9:uid="{00000000-0011-0000-FFFF-FFFF2F000000}">
      <tableStyleElement type="wholeTable" size="0" dxfId="627"/>
      <tableStyleElement type="headerRow" dxfId="626"/>
      <tableStyleElement type="firstRowStripe" dxfId="625"/>
      <tableStyleElement type="secondRowStripe" dxfId="624"/>
    </tableStyle>
    <tableStyle name="Chaenia-style" pivot="0" count="4" xr9:uid="{00000000-0011-0000-FFFF-FFFF30000000}">
      <tableStyleElement type="wholeTable" size="0" dxfId="623"/>
      <tableStyleElement type="headerRow" dxfId="622"/>
      <tableStyleElement type="firstRowStripe" dxfId="621"/>
      <tableStyleElement type="secondRowStripe" dxfId="620"/>
    </tableStyle>
    <tableStyle name="Cloja-style" pivot="0" count="4" xr9:uid="{00000000-0011-0000-FFFF-FFFF31000000}">
      <tableStyleElement type="wholeTable" size="0" dxfId="619"/>
      <tableStyleElement type="headerRow" dxfId="618"/>
      <tableStyleElement type="firstRowStripe" dxfId="617"/>
      <tableStyleElement type="secondRowStripe" dxfId="616"/>
    </tableStyle>
    <tableStyle name="Crila Republic-style" pivot="0" count="4" xr9:uid="{00000000-0011-0000-FFFF-FFFF32000000}">
      <tableStyleElement type="wholeTable" size="0" dxfId="615"/>
      <tableStyleElement type="headerRow" dxfId="614"/>
      <tableStyleElement type="firstRowStripe" dxfId="613"/>
      <tableStyleElement type="secondRowStripe" dxfId="612"/>
    </tableStyle>
    <tableStyle name="Cruthi Anoso-style" pivot="0" count="4" xr9:uid="{00000000-0011-0000-FFFF-FFFF33000000}">
      <tableStyleElement type="wholeTable" size="0" dxfId="611"/>
      <tableStyleElement type="headerRow" dxfId="610"/>
      <tableStyleElement type="firstRowStripe" dxfId="609"/>
      <tableStyleElement type="secondRowStripe" dxfId="608"/>
    </tableStyle>
    <tableStyle name="Curata-style" pivot="0" count="4" xr9:uid="{00000000-0011-0000-FFFF-FFFF34000000}">
      <tableStyleElement type="wholeTable" size="0" dxfId="607"/>
      <tableStyleElement type="headerRow" dxfId="606"/>
      <tableStyleElement type="firstRowStripe" dxfId="605"/>
      <tableStyleElement type="secondRowStripe" dxfId="604"/>
    </tableStyle>
    <tableStyle name="Dahe-style" pivot="0" count="4" xr9:uid="{00000000-0011-0000-FFFF-FFFF35000000}">
      <tableStyleElement type="wholeTable" size="0" dxfId="603"/>
      <tableStyleElement type="headerRow" dxfId="602"/>
      <tableStyleElement type="firstRowStripe" dxfId="601"/>
      <tableStyleElement type="secondRowStripe" dxfId="600"/>
    </tableStyle>
    <tableStyle name="Danocia-style" pivot="0" count="4" xr9:uid="{00000000-0011-0000-FFFF-FFFF36000000}">
      <tableStyleElement type="wholeTable" size="0" dxfId="599"/>
      <tableStyleElement type="headerRow" dxfId="598"/>
      <tableStyleElement type="firstRowStripe" dxfId="597"/>
      <tableStyleElement type="secondRowStripe" dxfId="596"/>
    </tableStyle>
    <tableStyle name="Darewa-style" pivot="0" count="4" xr9:uid="{00000000-0011-0000-FFFF-FFFF37000000}">
      <tableStyleElement type="wholeTable" size="0" dxfId="595"/>
      <tableStyleElement type="headerRow" dxfId="594"/>
      <tableStyleElement type="firstRowStripe" dxfId="593"/>
      <tableStyleElement type="secondRowStripe" dxfId="592"/>
    </tableStyle>
    <tableStyle name="Desaki-style" pivot="0" count="4" xr9:uid="{00000000-0011-0000-FFFF-FFFF38000000}">
      <tableStyleElement type="wholeTable" size="0" dxfId="591"/>
      <tableStyleElement type="headerRow" dxfId="590"/>
      <tableStyleElement type="firstRowStripe" dxfId="589"/>
      <tableStyleElement type="secondRowStripe" dxfId="588"/>
    </tableStyle>
    <tableStyle name="Deschon-style" pivot="0" count="4" xr9:uid="{00000000-0011-0000-FFFF-FFFF39000000}">
      <tableStyleElement type="wholeTable" size="0" dxfId="587"/>
      <tableStyleElement type="headerRow" dxfId="586"/>
      <tableStyleElement type="firstRowStripe" dxfId="585"/>
      <tableStyleElement type="secondRowStripe" dxfId="584"/>
    </tableStyle>
    <tableStyle name="Disal Nila-style" pivot="0" count="4" xr9:uid="{00000000-0011-0000-FFFF-FFFF3A000000}">
      <tableStyleElement type="wholeTable" size="0" dxfId="583"/>
      <tableStyleElement type="headerRow" dxfId="582"/>
      <tableStyleElement type="firstRowStripe" dxfId="581"/>
      <tableStyleElement type="secondRowStripe" dxfId="580"/>
    </tableStyle>
    <tableStyle name="Dual Cenryia-style" pivot="0" count="4" xr9:uid="{00000000-0011-0000-FFFF-FFFF3B000000}">
      <tableStyleElement type="wholeTable" size="0" dxfId="579"/>
      <tableStyleElement type="headerRow" dxfId="578"/>
      <tableStyleElement type="firstRowStripe" dxfId="577"/>
      <tableStyleElement type="secondRowStripe" dxfId="576"/>
    </tableStyle>
    <tableStyle name="Ealdorii-style" pivot="0" count="4" xr9:uid="{00000000-0011-0000-FFFF-FFFF3C000000}">
      <tableStyleElement type="wholeTable" size="0" dxfId="575"/>
      <tableStyleElement type="headerRow" dxfId="574"/>
      <tableStyleElement type="firstRowStripe" dxfId="573"/>
      <tableStyleElement type="secondRowStripe" dxfId="572"/>
    </tableStyle>
    <tableStyle name="Easuhura-style" pivot="0" count="4" xr9:uid="{00000000-0011-0000-FFFF-FFFF3D000000}">
      <tableStyleElement type="wholeTable" size="0" dxfId="571"/>
      <tableStyleElement type="headerRow" dxfId="570"/>
      <tableStyleElement type="firstRowStripe" dxfId="569"/>
      <tableStyleElement type="secondRowStripe" dxfId="568"/>
    </tableStyle>
    <tableStyle name="Eldavpir-style" pivot="0" count="4" xr9:uid="{00000000-0011-0000-FFFF-FFFF3E000000}">
      <tableStyleElement type="wholeTable" size="0" dxfId="567"/>
      <tableStyleElement type="headerRow" dxfId="566"/>
      <tableStyleElement type="firstRowStripe" dxfId="565"/>
      <tableStyleElement type="secondRowStripe" dxfId="564"/>
    </tableStyle>
    <tableStyle name="Eldjo-style" pivot="0" count="4" xr9:uid="{00000000-0011-0000-FFFF-FFFF3F000000}">
      <tableStyleElement type="wholeTable" size="0" dxfId="563"/>
      <tableStyleElement type="headerRow" dxfId="562"/>
      <tableStyleElement type="firstRowStripe" dxfId="561"/>
      <tableStyleElement type="secondRowStripe" dxfId="560"/>
    </tableStyle>
    <tableStyle name="Elja and Munusia-style" pivot="0" count="4" xr9:uid="{00000000-0011-0000-FFFF-FFFF40000000}">
      <tableStyleElement type="wholeTable" size="0" dxfId="559"/>
      <tableStyleElement type="headerRow" dxfId="558"/>
      <tableStyleElement type="firstRowStripe" dxfId="557"/>
      <tableStyleElement type="secondRowStripe" dxfId="556"/>
    </tableStyle>
    <tableStyle name="Emara-style" pivot="0" count="4" xr9:uid="{00000000-0011-0000-FFFF-FFFF41000000}">
      <tableStyleElement type="wholeTable" size="0" dxfId="555"/>
      <tableStyleElement type="headerRow" dxfId="554"/>
      <tableStyleElement type="firstRowStripe" dxfId="553"/>
      <tableStyleElement type="secondRowStripe" dxfId="552"/>
    </tableStyle>
    <tableStyle name="Enina-style" pivot="0" count="4" xr9:uid="{00000000-0011-0000-FFFF-FFFF42000000}">
      <tableStyleElement type="wholeTable" size="0" dxfId="551"/>
      <tableStyleElement type="headerRow" dxfId="550"/>
      <tableStyleElement type="firstRowStripe" dxfId="549"/>
      <tableStyleElement type="secondRowStripe" dxfId="548"/>
    </tableStyle>
    <tableStyle name="Eparia-style" pivot="0" count="4" xr9:uid="{00000000-0011-0000-FFFF-FFFF43000000}">
      <tableStyleElement type="wholeTable" size="0" dxfId="547"/>
      <tableStyleElement type="headerRow" dxfId="546"/>
      <tableStyleElement type="firstRowStripe" dxfId="545"/>
      <tableStyleElement type="secondRowStripe" dxfId="544"/>
    </tableStyle>
    <tableStyle name="Erkizil-style" pivot="0" count="4" xr9:uid="{00000000-0011-0000-FFFF-FFFF44000000}">
      <tableStyleElement type="wholeTable" size="0" dxfId="543"/>
      <tableStyleElement type="headerRow" dxfId="542"/>
      <tableStyleElement type="firstRowStripe" dxfId="541"/>
      <tableStyleElement type="secondRowStripe" dxfId="540"/>
    </tableStyle>
    <tableStyle name="Estijan-style" pivot="0" count="4" xr9:uid="{00000000-0011-0000-FFFF-FFFF45000000}">
      <tableStyleElement type="wholeTable" size="0" dxfId="539"/>
      <tableStyleElement type="headerRow" dxfId="538"/>
      <tableStyleElement type="firstRowStripe" dxfId="537"/>
      <tableStyleElement type="secondRowStripe" dxfId="536"/>
    </tableStyle>
    <tableStyle name="Etirha-style" pivot="0" count="4" xr9:uid="{00000000-0011-0000-FFFF-FFFF46000000}">
      <tableStyleElement type="wholeTable" size="0" dxfId="535"/>
      <tableStyleElement type="headerRow" dxfId="534"/>
      <tableStyleElement type="firstRowStripe" dxfId="533"/>
      <tableStyleElement type="secondRowStripe" dxfId="532"/>
    </tableStyle>
    <tableStyle name="Etretes-style" pivot="0" count="4" xr9:uid="{00000000-0011-0000-FFFF-FFFF47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Exilium-style" pivot="0" count="4" xr9:uid="{00000000-0011-0000-FFFF-FFFF48000000}">
      <tableStyleElement type="wholeTable" size="0" dxfId="527"/>
      <tableStyleElement type="headerRow" dxfId="526"/>
      <tableStyleElement type="firstRowStripe" dxfId="525"/>
      <tableStyleElement type="secondRowStripe" dxfId="524"/>
    </tableStyle>
    <tableStyle name="Far Lands-style" pivot="0" count="4" xr9:uid="{00000000-0011-0000-FFFF-FFFF49000000}">
      <tableStyleElement type="wholeTable" size="0" dxfId="523"/>
      <tableStyleElement type="headerRow" dxfId="522"/>
      <tableStyleElement type="firstRowStripe" dxfId="521"/>
      <tableStyleElement type="secondRowStripe" dxfId="520"/>
    </tableStyle>
    <tableStyle name="Feio Lie-style" pivot="0" count="4" xr9:uid="{00000000-0011-0000-FFFF-FFFF4A000000}">
      <tableStyleElement type="wholeTable" size="0" dxfId="519"/>
      <tableStyleElement type="headerRow" dxfId="518"/>
      <tableStyleElement type="firstRowStripe" dxfId="517"/>
      <tableStyleElement type="secondRowStripe" dxfId="516"/>
    </tableStyle>
    <tableStyle name="Fermori-style" pivot="0" count="4" xr9:uid="{00000000-0011-0000-FFFF-FFFF4B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Finae-style" pivot="0" count="4" xr9:uid="{00000000-0011-0000-FFFF-FFFF4C000000}">
      <tableStyleElement type="wholeTable" size="0" dxfId="511"/>
      <tableStyleElement type="headerRow" dxfId="510"/>
      <tableStyleElement type="firstRowStripe" dxfId="509"/>
      <tableStyleElement type="secondRowStripe" dxfId="508"/>
    </tableStyle>
    <tableStyle name="Fincen-style" pivot="0" count="4" xr9:uid="{00000000-0011-0000-FFFF-FFFF4D000000}">
      <tableStyleElement type="wholeTable" size="0" dxfId="507"/>
      <tableStyleElement type="headerRow" dxfId="506"/>
      <tableStyleElement type="firstRowStripe" dxfId="505"/>
      <tableStyleElement type="secondRowStripe" dxfId="504"/>
    </tableStyle>
    <tableStyle name="Fire Coast-style" pivot="0" count="4" xr9:uid="{00000000-0011-0000-FFFF-FFFF4E000000}">
      <tableStyleElement type="wholeTable" size="0" dxfId="503"/>
      <tableStyleElement type="headerRow" dxfId="502"/>
      <tableStyleElement type="firstRowStripe" dxfId="501"/>
      <tableStyleElement type="secondRowStripe" dxfId="500"/>
    </tableStyle>
    <tableStyle name="Gaeiya-style" pivot="0" count="4" xr9:uid="{00000000-0011-0000-FFFF-FFFF4F000000}">
      <tableStyleElement type="wholeTable" size="0" dxfId="499"/>
      <tableStyleElement type="headerRow" dxfId="498"/>
      <tableStyleElement type="firstRowStripe" dxfId="497"/>
      <tableStyleElement type="secondRowStripe" dxfId="496"/>
    </tableStyle>
    <tableStyle name="Galca-style" pivot="0" count="4" xr9:uid="{00000000-0011-0000-FFFF-FFFF50000000}">
      <tableStyleElement type="wholeTable" size="0" dxfId="495"/>
      <tableStyleElement type="headerRow" dxfId="494"/>
      <tableStyleElement type="firstRowStripe" dxfId="493"/>
      <tableStyleElement type="secondRowStripe" dxfId="492"/>
    </tableStyle>
    <tableStyle name="Genaire-style" pivot="0" count="4" xr9:uid="{00000000-0011-0000-FFFF-FFFF51000000}">
      <tableStyleElement type="wholeTable" size="0" dxfId="491"/>
      <tableStyleElement type="headerRow" dxfId="490"/>
      <tableStyleElement type="firstRowStripe" dxfId="489"/>
      <tableStyleElement type="secondRowStripe" dxfId="488"/>
    </tableStyle>
    <tableStyle name="Grazail-style" pivot="0" count="4" xr9:uid="{00000000-0011-0000-FFFF-FFFF52000000}">
      <tableStyleElement type="wholeTable" size="0" dxfId="487"/>
      <tableStyleElement type="headerRow" dxfId="486"/>
      <tableStyleElement type="firstRowStripe" dxfId="485"/>
      <tableStyleElement type="secondRowStripe" dxfId="484"/>
    </tableStyle>
    <tableStyle name="Guise-style" pivot="0" count="4" xr9:uid="{00000000-0011-0000-FFFF-FFFF53000000}">
      <tableStyleElement type="wholeTable" size="0" dxfId="483"/>
      <tableStyleElement type="headerRow" dxfId="482"/>
      <tableStyleElement type="firstRowStripe" dxfId="481"/>
      <tableStyleElement type="secondRowStripe" dxfId="480"/>
    </tableStyle>
    <tableStyle name="Haiza-style" pivot="0" count="4" xr9:uid="{00000000-0011-0000-FFFF-FFFF54000000}">
      <tableStyleElement type="wholeTable" size="0" dxfId="479"/>
      <tableStyleElement type="headerRow" dxfId="478"/>
      <tableStyleElement type="firstRowStripe" dxfId="477"/>
      <tableStyleElement type="secondRowStripe" dxfId="476"/>
    </tableStyle>
    <tableStyle name="Heiso-style" pivot="0" count="4" xr9:uid="{00000000-0011-0000-FFFF-FFFF55000000}">
      <tableStyleElement type="wholeTable" size="0" dxfId="475"/>
      <tableStyleElement type="headerRow" dxfId="474"/>
      <tableStyleElement type="firstRowStripe" dxfId="473"/>
      <tableStyleElement type="secondRowStripe" dxfId="472"/>
    </tableStyle>
    <tableStyle name="Hiwush-style" pivot="0" count="4" xr9:uid="{00000000-0011-0000-FFFF-FFFF56000000}">
      <tableStyleElement type="wholeTable" size="0" dxfId="471"/>
      <tableStyleElement type="headerRow" dxfId="470"/>
      <tableStyleElement type="firstRowStripe" dxfId="469"/>
      <tableStyleElement type="secondRowStripe" dxfId="468"/>
    </tableStyle>
    <tableStyle name="Hkuqo-style" pivot="0" count="4" xr9:uid="{00000000-0011-0000-FFFF-FFFF57000000}">
      <tableStyleElement type="wholeTable" size="0" dxfId="467"/>
      <tableStyleElement type="headerRow" dxfId="466"/>
      <tableStyleElement type="firstRowStripe" dxfId="465"/>
      <tableStyleElement type="secondRowStripe" dxfId="464"/>
    </tableStyle>
    <tableStyle name="Hyelen-style" pivot="0" count="4" xr9:uid="{00000000-0011-0000-FFFF-FFFF58000000}">
      <tableStyleElement type="wholeTable" size="0" dxfId="463"/>
      <tableStyleElement type="headerRow" dxfId="462"/>
      <tableStyleElement type="firstRowStripe" dxfId="461"/>
      <tableStyleElement type="secondRowStripe" dxfId="460"/>
    </tableStyle>
    <tableStyle name="Iainoa-style" pivot="0" count="4" xr9:uid="{00000000-0011-0000-FFFF-FFFF59000000}">
      <tableStyleElement type="wholeTable" size="0" dxfId="459"/>
      <tableStyleElement type="headerRow" dxfId="458"/>
      <tableStyleElement type="firstRowStripe" dxfId="457"/>
      <tableStyleElement type="secondRowStripe" dxfId="456"/>
    </tableStyle>
    <tableStyle name="Iareva-style" pivot="0" count="4" xr9:uid="{00000000-0011-0000-FFFF-FFFF5A000000}">
      <tableStyleElement type="wholeTable" size="0" dxfId="455"/>
      <tableStyleElement type="headerRow" dxfId="454"/>
      <tableStyleElement type="firstRowStripe" dxfId="453"/>
      <tableStyleElement type="secondRowStripe" dxfId="452"/>
    </tableStyle>
    <tableStyle name="Ihner-style" pivot="0" count="4" xr9:uid="{00000000-0011-0000-FFFF-FFFF5B000000}">
      <tableStyleElement type="wholeTable" size="0" dxfId="451"/>
      <tableStyleElement type="headerRow" dxfId="450"/>
      <tableStyleElement type="firstRowStripe" dxfId="449"/>
      <tableStyleElement type="secondRowStripe" dxfId="448"/>
    </tableStyle>
    <tableStyle name="Ikzen-style" pivot="0" count="4" xr9:uid="{00000000-0011-0000-FFFF-FFFF5C000000}">
      <tableStyleElement type="wholeTable" size="0" dxfId="447"/>
      <tableStyleElement type="headerRow" dxfId="446"/>
      <tableStyleElement type="firstRowStripe" dxfId="445"/>
      <tableStyleElement type="secondRowStripe" dxfId="444"/>
    </tableStyle>
    <tableStyle name="Ilicuhe-style" pivot="0" count="4" xr9:uid="{00000000-0011-0000-FFFF-FFFF5D000000}">
      <tableStyleElement type="wholeTable" size="0" dxfId="443"/>
      <tableStyleElement type="headerRow" dxfId="442"/>
      <tableStyleElement type="firstRowStripe" dxfId="441"/>
      <tableStyleElement type="secondRowStripe" dxfId="440"/>
    </tableStyle>
    <tableStyle name="Inania-style" pivot="0" count="4" xr9:uid="{00000000-0011-0000-FFFF-FFFF5E000000}">
      <tableStyleElement type="wholeTable" size="0" dxfId="439"/>
      <tableStyleElement type="headerRow" dxfId="438"/>
      <tableStyleElement type="firstRowStripe" dxfId="437"/>
      <tableStyleElement type="secondRowStripe" dxfId="436"/>
    </tableStyle>
    <tableStyle name="Inrea-style" pivot="0" count="4" xr9:uid="{00000000-0011-0000-FFFF-FFFF5F000000}">
      <tableStyleElement type="wholeTable" size="0" dxfId="435"/>
      <tableStyleElement type="headerRow" dxfId="434"/>
      <tableStyleElement type="firstRowStripe" dxfId="433"/>
      <tableStyleElement type="secondRowStripe" dxfId="432"/>
    </tableStyle>
    <tableStyle name="Iquir-style" pivot="0" count="4" xr9:uid="{00000000-0011-0000-FFFF-FFFF60000000}">
      <tableStyleElement type="wholeTable" size="0" dxfId="431"/>
      <tableStyleElement type="headerRow" dxfId="430"/>
      <tableStyleElement type="firstRowStripe" dxfId="429"/>
      <tableStyleElement type="secondRowStripe" dxfId="428"/>
    </tableStyle>
    <tableStyle name="Isari-style" pivot="0" count="4" xr9:uid="{00000000-0011-0000-FFFF-FFFF61000000}">
      <tableStyleElement type="wholeTable" size="0" dxfId="427"/>
      <tableStyleElement type="headerRow" dxfId="426"/>
      <tableStyleElement type="firstRowStripe" dxfId="425"/>
      <tableStyleElement type="secondRowStripe" dxfId="424"/>
    </tableStyle>
    <tableStyle name="Isnti-style" pivot="0" count="4" xr9:uid="{00000000-0011-0000-FFFF-FFFF62000000}">
      <tableStyleElement type="wholeTable" size="0" dxfId="423"/>
      <tableStyleElement type="headerRow" dxfId="422"/>
      <tableStyleElement type="firstRowStripe" dxfId="421"/>
      <tableStyleElement type="secondRowStripe" dxfId="420"/>
    </tableStyle>
    <tableStyle name="Isuibul-style" pivot="0" count="4" xr9:uid="{00000000-0011-0000-FFFF-FFFF63000000}">
      <tableStyleElement type="wholeTable" size="0" dxfId="419"/>
      <tableStyleElement type="headerRow" dxfId="418"/>
      <tableStyleElement type="firstRowStripe" dxfId="417"/>
      <tableStyleElement type="secondRowStripe" dxfId="416"/>
    </tableStyle>
    <tableStyle name="Jathua-style" pivot="0" count="4" xr9:uid="{00000000-0011-0000-FFFF-FFFF64000000}">
      <tableStyleElement type="wholeTable" size="0" dxfId="415"/>
      <tableStyleElement type="headerRow" dxfId="414"/>
      <tableStyleElement type="firstRowStripe" dxfId="413"/>
      <tableStyleElement type="secondRowStripe" dxfId="412"/>
    </tableStyle>
    <tableStyle name="Jau-style" pivot="0" count="4" xr9:uid="{00000000-0011-0000-FFFF-FFFF65000000}">
      <tableStyleElement type="wholeTable" size="0" dxfId="411"/>
      <tableStyleElement type="headerRow" dxfId="410"/>
      <tableStyleElement type="firstRowStripe" dxfId="409"/>
      <tableStyleElement type="secondRowStripe" dxfId="408"/>
    </tableStyle>
    <tableStyle name="Jshain-style" pivot="0" count="4" xr9:uid="{00000000-0011-0000-FFFF-FFFF66000000}">
      <tableStyleElement type="wholeTable" size="0" dxfId="407"/>
      <tableStyleElement type="headerRow" dxfId="406"/>
      <tableStyleElement type="firstRowStripe" dxfId="405"/>
      <tableStyleElement type="secondRowStripe" dxfId="404"/>
    </tableStyle>
    <tableStyle name="Kaastini-style" pivot="0" count="4" xr9:uid="{00000000-0011-0000-FFFF-FFFF67000000}">
      <tableStyleElement type="wholeTable" size="0" dxfId="403"/>
      <tableStyleElement type="headerRow" dxfId="402"/>
      <tableStyleElement type="firstRowStripe" dxfId="401"/>
      <tableStyleElement type="secondRowStripe" dxfId="400"/>
    </tableStyle>
    <tableStyle name="Koruch-style" pivot="0" count="4" xr9:uid="{00000000-0011-0000-FFFF-FFFF68000000}">
      <tableStyleElement type="wholeTable" size="0" dxfId="399"/>
      <tableStyleElement type="headerRow" dxfId="398"/>
      <tableStyleElement type="firstRowStripe" dxfId="397"/>
      <tableStyleElement type="secondRowStripe" dxfId="396"/>
    </tableStyle>
    <tableStyle name="Kusierna-style" pivot="0" count="4" xr9:uid="{00000000-0011-0000-FFFF-FFFF69000000}">
      <tableStyleElement type="wholeTable" size="0" dxfId="395"/>
      <tableStyleElement type="headerRow" dxfId="394"/>
      <tableStyleElement type="firstRowStripe" dxfId="393"/>
      <tableStyleElement type="secondRowStripe" dxfId="392"/>
    </tableStyle>
    <tableStyle name="Laselteh-style" pivot="0" count="4" xr9:uid="{00000000-0011-0000-FFFF-FFFF6A000000}">
      <tableStyleElement type="wholeTable" size="0" dxfId="391"/>
      <tableStyleElement type="headerRow" dxfId="390"/>
      <tableStyleElement type="firstRowStripe" dxfId="389"/>
      <tableStyleElement type="secondRowStripe" dxfId="388"/>
    </tableStyle>
    <tableStyle name="Lasri-style" pivot="0" count="4" xr9:uid="{00000000-0011-0000-FFFF-FFFF6B000000}">
      <tableStyleElement type="wholeTable" size="0" dxfId="387"/>
      <tableStyleElement type="headerRow" dxfId="386"/>
      <tableStyleElement type="firstRowStripe" dxfId="385"/>
      <tableStyleElement type="secondRowStripe" dxfId="384"/>
    </tableStyle>
    <tableStyle name="Letan-style" pivot="0" count="4" xr9:uid="{00000000-0011-0000-FFFF-FFFF6C000000}">
      <tableStyleElement type="wholeTable" size="0" dxfId="383"/>
      <tableStyleElement type="headerRow" dxfId="382"/>
      <tableStyleElement type="firstRowStripe" dxfId="381"/>
      <tableStyleElement type="secondRowStripe" dxfId="380"/>
    </tableStyle>
    <tableStyle name="Lieri-style" pivot="0" count="4" xr9:uid="{00000000-0011-0000-FFFF-FFFF6D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Lycroa-style" pivot="0" count="4" xr9:uid="{00000000-0011-0000-FFFF-FFFF6E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Lydroa-style" pivot="0" count="4" xr9:uid="{00000000-0011-0000-FFFF-FFFF6F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Maalle-style" pivot="0" count="4" xr9:uid="{00000000-0011-0000-FFFF-FFFF70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Mendereide-style" pivot="0" count="4" xr9:uid="{00000000-0011-0000-FFFF-FFFF71000000}">
      <tableStyleElement type="wholeTable" size="0" dxfId="363"/>
      <tableStyleElement type="headerRow" dxfId="362"/>
      <tableStyleElement type="firstRowStripe" dxfId="361"/>
      <tableStyleElement type="secondRowStripe" dxfId="360"/>
    </tableStyle>
    <tableStyle name="Merela Sta-style" pivot="0" count="4" xr9:uid="{00000000-0011-0000-FFFF-FFFF72000000}">
      <tableStyleElement type="wholeTable" size="0" dxfId="359"/>
      <tableStyleElement type="headerRow" dxfId="358"/>
      <tableStyleElement type="firstRowStripe" dxfId="357"/>
      <tableStyleElement type="secondRowStripe" dxfId="356"/>
    </tableStyle>
    <tableStyle name="Mesjan Hyaa-style" pivot="0" count="4" xr9:uid="{00000000-0011-0000-FFFF-FFFF73000000}">
      <tableStyleElement type="wholeTable" size="0" dxfId="355"/>
      <tableStyleElement type="headerRow" dxfId="354"/>
      <tableStyleElement type="firstRowStripe" dxfId="353"/>
      <tableStyleElement type="secondRowStripe" dxfId="352"/>
    </tableStyle>
    <tableStyle name="Metndria-style" pivot="0" count="4" xr9:uid="{00000000-0011-0000-FFFF-FFFF74000000}">
      <tableStyleElement type="wholeTable" size="0" dxfId="351"/>
      <tableStyleElement type="headerRow" dxfId="350"/>
      <tableStyleElement type="firstRowStripe" dxfId="349"/>
      <tableStyleElement type="secondRowStripe" dxfId="348"/>
    </tableStyle>
    <tableStyle name="Migoku-style" pivot="0" count="4" xr9:uid="{00000000-0011-0000-FFFF-FFFF75000000}">
      <tableStyleElement type="wholeTable" size="0" dxfId="347"/>
      <tableStyleElement type="headerRow" dxfId="346"/>
      <tableStyleElement type="firstRowStripe" dxfId="345"/>
      <tableStyleElement type="secondRowStripe" dxfId="344"/>
    </tableStyle>
    <tableStyle name="Myla-style" pivot="0" count="4" xr9:uid="{00000000-0011-0000-FFFF-FFFF76000000}">
      <tableStyleElement type="wholeTable" size="0" dxfId="343"/>
      <tableStyleElement type="headerRow" dxfId="342"/>
      <tableStyleElement type="firstRowStripe" dxfId="341"/>
      <tableStyleElement type="secondRowStripe" dxfId="340"/>
    </tableStyle>
    <tableStyle name="New Kizura-style" pivot="0" count="4" xr9:uid="{00000000-0011-0000-FFFF-FFFF77000000}">
      <tableStyleElement type="wholeTable" size="0" dxfId="339"/>
      <tableStyleElement type="headerRow" dxfId="338"/>
      <tableStyleElement type="firstRowStripe" dxfId="337"/>
      <tableStyleElement type="secondRowStripe" dxfId="336"/>
    </tableStyle>
    <tableStyle name="New Misos-style" pivot="0" count="4" xr9:uid="{00000000-0011-0000-FFFF-FFFF78000000}">
      <tableStyleElement type="wholeTable" size="0" dxfId="335"/>
      <tableStyleElement type="headerRow" dxfId="334"/>
      <tableStyleElement type="firstRowStripe" dxfId="333"/>
      <tableStyleElement type="secondRowStripe" dxfId="332"/>
    </tableStyle>
    <tableStyle name="Nheyes Si-style" pivot="0" count="4" xr9:uid="{00000000-0011-0000-FFFF-FFFF79000000}">
      <tableStyleElement type="wholeTable" size="0" dxfId="331"/>
      <tableStyleElement type="headerRow" dxfId="330"/>
      <tableStyleElement type="firstRowStripe" dxfId="329"/>
      <tableStyleElement type="secondRowStripe" dxfId="328"/>
    </tableStyle>
    <tableStyle name="Nia-style" pivot="0" count="4" xr9:uid="{00000000-0011-0000-FFFF-FFFF7A000000}">
      <tableStyleElement type="wholeTable" size="0" dxfId="327"/>
      <tableStyleElement type="headerRow" dxfId="326"/>
      <tableStyleElement type="firstRowStripe" dxfId="325"/>
      <tableStyleElement type="secondRowStripe" dxfId="324"/>
    </tableStyle>
    <tableStyle name="Niretui and Anulan-style" pivot="0" count="4" xr9:uid="{00000000-0011-0000-FFFF-FFFF7B000000}">
      <tableStyleElement type="wholeTable" size="0" dxfId="323"/>
      <tableStyleElement type="headerRow" dxfId="322"/>
      <tableStyleElement type="firstRowStripe" dxfId="321"/>
      <tableStyleElement type="secondRowStripe" dxfId="320"/>
    </tableStyle>
    <tableStyle name="Niul Spijan-style" pivot="0" count="4" xr9:uid="{00000000-0011-0000-FFFF-FFFF7C000000}">
      <tableStyleElement type="wholeTable" size="0" dxfId="319"/>
      <tableStyleElement type="headerRow" dxfId="318"/>
      <tableStyleElement type="firstRowStripe" dxfId="317"/>
      <tableStyleElement type="secondRowStripe" dxfId="316"/>
    </tableStyle>
    <tableStyle name="North Ayre-style" pivot="0" count="4" xr9:uid="{00000000-0011-0000-FFFF-FFFF7D000000}">
      <tableStyleElement type="wholeTable" size="0" dxfId="315"/>
      <tableStyleElement type="headerRow" dxfId="314"/>
      <tableStyleElement type="firstRowStripe" dxfId="313"/>
      <tableStyleElement type="secondRowStripe" dxfId="312"/>
    </tableStyle>
    <tableStyle name="Ocaun-style" pivot="0" count="4" xr9:uid="{00000000-0011-0000-FFFF-FFFF7E000000}">
      <tableStyleElement type="wholeTable" size="0" dxfId="311"/>
      <tableStyleElement type="headerRow" dxfId="310"/>
      <tableStyleElement type="firstRowStripe" dxfId="309"/>
      <tableStyleElement type="secondRowStripe" dxfId="308"/>
    </tableStyle>
    <tableStyle name="Ohtina-style" pivot="0" count="4" xr9:uid="{00000000-0011-0000-FFFF-FFFF7F000000}">
      <tableStyleElement type="wholeTable" size="0" dxfId="307"/>
      <tableStyleElement type="headerRow" dxfId="306"/>
      <tableStyleElement type="firstRowStripe" dxfId="305"/>
      <tableStyleElement type="secondRowStripe" dxfId="304"/>
    </tableStyle>
    <tableStyle name="Onphello-style" pivot="0" count="4" xr9:uid="{00000000-0011-0000-FFFF-FFFF80000000}">
      <tableStyleElement type="wholeTable" size="0" dxfId="303"/>
      <tableStyleElement type="headerRow" dxfId="302"/>
      <tableStyleElement type="firstRowStripe" dxfId="301"/>
      <tableStyleElement type="secondRowStripe" dxfId="300"/>
    </tableStyle>
    <tableStyle name="Oscairia-style" pivot="0" count="4" xr9:uid="{00000000-0011-0000-FFFF-FFFF81000000}">
      <tableStyleElement type="wholeTable" size="0" dxfId="299"/>
      <tableStyleElement type="headerRow" dxfId="298"/>
      <tableStyleElement type="firstRowStripe" dxfId="297"/>
      <tableStyleElement type="secondRowStripe" dxfId="296"/>
    </tableStyle>
    <tableStyle name="Othya-style" pivot="0" count="4" xr9:uid="{00000000-0011-0000-FFFF-FFFF82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Otiiric-style" pivot="0" count="4" xr9:uid="{00000000-0011-0000-FFFF-FFFF83000000}">
      <tableStyleElement type="wholeTable" size="0" dxfId="291"/>
      <tableStyleElement type="headerRow" dxfId="290"/>
      <tableStyleElement type="firstRowStripe" dxfId="289"/>
      <tableStyleElement type="secondRowStripe" dxfId="288"/>
    </tableStyle>
    <tableStyle name="Oyreain-style" pivot="0" count="4" xr9:uid="{00000000-0011-0000-FFFF-FFFF84000000}">
      <tableStyleElement type="wholeTable" size="0" dxfId="287"/>
      <tableStyleElement type="headerRow" dxfId="286"/>
      <tableStyleElement type="firstRowStripe" dxfId="285"/>
      <tableStyleElement type="secondRowStripe" dxfId="284"/>
    </tableStyle>
    <tableStyle name="Ozinia-style" pivot="0" count="4" xr9:uid="{00000000-0011-0000-FFFF-FFFF85000000}">
      <tableStyleElement type="wholeTable" size="0" dxfId="283"/>
      <tableStyleElement type="headerRow" dxfId="282"/>
      <tableStyleElement type="firstRowStripe" dxfId="281"/>
      <tableStyleElement type="secondRowStripe" dxfId="280"/>
    </tableStyle>
    <tableStyle name="Palina-style" pivot="0" count="4" xr9:uid="{00000000-0011-0000-FFFF-FFFF86000000}">
      <tableStyleElement type="wholeTable" size="0" dxfId="279"/>
      <tableStyleElement type="headerRow" dxfId="278"/>
      <tableStyleElement type="firstRowStripe" dxfId="277"/>
      <tableStyleElement type="secondRowStripe" dxfId="276"/>
    </tableStyle>
    <tableStyle name="Peka-style" pivot="0" count="4" xr9:uid="{00000000-0011-0000-FFFF-FFFF87000000}">
      <tableStyleElement type="wholeTable" size="0" dxfId="275"/>
      <tableStyleElement type="headerRow" dxfId="274"/>
      <tableStyleElement type="firstRowStripe" dxfId="273"/>
      <tableStyleElement type="secondRowStripe" dxfId="272"/>
    </tableStyle>
    <tableStyle name="Pelan-style" pivot="0" count="4" xr9:uid="{00000000-0011-0000-FFFF-FFFF88000000}">
      <tableStyleElement type="wholeTable" size="0" dxfId="271"/>
      <tableStyleElement type="headerRow" dxfId="270"/>
      <tableStyleElement type="firstRowStripe" dxfId="269"/>
      <tableStyleElement type="secondRowStripe" dxfId="268"/>
    </tableStyle>
    <tableStyle name="Pelines-style" pivot="0" count="4" xr9:uid="{00000000-0011-0000-FFFF-FFFF89000000}">
      <tableStyleElement type="wholeTable" size="0" dxfId="267"/>
      <tableStyleElement type="headerRow" dxfId="266"/>
      <tableStyleElement type="firstRowStripe" dxfId="265"/>
      <tableStyleElement type="secondRowStripe" dxfId="264"/>
    </tableStyle>
    <tableStyle name="Pelugrotoa-style" pivot="0" count="4" xr9:uid="{00000000-0011-0000-FFFF-FFFF8A000000}">
      <tableStyleElement type="wholeTable" size="0" dxfId="263"/>
      <tableStyleElement type="headerRow" dxfId="262"/>
      <tableStyleElement type="firstRowStripe" dxfId="261"/>
      <tableStyleElement type="secondRowStripe" dxfId="260"/>
    </tableStyle>
    <tableStyle name="Pha Hii-style" pivot="0" count="4" xr9:uid="{00000000-0011-0000-FFFF-FFFF8B000000}">
      <tableStyleElement type="wholeTable" size="0" dxfId="259"/>
      <tableStyleElement type="headerRow" dxfId="258"/>
      <tableStyleElement type="firstRowStripe" dxfId="257"/>
      <tableStyleElement type="secondRowStripe" dxfId="256"/>
    </tableStyle>
    <tableStyle name="Phuris-style" pivot="0" count="4" xr9:uid="{00000000-0011-0000-FFFF-FFFF8C000000}">
      <tableStyleElement type="wholeTable" size="0" dxfId="255"/>
      <tableStyleElement type="headerRow" dxfId="254"/>
      <tableStyleElement type="firstRowStripe" dxfId="253"/>
      <tableStyleElement type="secondRowStripe" dxfId="252"/>
    </tableStyle>
    <tableStyle name="Praesyu-style" pivot="0" count="4" xr9:uid="{00000000-0011-0000-FFFF-FFFF8D000000}">
      <tableStyleElement type="wholeTable" size="0" dxfId="251"/>
      <tableStyleElement type="headerRow" dxfId="250"/>
      <tableStyleElement type="firstRowStripe" dxfId="249"/>
      <tableStyleElement type="secondRowStripe" dxfId="248"/>
    </tableStyle>
    <tableStyle name="Prstreula-style" pivot="0" count="4" xr9:uid="{00000000-0011-0000-FFFF-FFFF8E000000}">
      <tableStyleElement type="wholeTable" size="0" dxfId="247"/>
      <tableStyleElement type="headerRow" dxfId="246"/>
      <tableStyleElement type="firstRowStripe" dxfId="245"/>
      <tableStyleElement type="secondRowStripe" dxfId="244"/>
    </tableStyle>
    <tableStyle name="Pruim Fijan-style" pivot="0" count="4" xr9:uid="{00000000-0011-0000-FFFF-FFFF8F000000}">
      <tableStyleElement type="wholeTable" size="0" dxfId="243"/>
      <tableStyleElement type="headerRow" dxfId="242"/>
      <tableStyleElement type="firstRowStripe" dxfId="241"/>
      <tableStyleElement type="secondRowStripe" dxfId="240"/>
    </tableStyle>
    <tableStyle name="Prystr Hii-style" pivot="0" count="4" xr9:uid="{00000000-0011-0000-FFFF-FFFF90000000}">
      <tableStyleElement type="wholeTable" size="0" dxfId="239"/>
      <tableStyleElement type="headerRow" dxfId="238"/>
      <tableStyleElement type="firstRowStripe" dxfId="237"/>
      <tableStyleElement type="secondRowStripe" dxfId="236"/>
    </tableStyle>
    <tableStyle name="Quidic-style" pivot="0" count="4" xr9:uid="{00000000-0011-0000-FFFF-FFFF91000000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ledria-style" pivot="0" count="4" xr9:uid="{00000000-0011-0000-FFFF-FFFF92000000}">
      <tableStyleElement type="wholeTable" size="0" dxfId="231"/>
      <tableStyleElement type="headerRow" dxfId="230"/>
      <tableStyleElement type="firstRowStripe" dxfId="229"/>
      <tableStyleElement type="secondRowStripe" dxfId="228"/>
    </tableStyle>
    <tableStyle name="Reerica-style" pivot="0" count="4" xr9:uid="{00000000-0011-0000-FFFF-FFFF93000000}">
      <tableStyleElement type="wholeTable" size="0" dxfId="227"/>
      <tableStyleElement type="headerRow" dxfId="226"/>
      <tableStyleElement type="firstRowStripe" dxfId="225"/>
      <tableStyleElement type="secondRowStripe" dxfId="224"/>
    </tableStyle>
    <tableStyle name="Rethern-style" pivot="0" count="4" xr9:uid="{00000000-0011-0000-FFFF-FFFF94000000}">
      <tableStyleElement type="wholeTable" size="0" dxfId="223"/>
      <tableStyleElement type="headerRow" dxfId="222"/>
      <tableStyleElement type="firstRowStripe" dxfId="221"/>
      <tableStyleElement type="secondRowStripe" dxfId="220"/>
    </tableStyle>
    <tableStyle name="Rijan bu-style" pivot="0" count="4" xr9:uid="{00000000-0011-0000-FFFF-FFFF95000000}">
      <tableStyleElement type="wholeTable" size="0" dxfId="219"/>
      <tableStyleElement type="headerRow" dxfId="218"/>
      <tableStyleElement type="firstRowStripe" dxfId="217"/>
      <tableStyleElement type="secondRowStripe" dxfId="216"/>
    </tableStyle>
    <tableStyle name="Rinew-style" pivot="0" count="4" xr9:uid="{00000000-0011-0000-FFFF-FFFF96000000}">
      <tableStyleElement type="wholeTable" size="0" dxfId="215"/>
      <tableStyleElement type="headerRow" dxfId="214"/>
      <tableStyleElement type="firstRowStripe" dxfId="213"/>
      <tableStyleElement type="secondRowStripe" dxfId="212"/>
    </tableStyle>
    <tableStyle name="Rkmepuia-style" pivot="0" count="4" xr9:uid="{00000000-0011-0000-FFFF-FFFF97000000}">
      <tableStyleElement type="wholeTable" size="0" dxfId="211"/>
      <tableStyleElement type="headerRow" dxfId="210"/>
      <tableStyleElement type="firstRowStripe" dxfId="209"/>
      <tableStyleElement type="secondRowStripe" dxfId="208"/>
    </tableStyle>
    <tableStyle name="Rtesania-style" pivot="0" count="4" xr9:uid="{00000000-0011-0000-FFFF-FFFF98000000}">
      <tableStyleElement type="wholeTable" size="0" dxfId="207"/>
      <tableStyleElement type="headerRow" dxfId="206"/>
      <tableStyleElement type="firstRowStripe" dxfId="205"/>
      <tableStyleElement type="secondRowStripe" dxfId="204"/>
    </tableStyle>
    <tableStyle name="Ruylku-style" pivot="0" count="4" xr9:uid="{00000000-0011-0000-FFFF-FFFF99000000}">
      <tableStyleElement type="wholeTable" size="0" dxfId="203"/>
      <tableStyleElement type="headerRow" dxfId="202"/>
      <tableStyleElement type="firstRowStripe" dxfId="201"/>
      <tableStyleElement type="secondRowStripe" dxfId="200"/>
    </tableStyle>
    <tableStyle name="Saa-style" pivot="0" count="4" xr9:uid="{00000000-0011-0000-FFFF-FFFF9A000000}">
      <tableStyleElement type="wholeTable" size="0" dxfId="199"/>
      <tableStyleElement type="headerRow" dxfId="198"/>
      <tableStyleElement type="firstRowStripe" dxfId="197"/>
      <tableStyleElement type="secondRowStripe" dxfId="196"/>
    </tableStyle>
    <tableStyle name="Sadain-style" pivot="0" count="4" xr9:uid="{00000000-0011-0000-FFFF-FFFF9B000000}">
      <tableStyleElement type="wholeTable" size="0" dxfId="195"/>
      <tableStyleElement type="headerRow" dxfId="194"/>
      <tableStyleElement type="firstRowStripe" dxfId="193"/>
      <tableStyleElement type="secondRowStripe" dxfId="192"/>
    </tableStyle>
    <tableStyle name="Sanagara-style" pivot="0" count="4" xr9:uid="{00000000-0011-0000-FFFF-FFFF9C000000}">
      <tableStyleElement type="wholeTable" size="0" dxfId="191"/>
      <tableStyleElement type="headerRow" dxfId="190"/>
      <tableStyleElement type="firstRowStripe" dxfId="189"/>
      <tableStyleElement type="secondRowStripe" dxfId="188"/>
    </tableStyle>
    <tableStyle name="Sattle-style" pivot="0" count="4" xr9:uid="{00000000-0011-0000-FFFF-FFFF9D000000}">
      <tableStyleElement type="wholeTable" size="0" dxfId="187"/>
      <tableStyleElement type="headerRow" dxfId="186"/>
      <tableStyleElement type="firstRowStripe" dxfId="185"/>
      <tableStyleElement type="secondRowStripe" dxfId="184"/>
    </tableStyle>
    <tableStyle name="Selaja-style" pivot="0" count="4" xr9:uid="{00000000-0011-0000-FFFF-FFFF9E000000}">
      <tableStyleElement type="wholeTable" size="0" dxfId="183"/>
      <tableStyleElement type="headerRow" dxfId="182"/>
      <tableStyleElement type="firstRowStripe" dxfId="181"/>
      <tableStyleElement type="secondRowStripe" dxfId="180"/>
    </tableStyle>
    <tableStyle name="Seytinemas-style" pivot="0" count="4" xr9:uid="{00000000-0011-0000-FFFF-FFFF9F000000}">
      <tableStyleElement type="wholeTable" size="0" dxfId="179"/>
      <tableStyleElement type="headerRow" dxfId="178"/>
      <tableStyleElement type="firstRowStripe" dxfId="177"/>
      <tableStyleElement type="secondRowStripe" dxfId="176"/>
    </tableStyle>
    <tableStyle name="Shinam-style" pivot="0" count="4" xr9:uid="{00000000-0011-0000-FFFF-FFFFA0000000}">
      <tableStyleElement type="wholeTable" size="0" dxfId="175"/>
      <tableStyleElement type="headerRow" dxfId="174"/>
      <tableStyleElement type="firstRowStripe" dxfId="173"/>
      <tableStyleElement type="secondRowStripe" dxfId="172"/>
    </tableStyle>
    <tableStyle name="Shomjind-style" pivot="0" count="4" xr9:uid="{00000000-0011-0000-FFFF-FFFFA1000000}">
      <tableStyleElement type="wholeTable" size="0" dxfId="171"/>
      <tableStyleElement type="headerRow" dxfId="170"/>
      <tableStyleElement type="firstRowStripe" dxfId="169"/>
      <tableStyleElement type="secondRowStripe" dxfId="168"/>
    </tableStyle>
    <tableStyle name="Siana-style" pivot="0" count="4" xr9:uid="{00000000-0011-0000-FFFF-FFFFA2000000}">
      <tableStyleElement type="wholeTable" size="0" dxfId="167"/>
      <tableStyleElement type="headerRow" dxfId="166"/>
      <tableStyleElement type="firstRowStripe" dxfId="165"/>
      <tableStyleElement type="secondRowStripe" dxfId="164"/>
    </tableStyle>
    <tableStyle name="Sivoso-style" pivot="0" count="4" xr9:uid="{00000000-0011-0000-FFFF-FFFFA3000000}">
      <tableStyleElement type="wholeTable" size="0" dxfId="163"/>
      <tableStyleElement type="headerRow" dxfId="162"/>
      <tableStyleElement type="firstRowStripe" dxfId="161"/>
      <tableStyleElement type="secondRowStripe" dxfId="160"/>
    </tableStyle>
    <tableStyle name="Slyiaduun-style" pivot="0" count="4" xr9:uid="{00000000-0011-0000-FFFF-FFFFA4000000}">
      <tableStyleElement type="wholeTable" size="0" dxfId="159"/>
      <tableStyleElement type="headerRow" dxfId="158"/>
      <tableStyleElement type="firstRowStripe" dxfId="157"/>
      <tableStyleElement type="secondRowStripe" dxfId="156"/>
    </tableStyle>
    <tableStyle name="Stinebar-style" pivot="0" count="4" xr9:uid="{00000000-0011-0000-FFFF-FFFFA5000000}">
      <tableStyleElement type="wholeTable" size="0" dxfId="155"/>
      <tableStyleElement type="headerRow" dxfId="154"/>
      <tableStyleElement type="firstRowStripe" dxfId="153"/>
      <tableStyleElement type="secondRowStripe" dxfId="152"/>
    </tableStyle>
    <tableStyle name="Suenan-style" pivot="0" count="4" xr9:uid="{00000000-0011-0000-FFFF-FFFFA6000000}">
      <tableStyleElement type="wholeTable" size="0" dxfId="151"/>
      <tableStyleElement type="headerRow" dxfId="150"/>
      <tableStyleElement type="firstRowStripe" dxfId="149"/>
      <tableStyleElement type="secondRowStripe" dxfId="148"/>
    </tableStyle>
    <tableStyle name="Sunsokua-style" pivot="0" count="4" xr9:uid="{00000000-0011-0000-FFFF-FFFFA7000000}">
      <tableStyleElement type="wholeTable" size="0" dxfId="147"/>
      <tableStyleElement type="headerRow" dxfId="146"/>
      <tableStyleElement type="firstRowStripe" dxfId="145"/>
      <tableStyleElement type="secondRowStripe" dxfId="144"/>
    </tableStyle>
    <tableStyle name="Taing-style" pivot="0" count="4" xr9:uid="{00000000-0011-0000-FFFF-FFFFA8000000}">
      <tableStyleElement type="wholeTable" size="0" dxfId="143"/>
      <tableStyleElement type="headerRow" dxfId="142"/>
      <tableStyleElement type="firstRowStripe" dxfId="141"/>
      <tableStyleElement type="secondRowStripe" dxfId="140"/>
    </tableStyle>
    <tableStyle name="Taniduna-style" pivot="0" count="4" xr9:uid="{00000000-0011-0000-FFFF-FFFFA9000000}">
      <tableStyleElement type="wholeTable" size="0" dxfId="139"/>
      <tableStyleElement type="headerRow" dxfId="138"/>
      <tableStyleElement type="firstRowStripe" dxfId="137"/>
      <tableStyleElement type="secondRowStripe" dxfId="136"/>
    </tableStyle>
    <tableStyle name="Taoisia-style" pivot="0" count="4" xr9:uid="{00000000-0011-0000-FFFF-FFFFAA000000}">
      <tableStyleElement type="wholeTable" size="0" dxfId="135"/>
      <tableStyleElement type="headerRow" dxfId="134"/>
      <tableStyleElement type="firstRowStripe" dxfId="133"/>
      <tableStyleElement type="secondRowStripe" dxfId="132"/>
    </tableStyle>
    <tableStyle name="Taval-style" pivot="0" count="4" xr9:uid="{00000000-0011-0000-FFFF-FFFFAB000000}">
      <tableStyleElement type="wholeTable" size="0" dxfId="131"/>
      <tableStyleElement type="headerRow" dxfId="130"/>
      <tableStyleElement type="firstRowStripe" dxfId="129"/>
      <tableStyleElement type="secondRowStripe" dxfId="128"/>
    </tableStyle>
    <tableStyle name="Terressin-style" pivot="0" count="4" xr9:uid="{00000000-0011-0000-FFFF-FFFFAC000000}">
      <tableStyleElement type="wholeTable" size="0" dxfId="127"/>
      <tableStyleElement type="headerRow" dxfId="126"/>
      <tableStyleElement type="firstRowStripe" dxfId="125"/>
      <tableStyleElement type="secondRowStripe" dxfId="124"/>
    </tableStyle>
    <tableStyle name="Tomscilus-style" pivot="0" count="4" xr9:uid="{00000000-0011-0000-FFFF-FFFFAD000000}">
      <tableStyleElement type="wholeTable" size="0" dxfId="123"/>
      <tableStyleElement type="headerRow" dxfId="122"/>
      <tableStyleElement type="firstRowStripe" dxfId="121"/>
      <tableStyleElement type="secondRowStripe" dxfId="120"/>
    </tableStyle>
    <tableStyle name="Tonder-style" pivot="0" count="4" xr9:uid="{00000000-0011-0000-FFFF-FFFFAE000000}">
      <tableStyleElement type="wholeTable" size="0" dxfId="119"/>
      <tableStyleElement type="headerRow" dxfId="118"/>
      <tableStyleElement type="firstRowStripe" dxfId="117"/>
      <tableStyleElement type="secondRowStripe" dxfId="116"/>
    </tableStyle>
    <tableStyle name="Trevilla-style" pivot="0" count="4" xr9:uid="{00000000-0011-0000-FFFF-FFFFAF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Trian-style" pivot="0" count="4" xr9:uid="{00000000-0011-0000-FFFF-FFFFB0000000}">
      <tableStyleElement type="wholeTable" size="0" dxfId="111"/>
      <tableStyleElement type="headerRow" dxfId="110"/>
      <tableStyleElement type="firstRowStripe" dxfId="109"/>
      <tableStyleElement type="secondRowStripe" dxfId="108"/>
    </tableStyle>
    <tableStyle name="Tvecoca-style" pivot="0" count="4" xr9:uid="{00000000-0011-0000-FFFF-FFFFB1000000}">
      <tableStyleElement type="wholeTable" size="0" dxfId="107"/>
      <tableStyleElement type="headerRow" dxfId="106"/>
      <tableStyleElement type="firstRowStripe" dxfId="105"/>
      <tableStyleElement type="secondRowStripe" dxfId="104"/>
    </tableStyle>
    <tableStyle name="Ucrua-style" pivot="0" count="4" xr9:uid="{00000000-0011-0000-FFFF-FFFFB2000000}">
      <tableStyleElement type="wholeTable" size="0" dxfId="103"/>
      <tableStyleElement type="headerRow" dxfId="102"/>
      <tableStyleElement type="firstRowStripe" dxfId="101"/>
      <tableStyleElement type="secondRowStripe" dxfId="100"/>
    </tableStyle>
    <tableStyle name="Ukhdari-style" pivot="0" count="4" xr9:uid="{00000000-0011-0000-FFFF-FFFFB3000000}">
      <tableStyleElement type="wholeTable" size="0" dxfId="99"/>
      <tableStyleElement type="headerRow" dxfId="98"/>
      <tableStyleElement type="firstRowStripe" dxfId="97"/>
      <tableStyleElement type="secondRowStripe" dxfId="96"/>
    </tableStyle>
    <tableStyle name="Umarcia-style" pivot="0" count="4" xr9:uid="{00000000-0011-0000-FFFF-FFFFB4000000}">
      <tableStyleElement type="wholeTable" size="0" dxfId="95"/>
      <tableStyleElement type="headerRow" dxfId="94"/>
      <tableStyleElement type="firstRowStripe" dxfId="93"/>
      <tableStyleElement type="secondRowStripe" dxfId="92"/>
    </tableStyle>
    <tableStyle name="Umendel-style" pivot="0" count="4" xr9:uid="{00000000-0011-0000-FFFF-FFFFB5000000}">
      <tableStyleElement type="wholeTable" size="0" dxfId="91"/>
      <tableStyleElement type="headerRow" dxfId="90"/>
      <tableStyleElement type="firstRowStripe" dxfId="89"/>
      <tableStyleElement type="secondRowStripe" dxfId="88"/>
    </tableStyle>
    <tableStyle name="United Delet-style" pivot="0" count="4" xr9:uid="{00000000-0011-0000-FFFF-FFFFB6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United Mihili-style" pivot="0" count="4" xr9:uid="{00000000-0011-0000-FFFF-FFFFB7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Urbiqu-style" pivot="0" count="4" xr9:uid="{00000000-0011-0000-FFFF-FFFFB8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Uularin-style" pivot="0" count="4" xr9:uid="{00000000-0011-0000-FFFF-FFFFB9000000}">
      <tableStyleElement type="wholeTable" size="0" dxfId="75"/>
      <tableStyleElement type="headerRow" dxfId="74"/>
      <tableStyleElement type="firstRowStripe" dxfId="73"/>
      <tableStyleElement type="secondRowStripe" dxfId="72"/>
    </tableStyle>
    <tableStyle name="Vayvele-style" pivot="0" count="4" xr9:uid="{00000000-0011-0000-FFFF-FFFFBA000000}">
      <tableStyleElement type="wholeTable" size="0" dxfId="71"/>
      <tableStyleElement type="headerRow" dxfId="70"/>
      <tableStyleElement type="firstRowStripe" dxfId="69"/>
      <tableStyleElement type="secondRowStripe" dxfId="68"/>
    </tableStyle>
    <tableStyle name="Veelmit-style" pivot="0" count="4" xr9:uid="{00000000-0011-0000-FFFF-FFFFBB000000}">
      <tableStyleElement type="wholeTable" size="0" dxfId="67"/>
      <tableStyleElement type="headerRow" dxfId="66"/>
      <tableStyleElement type="firstRowStripe" dxfId="65"/>
      <tableStyleElement type="secondRowStripe" dxfId="64"/>
    </tableStyle>
    <tableStyle name="Verste-style" pivot="0" count="4" xr9:uid="{00000000-0011-0000-FFFF-FFFFBC000000}">
      <tableStyleElement type="wholeTable" size="0" dxfId="63"/>
      <tableStyleElement type="headerRow" dxfId="62"/>
      <tableStyleElement type="firstRowStripe" dxfId="61"/>
      <tableStyleElement type="secondRowStripe" dxfId="60"/>
    </tableStyle>
    <tableStyle name="Verusa-style" pivot="0" count="4" xr9:uid="{00000000-0011-0000-FFFF-FFFFBD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Vesozata-style" pivot="0" count="4" xr9:uid="{00000000-0011-0000-FFFF-FFFFBE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Viussi-style" pivot="0" count="4" xr9:uid="{00000000-0011-0000-FFFF-FFFFBF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Volver-style" pivot="0" count="4" xr9:uid="{00000000-0011-0000-FFFF-FFFFC0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Walporein-style" pivot="0" count="4" xr9:uid="{00000000-0011-0000-FFFF-FFFFC1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Welenu Fana-style" pivot="0" count="4" xr9:uid="{00000000-0011-0000-FFFF-FFFFC2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Western Migoku-style" pivot="0" count="4" xr9:uid="{00000000-0011-0000-FFFF-FFFFC3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Wundry-style" pivot="0" count="4" xr9:uid="{00000000-0011-0000-FFFF-FFFFC4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Yaxuto-style" pivot="0" count="4" xr9:uid="{00000000-0011-0000-FFFF-FFFFC5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Yihnurda-style" pivot="0" count="4" xr9:uid="{00000000-0011-0000-FFFF-FFFFC6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Yoprioq-style" pivot="0" count="4" xr9:uid="{00000000-0011-0000-FFFF-FFFFC7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Yutnitu-style" pivot="0" count="4" xr9:uid="{00000000-0011-0000-FFFF-FFFFC8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Zenashan-style" pivot="0" count="4" xr9:uid="{00000000-0011-0000-FFFF-FFFFC9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Zhanshe-style" pivot="0" count="4" xr9:uid="{00000000-0011-0000-FFFF-FFFFCA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Ztesh-style" pivot="0" count="4" xr9:uid="{00000000-0011-0000-FFFF-FFFFCB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sharedStrings" Target="sharedStrings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theme" Target="theme/theme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_Population" displayName="Global_Population" ref="A1:D67">
  <tableColumns count="4">
    <tableColumn id="1" xr3:uid="{00000000-0010-0000-0000-000001000000}" name="E"/>
    <tableColumn id="2" xr3:uid="{00000000-0010-0000-0000-000002000000}" name="A"/>
    <tableColumn id="3" xr3:uid="{00000000-0010-0000-0000-000003000000}" name="Global Population"/>
    <tableColumn id="4" xr3:uid="{00000000-0010-0000-0000-000004000000}" name="Global Population Growth "/>
  </tableColumns>
  <tableStyleInfo name="GlobalContinent Popul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rola" displayName="Acrola" ref="K1:O67">
  <tableColumns count="5">
    <tableColumn id="1" xr3:uid="{00000000-0010-0000-0100-000001000000}" name="E"/>
    <tableColumn id="2" xr3:uid="{00000000-0010-0000-0100-000002000000}" name="A"/>
    <tableColumn id="3" xr3:uid="{00000000-0010-0000-0100-000003000000}" name="Acrolan Population"/>
    <tableColumn id="4" xr3:uid="{00000000-0010-0000-0100-000004000000}" name="Acrolan Population Growth "/>
    <tableColumn id="5" xr3:uid="{00000000-0010-0000-0100-000005000000}" name="% of World"/>
  </tableColumns>
  <tableStyleInfo name="GlobalContinent Popul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irha" displayName="Atirha" ref="V1:Z67">
  <tableColumns count="5">
    <tableColumn id="1" xr3:uid="{00000000-0010-0000-0200-000001000000}" name="E"/>
    <tableColumn id="2" xr3:uid="{00000000-0010-0000-0200-000002000000}" name="A"/>
    <tableColumn id="3" xr3:uid="{00000000-0010-0000-0200-000003000000}" name="Atirhan Population "/>
    <tableColumn id="4" xr3:uid="{00000000-0010-0000-0200-000004000000}" name="Atirhan Population Growth "/>
    <tableColumn id="5" xr3:uid="{00000000-0010-0000-0200-000005000000}" name="% of World"/>
  </tableColumns>
  <tableStyleInfo name="GlobalContinent Popul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yuma" displayName="Ayuma" ref="AG1:AK67">
  <tableColumns count="5">
    <tableColumn id="1" xr3:uid="{00000000-0010-0000-0300-000001000000}" name="E"/>
    <tableColumn id="2" xr3:uid="{00000000-0010-0000-0300-000002000000}" name="A"/>
    <tableColumn id="3" xr3:uid="{00000000-0010-0000-0300-000003000000}" name="Ayuman Population"/>
    <tableColumn id="4" xr3:uid="{00000000-0010-0000-0300-000004000000}" name="Ayuma Population Growth "/>
    <tableColumn id="5" xr3:uid="{00000000-0010-0000-0300-000005000000}" name="% of World"/>
  </tableColumns>
  <tableStyleInfo name="GlobalContinent Popul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hea" displayName="Mahea" ref="AR1:AV67">
  <tableColumns count="5">
    <tableColumn id="1" xr3:uid="{00000000-0010-0000-0400-000001000000}" name="E"/>
    <tableColumn id="2" xr3:uid="{00000000-0010-0000-0400-000002000000}" name="A"/>
    <tableColumn id="3" xr3:uid="{00000000-0010-0000-0400-000003000000}" name="Mahean Population"/>
    <tableColumn id="4" xr3:uid="{00000000-0010-0000-0400-000004000000}" name="Mahean Population Growth "/>
    <tableColumn id="5" xr3:uid="{00000000-0010-0000-0400-000005000000}" name="% of World"/>
  </tableColumns>
  <tableStyleInfo name="GlobalContinent Popul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sir" displayName="Massir" ref="BC1:BG67">
  <tableColumns count="5">
    <tableColumn id="1" xr3:uid="{00000000-0010-0000-0500-000001000000}" name="E"/>
    <tableColumn id="2" xr3:uid="{00000000-0010-0000-0500-000002000000}" name="A"/>
    <tableColumn id="3" xr3:uid="{00000000-0010-0000-0500-000003000000}" name="Massiran Population"/>
    <tableColumn id="4" xr3:uid="{00000000-0010-0000-0500-000004000000}" name="Massiran Population Growth "/>
    <tableColumn id="5" xr3:uid="{00000000-0010-0000-0500-000005000000}" name="% of World"/>
  </tableColumns>
  <tableStyleInfo name="GlobalContinent Popul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ew_Ayre" displayName="New_Ayre" ref="BN1:BR67">
  <tableColumns count="5">
    <tableColumn id="1" xr3:uid="{00000000-0010-0000-0600-000001000000}" name="E"/>
    <tableColumn id="2" xr3:uid="{00000000-0010-0000-0600-000002000000}" name="A"/>
    <tableColumn id="3" xr3:uid="{00000000-0010-0000-0600-000003000000}" name="New Ayren Population"/>
    <tableColumn id="4" xr3:uid="{00000000-0010-0000-0600-000004000000}" name="New Ayren Population Growth "/>
    <tableColumn id="5" xr3:uid="{00000000-0010-0000-0600-000005000000}" name="% of World"/>
  </tableColumns>
  <tableStyleInfo name="GlobalContinent Popula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ia" displayName="Quia" ref="BY1:CC67">
  <tableColumns count="5">
    <tableColumn id="1" xr3:uid="{00000000-0010-0000-0700-000001000000}" name="E"/>
    <tableColumn id="2" xr3:uid="{00000000-0010-0000-0700-000002000000}" name="A"/>
    <tableColumn id="3" xr3:uid="{00000000-0010-0000-0700-000003000000}" name="Quian Population"/>
    <tableColumn id="4" xr3:uid="{00000000-0010-0000-0700-000004000000}" name="Quian Population Growth "/>
    <tableColumn id="5" xr3:uid="{00000000-0010-0000-0700-000005000000}" name="% of World"/>
  </tableColumns>
  <tableStyleInfo name="GlobalContinent Popula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lobal_Pop" displayName="Global_Pop" ref="A1:D67">
  <tableColumns count="4">
    <tableColumn id="1" xr3:uid="{00000000-0010-0000-0800-000001000000}" name="E"/>
    <tableColumn id="2" xr3:uid="{00000000-0010-0000-0800-000002000000}" name="A"/>
    <tableColumn id="3" xr3:uid="{00000000-0010-0000-0800-000003000000}" name="Middle Acrolan Population"/>
    <tableColumn id="4" xr3:uid="{00000000-0010-0000-0800-000004000000}" name="Middle Acrola Population Growth "/>
  </tableColumns>
  <tableStyleInfo name="Geoscheme Populati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iddle_Acrola" displayName="Middle_Acrola" ref="K1:O67">
  <tableColumns count="5">
    <tableColumn id="1" xr3:uid="{00000000-0010-0000-0900-000001000000}" name="E"/>
    <tableColumn id="2" xr3:uid="{00000000-0010-0000-0900-000002000000}" name="A"/>
    <tableColumn id="3" xr3:uid="{00000000-0010-0000-0900-000003000000}" name="Middle Acrolan Population"/>
    <tableColumn id="4" xr3:uid="{00000000-0010-0000-0900-000004000000}" name="Middle Acrolan Population Growth "/>
    <tableColumn id="5" xr3:uid="{00000000-0010-0000-0900-000005000000}" name="% of World"/>
  </tableColumns>
  <tableStyleInfo name="Geoscheme Populati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rth_Acrola" displayName="North_Acrola" ref="V1:Z67">
  <tableColumns count="5">
    <tableColumn id="1" xr3:uid="{00000000-0010-0000-0A00-000001000000}" name="E"/>
    <tableColumn id="2" xr3:uid="{00000000-0010-0000-0A00-000002000000}" name="A"/>
    <tableColumn id="3" xr3:uid="{00000000-0010-0000-0A00-000003000000}" name="North Acrolan Population"/>
    <tableColumn id="4" xr3:uid="{00000000-0010-0000-0A00-000004000000}" name="North Acrolan Population Growth "/>
    <tableColumn id="5" xr3:uid="{00000000-0010-0000-0A00-000005000000}" name="% of World"/>
  </tableColumns>
  <tableStyleInfo name="Geoscheme Population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th_Acrola" displayName="South_Acrola" ref="AG1:AK67">
  <tableColumns count="5">
    <tableColumn id="1" xr3:uid="{00000000-0010-0000-0B00-000001000000}" name="E"/>
    <tableColumn id="2" xr3:uid="{00000000-0010-0000-0B00-000002000000}" name="A"/>
    <tableColumn id="3" xr3:uid="{00000000-0010-0000-0B00-000003000000}" name="South Acrolan Population"/>
    <tableColumn id="4" xr3:uid="{00000000-0010-0000-0B00-000004000000}" name="South Acrolan Population Growth "/>
    <tableColumn id="5" xr3:uid="{00000000-0010-0000-0B00-000005000000}" name="% of World"/>
  </tableColumns>
  <tableStyleInfo name="Geoscheme Population-style 4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entral_Atirha" displayName="Central_Atirha" ref="AR1:AV67">
  <tableColumns count="5">
    <tableColumn id="1" xr3:uid="{00000000-0010-0000-0C00-000001000000}" name="E"/>
    <tableColumn id="2" xr3:uid="{00000000-0010-0000-0C00-000002000000}" name="A"/>
    <tableColumn id="3" xr3:uid="{00000000-0010-0000-0C00-000003000000}" name="Central Atirhan Population"/>
    <tableColumn id="4" xr3:uid="{00000000-0010-0000-0C00-000004000000}" name="Central Atirhan Population Growth "/>
    <tableColumn id="5" xr3:uid="{00000000-0010-0000-0C00-000005000000}" name="% of World"/>
  </tableColumns>
  <tableStyleInfo name="Geoscheme Population-style 5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ast_Atirha" displayName="East_Atirha" ref="BC1:BG67">
  <tableColumns count="5">
    <tableColumn id="1" xr3:uid="{00000000-0010-0000-0D00-000001000000}" name="E"/>
    <tableColumn id="2" xr3:uid="{00000000-0010-0000-0D00-000002000000}" name="A"/>
    <tableColumn id="3" xr3:uid="{00000000-0010-0000-0D00-000003000000}" name="East Atirhan Population"/>
    <tableColumn id="4" xr3:uid="{00000000-0010-0000-0D00-000004000000}" name="East Atirhan Population Growth "/>
    <tableColumn id="5" xr3:uid="{00000000-0010-0000-0D00-000005000000}" name="% of World"/>
  </tableColumns>
  <tableStyleInfo name="Geoscheme Population-style 6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est_Atirha" displayName="West_Atirha" ref="BN1:BR67">
  <tableColumns count="5">
    <tableColumn id="1" xr3:uid="{00000000-0010-0000-0E00-000001000000}" name="E"/>
    <tableColumn id="2" xr3:uid="{00000000-0010-0000-0E00-000002000000}" name="A"/>
    <tableColumn id="3" xr3:uid="{00000000-0010-0000-0E00-000003000000}" name="West Atirhan Population"/>
    <tableColumn id="4" xr3:uid="{00000000-0010-0000-0E00-000004000000}" name="West Atirhan Population Growth "/>
    <tableColumn id="5" xr3:uid="{00000000-0010-0000-0E00-000005000000}" name="% of World"/>
  </tableColumns>
  <tableStyleInfo name="Geoscheme Population-style 7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entral_Ayuma" displayName="Central_Ayuma" ref="BY1:CC67">
  <tableColumns count="5">
    <tableColumn id="1" xr3:uid="{00000000-0010-0000-0F00-000001000000}" name="E"/>
    <tableColumn id="2" xr3:uid="{00000000-0010-0000-0F00-000002000000}" name="A"/>
    <tableColumn id="3" xr3:uid="{00000000-0010-0000-0F00-000003000000}" name="Central Ayuman Population"/>
    <tableColumn id="4" xr3:uid="{00000000-0010-0000-0F00-000004000000}" name="Central Ayuman "/>
    <tableColumn id="5" xr3:uid="{00000000-0010-0000-0F00-000005000000}" name="% of World"/>
  </tableColumns>
  <tableStyleInfo name="Geoscheme Population-style 8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North_Ayuma" displayName="North_Ayuma" ref="CJ1:CN67">
  <tableColumns count="5">
    <tableColumn id="1" xr3:uid="{00000000-0010-0000-1000-000001000000}" name="E"/>
    <tableColumn id="2" xr3:uid="{00000000-0010-0000-1000-000002000000}" name="A"/>
    <tableColumn id="3" xr3:uid="{00000000-0010-0000-1000-000003000000}" name="North Ayuman Population"/>
    <tableColumn id="4" xr3:uid="{00000000-0010-0000-1000-000004000000}" name="North Ayuman  Population Growth "/>
    <tableColumn id="5" xr3:uid="{00000000-0010-0000-1000-000005000000}" name="% of World"/>
  </tableColumns>
  <tableStyleInfo name="Geoscheme Population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South_Ayuma" displayName="South_Ayuma" ref="CU1:CY67">
  <tableColumns count="5">
    <tableColumn id="1" xr3:uid="{00000000-0010-0000-1100-000001000000}" name="E"/>
    <tableColumn id="2" xr3:uid="{00000000-0010-0000-1100-000002000000}" name="A"/>
    <tableColumn id="3" xr3:uid="{00000000-0010-0000-1100-000003000000}" name="South Ayuman Population"/>
    <tableColumn id="4" xr3:uid="{00000000-0010-0000-1100-000004000000}" name="South Ayuman Population Growth "/>
    <tableColumn id="5" xr3:uid="{00000000-0010-0000-1100-000005000000}" name="% of World"/>
  </tableColumns>
  <tableStyleInfo name="Geoscheme Population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West_Ayuma" displayName="West_Ayuma" ref="DF1:DJ67">
  <tableColumns count="5">
    <tableColumn id="1" xr3:uid="{00000000-0010-0000-1200-000001000000}" name="E"/>
    <tableColumn id="2" xr3:uid="{00000000-0010-0000-1200-000002000000}" name="A"/>
    <tableColumn id="3" xr3:uid="{00000000-0010-0000-1200-000003000000}" name="West Ayuman Population"/>
    <tableColumn id="4" xr3:uid="{00000000-0010-0000-1200-000004000000}" name="West Ayuman Population Growth "/>
    <tableColumn id="5" xr3:uid="{00000000-0010-0000-1200-000005000000}" name="% of World"/>
  </tableColumns>
  <tableStyleInfo name="Geoscheme Population-style 11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ast_Mahea" displayName="East_Mahea" ref="DQ1:DU67">
  <tableColumns count="5">
    <tableColumn id="1" xr3:uid="{00000000-0010-0000-1300-000001000000}" name="E"/>
    <tableColumn id="2" xr3:uid="{00000000-0010-0000-1300-000002000000}" name="A"/>
    <tableColumn id="3" xr3:uid="{00000000-0010-0000-1300-000003000000}" name="East Mahean Population"/>
    <tableColumn id="4" xr3:uid="{00000000-0010-0000-1300-000004000000}" name="East Mahean Population Growth "/>
    <tableColumn id="5" xr3:uid="{00000000-0010-0000-1300-000005000000}" name="% of World"/>
  </tableColumns>
  <tableStyleInfo name="Geoscheme Population-style 12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North_Mahea" displayName="North_Mahea" ref="EB1:EF67">
  <tableColumns count="5">
    <tableColumn id="1" xr3:uid="{00000000-0010-0000-1400-000001000000}" name="E"/>
    <tableColumn id="2" xr3:uid="{00000000-0010-0000-1400-000002000000}" name="A"/>
    <tableColumn id="3" xr3:uid="{00000000-0010-0000-1400-000003000000}" name="North Mahean Population"/>
    <tableColumn id="4" xr3:uid="{00000000-0010-0000-1400-000004000000}" name="North Mahean Population Growth "/>
    <tableColumn id="5" xr3:uid="{00000000-0010-0000-1400-000005000000}" name="% of World"/>
  </tableColumns>
  <tableStyleInfo name="Geoscheme Population-style 13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th_Mahea" displayName="South_Mahea" ref="EM1:EQ67">
  <tableColumns count="5">
    <tableColumn id="1" xr3:uid="{00000000-0010-0000-1500-000001000000}" name="E"/>
    <tableColumn id="2" xr3:uid="{00000000-0010-0000-1500-000002000000}" name="A"/>
    <tableColumn id="3" xr3:uid="{00000000-0010-0000-1500-000003000000}" name="South Mahean Population"/>
    <tableColumn id="4" xr3:uid="{00000000-0010-0000-1500-000004000000}" name="South Mahean Population Growth "/>
    <tableColumn id="5" xr3:uid="{00000000-0010-0000-1500-000005000000}" name="% of World"/>
  </tableColumns>
  <tableStyleInfo name="Geoscheme Population-style 14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West_Mahea" displayName="West_Mahea" ref="EX1:FB67">
  <tableColumns count="5">
    <tableColumn id="1" xr3:uid="{00000000-0010-0000-1600-000001000000}" name="E"/>
    <tableColumn id="2" xr3:uid="{00000000-0010-0000-1600-000002000000}" name="A"/>
    <tableColumn id="3" xr3:uid="{00000000-0010-0000-1600-000003000000}" name="West Mahean Population"/>
    <tableColumn id="4" xr3:uid="{00000000-0010-0000-1600-000004000000}" name="West Mahean Population Growth "/>
    <tableColumn id="5" xr3:uid="{00000000-0010-0000-1600-000005000000}" name="% of World"/>
  </tableColumns>
  <tableStyleInfo name="Geoscheme Population-style 15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North_Massir" displayName="North_Massir" ref="FI1:FM67">
  <tableColumns count="5">
    <tableColumn id="1" xr3:uid="{00000000-0010-0000-1700-000001000000}" name="E"/>
    <tableColumn id="2" xr3:uid="{00000000-0010-0000-1700-000002000000}" name="A"/>
    <tableColumn id="3" xr3:uid="{00000000-0010-0000-1700-000003000000}" name="North Massiran Population"/>
    <tableColumn id="4" xr3:uid="{00000000-0010-0000-1700-000004000000}" name="North Massiran Population Growth "/>
    <tableColumn id="5" xr3:uid="{00000000-0010-0000-1700-000005000000}" name="% of World"/>
  </tableColumns>
  <tableStyleInfo name="Geoscheme Population-style 16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South_Massir" displayName="South_Massir" ref="FT1:FX67">
  <tableColumns count="5">
    <tableColumn id="1" xr3:uid="{00000000-0010-0000-1800-000001000000}" name="E"/>
    <tableColumn id="2" xr3:uid="{00000000-0010-0000-1800-000002000000}" name="A"/>
    <tableColumn id="3" xr3:uid="{00000000-0010-0000-1800-000003000000}" name="South Massiran Population"/>
    <tableColumn id="4" xr3:uid="{00000000-0010-0000-1800-000004000000}" name="South Massiran Population Growth "/>
    <tableColumn id="5" xr3:uid="{00000000-0010-0000-1800-000005000000}" name="% of World"/>
  </tableColumns>
  <tableStyleInfo name="Geoscheme Population-style 17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West_Massir" displayName="West_Massir" ref="GE1:GI67">
  <tableColumns count="5">
    <tableColumn id="1" xr3:uid="{00000000-0010-0000-1900-000001000000}" name="E"/>
    <tableColumn id="2" xr3:uid="{00000000-0010-0000-1900-000002000000}" name="A"/>
    <tableColumn id="3" xr3:uid="{00000000-0010-0000-1900-000003000000}" name="West Massiran Population"/>
    <tableColumn id="4" xr3:uid="{00000000-0010-0000-1900-000004000000}" name="West Massiran  Growth "/>
    <tableColumn id="5" xr3:uid="{00000000-0010-0000-1900-000005000000}" name="% of World"/>
  </tableColumns>
  <tableStyleInfo name="Geoscheme Population-style 18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North_New_Ayre" displayName="North_New_Ayre" ref="GP1:GT67">
  <tableColumns count="5">
    <tableColumn id="1" xr3:uid="{00000000-0010-0000-1A00-000001000000}" name="E"/>
    <tableColumn id="2" xr3:uid="{00000000-0010-0000-1A00-000002000000}" name="A"/>
    <tableColumn id="3" xr3:uid="{00000000-0010-0000-1A00-000003000000}" name="North New Ayren Population"/>
    <tableColumn id="4" xr3:uid="{00000000-0010-0000-1A00-000004000000}" name="North New Ayren Population Growth "/>
    <tableColumn id="5" xr3:uid="{00000000-0010-0000-1A00-000005000000}" name="% of World"/>
  </tableColumns>
  <tableStyleInfo name="Geoscheme Population-style 19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outh_New_Ayre" displayName="South_New_Ayre" ref="HA1:HE67">
  <tableColumns count="5">
    <tableColumn id="1" xr3:uid="{00000000-0010-0000-1B00-000001000000}" name="E"/>
    <tableColumn id="2" xr3:uid="{00000000-0010-0000-1B00-000002000000}" name="A"/>
    <tableColumn id="3" xr3:uid="{00000000-0010-0000-1B00-000003000000}" name="South New Ayren Population"/>
    <tableColumn id="4" xr3:uid="{00000000-0010-0000-1B00-000004000000}" name="South New Ayren Population Growth "/>
    <tableColumn id="5" xr3:uid="{00000000-0010-0000-1B00-000005000000}" name="% of World"/>
  </tableColumns>
  <tableStyleInfo name="Geoscheme Population-style 20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ast_Quia" displayName="East_Quia" ref="HL1:HP67">
  <tableColumns count="5">
    <tableColumn id="1" xr3:uid="{00000000-0010-0000-1C00-000001000000}" name="E"/>
    <tableColumn id="2" xr3:uid="{00000000-0010-0000-1C00-000002000000}" name="A"/>
    <tableColumn id="3" xr3:uid="{00000000-0010-0000-1C00-000003000000}" name="East Quian Population"/>
    <tableColumn id="4" xr3:uid="{00000000-0010-0000-1C00-000004000000}" name="East Quian Population Growth "/>
    <tableColumn id="5" xr3:uid="{00000000-0010-0000-1C00-000005000000}" name="% of World"/>
  </tableColumns>
  <tableStyleInfo name="Geoscheme Population-style 21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North_Quia" displayName="North_Quia" ref="HW1:IA67">
  <tableColumns count="5">
    <tableColumn id="1" xr3:uid="{00000000-0010-0000-1D00-000001000000}" name="E"/>
    <tableColumn id="2" xr3:uid="{00000000-0010-0000-1D00-000002000000}" name="A"/>
    <tableColumn id="3" xr3:uid="{00000000-0010-0000-1D00-000003000000}" name="North Quian Population"/>
    <tableColumn id="4" xr3:uid="{00000000-0010-0000-1D00-000004000000}" name="North Quian Population Growth "/>
    <tableColumn id="5" xr3:uid="{00000000-0010-0000-1D00-000005000000}" name="% of World"/>
  </tableColumns>
  <tableStyleInfo name="Geoscheme Population-style 2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South_Quia" displayName="South_Quia" ref="IH1:IL67">
  <tableColumns count="5">
    <tableColumn id="1" xr3:uid="{00000000-0010-0000-1E00-000001000000}" name="E"/>
    <tableColumn id="2" xr3:uid="{00000000-0010-0000-1E00-000002000000}" name="A"/>
    <tableColumn id="3" xr3:uid="{00000000-0010-0000-1E00-000003000000}" name="South Quian Population"/>
    <tableColumn id="4" xr3:uid="{00000000-0010-0000-1E00-000004000000}" name="South Quian Population Growth "/>
    <tableColumn id="5" xr3:uid="{00000000-0010-0000-1E00-000005000000}" name="% of World"/>
  </tableColumns>
  <tableStyleInfo name="Geoscheme Population-style 2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West_Quia" displayName="West_Quia" ref="IS1:IW67">
  <tableColumns count="5">
    <tableColumn id="1" xr3:uid="{00000000-0010-0000-1F00-000001000000}" name="E"/>
    <tableColumn id="2" xr3:uid="{00000000-0010-0000-1F00-000002000000}" name="A"/>
    <tableColumn id="3" xr3:uid="{00000000-0010-0000-1F00-000003000000}" name="West Quian Population"/>
    <tableColumn id="4" xr3:uid="{00000000-0010-0000-1F00-000004000000}" name="West Quian Population Growth "/>
    <tableColumn id="5" xr3:uid="{00000000-0010-0000-1F00-000005000000}" name="% of World"/>
  </tableColumns>
  <tableStyleInfo name="Geoscheme Population-style 2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Acetoa" displayName="Acetoa" ref="A1:F67">
  <tableColumns count="6">
    <tableColumn id="1" xr3:uid="{00000000-0010-0000-2000-000001000000}" name="Earth Year"/>
    <tableColumn id="2" xr3:uid="{00000000-0010-0000-2000-000002000000}" name="Year"/>
    <tableColumn id="3" xr3:uid="{00000000-0010-0000-2000-000003000000}" name="Population"/>
    <tableColumn id="4" xr3:uid="{00000000-0010-0000-2000-000004000000}" name="Pop growth"/>
    <tableColumn id="5" xr3:uid="{00000000-0010-0000-2000-000005000000}" name="Number Pop growth"/>
    <tableColumn id="6" xr3:uid="{00000000-0010-0000-2000-000006000000}" name="Percent of Global Population"/>
  </tableColumns>
  <tableStyleInfo name="Acetoa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Acrana" displayName="Acrana" ref="A1:F67">
  <tableColumns count="6">
    <tableColumn id="1" xr3:uid="{00000000-0010-0000-2100-000001000000}" name="Earth Year"/>
    <tableColumn id="2" xr3:uid="{00000000-0010-0000-2100-000002000000}" name="Year"/>
    <tableColumn id="3" xr3:uid="{00000000-0010-0000-2100-000003000000}" name="Population"/>
    <tableColumn id="4" xr3:uid="{00000000-0010-0000-2100-000004000000}" name="Pop growth"/>
    <tableColumn id="5" xr3:uid="{00000000-0010-0000-2100-000005000000}" name="Number Pop growth"/>
    <tableColumn id="6" xr3:uid="{00000000-0010-0000-2100-000006000000}" name="Percent of Global Population"/>
  </tableColumns>
  <tableStyleInfo name="Acrana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Aetintio" displayName="Aetintio" ref="A1:F67">
  <tableColumns count="6">
    <tableColumn id="1" xr3:uid="{00000000-0010-0000-2200-000001000000}" name="Earth Year"/>
    <tableColumn id="2" xr3:uid="{00000000-0010-0000-2200-000002000000}" name="Year"/>
    <tableColumn id="3" xr3:uid="{00000000-0010-0000-2200-000003000000}" name="Population"/>
    <tableColumn id="4" xr3:uid="{00000000-0010-0000-2200-000004000000}" name="Pop growth"/>
    <tableColumn id="5" xr3:uid="{00000000-0010-0000-2200-000005000000}" name="Number Pop growth"/>
    <tableColumn id="6" xr3:uid="{00000000-0010-0000-2200-000006000000}" name="Percent of Global Population"/>
  </tableColumns>
  <tableStyleInfo name="Aetintio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Ahokini" displayName="Ahokini" ref="A1:F67">
  <tableColumns count="6">
    <tableColumn id="1" xr3:uid="{00000000-0010-0000-2300-000001000000}" name="Earth Year"/>
    <tableColumn id="2" xr3:uid="{00000000-0010-0000-2300-000002000000}" name="Year"/>
    <tableColumn id="3" xr3:uid="{00000000-0010-0000-2300-000003000000}" name="Population"/>
    <tableColumn id="4" xr3:uid="{00000000-0010-0000-2300-000004000000}" name="Pop growth"/>
    <tableColumn id="5" xr3:uid="{00000000-0010-0000-2300-000005000000}" name="Number Pop growth"/>
    <tableColumn id="6" xr3:uid="{00000000-0010-0000-2300-000006000000}" name="Percent of Global Population"/>
  </tableColumns>
  <tableStyleInfo name="Ahokin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Amcha" displayName="Amcha" ref="A1:F67">
  <tableColumns count="6">
    <tableColumn id="1" xr3:uid="{00000000-0010-0000-2400-000001000000}" name="Earth Year"/>
    <tableColumn id="2" xr3:uid="{00000000-0010-0000-2400-000002000000}" name="Year"/>
    <tableColumn id="3" xr3:uid="{00000000-0010-0000-2400-000003000000}" name="Population"/>
    <tableColumn id="4" xr3:uid="{00000000-0010-0000-2400-000004000000}" name="Pop growth"/>
    <tableColumn id="5" xr3:uid="{00000000-0010-0000-2400-000005000000}" name="Number Pop growth"/>
    <tableColumn id="6" xr3:uid="{00000000-0010-0000-2400-000006000000}" name="Percent of Global Population"/>
  </tableColumns>
  <tableStyleInfo name="Amcha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Andsaudare" displayName="Andsaudare" ref="A1:F67">
  <tableColumns count="6">
    <tableColumn id="1" xr3:uid="{00000000-0010-0000-2500-000001000000}" name="Earth Year"/>
    <tableColumn id="2" xr3:uid="{00000000-0010-0000-2500-000002000000}" name="Year"/>
    <tableColumn id="3" xr3:uid="{00000000-0010-0000-2500-000003000000}" name="Population"/>
    <tableColumn id="4" xr3:uid="{00000000-0010-0000-2500-000004000000}" name="Pop growth"/>
    <tableColumn id="5" xr3:uid="{00000000-0010-0000-2500-000005000000}" name="Number Pop growth"/>
    <tableColumn id="6" xr3:uid="{00000000-0010-0000-2500-000006000000}" name="Percent of Global Population"/>
  </tableColumns>
  <tableStyleInfo name="Andsaudare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Anymna" displayName="Anymna" ref="A1:F67">
  <tableColumns count="6">
    <tableColumn id="1" xr3:uid="{00000000-0010-0000-2600-000001000000}" name="Earth Year"/>
    <tableColumn id="2" xr3:uid="{00000000-0010-0000-2600-000002000000}" name="Year"/>
    <tableColumn id="3" xr3:uid="{00000000-0010-0000-2600-000003000000}" name="Population"/>
    <tableColumn id="4" xr3:uid="{00000000-0010-0000-2600-000004000000}" name="Pop growth"/>
    <tableColumn id="5" xr3:uid="{00000000-0010-0000-2600-000005000000}" name="Number Pop growth"/>
    <tableColumn id="6" xr3:uid="{00000000-0010-0000-2600-000006000000}" name="Percent of Global Population"/>
  </tableColumns>
  <tableStyleInfo name="Anymna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Aplasia" displayName="Aplasia" ref="A1:F67">
  <tableColumns count="6">
    <tableColumn id="1" xr3:uid="{00000000-0010-0000-2700-000001000000}" name="Earth Year"/>
    <tableColumn id="2" xr3:uid="{00000000-0010-0000-2700-000002000000}" name="Year"/>
    <tableColumn id="3" xr3:uid="{00000000-0010-0000-2700-000003000000}" name="Population"/>
    <tableColumn id="4" xr3:uid="{00000000-0010-0000-2700-000004000000}" name="Pop growth"/>
    <tableColumn id="5" xr3:uid="{00000000-0010-0000-2700-000005000000}" name="Number Pop growth"/>
    <tableColumn id="6" xr3:uid="{00000000-0010-0000-2700-000006000000}" name="Percent of Global Population"/>
  </tableColumns>
  <tableStyleInfo name="Aplasia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Arbiya" displayName="Arbiya" ref="A1:F67">
  <tableColumns count="6">
    <tableColumn id="1" xr3:uid="{00000000-0010-0000-2800-000001000000}" name="Earth Year"/>
    <tableColumn id="2" xr3:uid="{00000000-0010-0000-2800-000002000000}" name="Year"/>
    <tableColumn id="3" xr3:uid="{00000000-0010-0000-2800-000003000000}" name="Population"/>
    <tableColumn id="4" xr3:uid="{00000000-0010-0000-2800-000004000000}" name="Pop growth"/>
    <tableColumn id="5" xr3:uid="{00000000-0010-0000-2800-000005000000}" name="Number Pop growth"/>
    <tableColumn id="6" xr3:uid="{00000000-0010-0000-2800-000006000000}" name="Percent of Global Population"/>
  </tableColumns>
  <tableStyleInfo name="Arbiya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Areoix_Lie" displayName="Areoix_Lie" ref="A1:F67">
  <tableColumns count="6">
    <tableColumn id="1" xr3:uid="{00000000-0010-0000-2900-000001000000}" name="Earth Year"/>
    <tableColumn id="2" xr3:uid="{00000000-0010-0000-2900-000002000000}" name="Year"/>
    <tableColumn id="3" xr3:uid="{00000000-0010-0000-2900-000003000000}" name="Population"/>
    <tableColumn id="4" xr3:uid="{00000000-0010-0000-2900-000004000000}" name="Pop growth"/>
    <tableColumn id="5" xr3:uid="{00000000-0010-0000-2900-000005000000}" name="Number Pop growth"/>
    <tableColumn id="6" xr3:uid="{00000000-0010-0000-2900-000006000000}" name="Percent of Global Population"/>
  </tableColumns>
  <tableStyleInfo name="Areoix Lie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Ashain" displayName="Ashain" ref="A1:F67">
  <tableColumns count="6">
    <tableColumn id="1" xr3:uid="{00000000-0010-0000-2A00-000001000000}" name="Earth Year"/>
    <tableColumn id="2" xr3:uid="{00000000-0010-0000-2A00-000002000000}" name="Year"/>
    <tableColumn id="3" xr3:uid="{00000000-0010-0000-2A00-000003000000}" name="Population"/>
    <tableColumn id="4" xr3:uid="{00000000-0010-0000-2A00-000004000000}" name="Pop growth"/>
    <tableColumn id="5" xr3:uid="{00000000-0010-0000-2A00-000005000000}" name="Number Pop growth"/>
    <tableColumn id="6" xr3:uid="{00000000-0010-0000-2A00-000006000000}" name="Percent of Global Population"/>
  </tableColumns>
  <tableStyleInfo name="Ashain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Astye" displayName="Astye" ref="A1:F67">
  <tableColumns count="6">
    <tableColumn id="1" xr3:uid="{00000000-0010-0000-2B00-000001000000}" name="Earth Year"/>
    <tableColumn id="2" xr3:uid="{00000000-0010-0000-2B00-000002000000}" name="Year"/>
    <tableColumn id="3" xr3:uid="{00000000-0010-0000-2B00-000003000000}" name="Population"/>
    <tableColumn id="4" xr3:uid="{00000000-0010-0000-2B00-000004000000}" name="Pop growth"/>
    <tableColumn id="5" xr3:uid="{00000000-0010-0000-2B00-000005000000}" name="Number Pop growth"/>
    <tableColumn id="6" xr3:uid="{00000000-0010-0000-2B00-000006000000}" name="Percent of Global Population"/>
  </tableColumns>
  <tableStyleInfo name="Astye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Baluyde" displayName="Baluyde" ref="A1:F67">
  <tableColumns count="6">
    <tableColumn id="1" xr3:uid="{00000000-0010-0000-2C00-000001000000}" name="Baluyde"/>
    <tableColumn id="2" xr3:uid="{00000000-0010-0000-2C00-000002000000}" name="Year"/>
    <tableColumn id="3" xr3:uid="{00000000-0010-0000-2C00-000003000000}" name="Population"/>
    <tableColumn id="4" xr3:uid="{00000000-0010-0000-2C00-000004000000}" name="Pop growth"/>
    <tableColumn id="5" xr3:uid="{00000000-0010-0000-2C00-000005000000}" name="Number Pop growth"/>
    <tableColumn id="6" xr3:uid="{00000000-0010-0000-2C00-000006000000}" name="Percent of Global Population"/>
  </tableColumns>
  <tableStyleInfo name="Baluyde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Byllu" displayName="Byllu" ref="A1:F67">
  <tableColumns count="6">
    <tableColumn id="1" xr3:uid="{00000000-0010-0000-2D00-000001000000}" name="Earth Year"/>
    <tableColumn id="2" xr3:uid="{00000000-0010-0000-2D00-000002000000}" name="Year"/>
    <tableColumn id="3" xr3:uid="{00000000-0010-0000-2D00-000003000000}" name="Population"/>
    <tableColumn id="4" xr3:uid="{00000000-0010-0000-2D00-000004000000}" name="Pop growth"/>
    <tableColumn id="5" xr3:uid="{00000000-0010-0000-2D00-000005000000}" name="Number Pop growth"/>
    <tableColumn id="6" xr3:uid="{00000000-0010-0000-2D00-000006000000}" name="Percent of Global Population"/>
  </tableColumns>
  <tableStyleInfo name="Byllu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ndenat" displayName="Candenat" ref="A1:F67">
  <tableColumns count="6">
    <tableColumn id="1" xr3:uid="{00000000-0010-0000-2E00-000001000000}" name="Earth Year"/>
    <tableColumn id="2" xr3:uid="{00000000-0010-0000-2E00-000002000000}" name="Year"/>
    <tableColumn id="3" xr3:uid="{00000000-0010-0000-2E00-000003000000}" name="Population"/>
    <tableColumn id="4" xr3:uid="{00000000-0010-0000-2E00-000004000000}" name="Pop growth"/>
    <tableColumn id="5" xr3:uid="{00000000-0010-0000-2E00-000005000000}" name="Number Pop growth"/>
    <tableColumn id="6" xr3:uid="{00000000-0010-0000-2E00-000006000000}" name="Percent of Global Population"/>
  </tableColumns>
  <tableStyleInfo name="Candenat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Canldives" displayName="Canldives" ref="A1:F67">
  <tableColumns count="6">
    <tableColumn id="1" xr3:uid="{00000000-0010-0000-2F00-000001000000}" name="Earth Year"/>
    <tableColumn id="2" xr3:uid="{00000000-0010-0000-2F00-000002000000}" name="Year"/>
    <tableColumn id="3" xr3:uid="{00000000-0010-0000-2F00-000003000000}" name="Population"/>
    <tableColumn id="4" xr3:uid="{00000000-0010-0000-2F00-000004000000}" name="Pop growth"/>
    <tableColumn id="5" xr3:uid="{00000000-0010-0000-2F00-000005000000}" name="Number Pop growth"/>
    <tableColumn id="6" xr3:uid="{00000000-0010-0000-2F00-000006000000}" name="Percent of Global Population"/>
  </tableColumns>
  <tableStyleInfo name="Canldives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Chaenia" displayName="Chaenia" ref="A1:F67">
  <tableColumns count="6">
    <tableColumn id="1" xr3:uid="{00000000-0010-0000-3000-000001000000}" name="Earth Year"/>
    <tableColumn id="2" xr3:uid="{00000000-0010-0000-3000-000002000000}" name="Year"/>
    <tableColumn id="3" xr3:uid="{00000000-0010-0000-3000-000003000000}" name="Population"/>
    <tableColumn id="4" xr3:uid="{00000000-0010-0000-3000-000004000000}" name="Pop growth"/>
    <tableColumn id="5" xr3:uid="{00000000-0010-0000-3000-000005000000}" name="Number Pop growth"/>
    <tableColumn id="6" xr3:uid="{00000000-0010-0000-3000-000006000000}" name="Percent of Global Population"/>
  </tableColumns>
  <tableStyleInfo name="Chaenia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Cloja" displayName="Cloja" ref="A1:F67">
  <tableColumns count="6">
    <tableColumn id="1" xr3:uid="{00000000-0010-0000-3100-000001000000}" name="Earth Year"/>
    <tableColumn id="2" xr3:uid="{00000000-0010-0000-3100-000002000000}" name="Year"/>
    <tableColumn id="3" xr3:uid="{00000000-0010-0000-3100-000003000000}" name="Population"/>
    <tableColumn id="4" xr3:uid="{00000000-0010-0000-3100-000004000000}" name="Pop growth"/>
    <tableColumn id="5" xr3:uid="{00000000-0010-0000-3100-000005000000}" name="Number Pop growth"/>
    <tableColumn id="6" xr3:uid="{00000000-0010-0000-3100-000006000000}" name="Percent of Global Population"/>
  </tableColumns>
  <tableStyleInfo name="Cloja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Crila_Republic" displayName="Crila_Republic" ref="A1:F67">
  <tableColumns count="6">
    <tableColumn id="1" xr3:uid="{00000000-0010-0000-3200-000001000000}" name="Earth Year"/>
    <tableColumn id="2" xr3:uid="{00000000-0010-0000-3200-000002000000}" name="Year"/>
    <tableColumn id="3" xr3:uid="{00000000-0010-0000-3200-000003000000}" name="Population"/>
    <tableColumn id="4" xr3:uid="{00000000-0010-0000-3200-000004000000}" name="Pop growth"/>
    <tableColumn id="5" xr3:uid="{00000000-0010-0000-3200-000005000000}" name="Number Pop growth"/>
    <tableColumn id="6" xr3:uid="{00000000-0010-0000-3200-000006000000}" name="Percent of Global Population"/>
  </tableColumns>
  <tableStyleInfo name="Crila Republic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Cruthi_Anoso" displayName="Cruthi_Anoso" ref="A1:F67">
  <tableColumns count="6">
    <tableColumn id="1" xr3:uid="{00000000-0010-0000-3300-000001000000}" name="Earth Year"/>
    <tableColumn id="2" xr3:uid="{00000000-0010-0000-3300-000002000000}" name="Year"/>
    <tableColumn id="3" xr3:uid="{00000000-0010-0000-3300-000003000000}" name="Population"/>
    <tableColumn id="4" xr3:uid="{00000000-0010-0000-3300-000004000000}" name="Pop growth"/>
    <tableColumn id="5" xr3:uid="{00000000-0010-0000-3300-000005000000}" name="Number Pop growth"/>
    <tableColumn id="6" xr3:uid="{00000000-0010-0000-3300-000006000000}" name="Percent of Global Population"/>
  </tableColumns>
  <tableStyleInfo name="Cruthi Anoso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Curata" displayName="Curata" ref="A1:F67">
  <tableColumns count="6">
    <tableColumn id="1" xr3:uid="{00000000-0010-0000-3400-000001000000}" name="Earth Year"/>
    <tableColumn id="2" xr3:uid="{00000000-0010-0000-3400-000002000000}" name="Year"/>
    <tableColumn id="3" xr3:uid="{00000000-0010-0000-3400-000003000000}" name="Population"/>
    <tableColumn id="4" xr3:uid="{00000000-0010-0000-3400-000004000000}" name="Pop growth"/>
    <tableColumn id="5" xr3:uid="{00000000-0010-0000-3400-000005000000}" name="Number Pop growth"/>
    <tableColumn id="6" xr3:uid="{00000000-0010-0000-3400-000006000000}" name="Percent of Global Population"/>
  </tableColumns>
  <tableStyleInfo name="Curata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Dahe" displayName="Dahe" ref="A1:F67">
  <tableColumns count="6">
    <tableColumn id="1" xr3:uid="{00000000-0010-0000-3500-000001000000}" name="Earth Year"/>
    <tableColumn id="2" xr3:uid="{00000000-0010-0000-3500-000002000000}" name="Year"/>
    <tableColumn id="3" xr3:uid="{00000000-0010-0000-3500-000003000000}" name="Population"/>
    <tableColumn id="4" xr3:uid="{00000000-0010-0000-3500-000004000000}" name="Pop growth"/>
    <tableColumn id="5" xr3:uid="{00000000-0010-0000-3500-000005000000}" name="Number Pop growth"/>
    <tableColumn id="6" xr3:uid="{00000000-0010-0000-3500-000006000000}" name="Percent of Global Population"/>
  </tableColumns>
  <tableStyleInfo name="Dahe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Danocia" displayName="Danocia" ref="A1:F67">
  <tableColumns count="6">
    <tableColumn id="1" xr3:uid="{00000000-0010-0000-3600-000001000000}" name="Earth Year"/>
    <tableColumn id="2" xr3:uid="{00000000-0010-0000-3600-000002000000}" name="Year"/>
    <tableColumn id="3" xr3:uid="{00000000-0010-0000-3600-000003000000}" name="Population"/>
    <tableColumn id="4" xr3:uid="{00000000-0010-0000-3600-000004000000}" name="Pop growth"/>
    <tableColumn id="5" xr3:uid="{00000000-0010-0000-3600-000005000000}" name="Number Pop growth"/>
    <tableColumn id="6" xr3:uid="{00000000-0010-0000-3600-000006000000}" name="Percent of Global Population"/>
  </tableColumns>
  <tableStyleInfo name="Danocia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Darewa" displayName="Darewa" ref="A1:F67">
  <tableColumns count="6">
    <tableColumn id="1" xr3:uid="{00000000-0010-0000-3700-000001000000}" name="Earth Year"/>
    <tableColumn id="2" xr3:uid="{00000000-0010-0000-3700-000002000000}" name="Year"/>
    <tableColumn id="3" xr3:uid="{00000000-0010-0000-3700-000003000000}" name="Population"/>
    <tableColumn id="4" xr3:uid="{00000000-0010-0000-3700-000004000000}" name="Pop growth"/>
    <tableColumn id="5" xr3:uid="{00000000-0010-0000-3700-000005000000}" name="Number Pop growth"/>
    <tableColumn id="6" xr3:uid="{00000000-0010-0000-3700-000006000000}" name="Percent of Global Population"/>
  </tableColumns>
  <tableStyleInfo name="Darewa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Desaki" displayName="Desaki" ref="A1:F67">
  <tableColumns count="6">
    <tableColumn id="1" xr3:uid="{00000000-0010-0000-3800-000001000000}" name="Earth Year"/>
    <tableColumn id="2" xr3:uid="{00000000-0010-0000-3800-000002000000}" name="Year"/>
    <tableColumn id="3" xr3:uid="{00000000-0010-0000-3800-000003000000}" name="Population"/>
    <tableColumn id="4" xr3:uid="{00000000-0010-0000-3800-000004000000}" name="Pop growth"/>
    <tableColumn id="5" xr3:uid="{00000000-0010-0000-3800-000005000000}" name="Number Pop growth"/>
    <tableColumn id="6" xr3:uid="{00000000-0010-0000-3800-000006000000}" name="Percent of Global Population"/>
  </tableColumns>
  <tableStyleInfo name="Desa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Deschon" displayName="Deschon" ref="A1:F67">
  <tableColumns count="6">
    <tableColumn id="1" xr3:uid="{00000000-0010-0000-3900-000001000000}" name="Earth Year"/>
    <tableColumn id="2" xr3:uid="{00000000-0010-0000-3900-000002000000}" name="Year"/>
    <tableColumn id="3" xr3:uid="{00000000-0010-0000-3900-000003000000}" name="Population"/>
    <tableColumn id="4" xr3:uid="{00000000-0010-0000-3900-000004000000}" name="Pop growth"/>
    <tableColumn id="5" xr3:uid="{00000000-0010-0000-3900-000005000000}" name="Number Pop growth"/>
    <tableColumn id="6" xr3:uid="{00000000-0010-0000-3900-000006000000}" name="Percent of Global Population"/>
  </tableColumns>
  <tableStyleInfo name="Deschon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Disal_Nila" displayName="Disal_Nila" ref="A1:F67">
  <tableColumns count="6">
    <tableColumn id="1" xr3:uid="{00000000-0010-0000-3A00-000001000000}" name="Earth Year"/>
    <tableColumn id="2" xr3:uid="{00000000-0010-0000-3A00-000002000000}" name="Year"/>
    <tableColumn id="3" xr3:uid="{00000000-0010-0000-3A00-000003000000}" name="Population"/>
    <tableColumn id="4" xr3:uid="{00000000-0010-0000-3A00-000004000000}" name="Pop growth"/>
    <tableColumn id="5" xr3:uid="{00000000-0010-0000-3A00-000005000000}" name="Number Pop growth"/>
    <tableColumn id="6" xr3:uid="{00000000-0010-0000-3A00-000006000000}" name="Percent of Global Population"/>
  </tableColumns>
  <tableStyleInfo name="Disal Nila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Dual_Cenryia" displayName="Dual_Cenryia" ref="A1:F67">
  <tableColumns count="6">
    <tableColumn id="1" xr3:uid="{00000000-0010-0000-3B00-000001000000}" name="Earth Year"/>
    <tableColumn id="2" xr3:uid="{00000000-0010-0000-3B00-000002000000}" name="Year"/>
    <tableColumn id="3" xr3:uid="{00000000-0010-0000-3B00-000003000000}" name="Population"/>
    <tableColumn id="4" xr3:uid="{00000000-0010-0000-3B00-000004000000}" name="Pop growth"/>
    <tableColumn id="5" xr3:uid="{00000000-0010-0000-3B00-000005000000}" name="Number Pop growth"/>
    <tableColumn id="6" xr3:uid="{00000000-0010-0000-3B00-000006000000}" name="Percent of Global Population"/>
  </tableColumns>
  <tableStyleInfo name="Dual Cenryia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Ealdorii" displayName="Ealdorii" ref="A1:F67">
  <tableColumns count="6">
    <tableColumn id="1" xr3:uid="{00000000-0010-0000-3C00-000001000000}" name="Earth Year"/>
    <tableColumn id="2" xr3:uid="{00000000-0010-0000-3C00-000002000000}" name="Year"/>
    <tableColumn id="3" xr3:uid="{00000000-0010-0000-3C00-000003000000}" name="Population"/>
    <tableColumn id="4" xr3:uid="{00000000-0010-0000-3C00-000004000000}" name="Pop growth"/>
    <tableColumn id="5" xr3:uid="{00000000-0010-0000-3C00-000005000000}" name="Number Pop growth"/>
    <tableColumn id="6" xr3:uid="{00000000-0010-0000-3C00-000006000000}" name="Percent of Global Population"/>
  </tableColumns>
  <tableStyleInfo name="Ealdorii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Easuhura" displayName="Easuhura" ref="A1:F67">
  <tableColumns count="6">
    <tableColumn id="1" xr3:uid="{00000000-0010-0000-3D00-000001000000}" name="Earth Year"/>
    <tableColumn id="2" xr3:uid="{00000000-0010-0000-3D00-000002000000}" name="Year"/>
    <tableColumn id="3" xr3:uid="{00000000-0010-0000-3D00-000003000000}" name="Population"/>
    <tableColumn id="4" xr3:uid="{00000000-0010-0000-3D00-000004000000}" name="Pop growth"/>
    <tableColumn id="5" xr3:uid="{00000000-0010-0000-3D00-000005000000}" name="Number Pop growth"/>
    <tableColumn id="6" xr3:uid="{00000000-0010-0000-3D00-000006000000}" name="Percent of Global Population"/>
  </tableColumns>
  <tableStyleInfo name="Easuhura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Eldavpir" displayName="Eldavpir" ref="A1:F67">
  <tableColumns count="6">
    <tableColumn id="1" xr3:uid="{00000000-0010-0000-3E00-000001000000}" name="Earth Year"/>
    <tableColumn id="2" xr3:uid="{00000000-0010-0000-3E00-000002000000}" name="Year"/>
    <tableColumn id="3" xr3:uid="{00000000-0010-0000-3E00-000003000000}" name="Population"/>
    <tableColumn id="4" xr3:uid="{00000000-0010-0000-3E00-000004000000}" name="Pop growth"/>
    <tableColumn id="5" xr3:uid="{00000000-0010-0000-3E00-000005000000}" name="Number Pop growth"/>
    <tableColumn id="6" xr3:uid="{00000000-0010-0000-3E00-000006000000}" name="Percent of Global Population"/>
  </tableColumns>
  <tableStyleInfo name="Eldavpir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Eldjo" displayName="Eldjo" ref="A1:F67">
  <tableColumns count="6">
    <tableColumn id="1" xr3:uid="{00000000-0010-0000-3F00-000001000000}" name="Earth Year"/>
    <tableColumn id="2" xr3:uid="{00000000-0010-0000-3F00-000002000000}" name="Year"/>
    <tableColumn id="3" xr3:uid="{00000000-0010-0000-3F00-000003000000}" name="Population"/>
    <tableColumn id="4" xr3:uid="{00000000-0010-0000-3F00-000004000000}" name="Pop growth"/>
    <tableColumn id="5" xr3:uid="{00000000-0010-0000-3F00-000005000000}" name="Number Pop growth"/>
    <tableColumn id="6" xr3:uid="{00000000-0010-0000-3F00-000006000000}" name="Percent of Global Population"/>
  </tableColumns>
  <tableStyleInfo name="Eldjo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Elja_and_Munusia" displayName="Elja_and_Munusia" ref="A1:F67">
  <tableColumns count="6">
    <tableColumn id="1" xr3:uid="{00000000-0010-0000-4000-000001000000}" name="Earth Year"/>
    <tableColumn id="2" xr3:uid="{00000000-0010-0000-4000-000002000000}" name="Year"/>
    <tableColumn id="3" xr3:uid="{00000000-0010-0000-4000-000003000000}" name="Population"/>
    <tableColumn id="4" xr3:uid="{00000000-0010-0000-4000-000004000000}" name="Pop growth"/>
    <tableColumn id="5" xr3:uid="{00000000-0010-0000-4000-000005000000}" name="Number Pop growth"/>
    <tableColumn id="6" xr3:uid="{00000000-0010-0000-4000-000006000000}" name="Percent of Global Population"/>
  </tableColumns>
  <tableStyleInfo name="Elja and Munusia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Emara" displayName="Emara" ref="A1:F67">
  <tableColumns count="6">
    <tableColumn id="1" xr3:uid="{00000000-0010-0000-4100-000001000000}" name="Earth Year"/>
    <tableColumn id="2" xr3:uid="{00000000-0010-0000-4100-000002000000}" name="Year"/>
    <tableColumn id="3" xr3:uid="{00000000-0010-0000-4100-000003000000}" name="Population"/>
    <tableColumn id="4" xr3:uid="{00000000-0010-0000-4100-000004000000}" name="Pop growth"/>
    <tableColumn id="5" xr3:uid="{00000000-0010-0000-4100-000005000000}" name="Number Pop growth"/>
    <tableColumn id="6" xr3:uid="{00000000-0010-0000-4100-000006000000}" name="Percent of Global Population"/>
  </tableColumns>
  <tableStyleInfo name="Emara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Enina" displayName="Enina" ref="A1:F67">
  <tableColumns count="6">
    <tableColumn id="1" xr3:uid="{00000000-0010-0000-4200-000001000000}" name="Earth Year"/>
    <tableColumn id="2" xr3:uid="{00000000-0010-0000-4200-000002000000}" name="Year"/>
    <tableColumn id="3" xr3:uid="{00000000-0010-0000-4200-000003000000}" name="Population"/>
    <tableColumn id="4" xr3:uid="{00000000-0010-0000-4200-000004000000}" name="Pop growth"/>
    <tableColumn id="5" xr3:uid="{00000000-0010-0000-4200-000005000000}" name="Number Pop growth"/>
    <tableColumn id="6" xr3:uid="{00000000-0010-0000-4200-000006000000}" name="Percent of Global Population"/>
  </tableColumns>
  <tableStyleInfo name="Enina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Eparia" displayName="Eparia" ref="A1:F67">
  <tableColumns count="6">
    <tableColumn id="1" xr3:uid="{00000000-0010-0000-4300-000001000000}" name="Earth Year"/>
    <tableColumn id="2" xr3:uid="{00000000-0010-0000-4300-000002000000}" name="Year"/>
    <tableColumn id="3" xr3:uid="{00000000-0010-0000-4300-000003000000}" name="Population"/>
    <tableColumn id="4" xr3:uid="{00000000-0010-0000-4300-000004000000}" name="Pop growth"/>
    <tableColumn id="5" xr3:uid="{00000000-0010-0000-4300-000005000000}" name="Number Pop growth"/>
    <tableColumn id="6" xr3:uid="{00000000-0010-0000-4300-000006000000}" name="Percent of Global Population"/>
  </tableColumns>
  <tableStyleInfo name="Eparia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Erkizil" displayName="Erkizil" ref="A1:F67">
  <tableColumns count="6">
    <tableColumn id="1" xr3:uid="{00000000-0010-0000-4400-000001000000}" name="Earth Year"/>
    <tableColumn id="2" xr3:uid="{00000000-0010-0000-4400-000002000000}" name="Year"/>
    <tableColumn id="3" xr3:uid="{00000000-0010-0000-4400-000003000000}" name="Population"/>
    <tableColumn id="4" xr3:uid="{00000000-0010-0000-4400-000004000000}" name="Pop growth"/>
    <tableColumn id="5" xr3:uid="{00000000-0010-0000-4400-000005000000}" name="Number Pop growth"/>
    <tableColumn id="6" xr3:uid="{00000000-0010-0000-4400-000006000000}" name="Percent of Global Population"/>
  </tableColumns>
  <tableStyleInfo name="Erkizil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Estijan" displayName="Estijan" ref="A1:F67">
  <tableColumns count="6">
    <tableColumn id="1" xr3:uid="{00000000-0010-0000-4500-000001000000}" name="Earth Year"/>
    <tableColumn id="2" xr3:uid="{00000000-0010-0000-4500-000002000000}" name="Year"/>
    <tableColumn id="3" xr3:uid="{00000000-0010-0000-4500-000003000000}" name="Population"/>
    <tableColumn id="4" xr3:uid="{00000000-0010-0000-4500-000004000000}" name="Pop growth"/>
    <tableColumn id="5" xr3:uid="{00000000-0010-0000-4500-000005000000}" name="Number Pop growth"/>
    <tableColumn id="6" xr3:uid="{00000000-0010-0000-4500-000006000000}" name="Percent of Global Population"/>
  </tableColumns>
  <tableStyleInfo name="Estijan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Etirha" displayName="Etirha" ref="A1:F67">
  <tableColumns count="6">
    <tableColumn id="1" xr3:uid="{00000000-0010-0000-4600-000001000000}" name="Earth Year"/>
    <tableColumn id="2" xr3:uid="{00000000-0010-0000-4600-000002000000}" name="Year"/>
    <tableColumn id="3" xr3:uid="{00000000-0010-0000-4600-000003000000}" name="Population"/>
    <tableColumn id="4" xr3:uid="{00000000-0010-0000-4600-000004000000}" name="Pop growth"/>
    <tableColumn id="5" xr3:uid="{00000000-0010-0000-4600-000005000000}" name="Number Pop growth"/>
    <tableColumn id="6" xr3:uid="{00000000-0010-0000-4600-000006000000}" name="Percent of Global Population"/>
  </tableColumns>
  <tableStyleInfo name="Etirha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Etretes" displayName="Etretes" ref="A1:F67">
  <tableColumns count="6">
    <tableColumn id="1" xr3:uid="{00000000-0010-0000-4700-000001000000}" name="Earth Year"/>
    <tableColumn id="2" xr3:uid="{00000000-0010-0000-4700-000002000000}" name="Year"/>
    <tableColumn id="3" xr3:uid="{00000000-0010-0000-4700-000003000000}" name="Population"/>
    <tableColumn id="4" xr3:uid="{00000000-0010-0000-4700-000004000000}" name="Pop growth"/>
    <tableColumn id="5" xr3:uid="{00000000-0010-0000-4700-000005000000}" name="Number Pop growth"/>
    <tableColumn id="6" xr3:uid="{00000000-0010-0000-4700-000006000000}" name="Percent of Global Population"/>
  </tableColumns>
  <tableStyleInfo name="Etretes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Exilium" displayName="Exilium" ref="A1:F67">
  <tableColumns count="6">
    <tableColumn id="1" xr3:uid="{00000000-0010-0000-4800-000001000000}" name="Earth Year"/>
    <tableColumn id="2" xr3:uid="{00000000-0010-0000-4800-000002000000}" name="Year"/>
    <tableColumn id="3" xr3:uid="{00000000-0010-0000-4800-000003000000}" name="Population"/>
    <tableColumn id="4" xr3:uid="{00000000-0010-0000-4800-000004000000}" name="Pop growth"/>
    <tableColumn id="5" xr3:uid="{00000000-0010-0000-4800-000005000000}" name="Number Pop growth"/>
    <tableColumn id="6" xr3:uid="{00000000-0010-0000-4800-000006000000}" name="Percent of Global Population"/>
  </tableColumns>
  <tableStyleInfo name="Exilium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ar_Lands" displayName="Far_Lands" ref="A1:F67">
  <tableColumns count="6">
    <tableColumn id="1" xr3:uid="{00000000-0010-0000-4900-000001000000}" name="Earth Year"/>
    <tableColumn id="2" xr3:uid="{00000000-0010-0000-4900-000002000000}" name="Year"/>
    <tableColumn id="3" xr3:uid="{00000000-0010-0000-4900-000003000000}" name="Population"/>
    <tableColumn id="4" xr3:uid="{00000000-0010-0000-4900-000004000000}" name="Pop growth"/>
    <tableColumn id="5" xr3:uid="{00000000-0010-0000-4900-000005000000}" name="Number Pop growth"/>
    <tableColumn id="6" xr3:uid="{00000000-0010-0000-4900-000006000000}" name="Percent of Global Population"/>
  </tableColumns>
  <tableStyleInfo name="Far Lands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eio_Lie" displayName="Feio_Lie" ref="A1:F67">
  <tableColumns count="6">
    <tableColumn id="1" xr3:uid="{00000000-0010-0000-4A00-000001000000}" name="Earth Year"/>
    <tableColumn id="2" xr3:uid="{00000000-0010-0000-4A00-000002000000}" name="Year"/>
    <tableColumn id="3" xr3:uid="{00000000-0010-0000-4A00-000003000000}" name="Population"/>
    <tableColumn id="4" xr3:uid="{00000000-0010-0000-4A00-000004000000}" name="Pop growth"/>
    <tableColumn id="5" xr3:uid="{00000000-0010-0000-4A00-000005000000}" name="Number Pop growth"/>
    <tableColumn id="6" xr3:uid="{00000000-0010-0000-4A00-000006000000}" name="Percent of Global Population"/>
  </tableColumns>
  <tableStyleInfo name="Feio Lie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ermori" displayName="Fermori" ref="A1:F67">
  <tableColumns count="6">
    <tableColumn id="1" xr3:uid="{00000000-0010-0000-4B00-000001000000}" name="Earth Year"/>
    <tableColumn id="2" xr3:uid="{00000000-0010-0000-4B00-000002000000}" name="Year"/>
    <tableColumn id="3" xr3:uid="{00000000-0010-0000-4B00-000003000000}" name="Population"/>
    <tableColumn id="4" xr3:uid="{00000000-0010-0000-4B00-000004000000}" name="Pop growth"/>
    <tableColumn id="5" xr3:uid="{00000000-0010-0000-4B00-000005000000}" name="Number Pop growth"/>
    <tableColumn id="6" xr3:uid="{00000000-0010-0000-4B00-000006000000}" name="Percent of Global Population"/>
  </tableColumns>
  <tableStyleInfo name="Fermori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inae" displayName="Finae" ref="A1:F67">
  <tableColumns count="6">
    <tableColumn id="1" xr3:uid="{00000000-0010-0000-4C00-000001000000}" name="Earth Year"/>
    <tableColumn id="2" xr3:uid="{00000000-0010-0000-4C00-000002000000}" name="Year"/>
    <tableColumn id="3" xr3:uid="{00000000-0010-0000-4C00-000003000000}" name="Population"/>
    <tableColumn id="4" xr3:uid="{00000000-0010-0000-4C00-000004000000}" name="Pop growth"/>
    <tableColumn id="5" xr3:uid="{00000000-0010-0000-4C00-000005000000}" name="Number Pop growth"/>
    <tableColumn id="6" xr3:uid="{00000000-0010-0000-4C00-000006000000}" name="Percent of Global Population"/>
  </tableColumns>
  <tableStyleInfo name="Finae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incen" displayName="Fincen" ref="A1:F67">
  <tableColumns count="6">
    <tableColumn id="1" xr3:uid="{00000000-0010-0000-4D00-000001000000}" name="Earth Year"/>
    <tableColumn id="2" xr3:uid="{00000000-0010-0000-4D00-000002000000}" name="Year"/>
    <tableColumn id="3" xr3:uid="{00000000-0010-0000-4D00-000003000000}" name="Population"/>
    <tableColumn id="4" xr3:uid="{00000000-0010-0000-4D00-000004000000}" name="Pop growth"/>
    <tableColumn id="5" xr3:uid="{00000000-0010-0000-4D00-000005000000}" name="Number Pop growth"/>
    <tableColumn id="6" xr3:uid="{00000000-0010-0000-4D00-000006000000}" name="Percent of Global Population"/>
  </tableColumns>
  <tableStyleInfo name="Fincen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ire_Coast" displayName="Fire_Coast" ref="A1:F67">
  <tableColumns count="6">
    <tableColumn id="1" xr3:uid="{00000000-0010-0000-4E00-000001000000}" name="Earth Year"/>
    <tableColumn id="2" xr3:uid="{00000000-0010-0000-4E00-000002000000}" name="Year"/>
    <tableColumn id="3" xr3:uid="{00000000-0010-0000-4E00-000003000000}" name="Population"/>
    <tableColumn id="4" xr3:uid="{00000000-0010-0000-4E00-000004000000}" name="Pop growth"/>
    <tableColumn id="5" xr3:uid="{00000000-0010-0000-4E00-000005000000}" name="Number Pop growth"/>
    <tableColumn id="6" xr3:uid="{00000000-0010-0000-4E00-000006000000}" name="Percent of Global Population"/>
  </tableColumns>
  <tableStyleInfo name="Fire Coast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Gaeiya" displayName="Gaeiya" ref="A1:F67">
  <tableColumns count="6">
    <tableColumn id="1" xr3:uid="{00000000-0010-0000-4F00-000001000000}" name="Earth Year"/>
    <tableColumn id="2" xr3:uid="{00000000-0010-0000-4F00-000002000000}" name="Year"/>
    <tableColumn id="3" xr3:uid="{00000000-0010-0000-4F00-000003000000}" name="Population"/>
    <tableColumn id="4" xr3:uid="{00000000-0010-0000-4F00-000004000000}" name="Pop growth"/>
    <tableColumn id="5" xr3:uid="{00000000-0010-0000-4F00-000005000000}" name="Number Pop growth"/>
    <tableColumn id="6" xr3:uid="{00000000-0010-0000-4F00-000006000000}" name="Percent of Global Population"/>
  </tableColumns>
  <tableStyleInfo name="Gaeiya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Galca" displayName="Galca" ref="A1:F67">
  <tableColumns count="6">
    <tableColumn id="1" xr3:uid="{00000000-0010-0000-5000-000001000000}" name="Earth Year"/>
    <tableColumn id="2" xr3:uid="{00000000-0010-0000-5000-000002000000}" name="Year"/>
    <tableColumn id="3" xr3:uid="{00000000-0010-0000-5000-000003000000}" name="Population"/>
    <tableColumn id="4" xr3:uid="{00000000-0010-0000-5000-000004000000}" name="Pop growth"/>
    <tableColumn id="5" xr3:uid="{00000000-0010-0000-5000-000005000000}" name="Number Pop growth"/>
    <tableColumn id="6" xr3:uid="{00000000-0010-0000-5000-000006000000}" name="Percent of Global Population"/>
  </tableColumns>
  <tableStyleInfo name="Galca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Genaire" displayName="Genaire" ref="A1:F67">
  <tableColumns count="6">
    <tableColumn id="1" xr3:uid="{00000000-0010-0000-5100-000001000000}" name="Earth Year"/>
    <tableColumn id="2" xr3:uid="{00000000-0010-0000-5100-000002000000}" name="Year"/>
    <tableColumn id="3" xr3:uid="{00000000-0010-0000-5100-000003000000}" name="Population"/>
    <tableColumn id="4" xr3:uid="{00000000-0010-0000-5100-000004000000}" name="Pop growth"/>
    <tableColumn id="5" xr3:uid="{00000000-0010-0000-5100-000005000000}" name="Number Pop growth"/>
    <tableColumn id="6" xr3:uid="{00000000-0010-0000-5100-000006000000}" name="Percent of Global Population"/>
  </tableColumns>
  <tableStyleInfo name="Genaire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Grazail" displayName="Grazail" ref="A1:F67">
  <tableColumns count="6">
    <tableColumn id="1" xr3:uid="{00000000-0010-0000-5200-000001000000}" name="Earth Year"/>
    <tableColumn id="2" xr3:uid="{00000000-0010-0000-5200-000002000000}" name="Year"/>
    <tableColumn id="3" xr3:uid="{00000000-0010-0000-5200-000003000000}" name="Population"/>
    <tableColumn id="4" xr3:uid="{00000000-0010-0000-5200-000004000000}" name="Pop growth"/>
    <tableColumn id="5" xr3:uid="{00000000-0010-0000-5200-000005000000}" name="Number Pop growth"/>
    <tableColumn id="6" xr3:uid="{00000000-0010-0000-5200-000006000000}" name="Percent of Global Population"/>
  </tableColumns>
  <tableStyleInfo name="Grazail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Guise" displayName="Guise" ref="A1:F67">
  <tableColumns count="6">
    <tableColumn id="1" xr3:uid="{00000000-0010-0000-5300-000001000000}" name="Earth Year"/>
    <tableColumn id="2" xr3:uid="{00000000-0010-0000-5300-000002000000}" name="Year"/>
    <tableColumn id="3" xr3:uid="{00000000-0010-0000-5300-000003000000}" name="Population"/>
    <tableColumn id="4" xr3:uid="{00000000-0010-0000-5300-000004000000}" name="Pop growth"/>
    <tableColumn id="5" xr3:uid="{00000000-0010-0000-5300-000005000000}" name="Number Pop growth"/>
    <tableColumn id="6" xr3:uid="{00000000-0010-0000-5300-000006000000}" name="Percent of Global Population"/>
  </tableColumns>
  <tableStyleInfo name="Guise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Haiza" displayName="Haiza" ref="A1:F67">
  <tableColumns count="6">
    <tableColumn id="1" xr3:uid="{00000000-0010-0000-5400-000001000000}" name="Earth Year"/>
    <tableColumn id="2" xr3:uid="{00000000-0010-0000-5400-000002000000}" name="Year"/>
    <tableColumn id="3" xr3:uid="{00000000-0010-0000-5400-000003000000}" name="Population"/>
    <tableColumn id="4" xr3:uid="{00000000-0010-0000-5400-000004000000}" name="Pop growth"/>
    <tableColumn id="5" xr3:uid="{00000000-0010-0000-5400-000005000000}" name="Number Pop growth"/>
    <tableColumn id="6" xr3:uid="{00000000-0010-0000-5400-000006000000}" name="Percent of Global Population"/>
  </tableColumns>
  <tableStyleInfo name="Haiza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Heiso" displayName="Heiso" ref="A1:F67">
  <tableColumns count="6">
    <tableColumn id="1" xr3:uid="{00000000-0010-0000-5500-000001000000}" name="Earth Year"/>
    <tableColumn id="2" xr3:uid="{00000000-0010-0000-5500-000002000000}" name="Year"/>
    <tableColumn id="3" xr3:uid="{00000000-0010-0000-5500-000003000000}" name="Population"/>
    <tableColumn id="4" xr3:uid="{00000000-0010-0000-5500-000004000000}" name="Pop growth"/>
    <tableColumn id="5" xr3:uid="{00000000-0010-0000-5500-000005000000}" name="Number Pop growth"/>
    <tableColumn id="6" xr3:uid="{00000000-0010-0000-5500-000006000000}" name="Percent of Global Population"/>
  </tableColumns>
  <tableStyleInfo name="Heiso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Hiwush" displayName="Hiwush" ref="A1:F67">
  <tableColumns count="6">
    <tableColumn id="1" xr3:uid="{00000000-0010-0000-5600-000001000000}" name="Earth Year"/>
    <tableColumn id="2" xr3:uid="{00000000-0010-0000-5600-000002000000}" name="Year"/>
    <tableColumn id="3" xr3:uid="{00000000-0010-0000-5600-000003000000}" name="Population"/>
    <tableColumn id="4" xr3:uid="{00000000-0010-0000-5600-000004000000}" name="Pop growth"/>
    <tableColumn id="5" xr3:uid="{00000000-0010-0000-5600-000005000000}" name="Number Pop growth"/>
    <tableColumn id="6" xr3:uid="{00000000-0010-0000-5600-000006000000}" name="Percent of Global Population"/>
  </tableColumns>
  <tableStyleInfo name="Hiwush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Hkuqo" displayName="Hkuqo" ref="A1:F67">
  <tableColumns count="6">
    <tableColumn id="1" xr3:uid="{00000000-0010-0000-5700-000001000000}" name="Earth Year"/>
    <tableColumn id="2" xr3:uid="{00000000-0010-0000-5700-000002000000}" name="Year"/>
    <tableColumn id="3" xr3:uid="{00000000-0010-0000-5700-000003000000}" name="Population"/>
    <tableColumn id="4" xr3:uid="{00000000-0010-0000-5700-000004000000}" name="Pop growth"/>
    <tableColumn id="5" xr3:uid="{00000000-0010-0000-5700-000005000000}" name="Number Pop growth"/>
    <tableColumn id="6" xr3:uid="{00000000-0010-0000-5700-000006000000}" name="Percent of Global Population"/>
  </tableColumns>
  <tableStyleInfo name="Hkuqo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Hyelen" displayName="Hyelen" ref="A1:F67">
  <tableColumns count="6">
    <tableColumn id="1" xr3:uid="{00000000-0010-0000-5800-000001000000}" name="Earth Year"/>
    <tableColumn id="2" xr3:uid="{00000000-0010-0000-5800-000002000000}" name="Year"/>
    <tableColumn id="3" xr3:uid="{00000000-0010-0000-5800-000003000000}" name="Population"/>
    <tableColumn id="4" xr3:uid="{00000000-0010-0000-5800-000004000000}" name="Pop growth"/>
    <tableColumn id="5" xr3:uid="{00000000-0010-0000-5800-000005000000}" name="1.00%"/>
    <tableColumn id="6" xr3:uid="{00000000-0010-0000-5800-000006000000}" name="Percent of Global Population"/>
  </tableColumns>
  <tableStyleInfo name="Hyelen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Iainoa" displayName="Iainoa" ref="A1:F67">
  <tableColumns count="6">
    <tableColumn id="1" xr3:uid="{00000000-0010-0000-5900-000001000000}" name="Earth Year"/>
    <tableColumn id="2" xr3:uid="{00000000-0010-0000-5900-000002000000}" name="Year"/>
    <tableColumn id="3" xr3:uid="{00000000-0010-0000-5900-000003000000}" name="Population"/>
    <tableColumn id="4" xr3:uid="{00000000-0010-0000-5900-000004000000}" name="Pop growth"/>
    <tableColumn id="5" xr3:uid="{00000000-0010-0000-5900-000005000000}" name="Number Pop growth"/>
    <tableColumn id="6" xr3:uid="{00000000-0010-0000-5900-000006000000}" name="Percent of Global Population"/>
  </tableColumns>
  <tableStyleInfo name="Iainoa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Iareva" displayName="Iareva" ref="A1:F67">
  <tableColumns count="6">
    <tableColumn id="1" xr3:uid="{00000000-0010-0000-5A00-000001000000}" name="Earth Year"/>
    <tableColumn id="2" xr3:uid="{00000000-0010-0000-5A00-000002000000}" name="Year"/>
    <tableColumn id="3" xr3:uid="{00000000-0010-0000-5A00-000003000000}" name="Population"/>
    <tableColumn id="4" xr3:uid="{00000000-0010-0000-5A00-000004000000}" name="Pop growth"/>
    <tableColumn id="5" xr3:uid="{00000000-0010-0000-5A00-000005000000}" name="Number Pop growth"/>
    <tableColumn id="6" xr3:uid="{00000000-0010-0000-5A00-000006000000}" name="Percent of Global Population"/>
  </tableColumns>
  <tableStyleInfo name="Iareva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Ihner" displayName="Ihner" ref="A1:F67">
  <tableColumns count="6">
    <tableColumn id="1" xr3:uid="{00000000-0010-0000-5B00-000001000000}" name="Earth Year"/>
    <tableColumn id="2" xr3:uid="{00000000-0010-0000-5B00-000002000000}" name="Year"/>
    <tableColumn id="3" xr3:uid="{00000000-0010-0000-5B00-000003000000}" name="Population"/>
    <tableColumn id="4" xr3:uid="{00000000-0010-0000-5B00-000004000000}" name="Pop growth"/>
    <tableColumn id="5" xr3:uid="{00000000-0010-0000-5B00-000005000000}" name="Number Pop growth"/>
    <tableColumn id="6" xr3:uid="{00000000-0010-0000-5B00-000006000000}" name="Percent of Global Population"/>
  </tableColumns>
  <tableStyleInfo name="Ihner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Ikzen" displayName="Ikzen" ref="A1:F67">
  <tableColumns count="6">
    <tableColumn id="1" xr3:uid="{00000000-0010-0000-5C00-000001000000}" name="Earth Year"/>
    <tableColumn id="2" xr3:uid="{00000000-0010-0000-5C00-000002000000}" name="Year"/>
    <tableColumn id="3" xr3:uid="{00000000-0010-0000-5C00-000003000000}" name="Population"/>
    <tableColumn id="4" xr3:uid="{00000000-0010-0000-5C00-000004000000}" name="Pop growth"/>
    <tableColumn id="5" xr3:uid="{00000000-0010-0000-5C00-000005000000}" name="Number Pop growth"/>
    <tableColumn id="6" xr3:uid="{00000000-0010-0000-5C00-000006000000}" name="Percent of Global Population"/>
  </tableColumns>
  <tableStyleInfo name="Ikzen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Ilicuhe" displayName="Ilicuhe" ref="A1:F67">
  <tableColumns count="6">
    <tableColumn id="1" xr3:uid="{00000000-0010-0000-5D00-000001000000}" name="Earth Year"/>
    <tableColumn id="2" xr3:uid="{00000000-0010-0000-5D00-000002000000}" name="Year"/>
    <tableColumn id="3" xr3:uid="{00000000-0010-0000-5D00-000003000000}" name="Population"/>
    <tableColumn id="4" xr3:uid="{00000000-0010-0000-5D00-000004000000}" name="Pop growth"/>
    <tableColumn id="5" xr3:uid="{00000000-0010-0000-5D00-000005000000}" name="Number Pop growth"/>
    <tableColumn id="6" xr3:uid="{00000000-0010-0000-5D00-000006000000}" name="Percent of Global Population"/>
  </tableColumns>
  <tableStyleInfo name="Ilicuhe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Inania" displayName="Inania" ref="A1:F67">
  <tableColumns count="6">
    <tableColumn id="1" xr3:uid="{00000000-0010-0000-5E00-000001000000}" name="Earth Year"/>
    <tableColumn id="2" xr3:uid="{00000000-0010-0000-5E00-000002000000}" name="Year"/>
    <tableColumn id="3" xr3:uid="{00000000-0010-0000-5E00-000003000000}" name="Population"/>
    <tableColumn id="4" xr3:uid="{00000000-0010-0000-5E00-000004000000}" name="Pop growth"/>
    <tableColumn id="5" xr3:uid="{00000000-0010-0000-5E00-000005000000}" name="Number Pop growth"/>
    <tableColumn id="6" xr3:uid="{00000000-0010-0000-5E00-000006000000}" name="Percent of Global Population"/>
  </tableColumns>
  <tableStyleInfo name="Inania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Inrea" displayName="Inrea" ref="A1:F67">
  <tableColumns count="6">
    <tableColumn id="1" xr3:uid="{00000000-0010-0000-5F00-000001000000}" name="Earth Year"/>
    <tableColumn id="2" xr3:uid="{00000000-0010-0000-5F00-000002000000}" name="Year"/>
    <tableColumn id="3" xr3:uid="{00000000-0010-0000-5F00-000003000000}" name="Population"/>
    <tableColumn id="4" xr3:uid="{00000000-0010-0000-5F00-000004000000}" name="Pop growth"/>
    <tableColumn id="5" xr3:uid="{00000000-0010-0000-5F00-000005000000}" name="Number Pop growth"/>
    <tableColumn id="6" xr3:uid="{00000000-0010-0000-5F00-000006000000}" name="Percent of Global Population"/>
  </tableColumns>
  <tableStyleInfo name="Inrea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Iquir" displayName="Iquir" ref="A1:F67">
  <tableColumns count="6">
    <tableColumn id="1" xr3:uid="{00000000-0010-0000-6000-000001000000}" name="Earth Year"/>
    <tableColumn id="2" xr3:uid="{00000000-0010-0000-6000-000002000000}" name="Year"/>
    <tableColumn id="3" xr3:uid="{00000000-0010-0000-6000-000003000000}" name="Population"/>
    <tableColumn id="4" xr3:uid="{00000000-0010-0000-6000-000004000000}" name="Pop growth"/>
    <tableColumn id="5" xr3:uid="{00000000-0010-0000-6000-000005000000}" name="Number Pop growth"/>
    <tableColumn id="6" xr3:uid="{00000000-0010-0000-6000-000006000000}" name="Percent of Global Population"/>
  </tableColumns>
  <tableStyleInfo name="Iquir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Isari" displayName="Isari" ref="A1:F67">
  <tableColumns count="6">
    <tableColumn id="1" xr3:uid="{00000000-0010-0000-6100-000001000000}" name="Earth Year"/>
    <tableColumn id="2" xr3:uid="{00000000-0010-0000-6100-000002000000}" name="Year"/>
    <tableColumn id="3" xr3:uid="{00000000-0010-0000-6100-000003000000}" name="Population"/>
    <tableColumn id="4" xr3:uid="{00000000-0010-0000-6100-000004000000}" name="Pop growth"/>
    <tableColumn id="5" xr3:uid="{00000000-0010-0000-6100-000005000000}" name="Number Pop growth"/>
    <tableColumn id="6" xr3:uid="{00000000-0010-0000-6100-000006000000}" name="Percent of Global Population"/>
  </tableColumns>
  <tableStyleInfo name="Isari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Isnti" displayName="Isnti" ref="A1:F67">
  <tableColumns count="6">
    <tableColumn id="1" xr3:uid="{00000000-0010-0000-6200-000001000000}" name="Earth Year"/>
    <tableColumn id="2" xr3:uid="{00000000-0010-0000-6200-000002000000}" name="Year"/>
    <tableColumn id="3" xr3:uid="{00000000-0010-0000-6200-000003000000}" name="Population"/>
    <tableColumn id="4" xr3:uid="{00000000-0010-0000-6200-000004000000}" name="Pop growth"/>
    <tableColumn id="5" xr3:uid="{00000000-0010-0000-6200-000005000000}" name="Number Pop growth"/>
    <tableColumn id="6" xr3:uid="{00000000-0010-0000-6200-000006000000}" name="Percent of Global Population"/>
  </tableColumns>
  <tableStyleInfo name="Isnt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Isuibul" displayName="Isuibul" ref="A1:F67">
  <tableColumns count="6">
    <tableColumn id="1" xr3:uid="{00000000-0010-0000-6300-000001000000}" name="Earth Year"/>
    <tableColumn id="2" xr3:uid="{00000000-0010-0000-6300-000002000000}" name="Year"/>
    <tableColumn id="3" xr3:uid="{00000000-0010-0000-6300-000003000000}" name="Population"/>
    <tableColumn id="4" xr3:uid="{00000000-0010-0000-6300-000004000000}" name="Pop growth"/>
    <tableColumn id="5" xr3:uid="{00000000-0010-0000-6300-000005000000}" name="Number Pop growth"/>
    <tableColumn id="6" xr3:uid="{00000000-0010-0000-6300-000006000000}" name="Percent of Global Population"/>
  </tableColumns>
  <tableStyleInfo name="Isuibul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Jathua" displayName="Jathua" ref="A1:F67">
  <tableColumns count="6">
    <tableColumn id="1" xr3:uid="{00000000-0010-0000-6400-000001000000}" name="Earth Year"/>
    <tableColumn id="2" xr3:uid="{00000000-0010-0000-6400-000002000000}" name="Year"/>
    <tableColumn id="3" xr3:uid="{00000000-0010-0000-6400-000003000000}" name="Population"/>
    <tableColumn id="4" xr3:uid="{00000000-0010-0000-6400-000004000000}" name="Pop growth"/>
    <tableColumn id="5" xr3:uid="{00000000-0010-0000-6400-000005000000}" name="Number Pop growth"/>
    <tableColumn id="6" xr3:uid="{00000000-0010-0000-6400-000006000000}" name="Percent of Global Population"/>
  </tableColumns>
  <tableStyleInfo name="Jathua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Jau" displayName="Jau" ref="A1:F67">
  <tableColumns count="6">
    <tableColumn id="1" xr3:uid="{00000000-0010-0000-6500-000001000000}" name="Earth Year"/>
    <tableColumn id="2" xr3:uid="{00000000-0010-0000-6500-000002000000}" name="Year"/>
    <tableColumn id="3" xr3:uid="{00000000-0010-0000-6500-000003000000}" name="Population"/>
    <tableColumn id="4" xr3:uid="{00000000-0010-0000-6500-000004000000}" name="Pop growth"/>
    <tableColumn id="5" xr3:uid="{00000000-0010-0000-6500-000005000000}" name="Number Pop growth"/>
    <tableColumn id="6" xr3:uid="{00000000-0010-0000-6500-000006000000}" name="Percent of Global Population"/>
  </tableColumns>
  <tableStyleInfo name="Jau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Jshain" displayName="Jshain" ref="A1:F67">
  <tableColumns count="6">
    <tableColumn id="1" xr3:uid="{00000000-0010-0000-6600-000001000000}" name="Earth Year"/>
    <tableColumn id="2" xr3:uid="{00000000-0010-0000-6600-000002000000}" name="Year"/>
    <tableColumn id="3" xr3:uid="{00000000-0010-0000-6600-000003000000}" name="Population"/>
    <tableColumn id="4" xr3:uid="{00000000-0010-0000-6600-000004000000}" name="Pop growth"/>
    <tableColumn id="5" xr3:uid="{00000000-0010-0000-6600-000005000000}" name="Number Pop growth"/>
    <tableColumn id="6" xr3:uid="{00000000-0010-0000-6600-000006000000}" name="Percent of Global Population"/>
  </tableColumns>
  <tableStyleInfo name="Jshain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Kaastini" displayName="Kaastini" ref="A1:F67">
  <tableColumns count="6">
    <tableColumn id="1" xr3:uid="{00000000-0010-0000-6700-000001000000}" name="Earth Year"/>
    <tableColumn id="2" xr3:uid="{00000000-0010-0000-6700-000002000000}" name="Year"/>
    <tableColumn id="3" xr3:uid="{00000000-0010-0000-6700-000003000000}" name="Population"/>
    <tableColumn id="4" xr3:uid="{00000000-0010-0000-6700-000004000000}" name="Pop growth"/>
    <tableColumn id="5" xr3:uid="{00000000-0010-0000-6700-000005000000}" name="Number Pop growth"/>
    <tableColumn id="6" xr3:uid="{00000000-0010-0000-6700-000006000000}" name="Percent of Global Population"/>
  </tableColumns>
  <tableStyleInfo name="Kaastini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Koruch" displayName="Koruch" ref="A1:F67">
  <tableColumns count="6">
    <tableColumn id="1" xr3:uid="{00000000-0010-0000-6800-000001000000}" name="Earth Year"/>
    <tableColumn id="2" xr3:uid="{00000000-0010-0000-6800-000002000000}" name="Year"/>
    <tableColumn id="3" xr3:uid="{00000000-0010-0000-6800-000003000000}" name="Population"/>
    <tableColumn id="4" xr3:uid="{00000000-0010-0000-6800-000004000000}" name="Pop growth"/>
    <tableColumn id="5" xr3:uid="{00000000-0010-0000-6800-000005000000}" name="Number Pop growth"/>
    <tableColumn id="6" xr3:uid="{00000000-0010-0000-6800-000006000000}" name="Percent of Global Population"/>
  </tableColumns>
  <tableStyleInfo name="Koruch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Kusierna" displayName="Kusierna" ref="A1:F67">
  <tableColumns count="6">
    <tableColumn id="1" xr3:uid="{00000000-0010-0000-6900-000001000000}" name="Earth Year"/>
    <tableColumn id="2" xr3:uid="{00000000-0010-0000-6900-000002000000}" name="Year"/>
    <tableColumn id="3" xr3:uid="{00000000-0010-0000-6900-000003000000}" name="Population"/>
    <tableColumn id="4" xr3:uid="{00000000-0010-0000-6900-000004000000}" name="Pop growth"/>
    <tableColumn id="5" xr3:uid="{00000000-0010-0000-6900-000005000000}" name="Number Pop growth"/>
    <tableColumn id="6" xr3:uid="{00000000-0010-0000-6900-000006000000}" name="Percent of Global Population"/>
  </tableColumns>
  <tableStyleInfo name="Kusierna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Laselteh" displayName="Laselteh" ref="A1:F67">
  <tableColumns count="6">
    <tableColumn id="1" xr3:uid="{00000000-0010-0000-6A00-000001000000}" name="Earth Year"/>
    <tableColumn id="2" xr3:uid="{00000000-0010-0000-6A00-000002000000}" name="Year"/>
    <tableColumn id="3" xr3:uid="{00000000-0010-0000-6A00-000003000000}" name="Population"/>
    <tableColumn id="4" xr3:uid="{00000000-0010-0000-6A00-000004000000}" name="Pop growth"/>
    <tableColumn id="5" xr3:uid="{00000000-0010-0000-6A00-000005000000}" name="Number Pop growth"/>
    <tableColumn id="6" xr3:uid="{00000000-0010-0000-6A00-000006000000}" name="Percent of Global Population"/>
  </tableColumns>
  <tableStyleInfo name="Laselteh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Lasri" displayName="Lasri" ref="A1:F67">
  <tableColumns count="6">
    <tableColumn id="1" xr3:uid="{00000000-0010-0000-6B00-000001000000}" name="Earth Year"/>
    <tableColumn id="2" xr3:uid="{00000000-0010-0000-6B00-000002000000}" name="Year"/>
    <tableColumn id="3" xr3:uid="{00000000-0010-0000-6B00-000003000000}" name="Population"/>
    <tableColumn id="4" xr3:uid="{00000000-0010-0000-6B00-000004000000}" name="Pop growth"/>
    <tableColumn id="5" xr3:uid="{00000000-0010-0000-6B00-000005000000}" name="Number Pop growth"/>
    <tableColumn id="6" xr3:uid="{00000000-0010-0000-6B00-000006000000}" name="Percent of Global Population"/>
  </tableColumns>
  <tableStyleInfo name="Lasri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Letan" displayName="Letan" ref="A1:F67">
  <tableColumns count="6">
    <tableColumn id="1" xr3:uid="{00000000-0010-0000-6C00-000001000000}" name="Earth Year"/>
    <tableColumn id="2" xr3:uid="{00000000-0010-0000-6C00-000002000000}" name="Year"/>
    <tableColumn id="3" xr3:uid="{00000000-0010-0000-6C00-000003000000}" name="Population"/>
    <tableColumn id="4" xr3:uid="{00000000-0010-0000-6C00-000004000000}" name="Pop growth"/>
    <tableColumn id="5" xr3:uid="{00000000-0010-0000-6C00-000005000000}" name="Number Pop growth"/>
    <tableColumn id="6" xr3:uid="{00000000-0010-0000-6C00-000006000000}" name="Percent of Global Population"/>
  </tableColumns>
  <tableStyleInfo name="Letan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Lieri" displayName="Lieri" ref="A1:F67">
  <tableColumns count="6">
    <tableColumn id="1" xr3:uid="{00000000-0010-0000-6D00-000001000000}" name="Earth Year"/>
    <tableColumn id="2" xr3:uid="{00000000-0010-0000-6D00-000002000000}" name="Year"/>
    <tableColumn id="3" xr3:uid="{00000000-0010-0000-6D00-000003000000}" name="Population"/>
    <tableColumn id="4" xr3:uid="{00000000-0010-0000-6D00-000004000000}" name="Pop growth"/>
    <tableColumn id="5" xr3:uid="{00000000-0010-0000-6D00-000005000000}" name="Number Pop growth"/>
    <tableColumn id="6" xr3:uid="{00000000-0010-0000-6D00-000006000000}" name="Percent of Global Population"/>
  </tableColumns>
  <tableStyleInfo name="Lieri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Lycroa" displayName="Lycroa" ref="A1:F67">
  <tableColumns count="6">
    <tableColumn id="1" xr3:uid="{00000000-0010-0000-6E00-000001000000}" name="Earth Year"/>
    <tableColumn id="2" xr3:uid="{00000000-0010-0000-6E00-000002000000}" name="Year"/>
    <tableColumn id="3" xr3:uid="{00000000-0010-0000-6E00-000003000000}" name="Population"/>
    <tableColumn id="4" xr3:uid="{00000000-0010-0000-6E00-000004000000}" name="Pop growth"/>
    <tableColumn id="5" xr3:uid="{00000000-0010-0000-6E00-000005000000}" name="Number Pop growth"/>
    <tableColumn id="6" xr3:uid="{00000000-0010-0000-6E00-000006000000}" name="Percent of Global Population"/>
  </tableColumns>
  <tableStyleInfo name="Lycroa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Lydroa" displayName="Lydroa" ref="A1:F67">
  <tableColumns count="6">
    <tableColumn id="1" xr3:uid="{00000000-0010-0000-6F00-000001000000}" name="Earth Year"/>
    <tableColumn id="2" xr3:uid="{00000000-0010-0000-6F00-000002000000}" name="Year"/>
    <tableColumn id="3" xr3:uid="{00000000-0010-0000-6F00-000003000000}" name="Population"/>
    <tableColumn id="4" xr3:uid="{00000000-0010-0000-6F00-000004000000}" name="Pop growth"/>
    <tableColumn id="5" xr3:uid="{00000000-0010-0000-6F00-000005000000}" name="Number Pop growth"/>
    <tableColumn id="6" xr3:uid="{00000000-0010-0000-6F00-000006000000}" name="Percent of Global Population"/>
  </tableColumns>
  <tableStyleInfo name="Lydroa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Maalle" displayName="Maalle" ref="A1:F67">
  <tableColumns count="6">
    <tableColumn id="1" xr3:uid="{00000000-0010-0000-7000-000001000000}" name="Earth Year"/>
    <tableColumn id="2" xr3:uid="{00000000-0010-0000-7000-000002000000}" name="Year"/>
    <tableColumn id="3" xr3:uid="{00000000-0010-0000-7000-000003000000}" name="Population"/>
    <tableColumn id="4" xr3:uid="{00000000-0010-0000-7000-000004000000}" name="Pop growth"/>
    <tableColumn id="5" xr3:uid="{00000000-0010-0000-7000-000005000000}" name="Number Pop growth"/>
    <tableColumn id="6" xr3:uid="{00000000-0010-0000-7000-000006000000}" name="Percent of Global Population"/>
  </tableColumns>
  <tableStyleInfo name="Maalle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Mendereide" displayName="Mendereide" ref="A1:F67">
  <tableColumns count="6">
    <tableColumn id="1" xr3:uid="{00000000-0010-0000-7100-000001000000}" name="Earth Year"/>
    <tableColumn id="2" xr3:uid="{00000000-0010-0000-7100-000002000000}" name="Year"/>
    <tableColumn id="3" xr3:uid="{00000000-0010-0000-7100-000003000000}" name="Population"/>
    <tableColumn id="4" xr3:uid="{00000000-0010-0000-7100-000004000000}" name="Pop growth"/>
    <tableColumn id="5" xr3:uid="{00000000-0010-0000-7100-000005000000}" name="Number Pop growth"/>
    <tableColumn id="6" xr3:uid="{00000000-0010-0000-7100-000006000000}" name="Percent of Global Population"/>
  </tableColumns>
  <tableStyleInfo name="Mendereide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Merela_Sta" displayName="Merela_Sta" ref="A1:F67">
  <tableColumns count="6">
    <tableColumn id="1" xr3:uid="{00000000-0010-0000-7200-000001000000}" name="Earth Year"/>
    <tableColumn id="2" xr3:uid="{00000000-0010-0000-7200-000002000000}" name="Year"/>
    <tableColumn id="3" xr3:uid="{00000000-0010-0000-7200-000003000000}" name="Population"/>
    <tableColumn id="4" xr3:uid="{00000000-0010-0000-7200-000004000000}" name="Pop growth"/>
    <tableColumn id="5" xr3:uid="{00000000-0010-0000-7200-000005000000}" name="Number Pop growth"/>
    <tableColumn id="6" xr3:uid="{00000000-0010-0000-7200-000006000000}" name="Percent of Global Population"/>
  </tableColumns>
  <tableStyleInfo name="Merela Sta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Mesjan_Hyaa" displayName="Mesjan_Hyaa" ref="A1:F67">
  <tableColumns count="6">
    <tableColumn id="1" xr3:uid="{00000000-0010-0000-7300-000001000000}" name="Earth Year"/>
    <tableColumn id="2" xr3:uid="{00000000-0010-0000-7300-000002000000}" name="Year"/>
    <tableColumn id="3" xr3:uid="{00000000-0010-0000-7300-000003000000}" name="Population"/>
    <tableColumn id="4" xr3:uid="{00000000-0010-0000-7300-000004000000}" name="Pop growth"/>
    <tableColumn id="5" xr3:uid="{00000000-0010-0000-7300-000005000000}" name="Number Pop growth"/>
    <tableColumn id="6" xr3:uid="{00000000-0010-0000-7300-000006000000}" name="Percent of Global Population"/>
  </tableColumns>
  <tableStyleInfo name="Mesjan Hyaa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Metndria" displayName="Metndria" ref="A1:F67">
  <tableColumns count="6">
    <tableColumn id="1" xr3:uid="{00000000-0010-0000-7400-000001000000}" name="Earth Year"/>
    <tableColumn id="2" xr3:uid="{00000000-0010-0000-7400-000002000000}" name="Year"/>
    <tableColumn id="3" xr3:uid="{00000000-0010-0000-7400-000003000000}" name="Population"/>
    <tableColumn id="4" xr3:uid="{00000000-0010-0000-7400-000004000000}" name="Pop growth"/>
    <tableColumn id="5" xr3:uid="{00000000-0010-0000-7400-000005000000}" name="Number Pop growth"/>
    <tableColumn id="6" xr3:uid="{00000000-0010-0000-7400-000006000000}" name="Percent of Global Population"/>
  </tableColumns>
  <tableStyleInfo name="Metndria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Migoku" displayName="Migoku" ref="A1:F67">
  <tableColumns count="6">
    <tableColumn id="1" xr3:uid="{00000000-0010-0000-7500-000001000000}" name="Column 1"/>
    <tableColumn id="2" xr3:uid="{00000000-0010-0000-7500-000002000000}" name="Year"/>
    <tableColumn id="3" xr3:uid="{00000000-0010-0000-7500-000003000000}" name="Population"/>
    <tableColumn id="4" xr3:uid="{00000000-0010-0000-7500-000004000000}" name="Pop growth"/>
    <tableColumn id="5" xr3:uid="{00000000-0010-0000-7500-000005000000}" name="Number Pop growth"/>
    <tableColumn id="6" xr3:uid="{00000000-0010-0000-7500-000006000000}" name="Percent of Global Population"/>
  </tableColumns>
  <tableStyleInfo name="Migoku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Myla" displayName="Myla" ref="A1:F67">
  <tableColumns count="6">
    <tableColumn id="1" xr3:uid="{00000000-0010-0000-7600-000001000000}" name="Earth Year"/>
    <tableColumn id="2" xr3:uid="{00000000-0010-0000-7600-000002000000}" name="Year"/>
    <tableColumn id="3" xr3:uid="{00000000-0010-0000-7600-000003000000}" name="Population"/>
    <tableColumn id="4" xr3:uid="{00000000-0010-0000-7600-000004000000}" name="Pop growth"/>
    <tableColumn id="5" xr3:uid="{00000000-0010-0000-7600-000005000000}" name="Number Pop growth"/>
    <tableColumn id="6" xr3:uid="{00000000-0010-0000-7600-000006000000}" name="Percent of Global Population"/>
  </tableColumns>
  <tableStyleInfo name="Myla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New_Kizura" displayName="New_Kizura" ref="A1:F67">
  <tableColumns count="6">
    <tableColumn id="1" xr3:uid="{00000000-0010-0000-7700-000001000000}" name="Earth Year"/>
    <tableColumn id="2" xr3:uid="{00000000-0010-0000-7700-000002000000}" name="Year"/>
    <tableColumn id="3" xr3:uid="{00000000-0010-0000-7700-000003000000}" name="Population"/>
    <tableColumn id="4" xr3:uid="{00000000-0010-0000-7700-000004000000}" name="Pop growth"/>
    <tableColumn id="5" xr3:uid="{00000000-0010-0000-7700-000005000000}" name="Number Pop growth"/>
    <tableColumn id="6" xr3:uid="{00000000-0010-0000-7700-000006000000}" name="Percent of Global Population"/>
  </tableColumns>
  <tableStyleInfo name="New Kizura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New_Misos" displayName="New_Misos" ref="A1:F67">
  <tableColumns count="6">
    <tableColumn id="1" xr3:uid="{00000000-0010-0000-7800-000001000000}" name="Earth Year"/>
    <tableColumn id="2" xr3:uid="{00000000-0010-0000-7800-000002000000}" name="Year"/>
    <tableColumn id="3" xr3:uid="{00000000-0010-0000-7800-000003000000}" name="Population"/>
    <tableColumn id="4" xr3:uid="{00000000-0010-0000-7800-000004000000}" name="Pop growth"/>
    <tableColumn id="5" xr3:uid="{00000000-0010-0000-7800-000005000000}" name="Number Pop growth"/>
    <tableColumn id="6" xr3:uid="{00000000-0010-0000-7800-000006000000}" name="Percent of Global Population"/>
  </tableColumns>
  <tableStyleInfo name="New Misos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Nheyes_Si" displayName="Nheyes_Si" ref="A1:F67">
  <tableColumns count="6">
    <tableColumn id="1" xr3:uid="{00000000-0010-0000-7900-000001000000}" name="Earth Year"/>
    <tableColumn id="2" xr3:uid="{00000000-0010-0000-7900-000002000000}" name="Year"/>
    <tableColumn id="3" xr3:uid="{00000000-0010-0000-7900-000003000000}" name="Population"/>
    <tableColumn id="4" xr3:uid="{00000000-0010-0000-7900-000004000000}" name="Pop growth"/>
    <tableColumn id="5" xr3:uid="{00000000-0010-0000-7900-000005000000}" name="Number Pop growth"/>
    <tableColumn id="6" xr3:uid="{00000000-0010-0000-7900-000006000000}" name="Percent of Global Population"/>
  </tableColumns>
  <tableStyleInfo name="Nheyes Si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Nia" displayName="Nia" ref="A1:F67">
  <tableColumns count="6">
    <tableColumn id="1" xr3:uid="{00000000-0010-0000-7A00-000001000000}" name="Earth Year"/>
    <tableColumn id="2" xr3:uid="{00000000-0010-0000-7A00-000002000000}" name="Year"/>
    <tableColumn id="3" xr3:uid="{00000000-0010-0000-7A00-000003000000}" name="Population"/>
    <tableColumn id="4" xr3:uid="{00000000-0010-0000-7A00-000004000000}" name="Pop growth"/>
    <tableColumn id="5" xr3:uid="{00000000-0010-0000-7A00-000005000000}" name="Number Pop growth"/>
    <tableColumn id="6" xr3:uid="{00000000-0010-0000-7A00-000006000000}" name="Percent of Global Population"/>
  </tableColumns>
  <tableStyleInfo name="Nia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Niretui_and_Anulan" displayName="Niretui_and_Anulan" ref="A1:F67">
  <tableColumns count="6">
    <tableColumn id="1" xr3:uid="{00000000-0010-0000-7B00-000001000000}" name="Earth Year"/>
    <tableColumn id="2" xr3:uid="{00000000-0010-0000-7B00-000002000000}" name="Year"/>
    <tableColumn id="3" xr3:uid="{00000000-0010-0000-7B00-000003000000}" name="Population"/>
    <tableColumn id="4" xr3:uid="{00000000-0010-0000-7B00-000004000000}" name="Pop growth"/>
    <tableColumn id="5" xr3:uid="{00000000-0010-0000-7B00-000005000000}" name="Number Pop growth"/>
    <tableColumn id="6" xr3:uid="{00000000-0010-0000-7B00-000006000000}" name="Percent of Global Population"/>
  </tableColumns>
  <tableStyleInfo name="Niretui and Anulan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Niul_Spijan" displayName="Niul_Spijan" ref="A1:F67">
  <tableColumns count="6">
    <tableColumn id="1" xr3:uid="{00000000-0010-0000-7C00-000001000000}" name="Earth Year"/>
    <tableColumn id="2" xr3:uid="{00000000-0010-0000-7C00-000002000000}" name="Year"/>
    <tableColumn id="3" xr3:uid="{00000000-0010-0000-7C00-000003000000}" name="Population"/>
    <tableColumn id="4" xr3:uid="{00000000-0010-0000-7C00-000004000000}" name="Pop growth"/>
    <tableColumn id="5" xr3:uid="{00000000-0010-0000-7C00-000005000000}" name="Number Pop growth"/>
    <tableColumn id="6" xr3:uid="{00000000-0010-0000-7C00-000006000000}" name="Percent of Global Population"/>
  </tableColumns>
  <tableStyleInfo name="Niul Spijan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North_Ayre" displayName="North_Ayre" ref="A1:F67">
  <tableColumns count="6">
    <tableColumn id="1" xr3:uid="{00000000-0010-0000-7D00-000001000000}" name="Earth Year"/>
    <tableColumn id="2" xr3:uid="{00000000-0010-0000-7D00-000002000000}" name="Year"/>
    <tableColumn id="3" xr3:uid="{00000000-0010-0000-7D00-000003000000}" name="Population"/>
    <tableColumn id="4" xr3:uid="{00000000-0010-0000-7D00-000004000000}" name="Pop growth"/>
    <tableColumn id="5" xr3:uid="{00000000-0010-0000-7D00-000005000000}" name="Number Pop growth"/>
    <tableColumn id="6" xr3:uid="{00000000-0010-0000-7D00-000006000000}" name="Percent of Global Population"/>
  </tableColumns>
  <tableStyleInfo name="North Ayre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Ocaun" displayName="Ocaun" ref="A1:F67">
  <tableColumns count="6">
    <tableColumn id="1" xr3:uid="{00000000-0010-0000-7E00-000001000000}" name="Earth Year"/>
    <tableColumn id="2" xr3:uid="{00000000-0010-0000-7E00-000002000000}" name="Year"/>
    <tableColumn id="3" xr3:uid="{00000000-0010-0000-7E00-000003000000}" name="Population"/>
    <tableColumn id="4" xr3:uid="{00000000-0010-0000-7E00-000004000000}" name="Pop growth"/>
    <tableColumn id="5" xr3:uid="{00000000-0010-0000-7E00-000005000000}" name="Number Pop growth"/>
    <tableColumn id="6" xr3:uid="{00000000-0010-0000-7E00-000006000000}" name="Percent of Global Population"/>
  </tableColumns>
  <tableStyleInfo name="Ocau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Ohtina" displayName="Ohtina" ref="A1:F67">
  <tableColumns count="6">
    <tableColumn id="1" xr3:uid="{00000000-0010-0000-7F00-000001000000}" name="Earth Year"/>
    <tableColumn id="2" xr3:uid="{00000000-0010-0000-7F00-000002000000}" name="Year"/>
    <tableColumn id="3" xr3:uid="{00000000-0010-0000-7F00-000003000000}" name="Population"/>
    <tableColumn id="4" xr3:uid="{00000000-0010-0000-7F00-000004000000}" name="Pop growth"/>
    <tableColumn id="5" xr3:uid="{00000000-0010-0000-7F00-000005000000}" name="Number Pop growth"/>
    <tableColumn id="6" xr3:uid="{00000000-0010-0000-7F00-000006000000}" name="Percent of Global Population"/>
  </tableColumns>
  <tableStyleInfo name="Ohtina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Onphello" displayName="Onphello" ref="A1:F67">
  <tableColumns count="6">
    <tableColumn id="1" xr3:uid="{00000000-0010-0000-8000-000001000000}" name="Earth Year"/>
    <tableColumn id="2" xr3:uid="{00000000-0010-0000-8000-000002000000}" name="Year"/>
    <tableColumn id="3" xr3:uid="{00000000-0010-0000-8000-000003000000}" name="Population"/>
    <tableColumn id="4" xr3:uid="{00000000-0010-0000-8000-000004000000}" name="Pop growth"/>
    <tableColumn id="5" xr3:uid="{00000000-0010-0000-8000-000005000000}" name="Number Pop growth"/>
    <tableColumn id="6" xr3:uid="{00000000-0010-0000-8000-000006000000}" name="Percent of Global Population"/>
  </tableColumns>
  <tableStyleInfo name="Onphello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Oscairia" displayName="Oscairia" ref="A1:F67">
  <tableColumns count="6">
    <tableColumn id="1" xr3:uid="{00000000-0010-0000-8100-000001000000}" name="Earth Year"/>
    <tableColumn id="2" xr3:uid="{00000000-0010-0000-8100-000002000000}" name="Year"/>
    <tableColumn id="3" xr3:uid="{00000000-0010-0000-8100-000003000000}" name="Population"/>
    <tableColumn id="4" xr3:uid="{00000000-0010-0000-8100-000004000000}" name="Pop growth"/>
    <tableColumn id="5" xr3:uid="{00000000-0010-0000-8100-000005000000}" name="Number Pop growth"/>
    <tableColumn id="6" xr3:uid="{00000000-0010-0000-8100-000006000000}" name="Percent of Global Population"/>
  </tableColumns>
  <tableStyleInfo name="Oscairia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Othya" displayName="Othya" ref="A1:F67">
  <tableColumns count="6">
    <tableColumn id="1" xr3:uid="{00000000-0010-0000-8200-000001000000}" name="Earth Year"/>
    <tableColumn id="2" xr3:uid="{00000000-0010-0000-8200-000002000000}" name="Year"/>
    <tableColumn id="3" xr3:uid="{00000000-0010-0000-8200-000003000000}" name="Population"/>
    <tableColumn id="4" xr3:uid="{00000000-0010-0000-8200-000004000000}" name="Pop growth"/>
    <tableColumn id="5" xr3:uid="{00000000-0010-0000-8200-000005000000}" name="Number Pop growth"/>
    <tableColumn id="6" xr3:uid="{00000000-0010-0000-8200-000006000000}" name="Percent of Global Population"/>
  </tableColumns>
  <tableStyleInfo name="Othya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Otiiric" displayName="Otiiric" ref="A1:F67">
  <tableColumns count="6">
    <tableColumn id="1" xr3:uid="{00000000-0010-0000-8300-000001000000}" name="Earth Year"/>
    <tableColumn id="2" xr3:uid="{00000000-0010-0000-8300-000002000000}" name="Year"/>
    <tableColumn id="3" xr3:uid="{00000000-0010-0000-8300-000003000000}" name="Population"/>
    <tableColumn id="4" xr3:uid="{00000000-0010-0000-8300-000004000000}" name="Pop growth"/>
    <tableColumn id="5" xr3:uid="{00000000-0010-0000-8300-000005000000}" name="Number Pop growth"/>
    <tableColumn id="6" xr3:uid="{00000000-0010-0000-8300-000006000000}" name="Percent of Global Population"/>
  </tableColumns>
  <tableStyleInfo name="Otiiric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Oyreain" displayName="Oyreain" ref="A1:F67">
  <tableColumns count="6">
    <tableColumn id="1" xr3:uid="{00000000-0010-0000-8400-000001000000}" name="Earth Year"/>
    <tableColumn id="2" xr3:uid="{00000000-0010-0000-8400-000002000000}" name="Year"/>
    <tableColumn id="3" xr3:uid="{00000000-0010-0000-8400-000003000000}" name="Population"/>
    <tableColumn id="4" xr3:uid="{00000000-0010-0000-8400-000004000000}" name="Pop growth"/>
    <tableColumn id="5" xr3:uid="{00000000-0010-0000-8400-000005000000}" name="Number Pop growth"/>
    <tableColumn id="6" xr3:uid="{00000000-0010-0000-8400-000006000000}" name="Percent of Global Population"/>
  </tableColumns>
  <tableStyleInfo name="Oyreain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Ozinia" displayName="Ozinia" ref="A1:F67">
  <tableColumns count="6">
    <tableColumn id="1" xr3:uid="{00000000-0010-0000-8500-000001000000}" name="Earth Year"/>
    <tableColumn id="2" xr3:uid="{00000000-0010-0000-8500-000002000000}" name="Year"/>
    <tableColumn id="3" xr3:uid="{00000000-0010-0000-8500-000003000000}" name="Population"/>
    <tableColumn id="4" xr3:uid="{00000000-0010-0000-8500-000004000000}" name="Pop growth"/>
    <tableColumn id="5" xr3:uid="{00000000-0010-0000-8500-000005000000}" name="Number Pop growth"/>
    <tableColumn id="6" xr3:uid="{00000000-0010-0000-8500-000006000000}" name="Percent of Global Population"/>
  </tableColumns>
  <tableStyleInfo name="Ozinia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Palina" displayName="Palina" ref="A1:F67">
  <tableColumns count="6">
    <tableColumn id="1" xr3:uid="{00000000-0010-0000-8600-000001000000}" name="Earth Year"/>
    <tableColumn id="2" xr3:uid="{00000000-0010-0000-8600-000002000000}" name="Year"/>
    <tableColumn id="3" xr3:uid="{00000000-0010-0000-8600-000003000000}" name="Population"/>
    <tableColumn id="4" xr3:uid="{00000000-0010-0000-8600-000004000000}" name="Pop growth"/>
    <tableColumn id="5" xr3:uid="{00000000-0010-0000-8600-000005000000}" name="Number Pop growth"/>
    <tableColumn id="6" xr3:uid="{00000000-0010-0000-8600-000006000000}" name="Percent of Global Population"/>
  </tableColumns>
  <tableStyleInfo name="Palina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Peka" displayName="Peka" ref="A1:F67">
  <tableColumns count="6">
    <tableColumn id="1" xr3:uid="{00000000-0010-0000-8700-000001000000}" name="Earth Year"/>
    <tableColumn id="2" xr3:uid="{00000000-0010-0000-8700-000002000000}" name="Year"/>
    <tableColumn id="3" xr3:uid="{00000000-0010-0000-8700-000003000000}" name="Population"/>
    <tableColumn id="4" xr3:uid="{00000000-0010-0000-8700-000004000000}" name="Pop growth"/>
    <tableColumn id="5" xr3:uid="{00000000-0010-0000-8700-000005000000}" name="Number Pop growth"/>
    <tableColumn id="6" xr3:uid="{00000000-0010-0000-8700-000006000000}" name="Percent of Global Population"/>
  </tableColumns>
  <tableStyleInfo name="Peka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Pelan" displayName="Pelan" ref="A1:F67">
  <tableColumns count="6">
    <tableColumn id="1" xr3:uid="{00000000-0010-0000-8800-000001000000}" name="Earth Year"/>
    <tableColumn id="2" xr3:uid="{00000000-0010-0000-8800-000002000000}" name="Year"/>
    <tableColumn id="3" xr3:uid="{00000000-0010-0000-8800-000003000000}" name="Population"/>
    <tableColumn id="4" xr3:uid="{00000000-0010-0000-8800-000004000000}" name="Pop growth"/>
    <tableColumn id="5" xr3:uid="{00000000-0010-0000-8800-000005000000}" name="Number Pop growth"/>
    <tableColumn id="6" xr3:uid="{00000000-0010-0000-8800-000006000000}" name="Percent of Global Population"/>
  </tableColumns>
  <tableStyleInfo name="Pelan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Pelines" displayName="Pelines" ref="A1:F67">
  <tableColumns count="6">
    <tableColumn id="1" xr3:uid="{00000000-0010-0000-8900-000001000000}" name="Earth Year"/>
    <tableColumn id="2" xr3:uid="{00000000-0010-0000-8900-000002000000}" name="Year"/>
    <tableColumn id="3" xr3:uid="{00000000-0010-0000-8900-000003000000}" name="Population"/>
    <tableColumn id="4" xr3:uid="{00000000-0010-0000-8900-000004000000}" name="Pop growth"/>
    <tableColumn id="5" xr3:uid="{00000000-0010-0000-8900-000005000000}" name="Number Pop growth"/>
    <tableColumn id="6" xr3:uid="{00000000-0010-0000-8900-000006000000}" name="Percent of Global Population"/>
  </tableColumns>
  <tableStyleInfo name="Pelines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Pelugrotoa" displayName="Pelugrotoa" ref="A1:F67">
  <tableColumns count="6">
    <tableColumn id="1" xr3:uid="{00000000-0010-0000-8A00-000001000000}" name="Earth Year"/>
    <tableColumn id="2" xr3:uid="{00000000-0010-0000-8A00-000002000000}" name="Year"/>
    <tableColumn id="3" xr3:uid="{00000000-0010-0000-8A00-000003000000}" name="Population"/>
    <tableColumn id="4" xr3:uid="{00000000-0010-0000-8A00-000004000000}" name="Pop growth"/>
    <tableColumn id="5" xr3:uid="{00000000-0010-0000-8A00-000005000000}" name="Number Pop growth"/>
    <tableColumn id="6" xr3:uid="{00000000-0010-0000-8A00-000006000000}" name="Percent of Global Population"/>
  </tableColumns>
  <tableStyleInfo name="Pelugrotoa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Pha_Hii" displayName="Pha_Hii" ref="A1:F67">
  <tableColumns count="6">
    <tableColumn id="1" xr3:uid="{00000000-0010-0000-8B00-000001000000}" name="Earth Year"/>
    <tableColumn id="2" xr3:uid="{00000000-0010-0000-8B00-000002000000}" name="Year"/>
    <tableColumn id="3" xr3:uid="{00000000-0010-0000-8B00-000003000000}" name="Population"/>
    <tableColumn id="4" xr3:uid="{00000000-0010-0000-8B00-000004000000}" name="Pop growth"/>
    <tableColumn id="5" xr3:uid="{00000000-0010-0000-8B00-000005000000}" name="Number Pop growth"/>
    <tableColumn id="6" xr3:uid="{00000000-0010-0000-8B00-000006000000}" name="Percent of Global Population"/>
  </tableColumns>
  <tableStyleInfo name="Pha Hii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Phuris" displayName="Phuris" ref="A1:F67">
  <tableColumns count="6">
    <tableColumn id="1" xr3:uid="{00000000-0010-0000-8C00-000001000000}" name="Earth Year"/>
    <tableColumn id="2" xr3:uid="{00000000-0010-0000-8C00-000002000000}" name="Year"/>
    <tableColumn id="3" xr3:uid="{00000000-0010-0000-8C00-000003000000}" name="Population"/>
    <tableColumn id="4" xr3:uid="{00000000-0010-0000-8C00-000004000000}" name="Pop growth"/>
    <tableColumn id="5" xr3:uid="{00000000-0010-0000-8C00-000005000000}" name="Number Pop growth"/>
    <tableColumn id="6" xr3:uid="{00000000-0010-0000-8C00-000006000000}" name="Percent of Global Population"/>
  </tableColumns>
  <tableStyleInfo name="Phuris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Praesyu" displayName="Praesyu" ref="A1:F67">
  <tableColumns count="6">
    <tableColumn id="1" xr3:uid="{00000000-0010-0000-8D00-000001000000}" name="Earth Year"/>
    <tableColumn id="2" xr3:uid="{00000000-0010-0000-8D00-000002000000}" name="Year"/>
    <tableColumn id="3" xr3:uid="{00000000-0010-0000-8D00-000003000000}" name="Population"/>
    <tableColumn id="4" xr3:uid="{00000000-0010-0000-8D00-000004000000}" name="Pop growth"/>
    <tableColumn id="5" xr3:uid="{00000000-0010-0000-8D00-000005000000}" name="Number Pop growth"/>
    <tableColumn id="6" xr3:uid="{00000000-0010-0000-8D00-000006000000}" name="Percent of Global Population"/>
  </tableColumns>
  <tableStyleInfo name="Praesyu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emplatge" displayName="templatge" ref="A1:F67">
  <tableColumns count="6">
    <tableColumn id="1" xr3:uid="{00000000-0010-0000-8E00-000001000000}" name="Earth Year"/>
    <tableColumn id="2" xr3:uid="{00000000-0010-0000-8E00-000002000000}" name="Year"/>
    <tableColumn id="3" xr3:uid="{00000000-0010-0000-8E00-000003000000}" name="Population"/>
    <tableColumn id="4" xr3:uid="{00000000-0010-0000-8E00-000004000000}" name="Pop growth"/>
    <tableColumn id="5" xr3:uid="{00000000-0010-0000-8E00-000005000000}" name="Number Pop growth"/>
    <tableColumn id="6" xr3:uid="{00000000-0010-0000-8E00-000006000000}" name="Percent of Global Population"/>
  </tableColumns>
  <tableStyleInfo name="Prstreula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Pruim_Fijan" displayName="Pruim_Fijan" ref="A1:F67">
  <tableColumns count="6">
    <tableColumn id="1" xr3:uid="{00000000-0010-0000-8F00-000001000000}" name="Earth Year"/>
    <tableColumn id="2" xr3:uid="{00000000-0010-0000-8F00-000002000000}" name="Year"/>
    <tableColumn id="3" xr3:uid="{00000000-0010-0000-8F00-000003000000}" name="Population"/>
    <tableColumn id="4" xr3:uid="{00000000-0010-0000-8F00-000004000000}" name="Pop growth"/>
    <tableColumn id="5" xr3:uid="{00000000-0010-0000-8F00-000005000000}" name="Number Pop growth"/>
    <tableColumn id="6" xr3:uid="{00000000-0010-0000-8F00-000006000000}" name="Percent of Global Population"/>
  </tableColumns>
  <tableStyleInfo name="Pruim Fijan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Prystr_Hii" displayName="Prystr_Hii" ref="A1:F67">
  <tableColumns count="6">
    <tableColumn id="1" xr3:uid="{00000000-0010-0000-9000-000001000000}" name="Earth Year"/>
    <tableColumn id="2" xr3:uid="{00000000-0010-0000-9000-000002000000}" name="Year"/>
    <tableColumn id="3" xr3:uid="{00000000-0010-0000-9000-000003000000}" name="Population"/>
    <tableColumn id="4" xr3:uid="{00000000-0010-0000-9000-000004000000}" name="Pop growth"/>
    <tableColumn id="5" xr3:uid="{00000000-0010-0000-9000-000005000000}" name="Number Pop growth"/>
    <tableColumn id="6" xr3:uid="{00000000-0010-0000-9000-000006000000}" name="Percent of Global Population"/>
  </tableColumns>
  <tableStyleInfo name="Prystr Hii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Quidic" displayName="Quidic" ref="A1:F67">
  <tableColumns count="6">
    <tableColumn id="1" xr3:uid="{00000000-0010-0000-9100-000001000000}" name="Earth Year"/>
    <tableColumn id="2" xr3:uid="{00000000-0010-0000-9100-000002000000}" name="Year"/>
    <tableColumn id="3" xr3:uid="{00000000-0010-0000-9100-000003000000}" name="Population"/>
    <tableColumn id="4" xr3:uid="{00000000-0010-0000-9100-000004000000}" name="Pop growth"/>
    <tableColumn id="5" xr3:uid="{00000000-0010-0000-9100-000005000000}" name="Number Pop growth"/>
    <tableColumn id="6" xr3:uid="{00000000-0010-0000-9100-000006000000}" name="Percent of Global Population"/>
  </tableColumns>
  <tableStyleInfo name="Quidic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Raledria" displayName="Raledria" ref="A1:F67">
  <tableColumns count="6">
    <tableColumn id="1" xr3:uid="{00000000-0010-0000-9200-000001000000}" name="Earth Year"/>
    <tableColumn id="2" xr3:uid="{00000000-0010-0000-9200-000002000000}" name="Year"/>
    <tableColumn id="3" xr3:uid="{00000000-0010-0000-9200-000003000000}" name="Population"/>
    <tableColumn id="4" xr3:uid="{00000000-0010-0000-9200-000004000000}" name="Pop growth"/>
    <tableColumn id="5" xr3:uid="{00000000-0010-0000-9200-000005000000}" name="Number Pop growth"/>
    <tableColumn id="6" xr3:uid="{00000000-0010-0000-9200-000006000000}" name="Percent of Global Population"/>
  </tableColumns>
  <tableStyleInfo name="Raledria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Reerica" displayName="Reerica" ref="A1:F67">
  <tableColumns count="6">
    <tableColumn id="1" xr3:uid="{00000000-0010-0000-9300-000001000000}" name="Reerica"/>
    <tableColumn id="2" xr3:uid="{00000000-0010-0000-9300-000002000000}" name="Year"/>
    <tableColumn id="3" xr3:uid="{00000000-0010-0000-9300-000003000000}" name="Population"/>
    <tableColumn id="4" xr3:uid="{00000000-0010-0000-9300-000004000000}" name="Pop growth"/>
    <tableColumn id="5" xr3:uid="{00000000-0010-0000-9300-000005000000}" name="Number Pop growth"/>
    <tableColumn id="6" xr3:uid="{00000000-0010-0000-9300-000006000000}" name="Percent of Global Population"/>
  </tableColumns>
  <tableStyleInfo name="Reerica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Rethern" displayName="Rethern" ref="A1:F67">
  <tableColumns count="6">
    <tableColumn id="1" xr3:uid="{00000000-0010-0000-9400-000001000000}" name="Earth Year"/>
    <tableColumn id="2" xr3:uid="{00000000-0010-0000-9400-000002000000}" name="Year"/>
    <tableColumn id="3" xr3:uid="{00000000-0010-0000-9400-000003000000}" name="Population"/>
    <tableColumn id="4" xr3:uid="{00000000-0010-0000-9400-000004000000}" name="Pop growth"/>
    <tableColumn id="5" xr3:uid="{00000000-0010-0000-9400-000005000000}" name="Number Pop growth"/>
    <tableColumn id="6" xr3:uid="{00000000-0010-0000-9400-000006000000}" name="Percent of Global Population"/>
  </tableColumns>
  <tableStyleInfo name="Rethern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Rijan_bu" displayName="Rijan_bu" ref="A1:F67">
  <tableColumns count="6">
    <tableColumn id="1" xr3:uid="{00000000-0010-0000-9500-000001000000}" name="Earth Year"/>
    <tableColumn id="2" xr3:uid="{00000000-0010-0000-9500-000002000000}" name="Year"/>
    <tableColumn id="3" xr3:uid="{00000000-0010-0000-9500-000003000000}" name="Population"/>
    <tableColumn id="4" xr3:uid="{00000000-0010-0000-9500-000004000000}" name="Pop growth"/>
    <tableColumn id="5" xr3:uid="{00000000-0010-0000-9500-000005000000}" name="Number Pop growth"/>
    <tableColumn id="6" xr3:uid="{00000000-0010-0000-9500-000006000000}" name="Percent of Global Population"/>
  </tableColumns>
  <tableStyleInfo name="Rijan bu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Rinew" displayName="Rinew" ref="A1:F67">
  <tableColumns count="6">
    <tableColumn id="1" xr3:uid="{00000000-0010-0000-9600-000001000000}" name="Earth Year"/>
    <tableColumn id="2" xr3:uid="{00000000-0010-0000-9600-000002000000}" name="Year"/>
    <tableColumn id="3" xr3:uid="{00000000-0010-0000-9600-000003000000}" name="Population"/>
    <tableColumn id="4" xr3:uid="{00000000-0010-0000-9600-000004000000}" name="Pop growth"/>
    <tableColumn id="5" xr3:uid="{00000000-0010-0000-9600-000005000000}" name="Number Pop growth"/>
    <tableColumn id="6" xr3:uid="{00000000-0010-0000-9600-000006000000}" name="Percent of Global Population"/>
  </tableColumns>
  <tableStyleInfo name="Rinew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Rkmepuia" displayName="Rkmepuia" ref="A1:F67">
  <tableColumns count="6">
    <tableColumn id="1" xr3:uid="{00000000-0010-0000-9700-000001000000}" name="Earth Year"/>
    <tableColumn id="2" xr3:uid="{00000000-0010-0000-9700-000002000000}" name="Year"/>
    <tableColumn id="3" xr3:uid="{00000000-0010-0000-9700-000003000000}" name="Population"/>
    <tableColumn id="4" xr3:uid="{00000000-0010-0000-9700-000004000000}" name="Pop growth"/>
    <tableColumn id="5" xr3:uid="{00000000-0010-0000-9700-000005000000}" name="Number Pop growth"/>
    <tableColumn id="6" xr3:uid="{00000000-0010-0000-9700-000006000000}" name="Percent of Global Population"/>
  </tableColumns>
  <tableStyleInfo name="Rkmepuia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Rtesania" displayName="Rtesania" ref="A1:F67">
  <tableColumns count="6">
    <tableColumn id="1" xr3:uid="{00000000-0010-0000-9800-000001000000}" name="Earth Year"/>
    <tableColumn id="2" xr3:uid="{00000000-0010-0000-9800-000002000000}" name="Year"/>
    <tableColumn id="3" xr3:uid="{00000000-0010-0000-9800-000003000000}" name="Population"/>
    <tableColumn id="4" xr3:uid="{00000000-0010-0000-9800-000004000000}" name="Pop growth"/>
    <tableColumn id="5" xr3:uid="{00000000-0010-0000-9800-000005000000}" name="Number Pop growth"/>
    <tableColumn id="6" xr3:uid="{00000000-0010-0000-9800-000006000000}" name="Percent of Global Population"/>
  </tableColumns>
  <tableStyleInfo name="Rtesania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Ruylku" displayName="Ruylku" ref="A1:F67">
  <tableColumns count="6">
    <tableColumn id="1" xr3:uid="{00000000-0010-0000-9900-000001000000}" name="Earth Year"/>
    <tableColumn id="2" xr3:uid="{00000000-0010-0000-9900-000002000000}" name="Year"/>
    <tableColumn id="3" xr3:uid="{00000000-0010-0000-9900-000003000000}" name="Population"/>
    <tableColumn id="4" xr3:uid="{00000000-0010-0000-9900-000004000000}" name="Pop growth"/>
    <tableColumn id="5" xr3:uid="{00000000-0010-0000-9900-000005000000}" name="Number Pop growth"/>
    <tableColumn id="6" xr3:uid="{00000000-0010-0000-9900-000006000000}" name="Percent of Global Population"/>
  </tableColumns>
  <tableStyleInfo name="Ruylku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Saa" displayName="Saa" ref="A1:F67">
  <tableColumns count="6">
    <tableColumn id="1" xr3:uid="{00000000-0010-0000-9A00-000001000000}" name="Earth Year"/>
    <tableColumn id="2" xr3:uid="{00000000-0010-0000-9A00-000002000000}" name="Year"/>
    <tableColumn id="3" xr3:uid="{00000000-0010-0000-9A00-000003000000}" name="Population"/>
    <tableColumn id="4" xr3:uid="{00000000-0010-0000-9A00-000004000000}" name="Pop growth"/>
    <tableColumn id="5" xr3:uid="{00000000-0010-0000-9A00-000005000000}" name="Number Pop growth"/>
    <tableColumn id="6" xr3:uid="{00000000-0010-0000-9A00-000006000000}" name="Percent of Global Population"/>
  </tableColumns>
  <tableStyleInfo name="Saa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Sadain" displayName="Sadain" ref="A1:F67">
  <tableColumns count="6">
    <tableColumn id="1" xr3:uid="{00000000-0010-0000-9B00-000001000000}" name="Earth Year"/>
    <tableColumn id="2" xr3:uid="{00000000-0010-0000-9B00-000002000000}" name="Year"/>
    <tableColumn id="3" xr3:uid="{00000000-0010-0000-9B00-000003000000}" name="Population"/>
    <tableColumn id="4" xr3:uid="{00000000-0010-0000-9B00-000004000000}" name="Pop growth"/>
    <tableColumn id="5" xr3:uid="{00000000-0010-0000-9B00-000005000000}" name="Number Pop growth"/>
    <tableColumn id="6" xr3:uid="{00000000-0010-0000-9B00-000006000000}" name="Percent of Global Population"/>
  </tableColumns>
  <tableStyleInfo name="Sadain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emplate_4" displayName="template_4" ref="A1:F67">
  <tableColumns count="6">
    <tableColumn id="1" xr3:uid="{00000000-0010-0000-9C00-000001000000}" name="Earth Year"/>
    <tableColumn id="2" xr3:uid="{00000000-0010-0000-9C00-000002000000}" name="Year"/>
    <tableColumn id="3" xr3:uid="{00000000-0010-0000-9C00-000003000000}" name="Population"/>
    <tableColumn id="4" xr3:uid="{00000000-0010-0000-9C00-000004000000}" name="Pop growth"/>
    <tableColumn id="5" xr3:uid="{00000000-0010-0000-9C00-000005000000}" name="Number Pop growth"/>
    <tableColumn id="6" xr3:uid="{00000000-0010-0000-9C00-000006000000}" name="Percent of Global Population"/>
  </tableColumns>
  <tableStyleInfo name="Sanagara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Sattle" displayName="Sattle" ref="A1:F67">
  <tableColumns count="6">
    <tableColumn id="1" xr3:uid="{00000000-0010-0000-9D00-000001000000}" name="Earth Year"/>
    <tableColumn id="2" xr3:uid="{00000000-0010-0000-9D00-000002000000}" name="Year"/>
    <tableColumn id="3" xr3:uid="{00000000-0010-0000-9D00-000003000000}" name="Population"/>
    <tableColumn id="4" xr3:uid="{00000000-0010-0000-9D00-000004000000}" name="Pop growth"/>
    <tableColumn id="5" xr3:uid="{00000000-0010-0000-9D00-000005000000}" name="Number Pop growth"/>
    <tableColumn id="6" xr3:uid="{00000000-0010-0000-9D00-000006000000}" name="Percent of Global Population"/>
  </tableColumns>
  <tableStyleInfo name="Sattle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Selaja" displayName="Selaja" ref="A1:F67">
  <tableColumns count="6">
    <tableColumn id="1" xr3:uid="{00000000-0010-0000-9E00-000001000000}" name="Earth Year"/>
    <tableColumn id="2" xr3:uid="{00000000-0010-0000-9E00-000002000000}" name="Year"/>
    <tableColumn id="3" xr3:uid="{00000000-0010-0000-9E00-000003000000}" name="Population"/>
    <tableColumn id="4" xr3:uid="{00000000-0010-0000-9E00-000004000000}" name="Pop growth"/>
    <tableColumn id="5" xr3:uid="{00000000-0010-0000-9E00-000005000000}" name="Number Pop growth"/>
    <tableColumn id="6" xr3:uid="{00000000-0010-0000-9E00-000006000000}" name="Percent of Global Population"/>
  </tableColumns>
  <tableStyleInfo name="Selaja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Seytinemas" displayName="Seytinemas" ref="A1:F67">
  <tableColumns count="6">
    <tableColumn id="1" xr3:uid="{00000000-0010-0000-9F00-000001000000}" name="Earth Year"/>
    <tableColumn id="2" xr3:uid="{00000000-0010-0000-9F00-000002000000}" name="Year"/>
    <tableColumn id="3" xr3:uid="{00000000-0010-0000-9F00-000003000000}" name="Population"/>
    <tableColumn id="4" xr3:uid="{00000000-0010-0000-9F00-000004000000}" name="Pop growth"/>
    <tableColumn id="5" xr3:uid="{00000000-0010-0000-9F00-000005000000}" name="Number Pop growth"/>
    <tableColumn id="6" xr3:uid="{00000000-0010-0000-9F00-000006000000}" name="Percent of Global Population"/>
  </tableColumns>
  <tableStyleInfo name="Seytinemas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Shinam" displayName="Shinam" ref="A1:F67">
  <tableColumns count="6">
    <tableColumn id="1" xr3:uid="{00000000-0010-0000-A000-000001000000}" name="Earth Year"/>
    <tableColumn id="2" xr3:uid="{00000000-0010-0000-A000-000002000000}" name="Year"/>
    <tableColumn id="3" xr3:uid="{00000000-0010-0000-A000-000003000000}" name="Population"/>
    <tableColumn id="4" xr3:uid="{00000000-0010-0000-A000-000004000000}" name="Pop growth"/>
    <tableColumn id="5" xr3:uid="{00000000-0010-0000-A000-000005000000}" name="Number Pop growth"/>
    <tableColumn id="6" xr3:uid="{00000000-0010-0000-A000-000006000000}" name="Percent of Global Population"/>
  </tableColumns>
  <tableStyleInfo name="Shinam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Shomjind" displayName="Shomjind" ref="A1:F67">
  <tableColumns count="6">
    <tableColumn id="1" xr3:uid="{00000000-0010-0000-A100-000001000000}" name="Earth Year"/>
    <tableColumn id="2" xr3:uid="{00000000-0010-0000-A100-000002000000}" name="Year"/>
    <tableColumn id="3" xr3:uid="{00000000-0010-0000-A100-000003000000}" name="Population"/>
    <tableColumn id="4" xr3:uid="{00000000-0010-0000-A100-000004000000}" name="Pop growth"/>
    <tableColumn id="5" xr3:uid="{00000000-0010-0000-A100-000005000000}" name="Number Pop growth"/>
    <tableColumn id="6" xr3:uid="{00000000-0010-0000-A100-000006000000}" name="Percent of Global Population"/>
  </tableColumns>
  <tableStyleInfo name="Shomjind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Siana" displayName="Siana" ref="A1:F67">
  <tableColumns count="6">
    <tableColumn id="1" xr3:uid="{00000000-0010-0000-A200-000001000000}" name="Earth Year"/>
    <tableColumn id="2" xr3:uid="{00000000-0010-0000-A200-000002000000}" name="Year"/>
    <tableColumn id="3" xr3:uid="{00000000-0010-0000-A200-000003000000}" name="Population"/>
    <tableColumn id="4" xr3:uid="{00000000-0010-0000-A200-000004000000}" name="Pop growth"/>
    <tableColumn id="5" xr3:uid="{00000000-0010-0000-A200-000005000000}" name="Number Pop growth"/>
    <tableColumn id="6" xr3:uid="{00000000-0010-0000-A200-000006000000}" name="Percent of Global Population"/>
  </tableColumns>
  <tableStyleInfo name="Siana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Sivoso" displayName="Sivoso" ref="A1:F67">
  <tableColumns count="6">
    <tableColumn id="1" xr3:uid="{00000000-0010-0000-A300-000001000000}" name="Sivoso"/>
    <tableColumn id="2" xr3:uid="{00000000-0010-0000-A300-000002000000}" name="Year"/>
    <tableColumn id="3" xr3:uid="{00000000-0010-0000-A300-000003000000}" name="Population"/>
    <tableColumn id="4" xr3:uid="{00000000-0010-0000-A300-000004000000}" name="Pop growth"/>
    <tableColumn id="5" xr3:uid="{00000000-0010-0000-A300-000005000000}" name="Number Pop growth"/>
    <tableColumn id="6" xr3:uid="{00000000-0010-0000-A300-000006000000}" name="Percent of Global Population"/>
  </tableColumns>
  <tableStyleInfo name="Sivoso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Slyiaduun" displayName="Slyiaduun" ref="A1:F67">
  <tableColumns count="6">
    <tableColumn id="1" xr3:uid="{00000000-0010-0000-A400-000001000000}" name="Earth Year"/>
    <tableColumn id="2" xr3:uid="{00000000-0010-0000-A400-000002000000}" name="Year"/>
    <tableColumn id="3" xr3:uid="{00000000-0010-0000-A400-000003000000}" name="Population"/>
    <tableColumn id="4" xr3:uid="{00000000-0010-0000-A400-000004000000}" name="Pop growth"/>
    <tableColumn id="5" xr3:uid="{00000000-0010-0000-A400-000005000000}" name="Number Pop growth"/>
    <tableColumn id="6" xr3:uid="{00000000-0010-0000-A400-000006000000}" name="Percent of Global Population"/>
  </tableColumns>
  <tableStyleInfo name="Slyiaduun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Stinebar" displayName="Stinebar" ref="A1:F67">
  <tableColumns count="6">
    <tableColumn id="1" xr3:uid="{00000000-0010-0000-A500-000001000000}" name="Earth Year"/>
    <tableColumn id="2" xr3:uid="{00000000-0010-0000-A500-000002000000}" name="Year"/>
    <tableColumn id="3" xr3:uid="{00000000-0010-0000-A500-000003000000}" name="Population"/>
    <tableColumn id="4" xr3:uid="{00000000-0010-0000-A500-000004000000}" name="Pop growth"/>
    <tableColumn id="5" xr3:uid="{00000000-0010-0000-A500-000005000000}" name="Number Pop growth"/>
    <tableColumn id="6" xr3:uid="{00000000-0010-0000-A500-000006000000}" name="Percent of Global Population"/>
  </tableColumns>
  <tableStyleInfo name="Stinebar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Suenan" displayName="Suenan" ref="A1:F67">
  <tableColumns count="6">
    <tableColumn id="1" xr3:uid="{00000000-0010-0000-A600-000001000000}" name="Earth Year"/>
    <tableColumn id="2" xr3:uid="{00000000-0010-0000-A600-000002000000}" name="Year"/>
    <tableColumn id="3" xr3:uid="{00000000-0010-0000-A600-000003000000}" name="Population"/>
    <tableColumn id="4" xr3:uid="{00000000-0010-0000-A600-000004000000}" name="Pop growth"/>
    <tableColumn id="5" xr3:uid="{00000000-0010-0000-A600-000005000000}" name="Number Pop growth"/>
    <tableColumn id="6" xr3:uid="{00000000-0010-0000-A600-000006000000}" name="Percent of Global Population"/>
  </tableColumns>
  <tableStyleInfo name="Suenan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Sunsokua" displayName="Sunsokua" ref="A1:F67">
  <tableColumns count="6">
    <tableColumn id="1" xr3:uid="{00000000-0010-0000-A700-000001000000}" name="Earth Year"/>
    <tableColumn id="2" xr3:uid="{00000000-0010-0000-A700-000002000000}" name="Year"/>
    <tableColumn id="3" xr3:uid="{00000000-0010-0000-A700-000003000000}" name="Population"/>
    <tableColumn id="4" xr3:uid="{00000000-0010-0000-A700-000004000000}" name="Pop growth"/>
    <tableColumn id="5" xr3:uid="{00000000-0010-0000-A700-000005000000}" name="Number Pop growth"/>
    <tableColumn id="6" xr3:uid="{00000000-0010-0000-A700-000006000000}" name="Percent of Global Population"/>
  </tableColumns>
  <tableStyleInfo name="Sunsokua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ing" displayName="Taing" ref="A1:F67">
  <tableColumns count="6">
    <tableColumn id="1" xr3:uid="{00000000-0010-0000-A800-000001000000}" name="Earth Year"/>
    <tableColumn id="2" xr3:uid="{00000000-0010-0000-A800-000002000000}" name="Year"/>
    <tableColumn id="3" xr3:uid="{00000000-0010-0000-A800-000003000000}" name="Population"/>
    <tableColumn id="4" xr3:uid="{00000000-0010-0000-A800-000004000000}" name="Pop growth"/>
    <tableColumn id="5" xr3:uid="{00000000-0010-0000-A800-000005000000}" name="Number Pop growth"/>
    <tableColumn id="6" xr3:uid="{00000000-0010-0000-A800-000006000000}" name="Percent of Global Population"/>
  </tableColumns>
  <tableStyleInfo name="Taing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niduna" displayName="Taniduna" ref="A1:F67">
  <tableColumns count="6">
    <tableColumn id="1" xr3:uid="{00000000-0010-0000-A900-000001000000}" name="Earth Year"/>
    <tableColumn id="2" xr3:uid="{00000000-0010-0000-A900-000002000000}" name="Year"/>
    <tableColumn id="3" xr3:uid="{00000000-0010-0000-A900-000003000000}" name="Population"/>
    <tableColumn id="4" xr3:uid="{00000000-0010-0000-A900-000004000000}" name="Pop growth"/>
    <tableColumn id="5" xr3:uid="{00000000-0010-0000-A900-000005000000}" name="Number Pop growth"/>
    <tableColumn id="6" xr3:uid="{00000000-0010-0000-A900-000006000000}" name="Percent of Global Population"/>
  </tableColumns>
  <tableStyleInfo name="Taniduna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oisia" displayName="Taoisia" ref="A1:F67">
  <tableColumns count="6">
    <tableColumn id="1" xr3:uid="{00000000-0010-0000-AA00-000001000000}" name="Earth Year"/>
    <tableColumn id="2" xr3:uid="{00000000-0010-0000-AA00-000002000000}" name="Year"/>
    <tableColumn id="3" xr3:uid="{00000000-0010-0000-AA00-000003000000}" name="Population"/>
    <tableColumn id="4" xr3:uid="{00000000-0010-0000-AA00-000004000000}" name="Pop growth"/>
    <tableColumn id="5" xr3:uid="{00000000-0010-0000-AA00-000005000000}" name="Number Pop growth"/>
    <tableColumn id="6" xr3:uid="{00000000-0010-0000-AA00-000006000000}" name="Percent of Global Population"/>
  </tableColumns>
  <tableStyleInfo name="Taoisia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val" displayName="Taval" ref="A1:F67">
  <tableColumns count="6">
    <tableColumn id="1" xr3:uid="{00000000-0010-0000-AB00-000001000000}" name="Earth Year"/>
    <tableColumn id="2" xr3:uid="{00000000-0010-0000-AB00-000002000000}" name="Year"/>
    <tableColumn id="3" xr3:uid="{00000000-0010-0000-AB00-000003000000}" name="Population"/>
    <tableColumn id="4" xr3:uid="{00000000-0010-0000-AB00-000004000000}" name="Pop growth"/>
    <tableColumn id="5" xr3:uid="{00000000-0010-0000-AB00-000005000000}" name="Number Pop growth"/>
    <tableColumn id="6" xr3:uid="{00000000-0010-0000-AB00-000006000000}" name="Percent of Global Population"/>
  </tableColumns>
  <tableStyleInfo name="Taval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erressin" displayName="Terressin" ref="A1:F67">
  <tableColumns count="6">
    <tableColumn id="1" xr3:uid="{00000000-0010-0000-AC00-000001000000}" name="Earth Year"/>
    <tableColumn id="2" xr3:uid="{00000000-0010-0000-AC00-000002000000}" name="Year"/>
    <tableColumn id="3" xr3:uid="{00000000-0010-0000-AC00-000003000000}" name="Population"/>
    <tableColumn id="4" xr3:uid="{00000000-0010-0000-AC00-000004000000}" name="Pop growth"/>
    <tableColumn id="5" xr3:uid="{00000000-0010-0000-AC00-000005000000}" name="Number Pop growth"/>
    <tableColumn id="6" xr3:uid="{00000000-0010-0000-AC00-000006000000}" name="Percent of Global Population"/>
  </tableColumns>
  <tableStyleInfo name="Terressin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omscilus" displayName="Tomscilus" ref="A1:F67">
  <tableColumns count="6">
    <tableColumn id="1" xr3:uid="{00000000-0010-0000-AD00-000001000000}" name="Earth Year"/>
    <tableColumn id="2" xr3:uid="{00000000-0010-0000-AD00-000002000000}" name="Year"/>
    <tableColumn id="3" xr3:uid="{00000000-0010-0000-AD00-000003000000}" name="Population"/>
    <tableColumn id="4" xr3:uid="{00000000-0010-0000-AD00-000004000000}" name="Pop growth"/>
    <tableColumn id="5" xr3:uid="{00000000-0010-0000-AD00-000005000000}" name="Number Pop growth"/>
    <tableColumn id="6" xr3:uid="{00000000-0010-0000-AD00-000006000000}" name="Percent of Global Population"/>
  </tableColumns>
  <tableStyleInfo name="Tomscilus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onder" displayName="Tonder" ref="A1:F67">
  <tableColumns count="6">
    <tableColumn id="1" xr3:uid="{00000000-0010-0000-AE00-000001000000}" name="Earth Year"/>
    <tableColumn id="2" xr3:uid="{00000000-0010-0000-AE00-000002000000}" name="Year"/>
    <tableColumn id="3" xr3:uid="{00000000-0010-0000-AE00-000003000000}" name="Population"/>
    <tableColumn id="4" xr3:uid="{00000000-0010-0000-AE00-000004000000}" name="Pop growth"/>
    <tableColumn id="5" xr3:uid="{00000000-0010-0000-AE00-000005000000}" name="Number Pop growth"/>
    <tableColumn id="6" xr3:uid="{00000000-0010-0000-AE00-000006000000}" name="Percent of Global Population"/>
  </tableColumns>
  <tableStyleInfo name="Tonder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revilla" displayName="Trevilla" ref="A1:F67">
  <tableColumns count="6">
    <tableColumn id="1" xr3:uid="{00000000-0010-0000-AF00-000001000000}" name="Earth Year"/>
    <tableColumn id="2" xr3:uid="{00000000-0010-0000-AF00-000002000000}" name="Year"/>
    <tableColumn id="3" xr3:uid="{00000000-0010-0000-AF00-000003000000}" name="Population"/>
    <tableColumn id="4" xr3:uid="{00000000-0010-0000-AF00-000004000000}" name="Pop growth"/>
    <tableColumn id="5" xr3:uid="{00000000-0010-0000-AF00-000005000000}" name="Number Pop growth"/>
    <tableColumn id="6" xr3:uid="{00000000-0010-0000-AF00-000006000000}" name="Percent of Global Population"/>
  </tableColumns>
  <tableStyleInfo name="Trevilla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rian" displayName="Trian" ref="A1:F67">
  <tableColumns count="6">
    <tableColumn id="1" xr3:uid="{00000000-0010-0000-B000-000001000000}" name="Earth Year"/>
    <tableColumn id="2" xr3:uid="{00000000-0010-0000-B000-000002000000}" name="Year"/>
    <tableColumn id="3" xr3:uid="{00000000-0010-0000-B000-000003000000}" name="Population"/>
    <tableColumn id="4" xr3:uid="{00000000-0010-0000-B000-000004000000}" name="Pop growth"/>
    <tableColumn id="5" xr3:uid="{00000000-0010-0000-B000-000005000000}" name="Number Pop growth"/>
    <tableColumn id="6" xr3:uid="{00000000-0010-0000-B000-000006000000}" name="Percent of Global Population"/>
  </tableColumns>
  <tableStyleInfo name="Trian-style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vecoca" displayName="Tvecoca" ref="A1:F67">
  <tableColumns count="6">
    <tableColumn id="1" xr3:uid="{00000000-0010-0000-B100-000001000000}" name="Earth Year"/>
    <tableColumn id="2" xr3:uid="{00000000-0010-0000-B100-000002000000}" name="Year"/>
    <tableColumn id="3" xr3:uid="{00000000-0010-0000-B100-000003000000}" name="Population"/>
    <tableColumn id="4" xr3:uid="{00000000-0010-0000-B100-000004000000}" name="Pop growth"/>
    <tableColumn id="5" xr3:uid="{00000000-0010-0000-B100-000005000000}" name="Number Pop growth"/>
    <tableColumn id="6" xr3:uid="{00000000-0010-0000-B100-000006000000}" name="Percent of Global Population"/>
  </tableColumns>
  <tableStyleInfo name="Tvecoca-style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Ucrua" displayName="Ucrua" ref="A1:F67">
  <tableColumns count="6">
    <tableColumn id="1" xr3:uid="{00000000-0010-0000-B200-000001000000}" name="Earth Year"/>
    <tableColumn id="2" xr3:uid="{00000000-0010-0000-B200-000002000000}" name="Year"/>
    <tableColumn id="3" xr3:uid="{00000000-0010-0000-B200-000003000000}" name="Population"/>
    <tableColumn id="4" xr3:uid="{00000000-0010-0000-B200-000004000000}" name="Pop growth"/>
    <tableColumn id="5" xr3:uid="{00000000-0010-0000-B200-000005000000}" name="Number Pop growth"/>
    <tableColumn id="6" xr3:uid="{00000000-0010-0000-B200-000006000000}" name="Percent of Global Population"/>
  </tableColumns>
  <tableStyleInfo name="Ucrua-style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Ukhdari" displayName="Ukhdari" ref="A1:F67">
  <tableColumns count="6">
    <tableColumn id="1" xr3:uid="{00000000-0010-0000-B300-000001000000}" name="Earth Year"/>
    <tableColumn id="2" xr3:uid="{00000000-0010-0000-B300-000002000000}" name="Year"/>
    <tableColumn id="3" xr3:uid="{00000000-0010-0000-B300-000003000000}" name="Population"/>
    <tableColumn id="4" xr3:uid="{00000000-0010-0000-B300-000004000000}" name="Pop growth"/>
    <tableColumn id="5" xr3:uid="{00000000-0010-0000-B300-000005000000}" name="Number Pop growth"/>
    <tableColumn id="6" xr3:uid="{00000000-0010-0000-B300-000006000000}" name="Percent of Global Population"/>
  </tableColumns>
  <tableStyleInfo name="Ukhdari-style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Umarcia" displayName="Umarcia" ref="A1:F67">
  <tableColumns count="6">
    <tableColumn id="1" xr3:uid="{00000000-0010-0000-B400-000001000000}" name="Earth Year"/>
    <tableColumn id="2" xr3:uid="{00000000-0010-0000-B400-000002000000}" name="Year"/>
    <tableColumn id="3" xr3:uid="{00000000-0010-0000-B400-000003000000}" name="Population"/>
    <tableColumn id="4" xr3:uid="{00000000-0010-0000-B400-000004000000}" name="Pop growth"/>
    <tableColumn id="5" xr3:uid="{00000000-0010-0000-B400-000005000000}" name="Number Pop growth"/>
    <tableColumn id="6" xr3:uid="{00000000-0010-0000-B400-000006000000}" name="Percent of Global Population"/>
  </tableColumns>
  <tableStyleInfo name="Umarcia-style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Umendel" displayName="Umendel" ref="A1:F67">
  <tableColumns count="6">
    <tableColumn id="1" xr3:uid="{00000000-0010-0000-B500-000001000000}" name="Earth Year"/>
    <tableColumn id="2" xr3:uid="{00000000-0010-0000-B500-000002000000}" name="Year"/>
    <tableColumn id="3" xr3:uid="{00000000-0010-0000-B500-000003000000}" name="Population"/>
    <tableColumn id="4" xr3:uid="{00000000-0010-0000-B500-000004000000}" name="Pop growth"/>
    <tableColumn id="5" xr3:uid="{00000000-0010-0000-B500-000005000000}" name="Number Pop growth"/>
    <tableColumn id="6" xr3:uid="{00000000-0010-0000-B500-000006000000}" name="Percent of Global Population"/>
  </tableColumns>
  <tableStyleInfo name="Umendel-style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United_Delet" displayName="United_Delet" ref="A1:F67">
  <tableColumns count="6">
    <tableColumn id="1" xr3:uid="{00000000-0010-0000-B600-000001000000}" name="Earth Year"/>
    <tableColumn id="2" xr3:uid="{00000000-0010-0000-B600-000002000000}" name="Year"/>
    <tableColumn id="3" xr3:uid="{00000000-0010-0000-B600-000003000000}" name="Population"/>
    <tableColumn id="4" xr3:uid="{00000000-0010-0000-B600-000004000000}" name="Pop growth"/>
    <tableColumn id="5" xr3:uid="{00000000-0010-0000-B600-000005000000}" name="Number Pop growth"/>
    <tableColumn id="6" xr3:uid="{00000000-0010-0000-B600-000006000000}" name="Percent of Global Population"/>
  </tableColumns>
  <tableStyleInfo name="United Delet-style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United_Mihili" displayName="United_Mihili" ref="A1:F67">
  <tableColumns count="6">
    <tableColumn id="1" xr3:uid="{00000000-0010-0000-B700-000001000000}" name="Earth Year"/>
    <tableColumn id="2" xr3:uid="{00000000-0010-0000-B700-000002000000}" name="Year"/>
    <tableColumn id="3" xr3:uid="{00000000-0010-0000-B700-000003000000}" name="Population"/>
    <tableColumn id="4" xr3:uid="{00000000-0010-0000-B700-000004000000}" name="Pop growth"/>
    <tableColumn id="5" xr3:uid="{00000000-0010-0000-B700-000005000000}" name="Number Pop growth"/>
    <tableColumn id="6" xr3:uid="{00000000-0010-0000-B700-000006000000}" name="Percent of Global Population"/>
  </tableColumns>
  <tableStyleInfo name="United Mihili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Urbiqu" displayName="Urbiqu" ref="A1:F67">
  <tableColumns count="6">
    <tableColumn id="1" xr3:uid="{00000000-0010-0000-B800-000001000000}" name="2015"/>
    <tableColumn id="2" xr3:uid="{00000000-0010-0000-B800-000002000000}" name="Year"/>
    <tableColumn id="3" xr3:uid="{00000000-0010-0000-B800-000003000000}" name="Population"/>
    <tableColumn id="4" xr3:uid="{00000000-0010-0000-B800-000004000000}" name="Pop growth"/>
    <tableColumn id="5" xr3:uid="{00000000-0010-0000-B800-000005000000}" name="Number Pop growth"/>
    <tableColumn id="6" xr3:uid="{00000000-0010-0000-B800-000006000000}" name="Percent of Global Population"/>
  </tableColumns>
  <tableStyleInfo name="Urbiqu-style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Uularin" displayName="Uularin" ref="A1:F67">
  <tableColumns count="6">
    <tableColumn id="1" xr3:uid="{00000000-0010-0000-B900-000001000000}" name="Earth Year"/>
    <tableColumn id="2" xr3:uid="{00000000-0010-0000-B900-000002000000}" name="Year"/>
    <tableColumn id="3" xr3:uid="{00000000-0010-0000-B900-000003000000}" name="Population"/>
    <tableColumn id="4" xr3:uid="{00000000-0010-0000-B900-000004000000}" name="Pop growth"/>
    <tableColumn id="5" xr3:uid="{00000000-0010-0000-B900-000005000000}" name="Number Pop growth"/>
    <tableColumn id="6" xr3:uid="{00000000-0010-0000-B900-000006000000}" name="Percent of Global Population"/>
  </tableColumns>
  <tableStyleInfo name="Uularin-style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Vayvele" displayName="Vayvele" ref="A1:F67">
  <tableColumns count="6">
    <tableColumn id="1" xr3:uid="{00000000-0010-0000-BA00-000001000000}" name="Earth Year"/>
    <tableColumn id="2" xr3:uid="{00000000-0010-0000-BA00-000002000000}" name="Year"/>
    <tableColumn id="3" xr3:uid="{00000000-0010-0000-BA00-000003000000}" name="Population"/>
    <tableColumn id="4" xr3:uid="{00000000-0010-0000-BA00-000004000000}" name="Pop growth"/>
    <tableColumn id="5" xr3:uid="{00000000-0010-0000-BA00-000005000000}" name="Number Pop growth"/>
    <tableColumn id="6" xr3:uid="{00000000-0010-0000-BA00-000006000000}" name="Percent of Global Population"/>
  </tableColumns>
  <tableStyleInfo name="Vayvele-style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Veelmit" displayName="Veelmit" ref="A1:F67">
  <tableColumns count="6">
    <tableColumn id="1" xr3:uid="{00000000-0010-0000-BB00-000001000000}" name="Earth Year"/>
    <tableColumn id="2" xr3:uid="{00000000-0010-0000-BB00-000002000000}" name="Year"/>
    <tableColumn id="3" xr3:uid="{00000000-0010-0000-BB00-000003000000}" name="Population"/>
    <tableColumn id="4" xr3:uid="{00000000-0010-0000-BB00-000004000000}" name="Pop growth"/>
    <tableColumn id="5" xr3:uid="{00000000-0010-0000-BB00-000005000000}" name="Number Pop growth"/>
    <tableColumn id="6" xr3:uid="{00000000-0010-0000-BB00-000006000000}" name="Percent of Global Population"/>
  </tableColumns>
  <tableStyleInfo name="Veelmit-style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Verste" displayName="Verste" ref="A1:F67">
  <tableColumns count="6">
    <tableColumn id="1" xr3:uid="{00000000-0010-0000-BC00-000001000000}" name="Earth Year"/>
    <tableColumn id="2" xr3:uid="{00000000-0010-0000-BC00-000002000000}" name="Year"/>
    <tableColumn id="3" xr3:uid="{00000000-0010-0000-BC00-000003000000}" name="Population"/>
    <tableColumn id="4" xr3:uid="{00000000-0010-0000-BC00-000004000000}" name="Pop growth"/>
    <tableColumn id="5" xr3:uid="{00000000-0010-0000-BC00-000005000000}" name="Number Pop growth"/>
    <tableColumn id="6" xr3:uid="{00000000-0010-0000-BC00-000006000000}" name="Percent of Global Population"/>
  </tableColumns>
  <tableStyleInfo name="Verste-style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Verusa" displayName="Verusa" ref="A1:F67">
  <tableColumns count="6">
    <tableColumn id="1" xr3:uid="{00000000-0010-0000-BD00-000001000000}" name="Earth Year"/>
    <tableColumn id="2" xr3:uid="{00000000-0010-0000-BD00-000002000000}" name="Year"/>
    <tableColumn id="3" xr3:uid="{00000000-0010-0000-BD00-000003000000}" name="Population"/>
    <tableColumn id="4" xr3:uid="{00000000-0010-0000-BD00-000004000000}" name="Pop growth"/>
    <tableColumn id="5" xr3:uid="{00000000-0010-0000-BD00-000005000000}" name="Number Pop growth"/>
    <tableColumn id="6" xr3:uid="{00000000-0010-0000-BD00-000006000000}" name="Percent of Global Population"/>
  </tableColumns>
  <tableStyleInfo name="Verusa-style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Vesozata" displayName="Vesozata" ref="A1:F67">
  <tableColumns count="6">
    <tableColumn id="1" xr3:uid="{00000000-0010-0000-BE00-000001000000}" name="Earth Year"/>
    <tableColumn id="2" xr3:uid="{00000000-0010-0000-BE00-000002000000}" name="Year"/>
    <tableColumn id="3" xr3:uid="{00000000-0010-0000-BE00-000003000000}" name="Population"/>
    <tableColumn id="4" xr3:uid="{00000000-0010-0000-BE00-000004000000}" name="Pop growth"/>
    <tableColumn id="5" xr3:uid="{00000000-0010-0000-BE00-000005000000}" name="Number Pop growth"/>
    <tableColumn id="6" xr3:uid="{00000000-0010-0000-BE00-000006000000}" name="Percent of Global Population"/>
  </tableColumns>
  <tableStyleInfo name="Vesozata-style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Viussi" displayName="Viussi" ref="A1:F67">
  <tableColumns count="6">
    <tableColumn id="1" xr3:uid="{00000000-0010-0000-BF00-000001000000}" name="Earth Year"/>
    <tableColumn id="2" xr3:uid="{00000000-0010-0000-BF00-000002000000}" name="Year"/>
    <tableColumn id="3" xr3:uid="{00000000-0010-0000-BF00-000003000000}" name="Population"/>
    <tableColumn id="4" xr3:uid="{00000000-0010-0000-BF00-000004000000}" name="Pop growth"/>
    <tableColumn id="5" xr3:uid="{00000000-0010-0000-BF00-000005000000}" name="Number Pop growth"/>
    <tableColumn id="6" xr3:uid="{00000000-0010-0000-BF00-000006000000}" name="Percent of Global Population"/>
  </tableColumns>
  <tableStyleInfo name="Viussi-style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Volver" displayName="Volver" ref="A1:F67">
  <tableColumns count="6">
    <tableColumn id="1" xr3:uid="{00000000-0010-0000-C000-000001000000}" name="Earth Year"/>
    <tableColumn id="2" xr3:uid="{00000000-0010-0000-C000-000002000000}" name="Year"/>
    <tableColumn id="3" xr3:uid="{00000000-0010-0000-C000-000003000000}" name="Population"/>
    <tableColumn id="4" xr3:uid="{00000000-0010-0000-C000-000004000000}" name="Pop growth"/>
    <tableColumn id="5" xr3:uid="{00000000-0010-0000-C000-000005000000}" name="Number Pop growth"/>
    <tableColumn id="6" xr3:uid="{00000000-0010-0000-C000-000006000000}" name="Percent of Global Population"/>
  </tableColumns>
  <tableStyleInfo name="Volver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Walporein" displayName="Walporein" ref="A1:F67">
  <tableColumns count="6">
    <tableColumn id="1" xr3:uid="{00000000-0010-0000-C100-000001000000}" name="Earth Year"/>
    <tableColumn id="2" xr3:uid="{00000000-0010-0000-C100-000002000000}" name="Year"/>
    <tableColumn id="3" xr3:uid="{00000000-0010-0000-C100-000003000000}" name="Population"/>
    <tableColumn id="4" xr3:uid="{00000000-0010-0000-C100-000004000000}" name="Pop growth"/>
    <tableColumn id="5" xr3:uid="{00000000-0010-0000-C100-000005000000}" name="Number Pop growth"/>
    <tableColumn id="6" xr3:uid="{00000000-0010-0000-C100-000006000000}" name="Percent of Global Population"/>
  </tableColumns>
  <tableStyleInfo name="Walporein-style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Welenu_Fana" displayName="Welenu_Fana" ref="A1:F67">
  <tableColumns count="6">
    <tableColumn id="1" xr3:uid="{00000000-0010-0000-C200-000001000000}" name="Earth Year"/>
    <tableColumn id="2" xr3:uid="{00000000-0010-0000-C200-000002000000}" name="Year"/>
    <tableColumn id="3" xr3:uid="{00000000-0010-0000-C200-000003000000}" name="Population"/>
    <tableColumn id="4" xr3:uid="{00000000-0010-0000-C200-000004000000}" name="Pop growth"/>
    <tableColumn id="5" xr3:uid="{00000000-0010-0000-C200-000005000000}" name="Number Pop growth"/>
    <tableColumn id="6" xr3:uid="{00000000-0010-0000-C200-000006000000}" name="Percent of Global Population"/>
  </tableColumns>
  <tableStyleInfo name="Welenu Fana-style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Western_Migoku" displayName="Western_Migoku" ref="A1:F67">
  <tableColumns count="6">
    <tableColumn id="1" xr3:uid="{00000000-0010-0000-C300-000001000000}" name="Earth Year"/>
    <tableColumn id="2" xr3:uid="{00000000-0010-0000-C300-000002000000}" name="Year"/>
    <tableColumn id="3" xr3:uid="{00000000-0010-0000-C300-000003000000}" name="Population"/>
    <tableColumn id="4" xr3:uid="{00000000-0010-0000-C300-000004000000}" name="Pop growth"/>
    <tableColumn id="5" xr3:uid="{00000000-0010-0000-C300-000005000000}" name="Number Pop growth"/>
    <tableColumn id="6" xr3:uid="{00000000-0010-0000-C300-000006000000}" name="Percent of Global Population"/>
  </tableColumns>
  <tableStyleInfo name="Western Migoku-style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Wundry" displayName="Wundry" ref="A1:F67">
  <tableColumns count="6">
    <tableColumn id="1" xr3:uid="{00000000-0010-0000-C400-000001000000}" name="Earth Year"/>
    <tableColumn id="2" xr3:uid="{00000000-0010-0000-C400-000002000000}" name="Year"/>
    <tableColumn id="3" xr3:uid="{00000000-0010-0000-C400-000003000000}" name="Population"/>
    <tableColumn id="4" xr3:uid="{00000000-0010-0000-C400-000004000000}" name="Pop growth"/>
    <tableColumn id="5" xr3:uid="{00000000-0010-0000-C400-000005000000}" name="Number Pop growth"/>
    <tableColumn id="6" xr3:uid="{00000000-0010-0000-C400-000006000000}" name="Percent of Global Population"/>
  </tableColumns>
  <tableStyleInfo name="Wundry-style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Yaxuto" displayName="Yaxuto" ref="A1:F67">
  <tableColumns count="6">
    <tableColumn id="1" xr3:uid="{00000000-0010-0000-C500-000001000000}" name="Earth Year"/>
    <tableColumn id="2" xr3:uid="{00000000-0010-0000-C500-000002000000}" name="Year"/>
    <tableColumn id="3" xr3:uid="{00000000-0010-0000-C500-000003000000}" name="Population"/>
    <tableColumn id="4" xr3:uid="{00000000-0010-0000-C500-000004000000}" name="Pop growth"/>
    <tableColumn id="5" xr3:uid="{00000000-0010-0000-C500-000005000000}" name="Number Pop growth"/>
    <tableColumn id="6" xr3:uid="{00000000-0010-0000-C500-000006000000}" name="Percent of Global Population"/>
  </tableColumns>
  <tableStyleInfo name="Yaxuto-style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Yihnurda" displayName="Yihnurda" ref="A1:F67">
  <tableColumns count="6">
    <tableColumn id="1" xr3:uid="{00000000-0010-0000-C600-000001000000}" name="Earth Year"/>
    <tableColumn id="2" xr3:uid="{00000000-0010-0000-C600-000002000000}" name="Year"/>
    <tableColumn id="3" xr3:uid="{00000000-0010-0000-C600-000003000000}" name="Population"/>
    <tableColumn id="4" xr3:uid="{00000000-0010-0000-C600-000004000000}" name="Pop growth"/>
    <tableColumn id="5" xr3:uid="{00000000-0010-0000-C600-000005000000}" name="Number Pop growth"/>
    <tableColumn id="6" xr3:uid="{00000000-0010-0000-C600-000006000000}" name="Percent of Global Population"/>
  </tableColumns>
  <tableStyleInfo name="Yihnurda-style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Yoprioq" displayName="Yoprioq" ref="A1:F67">
  <tableColumns count="6">
    <tableColumn id="1" xr3:uid="{00000000-0010-0000-C700-000001000000}" name="Earth Year"/>
    <tableColumn id="2" xr3:uid="{00000000-0010-0000-C700-000002000000}" name="Year"/>
    <tableColumn id="3" xr3:uid="{00000000-0010-0000-C700-000003000000}" name="Population"/>
    <tableColumn id="4" xr3:uid="{00000000-0010-0000-C700-000004000000}" name="Pop growth"/>
    <tableColumn id="5" xr3:uid="{00000000-0010-0000-C700-000005000000}" name="Number Pop growth"/>
    <tableColumn id="6" xr3:uid="{00000000-0010-0000-C700-000006000000}" name="Percent of Global Population"/>
  </tableColumns>
  <tableStyleInfo name="Yoprioq-style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Yutnitu" displayName="Yutnitu" ref="A1:F67">
  <tableColumns count="6">
    <tableColumn id="1" xr3:uid="{00000000-0010-0000-C800-000001000000}" name="Earth Year"/>
    <tableColumn id="2" xr3:uid="{00000000-0010-0000-C800-000002000000}" name="Year"/>
    <tableColumn id="3" xr3:uid="{00000000-0010-0000-C800-000003000000}" name="Population"/>
    <tableColumn id="4" xr3:uid="{00000000-0010-0000-C800-000004000000}" name="Pop growth"/>
    <tableColumn id="5" xr3:uid="{00000000-0010-0000-C800-000005000000}" name="Number Pop growth"/>
    <tableColumn id="6" xr3:uid="{00000000-0010-0000-C800-000006000000}" name="Percent of Global Population"/>
  </tableColumns>
  <tableStyleInfo name="Yutnitu-style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Zenashan" displayName="Zenashan" ref="A1:F67">
  <tableColumns count="6">
    <tableColumn id="1" xr3:uid="{00000000-0010-0000-C900-000001000000}" name="Earth Year"/>
    <tableColumn id="2" xr3:uid="{00000000-0010-0000-C900-000002000000}" name="Year"/>
    <tableColumn id="3" xr3:uid="{00000000-0010-0000-C900-000003000000}" name="Population"/>
    <tableColumn id="4" xr3:uid="{00000000-0010-0000-C900-000004000000}" name="Pop growth"/>
    <tableColumn id="5" xr3:uid="{00000000-0010-0000-C900-000005000000}" name="Number Pop growth"/>
    <tableColumn id="6" xr3:uid="{00000000-0010-0000-C900-000006000000}" name="Percent of Global Population"/>
  </tableColumns>
  <tableStyleInfo name="Zenashan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Zhanshe" displayName="Zhanshe" ref="A1:F67">
  <tableColumns count="6">
    <tableColumn id="1" xr3:uid="{00000000-0010-0000-CA00-000001000000}" name="Earth Year"/>
    <tableColumn id="2" xr3:uid="{00000000-0010-0000-CA00-000002000000}" name="Year"/>
    <tableColumn id="3" xr3:uid="{00000000-0010-0000-CA00-000003000000}" name="Population"/>
    <tableColumn id="4" xr3:uid="{00000000-0010-0000-CA00-000004000000}" name="Pop growth"/>
    <tableColumn id="5" xr3:uid="{00000000-0010-0000-CA00-000005000000}" name="Number Pop growth"/>
    <tableColumn id="6" xr3:uid="{00000000-0010-0000-CA00-000006000000}" name="Percent of Global Population"/>
  </tableColumns>
  <tableStyleInfo name="Zhanshe-style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Ztesh" displayName="Ztesh" ref="A1:F67">
  <tableColumns count="6">
    <tableColumn id="1" xr3:uid="{00000000-0010-0000-CB00-000001000000}" name="Earth Year"/>
    <tableColumn id="2" xr3:uid="{00000000-0010-0000-CB00-000002000000}" name="Year"/>
    <tableColumn id="3" xr3:uid="{00000000-0010-0000-CB00-000003000000}" name="Population"/>
    <tableColumn id="4" xr3:uid="{00000000-0010-0000-CB00-000004000000}" name="Pop growth"/>
    <tableColumn id="5" xr3:uid="{00000000-0010-0000-CB00-000005000000}" name="Number Pop growth"/>
    <tableColumn id="6" xr3:uid="{00000000-0010-0000-CB00-000006000000}" name="Percent of Global Population"/>
  </tableColumns>
  <tableStyleInfo name="Ztesh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3" Type="http://schemas.openxmlformats.org/officeDocument/2006/relationships/table" Target="../tables/table11.xml"/><Relationship Id="rId21" Type="http://schemas.openxmlformats.org/officeDocument/2006/relationships/table" Target="../tables/table29.xml"/><Relationship Id="rId7" Type="http://schemas.openxmlformats.org/officeDocument/2006/relationships/table" Target="../tables/table15.x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" Type="http://schemas.openxmlformats.org/officeDocument/2006/relationships/table" Target="../tables/table10.xml"/><Relationship Id="rId16" Type="http://schemas.openxmlformats.org/officeDocument/2006/relationships/table" Target="../tables/table24.xml"/><Relationship Id="rId20" Type="http://schemas.openxmlformats.org/officeDocument/2006/relationships/table" Target="../tables/table28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5" Type="http://schemas.openxmlformats.org/officeDocument/2006/relationships/table" Target="../tables/table13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C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3" max="3" width="19.0898437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</cols>
  <sheetData>
    <row r="1" spans="1:8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spans="1:81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6849174665.108923</v>
      </c>
      <c r="D2" s="5">
        <f t="shared" ref="D2:D65" si="1">((C2-C3)/C3)</f>
        <v>9.7049154896710794E-3</v>
      </c>
      <c r="K2" s="3">
        <f t="shared" ref="K2:K67" si="2">SUM(L2+250)</f>
        <v>2015</v>
      </c>
      <c r="L2" s="3">
        <v>1765</v>
      </c>
      <c r="M2" s="4">
        <f>'Areoix Lie'!C2 + Pelines!C2 + Terressin!C2 + Taniduna!C2 + Iquir!C2 + Deschon!C2 + Othya!C2 + Eldavpir!C2 + 'Candenat'!C2 + Jau!C2 + Viussi!C2 + Jathua!C2 + Jshain!C2 + Acetoa!C2 + Sattle!C2 + 'Reerica'!C2 + 'Feio Lie'!C2 + Umendel!C2 + 'Fire Coast'!C2 + Yoprioq!C2 + 'Rijan bu'!C2 + Saa!C2 + 'Rinew'!C2 + Enina!C2 + Trevilla!C2</f>
        <v>1070068137.8889096</v>
      </c>
      <c r="N2" s="5">
        <f t="shared" ref="N2:N65" si="3">((M2-M3)/M3)</f>
        <v>1.1979006235828819E-2</v>
      </c>
      <c r="O2" s="5">
        <f t="shared" ref="O2:O67" si="4">SUM(M2/C2)</f>
        <v>0.15623315073859226</v>
      </c>
      <c r="V2" s="3">
        <f t="shared" ref="V2:V67" si="5">SUM(W2+250)</f>
        <v>2015</v>
      </c>
      <c r="W2" s="3">
        <v>1765</v>
      </c>
      <c r="X2" s="4">
        <f>Aetintio!C2 + Arbiya!C2 + 'Curata'!C2 + 'Disal Nila'!C2 + Etirha!C2 + Fincen!C2 + Gaeiya!C2 + Genaire!C2 + Grazail!C2 + Guise!C2 + Laselteh!C2 + Lasri!C2 + Metndria!C2 + 'New Misos'!C2 + Peka!C2 + Pelan!C2 + Phuris!C2 + 'Raledria'!C2 + Slyiaduun!C2 + Tomscilus!C2</f>
        <v>537437811.50561249</v>
      </c>
      <c r="Y2" s="5">
        <f t="shared" ref="Y2:Y65" si="6">((X2-X3)/X3)</f>
        <v>1.1148886557676674E-2</v>
      </c>
      <c r="Z2" s="5">
        <f t="shared" ref="Z2:Z67" si="7">SUM(X2/C2)</f>
        <v>7.8467528977386E-2</v>
      </c>
      <c r="AG2" s="3">
        <f t="shared" ref="AG2:AG67" si="8">SUM(AH2+250)</f>
        <v>2015</v>
      </c>
      <c r="AH2" s="3">
        <v>1765</v>
      </c>
      <c r="AI2" s="4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999653622.96705735</v>
      </c>
      <c r="AJ2" s="5">
        <f t="shared" ref="AJ2:AJ65" si="9">((AI2-AI3)/AI3)</f>
        <v>7.025719997748728E-3</v>
      </c>
      <c r="AK2" s="5">
        <f t="shared" ref="AK2:AK67" si="10">SUM(AI2/C2)</f>
        <v>0.14595242081640791</v>
      </c>
      <c r="AR2" s="3">
        <f t="shared" ref="AR2:AR67" si="11">SUM(AS2+250)</f>
        <v>2015</v>
      </c>
      <c r="AS2" s="3">
        <v>1765</v>
      </c>
      <c r="AT2" s="4">
        <f>Amcha!C2 + Byllu!C2 + 'Chaenia'!C2 + 'Cruthi Anoso'!C2 + 'Dual Cenryia'!C2 + Exilium!C2 + Galca!C2 + Inania!C2 + Inrea!C2 + Isnti!C2 + Lieri!C2 + Ocaun!C2 + Otiiric!C2 + Ozinia!C2 + Pelugrotoa!C2 + 'Rtesania'!C2 + Sadain!C2 + Selaja!C2 + Seytinemas!C2 + Sivoso!C2 + Sunsokua!C2 + Taing!C2 + Taoisia!C2 + Trian!C2 + Vayvele!C2</f>
        <v>1387328172.9613781</v>
      </c>
      <c r="AU2" s="5">
        <f t="shared" ref="AU2:AU65" si="12">((AT2-AT3)/AT3)</f>
        <v>9.7958060765068085E-3</v>
      </c>
      <c r="AV2" s="5">
        <f t="shared" ref="AV2:AV67" si="13">SUM(AT2/C2)</f>
        <v>0.20255406538669654</v>
      </c>
      <c r="BC2" s="3">
        <f t="shared" ref="BC2:BC67" si="14">SUM(BD2+250)</f>
        <v>2015</v>
      </c>
      <c r="BD2" s="3">
        <v>1765</v>
      </c>
      <c r="BE2" s="4">
        <f>'Canldives'!C2 + 'Cloja'!C2 + Dahe!C2 + Eparia!C2 + Etretes!C2 + Haiza!C2 + Ihner!C2 + Kaastini!C2 + Kusierna!C2 + Migoku!C2 + 'North Ayre'!C2 + Oscairia!C2 + Oyreain!C2 + 'Pha Hii'!C2 + 'Pruim Fijan'!C2 + 'Prystr Hii'!C2 + 'Ruylku'!C2 + Sanagara!C2 + Shinam!C2 + Stinebar!C2 + Suenan!C2 + Taval!C2 + Ucrua!C2 + Vesozata!C2 + 'Welenu Fana'!C2 + 'Western Migoku'!C2</f>
        <v>1389098831.6190045</v>
      </c>
      <c r="BF2" s="5">
        <f t="shared" ref="BF2:BF65" si="15">((BE2-BE3)/BE3)</f>
        <v>7.1160083368190814E-3</v>
      </c>
      <c r="BG2" s="5">
        <f t="shared" ref="BG2:BG67" si="16">SUM(BE2/C2)</f>
        <v>0.20281258685011408</v>
      </c>
      <c r="BN2" s="3">
        <f t="shared" ref="BN2:BN67" si="17">SUM(BO2+250)</f>
        <v>2015</v>
      </c>
      <c r="BO2" s="3">
        <v>1765</v>
      </c>
      <c r="BP2" s="4">
        <f>Andsaudare!C2 + Aplasia!C2 + Astye!C2 + 'Crila Republic'!C2 + 'Elja and Munusia'!C2 + Hiwush!C2 + Iainoa!C2 + Isari!C2 + Isuibul!C2 + Maalle!C2 + Mendereide!C2 + Nia!C2 + 'Niretui and Anulan'!C2 + Ohtina!C2 + Prstreula!C2 + 'Rethern'!C2 + 'Rkmepuia'!C2 + Tvecoca!C2 + Umarcia!C2 + 'United Delet'!C2 + Veelmit!C2 + Walporein!C2 + Yutnitu!C2</f>
        <v>276067197.87794554</v>
      </c>
      <c r="BQ2" s="6">
        <f t="shared" ref="BQ2:BQ65" si="18">((BP2-BP3)/BP3)</f>
        <v>1.1087358854996622E-2</v>
      </c>
      <c r="BR2" s="5">
        <f t="shared" ref="BR2:BR67" si="19">SUM(BP2/C2)</f>
        <v>4.0306637131666025E-2</v>
      </c>
      <c r="BY2" s="3">
        <f t="shared" ref="BY2:BY67" si="20">SUM(BZ2+250)</f>
        <v>2015</v>
      </c>
      <c r="BZ2" s="3">
        <v>1765</v>
      </c>
      <c r="CA2" s="4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1168914262.0637243</v>
      </c>
      <c r="CB2" s="6">
        <f t="shared" ref="CB2:CB65" si="21">((CA2-CA3)/CA3)</f>
        <v>1.1908832527586536E-2</v>
      </c>
      <c r="CC2" s="5">
        <f t="shared" ref="CC2:CC67" si="22">SUM(CA2/C2)</f>
        <v>0.17066498070466932</v>
      </c>
    </row>
    <row r="3" spans="1:81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6783342895.5699558</v>
      </c>
      <c r="D3" s="5">
        <f t="shared" si="1"/>
        <v>9.8777339795086058E-3</v>
      </c>
      <c r="K3" s="3">
        <f t="shared" si="2"/>
        <v>2014</v>
      </c>
      <c r="L3" s="3">
        <v>1764</v>
      </c>
      <c r="M3" s="4">
        <f>'Areoix Lie'!C3 + Pelines!C3 + Terressin!C3 + Taniduna!C3 + Iquir!C3 + Deschon!C3 + Othya!C3 + Eldavpir!C3 + 'Candenat'!C3 + Jau!C3 + Viussi!C3 + Jathua!C3 + Jshain!C3 + Acetoa!C3 + Sattle!C3 + 'Reerica'!C3 + 'Feio Lie'!C3 + Umendel!C3 + 'Fire Coast'!C3 + Yoprioq!C3 + 'Rijan bu'!C3 + Saa!C3 + 'Rinew'!C3 + Enina!C3 + Trevilla!C3</f>
        <v>1057401518.5049638</v>
      </c>
      <c r="N3" s="5">
        <f t="shared" si="3"/>
        <v>1.2193102937391263E-2</v>
      </c>
      <c r="O3" s="5">
        <f t="shared" si="4"/>
        <v>0.15588206799858639</v>
      </c>
      <c r="V3" s="3">
        <f t="shared" si="5"/>
        <v>2014</v>
      </c>
      <c r="W3" s="3">
        <v>1764</v>
      </c>
      <c r="X3" s="4">
        <f>Aetintio!C3 + Arbiya!C3 + 'Curata'!C3 + 'Disal Nila'!C3 + Etirha!C3 + Fincen!C3 + Gaeiya!C3 + Genaire!C3 + Grazail!C3 + Guise!C3 + Laselteh!C3 + Lasri!C3 + Metndria!C3 + 'New Misos'!C3 + Peka!C3 + Pelan!C3 + Phuris!C3 + 'Raledria'!C3 + Slyiaduun!C3 + Tomscilus!C3</f>
        <v>531512044.02276385</v>
      </c>
      <c r="Y3" s="5">
        <f t="shared" si="6"/>
        <v>1.1528271922689591E-2</v>
      </c>
      <c r="Z3" s="5">
        <f t="shared" si="7"/>
        <v>7.8355473430346864E-2</v>
      </c>
      <c r="AG3" s="3">
        <f t="shared" si="8"/>
        <v>2014</v>
      </c>
      <c r="AH3" s="3">
        <v>1764</v>
      </c>
      <c r="AI3" s="4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992679335.90543461</v>
      </c>
      <c r="AJ3" s="5">
        <f t="shared" si="9"/>
        <v>6.8958409112110193E-3</v>
      </c>
      <c r="AK3" s="5">
        <f t="shared" si="10"/>
        <v>0.14634072774851623</v>
      </c>
      <c r="AR3" s="3">
        <f t="shared" si="11"/>
        <v>2014</v>
      </c>
      <c r="AS3" s="3">
        <v>1764</v>
      </c>
      <c r="AT3" s="4">
        <f>Amcha!C3 + Byllu!C3 + 'Chaenia'!C3 + 'Cruthi Anoso'!C3 + 'Dual Cenryia'!C3 + Exilium!C3 + Galca!C3 + Inania!C3 + Inrea!C3 + Isnti!C3 + Lieri!C3 + Ocaun!C3 + Otiiric!C3 + Ozinia!C3 + Pelugrotoa!C3 + 'Rtesania'!C3 + Sadain!C3 + Selaja!C3 + Seytinemas!C3 + Sivoso!C3 + Sunsokua!C3 + Taing!C3 + Taoisia!C3 + Trian!C3 + Vayvele!C3</f>
        <v>1373870008.7810304</v>
      </c>
      <c r="AU3" s="5">
        <f t="shared" si="12"/>
        <v>9.9515274137428524E-3</v>
      </c>
      <c r="AV3" s="5">
        <f t="shared" si="13"/>
        <v>0.20253583372267281</v>
      </c>
      <c r="BC3" s="3">
        <f t="shared" si="14"/>
        <v>2014</v>
      </c>
      <c r="BD3" s="3">
        <v>1764</v>
      </c>
      <c r="BE3" s="4">
        <f>'Canldives'!C3 + 'Cloja'!C3 + Dahe!C3 + Eparia!C3 + Etretes!C3 + Haiza!C3 + Ihner!C3 + Kaastini!C3 + Kusierna!C3 + Migoku!C3 + 'North Ayre'!C3 + Oscairia!C3 + Oyreain!C3 + 'Pha Hii'!C3 + 'Pruim Fijan'!C3 + 'Prystr Hii'!C3 + 'Ruylku'!C3 + Sanagara!C3 + Shinam!C3 + Stinebar!C3 + Suenan!C3 + Taval!C3 + Ucrua!C3 + Vesozata!C3 + 'Welenu Fana'!C3 + 'Western Migoku'!C3</f>
        <v>1379283836.3407638</v>
      </c>
      <c r="BF3" s="5">
        <f t="shared" si="15"/>
        <v>7.0008829939126058E-3</v>
      </c>
      <c r="BG3" s="5">
        <f t="shared" si="16"/>
        <v>0.2033339398545726</v>
      </c>
      <c r="BN3" s="3">
        <f t="shared" si="17"/>
        <v>2014</v>
      </c>
      <c r="BO3" s="3">
        <v>1764</v>
      </c>
      <c r="BP3" s="4">
        <f>Andsaudare!C3 + Aplasia!C3 + Astye!C3 + 'Crila Republic'!C3 + 'Elja and Munusia'!C3 + Hiwush!C3 + Iainoa!C3 + Isari!C3 + Isuibul!C3 + Maalle!C3 + Mendereide!C3 + Nia!C3 + 'Niretui and Anulan'!C3 + Ohtina!C3 + Prstreula!C3 + 'Rethern'!C3 + 'Rkmepuia'!C3 + Tvecoca!C3 + Umarcia!C3 + 'United Delet'!C3 + Veelmit!C3 + Walporein!C3 + Yutnitu!C3</f>
        <v>273039906.45336241</v>
      </c>
      <c r="BQ3" s="7">
        <f t="shared" si="18"/>
        <v>1.154971296478053E-2</v>
      </c>
      <c r="BR3" s="5">
        <f t="shared" si="19"/>
        <v>4.0251526519716176E-2</v>
      </c>
      <c r="BY3" s="3">
        <f t="shared" si="20"/>
        <v>2014</v>
      </c>
      <c r="BZ3" s="3">
        <v>1764</v>
      </c>
      <c r="CA3" s="4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1155157682.6777599</v>
      </c>
      <c r="CB3" s="7">
        <f t="shared" si="21"/>
        <v>1.2526438045712495E-2</v>
      </c>
      <c r="CC3" s="5">
        <f t="shared" si="22"/>
        <v>0.17029327581717366</v>
      </c>
    </row>
    <row r="4" spans="1:81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6716994213.5862522</v>
      </c>
      <c r="D4" s="5">
        <f t="shared" si="1"/>
        <v>9.8659533680793953E-3</v>
      </c>
      <c r="K4" s="3">
        <f t="shared" si="2"/>
        <v>2013</v>
      </c>
      <c r="L4" s="3">
        <v>1763</v>
      </c>
      <c r="M4" s="4">
        <f>'Areoix Lie'!C4 + Pelines!C4 + Terressin!C4 + Taniduna!C4 + Iquir!C4 + Deschon!C4 + Othya!C4 + Eldavpir!C4 + 'Candenat'!C4 + Jau!C4 + Viussi!C4 + Jathua!C4 + Jshain!C4 + Acetoa!C4 + Sattle!C4 + 'Reerica'!C4 + 'Feio Lie'!C4 + Umendel!C4 + 'Fire Coast'!C4 + Yoprioq!C4 + 'Rijan bu'!C4 + Saa!C4 + 'Rinew'!C4 + Enina!C4 + Trevilla!C4</f>
        <v>1044663824.9523509</v>
      </c>
      <c r="N4" s="5">
        <f t="shared" si="3"/>
        <v>1.1587610913292089E-2</v>
      </c>
      <c r="O4" s="5">
        <f t="shared" si="4"/>
        <v>0.15552549127396034</v>
      </c>
      <c r="V4" s="3">
        <f t="shared" si="5"/>
        <v>2013</v>
      </c>
      <c r="W4" s="3">
        <v>1763</v>
      </c>
      <c r="X4" s="4">
        <f>Aetintio!C4 + Arbiya!C4 + 'Curata'!C4 + 'Disal Nila'!C4 + Etirha!C4 + Fincen!C4 + Gaeiya!C4 + Genaire!C4 + Grazail!C4 + Guise!C4 + Laselteh!C4 + Lasri!C4 + Metndria!C4 + 'New Misos'!C4 + Peka!C4 + Pelan!C4 + Phuris!C4 + 'Raledria'!C4 + Slyiaduun!C4 + Tomscilus!C4</f>
        <v>525454462.10067666</v>
      </c>
      <c r="Y4" s="5">
        <f t="shared" si="6"/>
        <v>1.2712502105628395E-2</v>
      </c>
      <c r="Z4" s="5">
        <f t="shared" si="7"/>
        <v>7.8227618692577772E-2</v>
      </c>
      <c r="AG4" s="3">
        <f t="shared" si="8"/>
        <v>2013</v>
      </c>
      <c r="AH4" s="3">
        <v>1763</v>
      </c>
      <c r="AI4" s="4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985880858.34885275</v>
      </c>
      <c r="AJ4" s="5">
        <f t="shared" si="9"/>
        <v>6.5434444764194688E-3</v>
      </c>
      <c r="AK4" s="5">
        <f t="shared" si="10"/>
        <v>0.14677411160407772</v>
      </c>
      <c r="AR4" s="3">
        <f t="shared" si="11"/>
        <v>2013</v>
      </c>
      <c r="AS4" s="3">
        <v>1763</v>
      </c>
      <c r="AT4" s="4">
        <f>Amcha!C4 + Byllu!C4 + 'Chaenia'!C4 + 'Cruthi Anoso'!C4 + 'Dual Cenryia'!C4 + Exilium!C4 + Galca!C4 + Inania!C4 + Inrea!C4 + Isnti!C4 + Lieri!C4 + Ocaun!C4 + Otiiric!C4 + Ozinia!C4 + Pelugrotoa!C4 + 'Rtesania'!C4 + Sadain!C4 + Selaja!C4 + Seytinemas!C4 + Sivoso!C4 + Sunsokua!C4 + Taing!C4 + Taoisia!C4 + Trian!C4 + Vayvele!C4</f>
        <v>1360332621.4072871</v>
      </c>
      <c r="AU4" s="5">
        <f t="shared" si="12"/>
        <v>9.913122089437747E-3</v>
      </c>
      <c r="AV4" s="5">
        <f t="shared" si="13"/>
        <v>0.20252103517608891</v>
      </c>
      <c r="BC4" s="3">
        <f t="shared" si="14"/>
        <v>2013</v>
      </c>
      <c r="BD4" s="3">
        <v>1763</v>
      </c>
      <c r="BE4" s="4">
        <f>'Canldives'!C4 + 'Cloja'!C4 + Dahe!C4 + Eparia!C4 + Etretes!C4 + Haiza!C4 + Ihner!C4 + Kaastini!C4 + Kusierna!C4 + Migoku!C4 + 'North Ayre'!C4 + Oscairia!C4 + Oyreain!C4 + 'Pha Hii'!C4 + 'Pruim Fijan'!C4 + 'Prystr Hii'!C4 + 'Ruylku'!C4 + Sanagara!C4 + Shinam!C4 + Stinebar!C4 + Suenan!C4 + Taval!C4 + Ucrua!C4 + Vesozata!C4 + 'Welenu Fana'!C4 + 'Western Migoku'!C4</f>
        <v>1369694763.5636797</v>
      </c>
      <c r="BF4" s="5">
        <f t="shared" si="15"/>
        <v>6.7701804913564085E-3</v>
      </c>
      <c r="BG4" s="5">
        <f t="shared" si="16"/>
        <v>0.20391483452423426</v>
      </c>
      <c r="BN4" s="3">
        <f t="shared" si="17"/>
        <v>2013</v>
      </c>
      <c r="BO4" s="3">
        <v>1763</v>
      </c>
      <c r="BP4" s="4">
        <f>Andsaudare!C4 + Aplasia!C4 + Astye!C4 + 'Crila Republic'!C4 + 'Elja and Munusia'!C4 + Hiwush!C4 + Iainoa!C4 + Isari!C4 + Isuibul!C4 + Maalle!C4 + Mendereide!C4 + Nia!C4 + 'Niretui and Anulan'!C4 + Ohtina!C4 + Prstreula!C4 + 'Rethern'!C4 + 'Rkmepuia'!C4 + Tvecoca!C4 + Umarcia!C4 + 'United Delet'!C4 + Veelmit!C4 + Walporein!C4 + Yutnitu!C4</f>
        <v>269922380.43654996</v>
      </c>
      <c r="BQ4" s="6">
        <f t="shared" si="18"/>
        <v>1.1830939737937406E-2</v>
      </c>
      <c r="BR4" s="5">
        <f t="shared" si="19"/>
        <v>4.0184995230543225E-2</v>
      </c>
      <c r="BY4" s="3">
        <f t="shared" si="20"/>
        <v>2013</v>
      </c>
      <c r="BZ4" s="3">
        <v>1763</v>
      </c>
      <c r="CA4" s="4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1140866686.807054</v>
      </c>
      <c r="CB4" s="6">
        <f t="shared" si="21"/>
        <v>1.3054491611582323E-2</v>
      </c>
      <c r="CC4" s="5">
        <f t="shared" si="22"/>
        <v>0.16984779955585774</v>
      </c>
    </row>
    <row r="5" spans="1:81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6651372086.7446842</v>
      </c>
      <c r="D5" s="5">
        <f t="shared" si="1"/>
        <v>1.0079867476510036E-2</v>
      </c>
      <c r="K5" s="3">
        <f t="shared" si="2"/>
        <v>2012</v>
      </c>
      <c r="L5" s="3">
        <v>1762</v>
      </c>
      <c r="M5" s="4">
        <f>'Areoix Lie'!C5 + Pelines!C5 + Terressin!C5 + Taniduna!C5 + Iquir!C5 + Deschon!C5 + Othya!C5 + Eldavpir!C5 + 'Candenat'!C5 + Jau!C5 + Viussi!C5 + Jathua!C5 + Jshain!C5 + Acetoa!C5 + Sattle!C5 + 'Reerica'!C5 + 'Feio Lie'!C5 + Umendel!C5 + 'Fire Coast'!C5 + Yoprioq!C5 + 'Rijan bu'!C5 + Saa!C5 + 'Rinew'!C5 + Enina!C5 + Trevilla!C5</f>
        <v>1032697330.099957</v>
      </c>
      <c r="N5" s="5">
        <f t="shared" si="3"/>
        <v>1.1045252309471627E-2</v>
      </c>
      <c r="O5" s="5">
        <f t="shared" si="4"/>
        <v>0.15526079681483884</v>
      </c>
      <c r="V5" s="3">
        <f t="shared" si="5"/>
        <v>2012</v>
      </c>
      <c r="W5" s="3">
        <v>1762</v>
      </c>
      <c r="X5" s="4">
        <f>Aetintio!C5 + Arbiya!C5 + 'Curata'!C5 + 'Disal Nila'!C5 + Etirha!C5 + Fincen!C5 + Gaeiya!C5 + Genaire!C5 + Grazail!C5 + Guise!C5 + Laselteh!C5 + Lasri!C5 + Metndria!C5 + 'New Misos'!C5 + Peka!C5 + Pelan!C5 + Phuris!C5 + 'Raledria'!C5 + Slyiaduun!C5 + Tomscilus!C5</f>
        <v>518858472.67428172</v>
      </c>
      <c r="Y5" s="5">
        <f t="shared" si="6"/>
        <v>1.3080512606326675E-2</v>
      </c>
      <c r="Z5" s="5">
        <f t="shared" si="7"/>
        <v>7.8007735232298744E-2</v>
      </c>
      <c r="AG5" s="3">
        <f t="shared" si="8"/>
        <v>2012</v>
      </c>
      <c r="AH5" s="3">
        <v>1762</v>
      </c>
      <c r="AI5" s="4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979471739.40582871</v>
      </c>
      <c r="AJ5" s="5">
        <f t="shared" si="9"/>
        <v>6.7838181977680065E-3</v>
      </c>
      <c r="AK5" s="5">
        <f t="shared" si="10"/>
        <v>0.14725859967416166</v>
      </c>
      <c r="AR5" s="3">
        <f t="shared" si="11"/>
        <v>2012</v>
      </c>
      <c r="AS5" s="3">
        <v>1762</v>
      </c>
      <c r="AT5" s="4">
        <f>Amcha!C5 + Byllu!C5 + 'Chaenia'!C5 + 'Cruthi Anoso'!C5 + 'Dual Cenryia'!C5 + Exilium!C5 + Galca!C5 + Inania!C5 + Inrea!C5 + Isnti!C5 + Lieri!C5 + Ocaun!C5 + Otiiric!C5 + Ozinia!C5 + Pelugrotoa!C5 + 'Rtesania'!C5 + Sadain!C5 + Selaja!C5 + Seytinemas!C5 + Sivoso!C5 + Sunsokua!C5 + Taing!C5 + Taoisia!C5 + Trian!C5 + Vayvele!C5</f>
        <v>1346979845.7444108</v>
      </c>
      <c r="AU5" s="5">
        <f t="shared" si="12"/>
        <v>1.0133467564329153E-2</v>
      </c>
      <c r="AV5" s="5">
        <f t="shared" si="13"/>
        <v>0.20251157628495414</v>
      </c>
      <c r="BC5" s="3">
        <f t="shared" si="14"/>
        <v>2012</v>
      </c>
      <c r="BD5" s="3">
        <v>1762</v>
      </c>
      <c r="BE5" s="4">
        <f>'Canldives'!C5 + 'Cloja'!C5 + Dahe!C5 + Eparia!C5 + Etretes!C5 + Haiza!C5 + Ihner!C5 + Kaastini!C5 + Kusierna!C5 + Migoku!C5 + 'North Ayre'!C5 + Oscairia!C5 + Oyreain!C5 + 'Pha Hii'!C5 + 'Pruim Fijan'!C5 + 'Prystr Hii'!C5 + 'Ruylku'!C5 + Sanagara!C5 + Shinam!C5 + Stinebar!C5 + Suenan!C5 + Taval!C5 + Ucrua!C5 + Vesozata!C5 + 'Welenu Fana'!C5 + 'Western Migoku'!C5</f>
        <v>1360484041.0501602</v>
      </c>
      <c r="BF5" s="5">
        <f t="shared" si="15"/>
        <v>7.131315084468297E-3</v>
      </c>
      <c r="BG5" s="5">
        <f t="shared" si="16"/>
        <v>0.20454186343918832</v>
      </c>
      <c r="BN5" s="3">
        <f t="shared" si="17"/>
        <v>2012</v>
      </c>
      <c r="BO5" s="3">
        <v>1762</v>
      </c>
      <c r="BP5" s="4">
        <f>Andsaudare!C5 + Aplasia!C5 + Astye!C5 + 'Crila Republic'!C5 + 'Elja and Munusia'!C5 + Hiwush!C5 + Iainoa!C5 + Isari!C5 + Isuibul!C5 + Maalle!C5 + Mendereide!C5 + Nia!C5 + 'Niretui and Anulan'!C5 + Ohtina!C5 + Prstreula!C5 + 'Rethern'!C5 + 'Rkmepuia'!C5 + Tvecoca!C5 + Umarcia!C5 + 'United Delet'!C5 + Veelmit!C5 + Walporein!C5 + Yutnitu!C5</f>
        <v>266766284.59934169</v>
      </c>
      <c r="BQ5" s="7">
        <f t="shared" si="18"/>
        <v>1.2526868299505747E-2</v>
      </c>
      <c r="BR5" s="5">
        <f t="shared" si="19"/>
        <v>4.0106955545453855E-2</v>
      </c>
      <c r="BY5" s="3">
        <f t="shared" si="20"/>
        <v>2012</v>
      </c>
      <c r="BZ5" s="3">
        <v>1762</v>
      </c>
      <c r="CA5" s="4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1126165173.0028324</v>
      </c>
      <c r="CB5" s="7">
        <f t="shared" si="21"/>
        <v>1.359623720511772E-2</v>
      </c>
      <c r="CC5" s="5">
        <f t="shared" si="22"/>
        <v>0.16931321211861422</v>
      </c>
    </row>
    <row r="6" spans="1:81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6584996197.7381611</v>
      </c>
      <c r="D6" s="5">
        <f t="shared" si="1"/>
        <v>1.010931554522404E-2</v>
      </c>
      <c r="K6" s="3">
        <f t="shared" si="2"/>
        <v>2011</v>
      </c>
      <c r="L6" s="3">
        <v>1761</v>
      </c>
      <c r="M6" s="4">
        <f>'Areoix Lie'!C6 + Pelines!C6 + Terressin!C6 + Taniduna!C6 + Iquir!C6 + Deschon!C6 + Othya!C6 + Eldavpir!C6 + 'Candenat'!C6 + Jau!C6 + Viussi!C6 + Jathua!C6 + Jshain!C6 + Acetoa!C6 + Sattle!C6 + 'Reerica'!C6 + 'Feio Lie'!C6 + Umendel!C6 + 'Fire Coast'!C6 + Yoprioq!C6 + 'Rijan bu'!C6 + Saa!C6 + 'Rinew'!C6 + Enina!C6 + Trevilla!C6</f>
        <v>1021415537.7724457</v>
      </c>
      <c r="N6" s="5">
        <f t="shared" si="3"/>
        <v>1.188251032080892E-2</v>
      </c>
      <c r="O6" s="5">
        <f t="shared" si="4"/>
        <v>0.15511254784373077</v>
      </c>
      <c r="V6" s="3">
        <f t="shared" si="5"/>
        <v>2011</v>
      </c>
      <c r="W6" s="3">
        <v>1761</v>
      </c>
      <c r="X6" s="4">
        <f>Aetintio!C6 + Arbiya!C6 + 'Curata'!C6 + 'Disal Nila'!C6 + Etirha!C6 + Fincen!C6 + Gaeiya!C6 + Genaire!C6 + Grazail!C6 + Guise!C6 + Laselteh!C6 + Lasri!C6 + Metndria!C6 + 'New Misos'!C6 + Peka!C6 + Pelan!C6 + Phuris!C6 + 'Raledria'!C6 + Slyiaduun!C6 + Tomscilus!C6</f>
        <v>512159168.21796089</v>
      </c>
      <c r="Y6" s="5">
        <f t="shared" si="6"/>
        <v>1.1055655545922131E-2</v>
      </c>
      <c r="Z6" s="5">
        <f t="shared" si="7"/>
        <v>7.7776683970429514E-2</v>
      </c>
      <c r="AG6" s="3">
        <f t="shared" si="8"/>
        <v>2011</v>
      </c>
      <c r="AH6" s="3">
        <v>1761</v>
      </c>
      <c r="AI6" s="4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972871952.94732654</v>
      </c>
      <c r="AJ6" s="5">
        <f t="shared" si="9"/>
        <v>6.9391805756787621E-3</v>
      </c>
      <c r="AK6" s="5">
        <f t="shared" si="10"/>
        <v>0.14774070078908963</v>
      </c>
      <c r="AR6" s="3">
        <f t="shared" si="11"/>
        <v>2011</v>
      </c>
      <c r="AS6" s="3">
        <v>1761</v>
      </c>
      <c r="AT6" s="4">
        <f>Amcha!C6 + Byllu!C6 + 'Chaenia'!C6 + 'Cruthi Anoso'!C6 + 'Dual Cenryia'!C6 + Exilium!C6 + Galca!C6 + Inania!C6 + Inrea!C6 + Isnti!C6 + Lieri!C6 + Ocaun!C6 + Otiiric!C6 + Ozinia!C6 + Pelugrotoa!C6 + 'Rtesania'!C6 + Sadain!C6 + Selaja!C6 + Seytinemas!C6 + Sivoso!C6 + Sunsokua!C6 + Taing!C6 + Taoisia!C6 + Trian!C6 + Vayvele!C6</f>
        <v>1333467199.1338906</v>
      </c>
      <c r="AU6" s="5">
        <f t="shared" si="12"/>
        <v>9.8042194650487767E-3</v>
      </c>
      <c r="AV6" s="5">
        <f t="shared" si="13"/>
        <v>0.20250083053835549</v>
      </c>
      <c r="BC6" s="3">
        <f t="shared" si="14"/>
        <v>2011</v>
      </c>
      <c r="BD6" s="3">
        <v>1761</v>
      </c>
      <c r="BE6" s="4">
        <f>'Canldives'!C6 + 'Cloja'!C6 + Dahe!C6 + Eparia!C6 + Etretes!C6 + Haiza!C6 + Ihner!C6 + Kaastini!C6 + Kusierna!C6 + Migoku!C6 + 'North Ayre'!C6 + Oscairia!C6 + Oyreain!C6 + 'Pha Hii'!C6 + 'Pruim Fijan'!C6 + 'Prystr Hii'!C6 + 'Ruylku'!C6 + Sanagara!C6 + Shinam!C6 + Stinebar!C6 + Suenan!C6 + Taval!C6 + Ucrua!C6 + Vesozata!C6 + 'Welenu Fana'!C6 + 'Western Migoku'!C6</f>
        <v>1350850699.0829256</v>
      </c>
      <c r="BF6" s="5">
        <f t="shared" si="15"/>
        <v>7.0703532259642227E-3</v>
      </c>
      <c r="BG6" s="5">
        <f t="shared" si="16"/>
        <v>0.20514069538064741</v>
      </c>
      <c r="BN6" s="3">
        <f t="shared" si="17"/>
        <v>2011</v>
      </c>
      <c r="BO6" s="3">
        <v>1761</v>
      </c>
      <c r="BP6" s="4">
        <f>Andsaudare!C6 + Aplasia!C6 + Astye!C6 + 'Crila Republic'!C6 + 'Elja and Munusia'!C6 + Hiwush!C6 + Iainoa!C6 + Isari!C6 + Isuibul!C6 + Maalle!C6 + Mendereide!C6 + Nia!C6 + 'Niretui and Anulan'!C6 + Ohtina!C6 + Prstreula!C6 + 'Rethern'!C6 + 'Rkmepuia'!C6 + Tvecoca!C6 + Umarcia!C6 + 'United Delet'!C6 + Veelmit!C6 + Walporein!C6 + Yutnitu!C6</f>
        <v>263465882.19171301</v>
      </c>
      <c r="BQ6" s="6">
        <f t="shared" si="18"/>
        <v>1.3633237380305006E-2</v>
      </c>
      <c r="BR6" s="5">
        <f t="shared" si="19"/>
        <v>4.0010027990936309E-2</v>
      </c>
      <c r="BY6" s="3">
        <f t="shared" si="20"/>
        <v>2011</v>
      </c>
      <c r="BZ6" s="3">
        <v>1761</v>
      </c>
      <c r="CA6" s="4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1111058951.9433413</v>
      </c>
      <c r="CB6" s="6">
        <f t="shared" si="21"/>
        <v>1.400426353742769E-2</v>
      </c>
      <c r="CC6" s="5">
        <f t="shared" si="22"/>
        <v>0.16872583044542561</v>
      </c>
    </row>
    <row r="7" spans="1:81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6519092633.2401905</v>
      </c>
      <c r="D7" s="5">
        <f t="shared" si="1"/>
        <v>1.0442780114571854E-2</v>
      </c>
      <c r="K7" s="3">
        <f t="shared" si="2"/>
        <v>2010</v>
      </c>
      <c r="L7" s="3">
        <v>1760</v>
      </c>
      <c r="M7" s="4">
        <f>'Areoix Lie'!C7 + Pelines!C7 + Terressin!C7 + Taniduna!C7 + Iquir!C7 + Deschon!C7 + Othya!C7 + Eldavpir!C7 + 'Candenat'!C7 + Jau!C7 + Viussi!C7 + Jathua!C7 + Jshain!C7 + Acetoa!C7 + Sattle!C7 + 'Reerica'!C7 + 'Feio Lie'!C7 + Umendel!C7 + 'Fire Coast'!C7 + Yoprioq!C7 + 'Rijan bu'!C7 + Saa!C7 + 'Rinew'!C7 + Enina!C7 + Trevilla!C7</f>
        <v>1009421081.3552004</v>
      </c>
      <c r="N7" s="5">
        <f t="shared" si="3"/>
        <v>1.2584589189279969E-2</v>
      </c>
      <c r="O7" s="5">
        <f t="shared" si="4"/>
        <v>0.15484073292781037</v>
      </c>
      <c r="V7" s="3">
        <f t="shared" si="5"/>
        <v>2010</v>
      </c>
      <c r="W7" s="3">
        <v>1760</v>
      </c>
      <c r="X7" s="4">
        <f>Aetintio!C7 + Arbiya!C7 + 'Curata'!C7 + 'Disal Nila'!C7 + Etirha!C7 + Fincen!C7 + Gaeiya!C7 + Genaire!C7 + Grazail!C7 + Guise!C7 + Laselteh!C7 + Lasri!C7 + Metndria!C7 + 'New Misos'!C7 + Peka!C7 + Pelan!C7 + Phuris!C7 + 'Raledria'!C7 + Slyiaduun!C7 + Tomscilus!C7</f>
        <v>506558828.29854625</v>
      </c>
      <c r="Y7" s="5">
        <f t="shared" si="6"/>
        <v>1.2333085936216801E-2</v>
      </c>
      <c r="Z7" s="5">
        <f t="shared" si="7"/>
        <v>7.7703885616788801E-2</v>
      </c>
      <c r="AG7" s="3">
        <f t="shared" si="8"/>
        <v>2010</v>
      </c>
      <c r="AH7" s="3">
        <v>1760</v>
      </c>
      <c r="AI7" s="4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966167541.90766954</v>
      </c>
      <c r="AJ7" s="5">
        <f t="shared" si="9"/>
        <v>6.9900018798244963E-3</v>
      </c>
      <c r="AK7" s="5">
        <f t="shared" si="10"/>
        <v>0.14820583112767557</v>
      </c>
      <c r="AR7" s="3">
        <f t="shared" si="11"/>
        <v>2010</v>
      </c>
      <c r="AS7" s="3">
        <v>1760</v>
      </c>
      <c r="AT7" s="4">
        <f>Amcha!C7 + Byllu!C7 + 'Chaenia'!C7 + 'Cruthi Anoso'!C7 + 'Dual Cenryia'!C7 + Exilium!C7 + Galca!C7 + Inania!C7 + Inrea!C7 + Isnti!C7 + Lieri!C7 + Ocaun!C7 + Otiiric!C7 + Ozinia!C7 + Pelugrotoa!C7 + 'Rtesania'!C7 + Sadain!C7 + Selaja!C7 + Seytinemas!C7 + Sivoso!C7 + Sunsokua!C7 + Taing!C7 + Taoisia!C7 + Trian!C7 + Vayvele!C7</f>
        <v>1320520526.088022</v>
      </c>
      <c r="AU7" s="5">
        <f t="shared" si="12"/>
        <v>9.5812558326823314E-3</v>
      </c>
      <c r="AV7" s="5">
        <f t="shared" si="13"/>
        <v>0.20256201290265796</v>
      </c>
      <c r="BC7" s="3">
        <f t="shared" si="14"/>
        <v>2010</v>
      </c>
      <c r="BD7" s="3">
        <v>1760</v>
      </c>
      <c r="BE7" s="4">
        <f>'Canldives'!C7 + 'Cloja'!C7 + Dahe!C7 + Eparia!C7 + Etretes!C7 + Haiza!C7 + Ihner!C7 + Kaastini!C7 + Kusierna!C7 + Migoku!C7 + 'North Ayre'!C7 + Oscairia!C7 + Oyreain!C7 + 'Pha Hii'!C7 + 'Pruim Fijan'!C7 + 'Prystr Hii'!C7 + 'Ruylku'!C7 + Sanagara!C7 + Shinam!C7 + Stinebar!C7 + Suenan!C7 + Taval!C7 + Ucrua!C7 + Vesozata!C7 + 'Welenu Fana'!C7 + 'Western Migoku'!C7</f>
        <v>1341366762.268122</v>
      </c>
      <c r="BF7" s="5">
        <f t="shared" si="15"/>
        <v>7.203445603138881E-3</v>
      </c>
      <c r="BG7" s="5">
        <f t="shared" si="16"/>
        <v>0.20575973340655251</v>
      </c>
      <c r="BN7" s="3">
        <f t="shared" si="17"/>
        <v>2010</v>
      </c>
      <c r="BO7" s="3">
        <v>1760</v>
      </c>
      <c r="BP7" s="4">
        <f>Andsaudare!C7 + Aplasia!C7 + Astye!C7 + 'Crila Republic'!C7 + 'Elja and Munusia'!C7 + Hiwush!C7 + Iainoa!C7 + Isari!C7 + Isuibul!C7 + Maalle!C7 + Mendereide!C7 + Nia!C7 + 'Niretui and Anulan'!C7 + Ohtina!C7 + Prstreula!C7 + 'Rethern'!C7 + 'Rkmepuia'!C7 + Tvecoca!C7 + Umarcia!C7 + 'United Delet'!C7 + Veelmit!C7 + Walporein!C7 + Yutnitu!C7</f>
        <v>259922299.77839929</v>
      </c>
      <c r="BQ7" s="7">
        <f t="shared" si="18"/>
        <v>1.4983888902829647E-2</v>
      </c>
      <c r="BR7" s="5">
        <f t="shared" si="19"/>
        <v>3.9870932106882778E-2</v>
      </c>
      <c r="BY7" s="3">
        <f t="shared" si="20"/>
        <v>2010</v>
      </c>
      <c r="BZ7" s="3">
        <v>1760</v>
      </c>
      <c r="CA7" s="4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1095714280.398912</v>
      </c>
      <c r="CB7" s="7">
        <f t="shared" si="21"/>
        <v>1.4481258167580812E-2</v>
      </c>
      <c r="CC7" s="5">
        <f t="shared" si="22"/>
        <v>0.16807772830408579</v>
      </c>
    </row>
    <row r="8" spans="1:81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6451718752.9421558</v>
      </c>
      <c r="D8" s="5">
        <f t="shared" si="1"/>
        <v>1.0925379351832801E-2</v>
      </c>
      <c r="K8" s="3">
        <f t="shared" si="2"/>
        <v>2009</v>
      </c>
      <c r="L8" s="3">
        <v>1759</v>
      </c>
      <c r="M8" s="4">
        <f>'Areoix Lie'!C8 + Pelines!C8 + Terressin!C8 + Taniduna!C8 + Iquir!C8 + Deschon!C8 + Othya!C8 + Eldavpir!C8 + 'Candenat'!C8 + Jau!C8 + Viussi!C8 + Jathua!C8 + Jshain!C8 + Acetoa!C8 + Sattle!C8 + 'Reerica'!C8 + 'Feio Lie'!C8 + Umendel!C8 + 'Fire Coast'!C8 + Yoprioq!C8 + 'Rijan bu'!C8 + Saa!C8 + 'Rinew'!C8 + Enina!C8 + Trevilla!C8</f>
        <v>996875808.82836425</v>
      </c>
      <c r="N8" s="5">
        <f t="shared" si="3"/>
        <v>1.2520331010498357E-2</v>
      </c>
      <c r="O8" s="5">
        <f t="shared" si="4"/>
        <v>0.15451321531549439</v>
      </c>
      <c r="V8" s="3">
        <f t="shared" si="5"/>
        <v>2009</v>
      </c>
      <c r="W8" s="3">
        <v>1759</v>
      </c>
      <c r="X8" s="4">
        <f>Aetintio!C8 + Arbiya!C8 + 'Curata'!C8 + 'Disal Nila'!C8 + Etirha!C8 + Fincen!C8 + Gaeiya!C8 + Genaire!C8 + Grazail!C8 + Guise!C8 + Laselteh!C8 + Lasri!C8 + Metndria!C8 + 'New Misos'!C8 + Peka!C8 + Pelan!C8 + Phuris!C8 + 'Raledria'!C8 + Slyiaduun!C8 + Tomscilus!C8</f>
        <v>500387506.18337744</v>
      </c>
      <c r="Y8" s="5">
        <f t="shared" si="6"/>
        <v>1.4921103749713843E-2</v>
      </c>
      <c r="Z8" s="5">
        <f t="shared" si="7"/>
        <v>7.7558790974139633E-2</v>
      </c>
      <c r="AG8" s="3">
        <f t="shared" si="8"/>
        <v>2009</v>
      </c>
      <c r="AH8" s="3">
        <v>1759</v>
      </c>
      <c r="AI8" s="4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959460908.3546524</v>
      </c>
      <c r="AJ8" s="5">
        <f t="shared" si="9"/>
        <v>7.0536051616117389E-3</v>
      </c>
      <c r="AK8" s="5">
        <f t="shared" si="10"/>
        <v>0.14871400088807538</v>
      </c>
      <c r="AR8" s="3">
        <f t="shared" si="11"/>
        <v>2009</v>
      </c>
      <c r="AS8" s="3">
        <v>1759</v>
      </c>
      <c r="AT8" s="4">
        <f>Amcha!C8 + Byllu!C8 + 'Chaenia'!C8 + 'Cruthi Anoso'!C8 + 'Dual Cenryia'!C8 + Exilium!C8 + Galca!C8 + Inania!C8 + Inrea!C8 + Isnti!C8 + Lieri!C8 + Ocaun!C8 + Otiiric!C8 + Ozinia!C8 + Pelugrotoa!C8 + 'Rtesania'!C8 + Sadain!C8 + Selaja!C8 + Seytinemas!C8 + Sivoso!C8 + Sunsokua!C8 + Taing!C8 + Taoisia!C8 + Trian!C8 + Vayvele!C8</f>
        <v>1307988355.0322883</v>
      </c>
      <c r="AU8" s="5">
        <f t="shared" si="12"/>
        <v>1.0107633296400291E-2</v>
      </c>
      <c r="AV8" s="5">
        <f t="shared" si="13"/>
        <v>0.20273486881860911</v>
      </c>
      <c r="BC8" s="3">
        <f t="shared" si="14"/>
        <v>2009</v>
      </c>
      <c r="BD8" s="3">
        <v>1759</v>
      </c>
      <c r="BE8" s="4">
        <f>'Canldives'!C8 + 'Cloja'!C8 + Dahe!C8 + Eparia!C8 + Etretes!C8 + Haiza!C8 + Ihner!C8 + Kaastini!C8 + Kusierna!C8 + Migoku!C8 + 'North Ayre'!C8 + Oscairia!C8 + Oyreain!C8 + 'Pha Hii'!C8 + 'Pruim Fijan'!C8 + 'Prystr Hii'!C8 + 'Ruylku'!C8 + Sanagara!C8 + Shinam!C8 + Stinebar!C8 + Suenan!C8 + Taval!C8 + Ucrua!C8 + Vesozata!C8 + 'Welenu Fana'!C8 + 'Western Migoku'!C8</f>
        <v>1331773404.9895725</v>
      </c>
      <c r="BF8" s="5">
        <f t="shared" si="15"/>
        <v>7.4987698094684989E-3</v>
      </c>
      <c r="BG8" s="5">
        <f t="shared" si="16"/>
        <v>0.20642149107666052</v>
      </c>
      <c r="BN8" s="3">
        <f t="shared" si="17"/>
        <v>2009</v>
      </c>
      <c r="BO8" s="3">
        <v>1759</v>
      </c>
      <c r="BP8" s="4">
        <f>Andsaudare!C8 + Aplasia!C8 + Astye!C8 + 'Crila Republic'!C8 + 'Elja and Munusia'!C8 + Hiwush!C8 + Iainoa!C8 + Isari!C8 + Isuibul!C8 + Maalle!C8 + Mendereide!C8 + Nia!C8 + 'Niretui and Anulan'!C8 + Ohtina!C8 + Prstreula!C8 + 'Rethern'!C8 + 'Rkmepuia'!C8 + Tvecoca!C8 + Umarcia!C8 + 'United Delet'!C8 + Veelmit!C8 + Walporein!C8 + Yutnitu!C8</f>
        <v>256085148.36562413</v>
      </c>
      <c r="BQ8" s="6">
        <f t="shared" si="18"/>
        <v>1.5525570674323891E-2</v>
      </c>
      <c r="BR8" s="5">
        <f t="shared" si="19"/>
        <v>3.9692546772725094E-2</v>
      </c>
      <c r="BY8" s="3">
        <f t="shared" si="20"/>
        <v>2009</v>
      </c>
      <c r="BZ8" s="3">
        <v>1759</v>
      </c>
      <c r="CA8" s="4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1080073457.8163221</v>
      </c>
      <c r="CB8" s="6">
        <f t="shared" si="21"/>
        <v>1.5097056839383031E-2</v>
      </c>
      <c r="CC8" s="5">
        <f t="shared" si="22"/>
        <v>0.16740863933719674</v>
      </c>
    </row>
    <row r="9" spans="1:81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6381993057.7653065</v>
      </c>
      <c r="D9" s="5">
        <f t="shared" si="1"/>
        <v>1.1571793877144805E-2</v>
      </c>
      <c r="K9" s="3">
        <f t="shared" si="2"/>
        <v>2008</v>
      </c>
      <c r="L9" s="3">
        <v>1758</v>
      </c>
      <c r="M9" s="4">
        <f>'Areoix Lie'!C9 + Pelines!C9 + Terressin!C9 + Taniduna!C9 + Iquir!C9 + Deschon!C9 + Othya!C9 + Eldavpir!C9 + 'Candenat'!C9 + Jau!C9 + Viussi!C9 + Jathua!C9 + Jshain!C9 + Acetoa!C9 + Sattle!C9 + 'Reerica'!C9 + 'Feio Lie'!C9 + Umendel!C9 + 'Fire Coast'!C9 + Yoprioq!C9 + 'Rijan bu'!C9 + Saa!C9 + 'Rinew'!C9 + Enina!C9 + Trevilla!C9</f>
        <v>984548930.32466733</v>
      </c>
      <c r="N9" s="5">
        <f t="shared" si="3"/>
        <v>1.596682052386467E-2</v>
      </c>
      <c r="O9" s="5">
        <f t="shared" si="4"/>
        <v>0.15426982157661781</v>
      </c>
      <c r="V9" s="3">
        <f t="shared" si="5"/>
        <v>2008</v>
      </c>
      <c r="W9" s="3">
        <v>1758</v>
      </c>
      <c r="X9" s="4">
        <f>Aetintio!C9 + Arbiya!C9 + 'Curata'!C9 + 'Disal Nila'!C9 + Etirha!C9 + Fincen!C9 + Gaeiya!C9 + Genaire!C9 + Grazail!C9 + Guise!C9 + Laselteh!C9 + Lasri!C9 + Metndria!C9 + 'New Misos'!C9 + Peka!C9 + Pelan!C9 + Phuris!C9 + 'Raledria'!C9 + Slyiaduun!C9 + Tomscilus!C9</f>
        <v>493030940.37029332</v>
      </c>
      <c r="Y9" s="5">
        <f t="shared" si="6"/>
        <v>1.4651216595115469E-2</v>
      </c>
      <c r="Z9" s="5">
        <f t="shared" si="7"/>
        <v>7.7253443541496283E-2</v>
      </c>
      <c r="AG9" s="3">
        <f t="shared" si="8"/>
        <v>2008</v>
      </c>
      <c r="AH9" s="3">
        <v>1758</v>
      </c>
      <c r="AI9" s="4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952740651.97420979</v>
      </c>
      <c r="AJ9" s="5">
        <f t="shared" si="9"/>
        <v>7.1808281760684361E-3</v>
      </c>
      <c r="AK9" s="5">
        <f t="shared" si="10"/>
        <v>0.14928575499074856</v>
      </c>
      <c r="AR9" s="3">
        <f t="shared" si="11"/>
        <v>2008</v>
      </c>
      <c r="AS9" s="3">
        <v>1758</v>
      </c>
      <c r="AT9" s="4">
        <f>Amcha!C9 + Byllu!C9 + 'Chaenia'!C9 + 'Cruthi Anoso'!C9 + 'Dual Cenryia'!C9 + Exilium!C9 + Galca!C9 + Inania!C9 + Inrea!C9 + Isnti!C9 + Lieri!C9 + Ocaun!C9 + Otiiric!C9 + Ozinia!C9 + Pelugrotoa!C9 + 'Rtesania'!C9 + Sadain!C9 + Selaja!C9 + Seytinemas!C9 + Sivoso!C9 + Sunsokua!C9 + Taing!C9 + Taoisia!C9 + Trian!C9 + Vayvele!C9</f>
        <v>1294899980.8701372</v>
      </c>
      <c r="AU9" s="5">
        <f t="shared" si="12"/>
        <v>1.0108016743037284E-2</v>
      </c>
      <c r="AV9" s="5">
        <f t="shared" si="13"/>
        <v>0.20289899552531859</v>
      </c>
      <c r="BC9" s="3">
        <f t="shared" si="14"/>
        <v>2008</v>
      </c>
      <c r="BD9" s="3">
        <v>1758</v>
      </c>
      <c r="BE9" s="4">
        <f>'Canldives'!C9 + 'Cloja'!C9 + Dahe!C9 + Eparia!C9 + Etretes!C9 + Haiza!C9 + Ihner!C9 + Kaastini!C9 + Kusierna!C9 + Migoku!C9 + 'North Ayre'!C9 + Oscairia!C9 + Oyreain!C9 + 'Pha Hii'!C9 + 'Pruim Fijan'!C9 + 'Prystr Hii'!C9 + 'Ruylku'!C9 + Sanagara!C9 + Shinam!C9 + Stinebar!C9 + Suenan!C9 + Taval!C9 + Ucrua!C9 + Vesozata!C9 + 'Welenu Fana'!C9 + 'Western Migoku'!C9</f>
        <v>1321861073.0824304</v>
      </c>
      <c r="BF9" s="5">
        <f t="shared" si="15"/>
        <v>7.7894278411137817E-3</v>
      </c>
      <c r="BG9" s="5">
        <f t="shared" si="16"/>
        <v>0.20712355233198704</v>
      </c>
      <c r="BN9" s="3">
        <f t="shared" si="17"/>
        <v>2008</v>
      </c>
      <c r="BO9" s="3">
        <v>1758</v>
      </c>
      <c r="BP9" s="4">
        <f>Andsaudare!C9 + Aplasia!C9 + Astye!C9 + 'Crila Republic'!C9 + 'Elja and Munusia'!C9 + Hiwush!C9 + Iainoa!C9 + Isari!C9 + Isuibul!C9 + Maalle!C9 + Mendereide!C9 + Nia!C9 + 'Niretui and Anulan'!C9 + Ohtina!C9 + Prstreula!C9 + 'Rethern'!C9 + 'Rkmepuia'!C9 + Tvecoca!C9 + Umarcia!C9 + 'United Delet'!C9 + Veelmit!C9 + Walporein!C9 + Yutnitu!C9</f>
        <v>252170064.21175572</v>
      </c>
      <c r="BQ9" s="7">
        <f t="shared" si="18"/>
        <v>1.5220551573205954E-2</v>
      </c>
      <c r="BR9" s="5">
        <f t="shared" si="19"/>
        <v>3.9512744988797373E-2</v>
      </c>
      <c r="BY9" s="3">
        <f t="shared" si="20"/>
        <v>2008</v>
      </c>
      <c r="BZ9" s="3">
        <v>1758</v>
      </c>
      <c r="CA9" s="4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1064010037.7980114</v>
      </c>
      <c r="CB9" s="7">
        <f t="shared" si="21"/>
        <v>1.5587842481736124E-2</v>
      </c>
      <c r="CC9" s="5">
        <f t="shared" si="22"/>
        <v>0.16672065108303033</v>
      </c>
    </row>
    <row r="10" spans="1:81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6308986763.3660002</v>
      </c>
      <c r="D10" s="5">
        <f t="shared" si="1"/>
        <v>1.1196510570344943E-2</v>
      </c>
      <c r="K10" s="3">
        <f t="shared" si="2"/>
        <v>2007</v>
      </c>
      <c r="L10" s="3">
        <v>1757</v>
      </c>
      <c r="M10" s="4">
        <f>'Areoix Lie'!C10 + Pelines!C10 + Terressin!C10 + Taniduna!C10 + Iquir!C10 + Deschon!C10 + Othya!C10 + Eldavpir!C10 + 'Candenat'!C10 + Jau!C10 + Viussi!C10 + Jathua!C10 + Jshain!C10 + Acetoa!C10 + Sattle!C10 + 'Reerica'!C10 + 'Feio Lie'!C10 + Umendel!C10 + 'Fire Coast'!C10 + Yoprioq!C10 + 'Rijan bu'!C10 + Saa!C10 + 'Rinew'!C10 + Enina!C10 + Trevilla!C10</f>
        <v>969075869.83697236</v>
      </c>
      <c r="N10" s="5">
        <f t="shared" si="3"/>
        <v>1.3427115020425285E-2</v>
      </c>
      <c r="O10" s="5">
        <f t="shared" si="4"/>
        <v>0.15360245728585845</v>
      </c>
      <c r="V10" s="3">
        <f t="shared" si="5"/>
        <v>2007</v>
      </c>
      <c r="W10" s="3">
        <v>1757</v>
      </c>
      <c r="X10" s="4">
        <f>Aetintio!C10 + Arbiya!C10 + 'Curata'!C10 + 'Disal Nila'!C10 + Etirha!C10 + Fincen!C10 + Gaeiya!C10 + Genaire!C10 + Grazail!C10 + Guise!C10 + Laselteh!C10 + Lasri!C10 + Metndria!C10 + 'New Misos'!C10 + Peka!C10 + Pelan!C10 + Phuris!C10 + 'Raledria'!C10 + Slyiaduun!C10 + Tomscilus!C10</f>
        <v>485911742.189367</v>
      </c>
      <c r="Y10" s="5">
        <f t="shared" si="6"/>
        <v>1.3756285972842286E-2</v>
      </c>
      <c r="Z10" s="5">
        <f t="shared" si="7"/>
        <v>7.7018982669432814E-2</v>
      </c>
      <c r="AG10" s="3">
        <f t="shared" si="8"/>
        <v>2007</v>
      </c>
      <c r="AH10" s="3">
        <v>1757</v>
      </c>
      <c r="AI10" s="4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945947962.19419122</v>
      </c>
      <c r="AJ10" s="5">
        <f t="shared" si="9"/>
        <v>6.7483547771462569E-3</v>
      </c>
      <c r="AK10" s="5">
        <f t="shared" si="10"/>
        <v>0.14993659008558524</v>
      </c>
      <c r="AR10" s="3">
        <f t="shared" si="11"/>
        <v>2007</v>
      </c>
      <c r="AS10" s="3">
        <v>1757</v>
      </c>
      <c r="AT10" s="4">
        <f>Amcha!C10 + Byllu!C10 + 'Chaenia'!C10 + 'Cruthi Anoso'!C10 + 'Dual Cenryia'!C10 + Exilium!C10 + Galca!C10 + Inania!C10 + Inrea!C10 + Isnti!C10 + Lieri!C10 + Ocaun!C10 + Otiiric!C10 + Ozinia!C10 + Pelugrotoa!C10 + 'Rtesania'!C10 + Sadain!C10 + Selaja!C10 + Seytinemas!C10 + Sivoso!C10 + Sunsokua!C10 + Taing!C10 + Taoisia!C10 + Trian!C10 + Vayvele!C10</f>
        <v>1281942088.7732134</v>
      </c>
      <c r="AU10" s="5">
        <f t="shared" si="12"/>
        <v>1.0144304436500204E-2</v>
      </c>
      <c r="AV10" s="5">
        <f t="shared" si="13"/>
        <v>0.20319302240686041</v>
      </c>
      <c r="BC10" s="3">
        <f t="shared" si="14"/>
        <v>2007</v>
      </c>
      <c r="BD10" s="3">
        <v>1757</v>
      </c>
      <c r="BE10" s="4">
        <f>'Canldives'!C10 + 'Cloja'!C10 + Dahe!C10 + Eparia!C10 + Etretes!C10 + Haiza!C10 + Ihner!C10 + Kaastini!C10 + Kusierna!C10 + Migoku!C10 + 'North Ayre'!C10 + Oscairia!C10 + Oyreain!C10 + 'Pha Hii'!C10 + 'Pruim Fijan'!C10 + 'Prystr Hii'!C10 + 'Ruylku'!C10 + Sanagara!C10 + Shinam!C10 + Stinebar!C10 + Suenan!C10 + Taval!C10 + Ucrua!C10 + Vesozata!C10 + 'Welenu Fana'!C10 + 'Western Migoku'!C10</f>
        <v>1311644115.8884954</v>
      </c>
      <c r="BF10" s="5">
        <f t="shared" si="15"/>
        <v>8.1378017728774617E-3</v>
      </c>
      <c r="BG10" s="5">
        <f t="shared" si="16"/>
        <v>0.20790091421727772</v>
      </c>
      <c r="BN10" s="3">
        <f t="shared" si="17"/>
        <v>2007</v>
      </c>
      <c r="BO10" s="3">
        <v>1757</v>
      </c>
      <c r="BP10" s="4">
        <f>Andsaudare!C10 + Aplasia!C10 + Astye!C10 + 'Crila Republic'!C10 + 'Elja and Munusia'!C10 + Hiwush!C10 + Iainoa!C10 + Isari!C10 + Isuibul!C10 + Maalle!C10 + Mendereide!C10 + Nia!C10 + 'Niretui and Anulan'!C10 + Ohtina!C10 + Prstreula!C10 + 'Rethern'!C10 + 'Rkmepuia'!C10 + Tvecoca!C10 + Umarcia!C10 + 'United Delet'!C10 + Veelmit!C10 + Walporein!C10 + Yutnitu!C10</f>
        <v>248389439.9310455</v>
      </c>
      <c r="BQ10" s="6">
        <f t="shared" si="18"/>
        <v>1.5184270793419496E-2</v>
      </c>
      <c r="BR10" s="5">
        <f t="shared" si="19"/>
        <v>3.9370734041376178E-2</v>
      </c>
      <c r="BY10" s="3">
        <f t="shared" si="20"/>
        <v>2007</v>
      </c>
      <c r="BZ10" s="3">
        <v>1757</v>
      </c>
      <c r="CA10" s="4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1047678982.8420441</v>
      </c>
      <c r="CB10" s="6">
        <f t="shared" si="21"/>
        <v>1.6082188650537413E-2</v>
      </c>
      <c r="CC10" s="5">
        <f t="shared" si="22"/>
        <v>0.1660613696204811</v>
      </c>
    </row>
    <row r="11" spans="1:81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6239130275.2889681</v>
      </c>
      <c r="D11" s="5">
        <f t="shared" si="1"/>
        <v>1.13506613789531E-2</v>
      </c>
      <c r="K11" s="3">
        <f t="shared" si="2"/>
        <v>2006</v>
      </c>
      <c r="L11" s="3">
        <v>1756</v>
      </c>
      <c r="M11" s="4">
        <f>'Areoix Lie'!C11 + Pelines!C11 + Terressin!C11 + Taniduna!C11 + Iquir!C11 + Deschon!C11 + Othya!C11 + Eldavpir!C11 + 'Candenat'!C11 + Jau!C11 + Viussi!C11 + Jathua!C11 + Jshain!C11 + Acetoa!C11 + Sattle!C11 + 'Reerica'!C11 + 'Feio Lie'!C11 + Umendel!C11 + 'Fire Coast'!C11 + Yoprioq!C11 + 'Rijan bu'!C11 + Saa!C11 + 'Rinew'!C11 + Enina!C11 + Trevilla!C11</f>
        <v>956236374.05581057</v>
      </c>
      <c r="N11" s="5">
        <f t="shared" si="3"/>
        <v>1.4195435929679546E-2</v>
      </c>
      <c r="O11" s="5">
        <f t="shared" si="4"/>
        <v>0.15326437049136982</v>
      </c>
      <c r="V11" s="3">
        <f t="shared" si="5"/>
        <v>2006</v>
      </c>
      <c r="W11" s="3">
        <v>1756</v>
      </c>
      <c r="X11" s="4">
        <f>Aetintio!C11 + Arbiya!C11 + 'Curata'!C11 + 'Disal Nila'!C11 + Etirha!C11 + Fincen!C11 + Gaeiya!C11 + Genaire!C11 + Grazail!C11 + Guise!C11 + Laselteh!C11 + Lasri!C11 + Metndria!C11 + 'New Misos'!C11 + Peka!C11 + Pelan!C11 + Phuris!C11 + 'Raledria'!C11 + Slyiaduun!C11 + Tomscilus!C11</f>
        <v>479318105.26142985</v>
      </c>
      <c r="Y11" s="5">
        <f t="shared" si="6"/>
        <v>1.1184980574392038E-2</v>
      </c>
      <c r="Z11" s="5">
        <f t="shared" si="7"/>
        <v>7.6824506639946707E-2</v>
      </c>
      <c r="AG11" s="3">
        <f t="shared" si="8"/>
        <v>2006</v>
      </c>
      <c r="AH11" s="3">
        <v>1756</v>
      </c>
      <c r="AI11" s="4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939607159.7291919</v>
      </c>
      <c r="AJ11" s="5">
        <f t="shared" si="9"/>
        <v>7.0431561994357102E-3</v>
      </c>
      <c r="AK11" s="5">
        <f t="shared" si="10"/>
        <v>0.1505990608099097</v>
      </c>
      <c r="AR11" s="3">
        <f t="shared" si="11"/>
        <v>2006</v>
      </c>
      <c r="AS11" s="3">
        <v>1756</v>
      </c>
      <c r="AT11" s="4">
        <f>Amcha!C11 + Byllu!C11 + 'Chaenia'!C11 + 'Cruthi Anoso'!C11 + 'Dual Cenryia'!C11 + Exilium!C11 + Galca!C11 + Inania!C11 + Inrea!C11 + Isnti!C11 + Lieri!C11 + Ocaun!C11 + Otiiric!C11 + Ozinia!C11 + Pelugrotoa!C11 + 'Rtesania'!C11 + Sadain!C11 + Selaja!C11 + Seytinemas!C11 + Sivoso!C11 + Sunsokua!C11 + Taing!C11 + Taoisia!C11 + Trian!C11 + Vayvele!C11</f>
        <v>1269068273.8525493</v>
      </c>
      <c r="AU11" s="5">
        <f t="shared" si="12"/>
        <v>1.0942698657010511E-2</v>
      </c>
      <c r="AV11" s="5">
        <f t="shared" si="13"/>
        <v>0.20340467627016681</v>
      </c>
      <c r="BC11" s="3">
        <f t="shared" si="14"/>
        <v>2006</v>
      </c>
      <c r="BD11" s="3">
        <v>1756</v>
      </c>
      <c r="BE11" s="4">
        <f>'Canldives'!C11 + 'Cloja'!C11 + Dahe!C11 + Eparia!C11 + Etretes!C11 + Haiza!C11 + Ihner!C11 + Kaastini!C11 + Kusierna!C11 + Migoku!C11 + 'North Ayre'!C11 + Oscairia!C11 + Oyreain!C11 + 'Pha Hii'!C11 + 'Pruim Fijan'!C11 + 'Prystr Hii'!C11 + 'Ruylku'!C11 + Sanagara!C11 + Shinam!C11 + Stinebar!C11 + Suenan!C11 + Taval!C11 + Ucrua!C11 + Vesozata!C11 + 'Welenu Fana'!C11 + 'Western Migoku'!C11</f>
        <v>1301056376.9971545</v>
      </c>
      <c r="BF11" s="5">
        <f t="shared" si="15"/>
        <v>8.2471155098861517E-3</v>
      </c>
      <c r="BG11" s="5">
        <f t="shared" si="16"/>
        <v>0.2085316894487983</v>
      </c>
      <c r="BN11" s="3">
        <f t="shared" si="17"/>
        <v>2006</v>
      </c>
      <c r="BO11" s="3">
        <v>1756</v>
      </c>
      <c r="BP11" s="4">
        <f>Andsaudare!C11 + Aplasia!C11 + Astye!C11 + 'Crila Republic'!C11 + 'Elja and Munusia'!C11 + Hiwush!C11 + Iainoa!C11 + Isari!C11 + Isuibul!C11 + Maalle!C11 + Mendereide!C11 + Nia!C11 + 'Niretui and Anulan'!C11 + Ohtina!C11 + Prstreula!C11 + 'Rethern'!C11 + 'Rkmepuia'!C11 + Tvecoca!C11 + Umarcia!C11 + 'United Delet'!C11 + Veelmit!C11 + Walporein!C11 + Yutnitu!C11</f>
        <v>244674240.01449135</v>
      </c>
      <c r="BQ11" s="7">
        <f t="shared" si="18"/>
        <v>1.5075399478391829E-2</v>
      </c>
      <c r="BR11" s="5">
        <f t="shared" si="19"/>
        <v>3.9216081283566268E-2</v>
      </c>
      <c r="BY11" s="3">
        <f t="shared" si="20"/>
        <v>2006</v>
      </c>
      <c r="BZ11" s="3">
        <v>1756</v>
      </c>
      <c r="CA11" s="4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1031096691.3350489</v>
      </c>
      <c r="CB11" s="7">
        <f t="shared" si="21"/>
        <v>1.6204865168968938E-2</v>
      </c>
      <c r="CC11" s="5">
        <f t="shared" si="22"/>
        <v>0.16526288855016627</v>
      </c>
    </row>
    <row r="12" spans="1:81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6169106832.6212978</v>
      </c>
      <c r="D12" s="5">
        <f t="shared" si="1"/>
        <v>1.130973122771284E-2</v>
      </c>
      <c r="K12" s="3">
        <f t="shared" si="2"/>
        <v>2005</v>
      </c>
      <c r="L12" s="3">
        <v>1755</v>
      </c>
      <c r="M12" s="4">
        <f>'Areoix Lie'!C12 + Pelines!C12 + Terressin!C12 + Taniduna!C12 + Iquir!C12 + Deschon!C12 + Othya!C12 + Eldavpir!C12 + 'Candenat'!C12 + Jau!C12 + Viussi!C12 + Jathua!C12 + Jshain!C12 + Acetoa!C12 + Sattle!C12 + 'Reerica'!C12 + 'Feio Lie'!C12 + Umendel!C12 + 'Fire Coast'!C12 + Yoprioq!C12 + 'Rijan bu'!C12 + Saa!C12 + 'Rinew'!C12 + Enina!C12 + Trevilla!C12</f>
        <v>942852176.39464152</v>
      </c>
      <c r="N12" s="5">
        <f t="shared" si="3"/>
        <v>1.4084455387333918E-2</v>
      </c>
      <c r="O12" s="5">
        <f t="shared" si="4"/>
        <v>0.15283447052804836</v>
      </c>
      <c r="V12" s="3">
        <f t="shared" si="5"/>
        <v>2005</v>
      </c>
      <c r="W12" s="3">
        <v>1755</v>
      </c>
      <c r="X12" s="4">
        <f>Aetintio!C12 + Arbiya!C12 + 'Curata'!C12 + 'Disal Nila'!C12 + Etirha!C12 + Fincen!C12 + Gaeiya!C12 + Genaire!C12 + Grazail!C12 + Guise!C12 + Laselteh!C12 + Lasri!C12 + Metndria!C12 + 'New Misos'!C12 + Peka!C12 + Pelan!C12 + Phuris!C12 + 'Raledria'!C12 + Slyiaduun!C12 + Tomscilus!C12</f>
        <v>474016242.79383451</v>
      </c>
      <c r="Y12" s="5">
        <f t="shared" si="6"/>
        <v>1.0851902678771539E-2</v>
      </c>
      <c r="Z12" s="5">
        <f t="shared" si="7"/>
        <v>7.6837094194464065E-2</v>
      </c>
      <c r="AG12" s="3">
        <f t="shared" si="8"/>
        <v>2005</v>
      </c>
      <c r="AH12" s="3">
        <v>1755</v>
      </c>
      <c r="AI12" s="4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933035643.94921649</v>
      </c>
      <c r="AJ12" s="5">
        <f t="shared" si="9"/>
        <v>7.0018353285833945E-3</v>
      </c>
      <c r="AK12" s="5">
        <f t="shared" si="10"/>
        <v>0.15124323005973345</v>
      </c>
      <c r="AR12" s="3">
        <f t="shared" si="11"/>
        <v>2005</v>
      </c>
      <c r="AS12" s="3">
        <v>1755</v>
      </c>
      <c r="AT12" s="4">
        <f>Amcha!C12 + Byllu!C12 + 'Chaenia'!C12 + 'Cruthi Anoso'!C12 + 'Dual Cenryia'!C12 + Exilium!C12 + Galca!C12 + Inania!C12 + Inrea!C12 + Isnti!C12 + Lieri!C12 + Ocaun!C12 + Otiiric!C12 + Ozinia!C12 + Pelugrotoa!C12 + 'Rtesania'!C12 + Sadain!C12 + Selaja!C12 + Seytinemas!C12 + Sivoso!C12 + Sunsokua!C12 + Taing!C12 + Taoisia!C12 + Trian!C12 + Vayvele!C12</f>
        <v>1255331558.8889918</v>
      </c>
      <c r="AU12" s="5">
        <f t="shared" si="12"/>
        <v>1.0774153272406344E-2</v>
      </c>
      <c r="AV12" s="5">
        <f t="shared" si="13"/>
        <v>0.2034867595826011</v>
      </c>
      <c r="BC12" s="3">
        <f t="shared" si="14"/>
        <v>2005</v>
      </c>
      <c r="BD12" s="3">
        <v>1755</v>
      </c>
      <c r="BE12" s="4">
        <f>'Canldives'!C12 + 'Cloja'!C12 + Dahe!C12 + Eparia!C12 + Etretes!C12 + Haiza!C12 + Ihner!C12 + Kaastini!C12 + Kusierna!C12 + Migoku!C12 + 'North Ayre'!C12 + Oscairia!C12 + Oyreain!C12 + 'Pha Hii'!C12 + 'Pruim Fijan'!C12 + 'Prystr Hii'!C12 + 'Ruylku'!C12 + Sanagara!C12 + Shinam!C12 + Stinebar!C12 + Suenan!C12 + Taval!C12 + Ucrua!C12 + Vesozata!C12 + 'Welenu Fana'!C12 + 'Western Migoku'!C12</f>
        <v>1290414182.1811116</v>
      </c>
      <c r="BF12" s="5">
        <f t="shared" si="15"/>
        <v>8.3821365531644015E-3</v>
      </c>
      <c r="BG12" s="5">
        <f t="shared" si="16"/>
        <v>0.20917358333909827</v>
      </c>
      <c r="BN12" s="3">
        <f t="shared" si="17"/>
        <v>2005</v>
      </c>
      <c r="BO12" s="3">
        <v>1755</v>
      </c>
      <c r="BP12" s="4">
        <f>Andsaudare!C12 + Aplasia!C12 + Astye!C12 + 'Crila Republic'!C12 + 'Elja and Munusia'!C12 + Hiwush!C12 + Iainoa!C12 + Isari!C12 + Isuibul!C12 + Maalle!C12 + Mendereide!C12 + Nia!C12 + 'Niretui and Anulan'!C12 + Ohtina!C12 + Prstreula!C12 + 'Rethern'!C12 + 'Rkmepuia'!C12 + Tvecoca!C12 + Umarcia!C12 + 'United Delet'!C12 + Veelmit!C12 + Walporein!C12 + Yutnitu!C12</f>
        <v>241040458.80751324</v>
      </c>
      <c r="BQ12" s="6">
        <f t="shared" si="18"/>
        <v>1.5183430869677444E-2</v>
      </c>
      <c r="BR12" s="5">
        <f t="shared" si="19"/>
        <v>3.9072181005672973E-2</v>
      </c>
      <c r="BY12" s="3">
        <f t="shared" si="20"/>
        <v>2005</v>
      </c>
      <c r="BZ12" s="3">
        <v>1755</v>
      </c>
      <c r="CA12" s="4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1014654354.3300236</v>
      </c>
      <c r="CB12" s="6">
        <f t="shared" si="21"/>
        <v>1.635082508108688E-2</v>
      </c>
      <c r="CC12" s="5">
        <f t="shared" si="22"/>
        <v>0.16447346137121274</v>
      </c>
    </row>
    <row r="13" spans="1:81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6100116158.4118319</v>
      </c>
      <c r="D13" s="5">
        <f t="shared" si="1"/>
        <v>1.13886121825709E-2</v>
      </c>
      <c r="K13" s="3">
        <f t="shared" si="2"/>
        <v>2004</v>
      </c>
      <c r="L13" s="3">
        <v>1754</v>
      </c>
      <c r="M13" s="4">
        <f>'Areoix Lie'!C13 + Pelines!C13 + Terressin!C13 + Taniduna!C13 + Iquir!C13 + Deschon!C13 + Othya!C13 + Eldavpir!C13 + 'Candenat'!C13 + Jau!C13 + Viussi!C13 + Jathua!C13 + Jshain!C13 + Acetoa!C13 + Sattle!C13 + 'Reerica'!C13 + 'Feio Lie'!C13 + Umendel!C13 + 'Fire Coast'!C13 + Yoprioq!C13 + 'Rijan bu'!C13 + Saa!C13 + 'Rinew'!C13 + Enina!C13 + Trevilla!C13</f>
        <v>929757054.6375401</v>
      </c>
      <c r="N13" s="5">
        <f t="shared" si="3"/>
        <v>1.4195685816542345E-2</v>
      </c>
      <c r="O13" s="5">
        <f t="shared" si="4"/>
        <v>0.1524162869186417</v>
      </c>
      <c r="V13" s="3">
        <f t="shared" si="5"/>
        <v>2004</v>
      </c>
      <c r="W13" s="3">
        <v>1754</v>
      </c>
      <c r="X13" s="4">
        <f>Aetintio!C13 + Arbiya!C13 + 'Curata'!C13 + 'Disal Nila'!C13 + Etirha!C13 + Fincen!C13 + Gaeiya!C13 + Genaire!C13 + Grazail!C13 + Guise!C13 + Laselteh!C13 + Lasri!C13 + Metndria!C13 + 'New Misos'!C13 + Peka!C13 + Pelan!C13 + Phuris!C13 + 'Raledria'!C13 + Slyiaduun!C13 + Tomscilus!C13</f>
        <v>468927487.33784336</v>
      </c>
      <c r="Y13" s="5">
        <f t="shared" si="6"/>
        <v>1.0314544165295099E-2</v>
      </c>
      <c r="Z13" s="5">
        <f t="shared" si="7"/>
        <v>7.6871894757480949E-2</v>
      </c>
      <c r="AG13" s="3">
        <f t="shared" si="8"/>
        <v>2004</v>
      </c>
      <c r="AH13" s="3">
        <v>1754</v>
      </c>
      <c r="AI13" s="4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926548106.68221688</v>
      </c>
      <c r="AJ13" s="5">
        <f t="shared" si="9"/>
        <v>7.0342880382894841E-3</v>
      </c>
      <c r="AK13" s="5">
        <f t="shared" si="10"/>
        <v>0.15189023989396361</v>
      </c>
      <c r="AR13" s="3">
        <f t="shared" si="11"/>
        <v>2004</v>
      </c>
      <c r="AS13" s="3">
        <v>1754</v>
      </c>
      <c r="AT13" s="4">
        <f>Amcha!C13 + Byllu!C13 + 'Chaenia'!C13 + 'Cruthi Anoso'!C13 + 'Dual Cenryia'!C13 + Exilium!C13 + Galca!C13 + Inania!C13 + Inrea!C13 + Isnti!C13 + Lieri!C13 + Ocaun!C13 + Otiiric!C13 + Ozinia!C13 + Pelugrotoa!C13 + 'Rtesania'!C13 + Sadain!C13 + Selaja!C13 + Seytinemas!C13 + Sivoso!C13 + Sunsokua!C13 + Taing!C13 + Taoisia!C13 + Trian!C13 + Vayvele!C13</f>
        <v>1241950592.8449247</v>
      </c>
      <c r="AU13" s="5">
        <f t="shared" si="12"/>
        <v>1.0821903061608875E-2</v>
      </c>
      <c r="AV13" s="5">
        <f t="shared" si="13"/>
        <v>0.20359458092159791</v>
      </c>
      <c r="BC13" s="3">
        <f t="shared" si="14"/>
        <v>2004</v>
      </c>
      <c r="BD13" s="3">
        <v>1754</v>
      </c>
      <c r="BE13" s="4">
        <f>'Canldives'!C13 + 'Cloja'!C13 + Dahe!C13 + Eparia!C13 + Etretes!C13 + Haiza!C13 + Ihner!C13 + Kaastini!C13 + Kusierna!C13 + Migoku!C13 + 'North Ayre'!C13 + Oscairia!C13 + Oyreain!C13 + 'Pha Hii'!C13 + 'Pruim Fijan'!C13 + 'Prystr Hii'!C13 + 'Ruylku'!C13 + Sanagara!C13 + Shinam!C13 + Stinebar!C13 + Suenan!C13 + Taval!C13 + Ucrua!C13 + Vesozata!C13 + 'Welenu Fana'!C13 + 'Western Migoku'!C13</f>
        <v>1279687665.4241264</v>
      </c>
      <c r="BF13" s="5">
        <f t="shared" si="15"/>
        <v>8.5662980547887846E-3</v>
      </c>
      <c r="BG13" s="5">
        <f t="shared" si="16"/>
        <v>0.2097808684609202</v>
      </c>
      <c r="BN13" s="3">
        <f t="shared" si="17"/>
        <v>2004</v>
      </c>
      <c r="BO13" s="3">
        <v>1754</v>
      </c>
      <c r="BP13" s="4">
        <f>Andsaudare!C13 + Aplasia!C13 + Astye!C13 + 'Crila Republic'!C13 + 'Elja and Munusia'!C13 + Hiwush!C13 + Iainoa!C13 + Isari!C13 + Isuibul!C13 + Maalle!C13 + Mendereide!C13 + Nia!C13 + 'Niretui and Anulan'!C13 + Ohtina!C13 + Prstreula!C13 + 'Rethern'!C13 + 'Rkmepuia'!C13 + Tvecoca!C13 + Umarcia!C13 + 'United Delet'!C13 + Veelmit!C13 + Walporein!C13 + Yutnitu!C13</f>
        <v>237435375.20211598</v>
      </c>
      <c r="BQ13" s="7">
        <f t="shared" si="18"/>
        <v>1.5600214395934054E-2</v>
      </c>
      <c r="BR13" s="5">
        <f t="shared" si="19"/>
        <v>3.8923090812738294E-2</v>
      </c>
      <c r="BY13" s="3">
        <f t="shared" si="20"/>
        <v>2004</v>
      </c>
      <c r="BZ13" s="3">
        <v>1754</v>
      </c>
      <c r="CA13" s="4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998330821.69148839</v>
      </c>
      <c r="CB13" s="7">
        <f t="shared" si="21"/>
        <v>1.6647006783937015E-2</v>
      </c>
      <c r="CC13" s="5">
        <f t="shared" si="22"/>
        <v>0.16365767401245754</v>
      </c>
    </row>
    <row r="14" spans="1:81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6031426580.1824837</v>
      </c>
      <c r="D14" s="5">
        <f t="shared" si="1"/>
        <v>1.1499973530463054E-2</v>
      </c>
      <c r="K14" s="3">
        <f t="shared" si="2"/>
        <v>2003</v>
      </c>
      <c r="L14" s="3">
        <v>1753</v>
      </c>
      <c r="M14" s="4">
        <f>'Areoix Lie'!C14 + Pelines!C14 + Terressin!C14 + Taniduna!C14 + Iquir!C14 + Deschon!C14 + Othya!C14 + Eldavpir!C14 + 'Candenat'!C14 + Jau!C14 + Viussi!C14 + Jathua!C14 + Jshain!C14 + Acetoa!C14 + Sattle!C14 + 'Reerica'!C14 + 'Feio Lie'!C14 + Umendel!C14 + 'Fire Coast'!C14 + Yoprioq!C14 + 'Rijan bu'!C14 + Saa!C14 + 'Rinew'!C14 + Enina!C14 + Trevilla!C14</f>
        <v>916743255.40931523</v>
      </c>
      <c r="N14" s="5">
        <f t="shared" si="3"/>
        <v>1.4322829179010075E-2</v>
      </c>
      <c r="O14" s="5">
        <f t="shared" si="4"/>
        <v>0.15199443170235502</v>
      </c>
      <c r="V14" s="3">
        <f t="shared" si="5"/>
        <v>2003</v>
      </c>
      <c r="W14" s="3">
        <v>1753</v>
      </c>
      <c r="X14" s="4">
        <f>Aetintio!C14 + Arbiya!C14 + 'Curata'!C14 + 'Disal Nila'!C14 + Etirha!C14 + Fincen!C14 + Gaeiya!C14 + Genaire!C14 + Grazail!C14 + Guise!C14 + Laselteh!C14 + Lasri!C14 + Metndria!C14 + 'New Misos'!C14 + Peka!C14 + Pelan!C14 + Phuris!C14 + 'Raledria'!C14 + Slyiaduun!C14 + Tomscilus!C14</f>
        <v>464140093.84103578</v>
      </c>
      <c r="Y14" s="5">
        <f t="shared" si="6"/>
        <v>1.0823182432309576E-2</v>
      </c>
      <c r="Z14" s="5">
        <f t="shared" si="7"/>
        <v>7.6953617468554683E-2</v>
      </c>
      <c r="AG14" s="3">
        <f t="shared" si="8"/>
        <v>2003</v>
      </c>
      <c r="AH14" s="3">
        <v>1753</v>
      </c>
      <c r="AI14" s="4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920076026.89193404</v>
      </c>
      <c r="AJ14" s="5">
        <f t="shared" si="9"/>
        <v>7.060860910774504E-3</v>
      </c>
      <c r="AK14" s="5">
        <f t="shared" si="10"/>
        <v>0.15254699939729627</v>
      </c>
      <c r="AR14" s="3">
        <f t="shared" si="11"/>
        <v>2003</v>
      </c>
      <c r="AS14" s="3">
        <v>1753</v>
      </c>
      <c r="AT14" s="4">
        <f>Amcha!C14 + Byllu!C14 + 'Chaenia'!C14 + 'Cruthi Anoso'!C14 + 'Dual Cenryia'!C14 + Exilium!C14 + Galca!C14 + Inania!C14 + Inrea!C14 + Isnti!C14 + Lieri!C14 + Ocaun!C14 + Otiiric!C14 + Ozinia!C14 + Pelugrotoa!C14 + 'Rtesania'!C14 + Sadain!C14 + Selaja!C14 + Seytinemas!C14 + Sivoso!C14 + Sunsokua!C14 + Taing!C14 + Taoisia!C14 + Trian!C14 + Vayvele!C14</f>
        <v>1228654216.0228879</v>
      </c>
      <c r="AU14" s="5">
        <f t="shared" si="12"/>
        <v>1.0828989122313448E-2</v>
      </c>
      <c r="AV14" s="5">
        <f t="shared" si="13"/>
        <v>0.20370872457602135</v>
      </c>
      <c r="BC14" s="3">
        <f t="shared" si="14"/>
        <v>2003</v>
      </c>
      <c r="BD14" s="3">
        <v>1753</v>
      </c>
      <c r="BE14" s="4">
        <f>'Canldives'!C14 + 'Cloja'!C14 + Dahe!C14 + Eparia!C14 + Etretes!C14 + Haiza!C14 + Ihner!C14 + Kaastini!C14 + Kusierna!C14 + Migoku!C14 + 'North Ayre'!C14 + Oscairia!C14 + Oyreain!C14 + 'Pha Hii'!C14 + 'Pruim Fijan'!C14 + 'Prystr Hii'!C14 + 'Ruylku'!C14 + Sanagara!C14 + Shinam!C14 + Stinebar!C14 + Suenan!C14 + Taval!C14 + Ucrua!C14 + Vesozata!C14 + 'Welenu Fana'!C14 + 'Western Migoku'!C14</f>
        <v>1268818587.2284713</v>
      </c>
      <c r="BF14" s="5">
        <f t="shared" si="15"/>
        <v>8.5738208002168192E-3</v>
      </c>
      <c r="BG14" s="5">
        <f t="shared" si="16"/>
        <v>0.21036790722072962</v>
      </c>
      <c r="BN14" s="3">
        <f t="shared" si="17"/>
        <v>2003</v>
      </c>
      <c r="BO14" s="3">
        <v>1753</v>
      </c>
      <c r="BP14" s="4">
        <f>Andsaudare!C14 + Aplasia!C14 + Astye!C14 + 'Crila Republic'!C14 + 'Elja and Munusia'!C14 + Hiwush!C14 + Iainoa!C14 + Isari!C14 + Isuibul!C14 + Maalle!C14 + Mendereide!C14 + Nia!C14 + 'Niretui and Anulan'!C14 + Ohtina!C14 + Prstreula!C14 + 'Rethern'!C14 + 'Rkmepuia'!C14 + Tvecoca!C14 + Umarcia!C14 + 'United Delet'!C14 + Veelmit!C14 + Walporein!C14 + Yutnitu!C14</f>
        <v>233788228.71097904</v>
      </c>
      <c r="BQ14" s="6">
        <f t="shared" si="18"/>
        <v>1.5666733754883647E-2</v>
      </c>
      <c r="BR14" s="5">
        <f t="shared" si="19"/>
        <v>3.8761680276294709E-2</v>
      </c>
      <c r="BY14" s="3">
        <f t="shared" si="20"/>
        <v>2003</v>
      </c>
      <c r="BZ14" s="3">
        <v>1753</v>
      </c>
      <c r="CA14" s="4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981983731.84573662</v>
      </c>
      <c r="CB14" s="6">
        <f t="shared" si="21"/>
        <v>1.6997918360696824E-2</v>
      </c>
      <c r="CC14" s="5">
        <f t="shared" si="22"/>
        <v>0.16281118882757356</v>
      </c>
    </row>
    <row r="15" spans="1:81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5962853917.9599266</v>
      </c>
      <c r="D15" s="5">
        <f t="shared" si="1"/>
        <v>1.171425286774317E-2</v>
      </c>
      <c r="K15" s="3">
        <f t="shared" si="2"/>
        <v>2002</v>
      </c>
      <c r="L15" s="3">
        <v>1752</v>
      </c>
      <c r="M15" s="4">
        <f>'Areoix Lie'!C15 + Pelines!C15 + Terressin!C15 + Taniduna!C15 + Iquir!C15 + Deschon!C15 + Othya!C15 + Eldavpir!C15 + 'Candenat'!C15 + Jau!C15 + Viussi!C15 + Jathua!C15 + Jshain!C15 + Acetoa!C15 + Sattle!C15 + 'Reerica'!C15 + 'Feio Lie'!C15 + Umendel!C15 + 'Fire Coast'!C15 + Yoprioq!C15 + 'Rijan bu'!C15 + Saa!C15 + 'Rinew'!C15 + Enina!C15 + Trevilla!C15</f>
        <v>903798306.65087616</v>
      </c>
      <c r="N15" s="5">
        <f t="shared" si="3"/>
        <v>1.4538684882959082E-2</v>
      </c>
      <c r="O15" s="5">
        <f t="shared" si="4"/>
        <v>0.15157143191595962</v>
      </c>
      <c r="V15" s="3">
        <f t="shared" si="5"/>
        <v>2002</v>
      </c>
      <c r="W15" s="3">
        <v>1752</v>
      </c>
      <c r="X15" s="4">
        <f>Aetintio!C15 + Arbiya!C15 + 'Curata'!C15 + 'Disal Nila'!C15 + Etirha!C15 + Fincen!C15 + Gaeiya!C15 + Genaire!C15 + Grazail!C15 + Guise!C15 + Laselteh!C15 + Lasri!C15 + Metndria!C15 + 'New Misos'!C15 + Peka!C15 + Pelan!C15 + Phuris!C15 + 'Raledria'!C15 + Slyiaduun!C15 + Tomscilus!C15</f>
        <v>459170408.73972756</v>
      </c>
      <c r="Y15" s="5">
        <f t="shared" si="6"/>
        <v>1.0670808167089301E-2</v>
      </c>
      <c r="Z15" s="5">
        <f t="shared" si="7"/>
        <v>7.7005141339572467E-2</v>
      </c>
      <c r="AG15" s="3">
        <f t="shared" si="8"/>
        <v>2002</v>
      </c>
      <c r="AH15" s="3">
        <v>1752</v>
      </c>
      <c r="AI15" s="4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913625047.50688815</v>
      </c>
      <c r="AJ15" s="5">
        <f t="shared" si="9"/>
        <v>6.943168745966565E-3</v>
      </c>
      <c r="AK15" s="5">
        <f t="shared" si="10"/>
        <v>0.15321942480513878</v>
      </c>
      <c r="AR15" s="3">
        <f t="shared" si="11"/>
        <v>2002</v>
      </c>
      <c r="AS15" s="3">
        <v>1752</v>
      </c>
      <c r="AT15" s="4">
        <f>Amcha!C15 + Byllu!C15 + 'Chaenia'!C15 + 'Cruthi Anoso'!C15 + 'Dual Cenryia'!C15 + Exilium!C15 + Galca!C15 + Inania!C15 + Inrea!C15 + Isnti!C15 + Lieri!C15 + Ocaun!C15 + Otiiric!C15 + Ozinia!C15 + Pelugrotoa!C15 + 'Rtesania'!C15 + Sadain!C15 + Selaja!C15 + Seytinemas!C15 + Sivoso!C15 + Sunsokua!C15 + Taing!C15 + Taoisia!C15 + Trian!C15 + Vayvele!C15</f>
        <v>1215491669.9507289</v>
      </c>
      <c r="AU15" s="5">
        <f t="shared" si="12"/>
        <v>1.1461153569728965E-2</v>
      </c>
      <c r="AV15" s="5">
        <f t="shared" si="13"/>
        <v>0.20384394564651442</v>
      </c>
      <c r="BC15" s="3">
        <f t="shared" si="14"/>
        <v>2002</v>
      </c>
      <c r="BD15" s="3">
        <v>1752</v>
      </c>
      <c r="BE15" s="4">
        <f>'Canldives'!C15 + 'Cloja'!C15 + Dahe!C15 + Eparia!C15 + Etretes!C15 + Haiza!C15 + Ihner!C15 + Kaastini!C15 + Kusierna!C15 + Migoku!C15 + 'North Ayre'!C15 + Oscairia!C15 + Oyreain!C15 + 'Pha Hii'!C15 + 'Pruim Fijan'!C15 + 'Prystr Hii'!C15 + 'Ruylku'!C15 + Sanagara!C15 + Shinam!C15 + Stinebar!C15 + Suenan!C15 + Taval!C15 + Ucrua!C15 + Vesozata!C15 + 'Welenu Fana'!C15 + 'Western Migoku'!C15</f>
        <v>1258032442.5055695</v>
      </c>
      <c r="BF15" s="5">
        <f t="shared" si="15"/>
        <v>8.6780457220147766E-3</v>
      </c>
      <c r="BG15" s="5">
        <f t="shared" si="16"/>
        <v>0.21097824293773418</v>
      </c>
      <c r="BN15" s="3">
        <f t="shared" si="17"/>
        <v>2002</v>
      </c>
      <c r="BO15" s="3">
        <v>1752</v>
      </c>
      <c r="BP15" s="4">
        <f>Andsaudare!C15 + Aplasia!C15 + Astye!C15 + 'Crila Republic'!C15 + 'Elja and Munusia'!C15 + Hiwush!C15 + Iainoa!C15 + Isari!C15 + Isuibul!C15 + Maalle!C15 + Mendereide!C15 + Nia!C15 + 'Niretui and Anulan'!C15 + Ohtina!C15 + Prstreula!C15 + 'Rethern'!C15 + 'Rkmepuia'!C15 + Tvecoca!C15 + Umarcia!C15 + 'United Delet'!C15 + Veelmit!C15 + Walporein!C15 + Yutnitu!C15</f>
        <v>230182028.16062737</v>
      </c>
      <c r="BQ15" s="7">
        <f t="shared" si="18"/>
        <v>1.5718103421893472E-2</v>
      </c>
      <c r="BR15" s="5">
        <f t="shared" si="19"/>
        <v>3.8602660961947498E-2</v>
      </c>
      <c r="BY15" s="3">
        <f t="shared" si="20"/>
        <v>2002</v>
      </c>
      <c r="BZ15" s="3">
        <v>1752</v>
      </c>
      <c r="CA15" s="4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965571034.23436725</v>
      </c>
      <c r="CB15" s="7">
        <f t="shared" si="21"/>
        <v>1.7445289797113562E-2</v>
      </c>
      <c r="CC15" s="5">
        <f t="shared" si="22"/>
        <v>0.16193102288253247</v>
      </c>
    </row>
    <row r="16" spans="1:81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5893812310.2031889</v>
      </c>
      <c r="D16" s="5">
        <f t="shared" si="1"/>
        <v>1.198060454001733E-2</v>
      </c>
      <c r="K16" s="3">
        <f t="shared" si="2"/>
        <v>2001</v>
      </c>
      <c r="L16" s="3">
        <v>1751</v>
      </c>
      <c r="M16" s="4">
        <f>'Areoix Lie'!C16 + Pelines!C16 + Terressin!C16 + Taniduna!C16 + Iquir!C16 + Deschon!C16 + Othya!C16 + Eldavpir!C16 + 'Candenat'!C16 + Jau!C16 + Viussi!C16 + Jathua!C16 + Jshain!C16 + Acetoa!C16 + Sattle!C16 + 'Reerica'!C16 + 'Feio Lie'!C16 + Umendel!C16 + 'Fire Coast'!C16 + Yoprioq!C16 + 'Rijan bu'!C16 + Saa!C16 + 'Rinew'!C16 + Enina!C16 + Trevilla!C16</f>
        <v>890846569.1036135</v>
      </c>
      <c r="N16" s="5">
        <f t="shared" si="3"/>
        <v>1.4922012247501861E-2</v>
      </c>
      <c r="O16" s="5">
        <f t="shared" si="4"/>
        <v>0.15114946357579234</v>
      </c>
      <c r="V16" s="3">
        <f t="shared" si="5"/>
        <v>2001</v>
      </c>
      <c r="W16" s="3">
        <v>1751</v>
      </c>
      <c r="X16" s="4">
        <f>Aetintio!C16 + Arbiya!C16 + 'Curata'!C16 + 'Disal Nila'!C16 + Etirha!C16 + Fincen!C16 + Gaeiya!C16 + Genaire!C16 + Grazail!C16 + Guise!C16 + Laselteh!C16 + Lasri!C16 + Metndria!C16 + 'New Misos'!C16 + Peka!C16 + Pelan!C16 + Phuris!C16 + 'Raledria'!C16 + Slyiaduun!C16 + Tomscilus!C16</f>
        <v>454322421.33564734</v>
      </c>
      <c r="Y16" s="5">
        <f t="shared" si="6"/>
        <v>1.154700268635651E-2</v>
      </c>
      <c r="Z16" s="5">
        <f t="shared" si="7"/>
        <v>7.7084643592931892E-2</v>
      </c>
      <c r="AG16" s="3">
        <f t="shared" si="8"/>
        <v>2001</v>
      </c>
      <c r="AH16" s="3">
        <v>1751</v>
      </c>
      <c r="AI16" s="4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907325334.60126102</v>
      </c>
      <c r="AJ16" s="5">
        <f t="shared" si="9"/>
        <v>7.0993470218900468E-3</v>
      </c>
      <c r="AK16" s="5">
        <f t="shared" si="10"/>
        <v>0.1539454069534123</v>
      </c>
      <c r="AR16" s="3">
        <f t="shared" si="11"/>
        <v>2001</v>
      </c>
      <c r="AS16" s="3">
        <v>1751</v>
      </c>
      <c r="AT16" s="4">
        <f>Amcha!C16 + Byllu!C16 + 'Chaenia'!C16 + 'Cruthi Anoso'!C16 + 'Dual Cenryia'!C16 + Exilium!C16 + Galca!C16 + Inania!C16 + Inrea!C16 + Isnti!C16 + Lieri!C16 + Ocaun!C16 + Otiiric!C16 + Ozinia!C16 + Pelugrotoa!C16 + 'Rtesania'!C16 + Sadain!C16 + Selaja!C16 + Seytinemas!C16 + Sivoso!C16 + Sunsokua!C16 + Taing!C16 + Taoisia!C16 + Trian!C16 + Vayvele!C16</f>
        <v>1201718588.6585157</v>
      </c>
      <c r="AU16" s="5">
        <f t="shared" si="12"/>
        <v>1.1605427313635334E-2</v>
      </c>
      <c r="AV16" s="5">
        <f t="shared" si="13"/>
        <v>0.20389495379385206</v>
      </c>
      <c r="BC16" s="3">
        <f t="shared" si="14"/>
        <v>2001</v>
      </c>
      <c r="BD16" s="3">
        <v>1751</v>
      </c>
      <c r="BE16" s="4">
        <f>'Canldives'!C16 + 'Cloja'!C16 + Dahe!C16 + Eparia!C16 + Etretes!C16 + Haiza!C16 + Ihner!C16 + Kaastini!C16 + Kusierna!C16 + Migoku!C16 + 'North Ayre'!C16 + Oscairia!C16 + Oyreain!C16 + 'Pha Hii'!C16 + 'Pruim Fijan'!C16 + 'Prystr Hii'!C16 + 'Ruylku'!C16 + Sanagara!C16 + Shinam!C16 + Stinebar!C16 + Suenan!C16 + Taval!C16 + Ucrua!C16 + Vesozata!C16 + 'Welenu Fana'!C16 + 'Western Migoku'!C16</f>
        <v>1247209104.8686066</v>
      </c>
      <c r="BF16" s="5">
        <f t="shared" si="15"/>
        <v>8.8536075136621765E-3</v>
      </c>
      <c r="BG16" s="5">
        <f t="shared" si="16"/>
        <v>0.21161330548471591</v>
      </c>
      <c r="BN16" s="3">
        <f t="shared" si="17"/>
        <v>2001</v>
      </c>
      <c r="BO16" s="3">
        <v>1751</v>
      </c>
      <c r="BP16" s="4">
        <f>Andsaudare!C16 + Aplasia!C16 + Astye!C16 + 'Crila Republic'!C16 + 'Elja and Munusia'!C16 + Hiwush!C16 + Iainoa!C16 + Isari!C16 + Isuibul!C16 + Maalle!C16 + Mendereide!C16 + Nia!C16 + 'Niretui and Anulan'!C16 + Ohtina!C16 + Prstreula!C16 + 'Rethern'!C16 + 'Rkmepuia'!C16 + Tvecoca!C16 + Umarcia!C16 + 'United Delet'!C16 + Veelmit!C16 + Walporein!C16 + Yutnitu!C16</f>
        <v>226619991.69371688</v>
      </c>
      <c r="BQ16" s="6">
        <f t="shared" si="18"/>
        <v>1.5724662982419688E-2</v>
      </c>
      <c r="BR16" s="5">
        <f t="shared" si="19"/>
        <v>3.8450493460980971E-2</v>
      </c>
      <c r="BY16" s="3">
        <f t="shared" si="20"/>
        <v>2001</v>
      </c>
      <c r="BZ16" s="3">
        <v>1751</v>
      </c>
      <c r="CA16" s="4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949015189.23627782</v>
      </c>
      <c r="CB16" s="6">
        <f t="shared" si="21"/>
        <v>1.7820508708103575E-2</v>
      </c>
      <c r="CC16" s="5">
        <f t="shared" si="22"/>
        <v>0.1610189024162462</v>
      </c>
    </row>
    <row r="17" spans="1:81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5824036828.1387615</v>
      </c>
      <c r="D17" s="5">
        <f t="shared" si="1"/>
        <v>1.1931496497459997E-2</v>
      </c>
      <c r="K17" s="3">
        <f t="shared" si="2"/>
        <v>2000</v>
      </c>
      <c r="L17" s="3">
        <v>1750</v>
      </c>
      <c r="M17" s="4">
        <f>'Areoix Lie'!C17 + Pelines!C17 + Terressin!C17 + Taniduna!C17 + Iquir!C17 + Deschon!C17 + Othya!C17 + Eldavpir!C17 + 'Candenat'!C17 + Jau!C17 + Viussi!C17 + Jathua!C17 + Jshain!C17 + Acetoa!C17 + Sattle!C17 + 'Reerica'!C17 + 'Feio Lie'!C17 + Umendel!C17 + 'Fire Coast'!C17 + Yoprioq!C17 + 'Rijan bu'!C17 + Saa!C17 + 'Rinew'!C17 + Enina!C17 + Trevilla!C17</f>
        <v>877748790.89563882</v>
      </c>
      <c r="N17" s="5">
        <f t="shared" si="3"/>
        <v>1.5244319206810478E-2</v>
      </c>
      <c r="O17" s="5">
        <f t="shared" si="4"/>
        <v>0.15071140804859037</v>
      </c>
      <c r="V17" s="3">
        <f t="shared" si="5"/>
        <v>2000</v>
      </c>
      <c r="W17" s="3">
        <v>1750</v>
      </c>
      <c r="X17" s="4">
        <f>Aetintio!C17 + Arbiya!C17 + 'Curata'!C17 + 'Disal Nila'!C17 + Etirha!C17 + Fincen!C17 + Gaeiya!C17 + Genaire!C17 + Grazail!C17 + Guise!C17 + Laselteh!C17 + Lasri!C17 + Metndria!C17 + 'New Misos'!C17 + Peka!C17 + Pelan!C17 + Phuris!C17 + 'Raledria'!C17 + Slyiaduun!C17 + Tomscilus!C17</f>
        <v>449136243.9205566</v>
      </c>
      <c r="Y17" s="5">
        <f t="shared" si="6"/>
        <v>1.1222430616944988E-2</v>
      </c>
      <c r="Z17" s="5">
        <f t="shared" si="7"/>
        <v>7.7117686095417609E-2</v>
      </c>
      <c r="AG17" s="3">
        <f t="shared" si="8"/>
        <v>2000</v>
      </c>
      <c r="AH17" s="3">
        <v>1750</v>
      </c>
      <c r="AI17" s="4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900929324.68313837</v>
      </c>
      <c r="AJ17" s="5">
        <f t="shared" si="9"/>
        <v>5.8737478603408545E-3</v>
      </c>
      <c r="AK17" s="5">
        <f t="shared" si="10"/>
        <v>0.15469155695072351</v>
      </c>
      <c r="AR17" s="3">
        <f t="shared" si="11"/>
        <v>2000</v>
      </c>
      <c r="AS17" s="3">
        <v>1750</v>
      </c>
      <c r="AT17" s="4">
        <f>Amcha!C17 + Byllu!C17 + 'Chaenia'!C17 + 'Cruthi Anoso'!C17 + 'Dual Cenryia'!C17 + Exilium!C17 + Galca!C17 + Inania!C17 + Inrea!C17 + Isnti!C17 + Lieri!C17 + Ocaun!C17 + Otiiric!C17 + Ozinia!C17 + Pelugrotoa!C17 + 'Rtesania'!C17 + Sadain!C17 + Selaja!C17 + Seytinemas!C17 + Sivoso!C17 + Sunsokua!C17 + Taing!C17 + Taoisia!C17 + Trian!C17 + Vayvele!C17</f>
        <v>1187932128.6855237</v>
      </c>
      <c r="AU17" s="5">
        <f t="shared" si="12"/>
        <v>1.1581925640131325E-2</v>
      </c>
      <c r="AV17" s="5">
        <f t="shared" si="13"/>
        <v>0.20397057294453297</v>
      </c>
      <c r="BC17" s="3">
        <f t="shared" si="14"/>
        <v>2000</v>
      </c>
      <c r="BD17" s="3">
        <v>1750</v>
      </c>
      <c r="BE17" s="4">
        <f>'Canldives'!C17 + 'Cloja'!C17 + Dahe!C17 + Eparia!C17 + Etretes!C17 + Haiza!C17 + Ihner!C17 + Kaastini!C17 + Kusierna!C17 + Migoku!C17 + 'North Ayre'!C17 + Oscairia!C17 + Oyreain!C17 + 'Pha Hii'!C17 + 'Pruim Fijan'!C17 + 'Prystr Hii'!C17 + 'Ruylku'!C17 + Sanagara!C17 + Shinam!C17 + Stinebar!C17 + Suenan!C17 + Taval!C17 + Ucrua!C17 + Vesozata!C17 + 'Welenu Fana'!C17 + 'Western Migoku'!C17</f>
        <v>1236263711.186379</v>
      </c>
      <c r="BF17" s="5">
        <f t="shared" si="15"/>
        <v>8.8532329186105929E-3</v>
      </c>
      <c r="BG17" s="5">
        <f t="shared" si="16"/>
        <v>0.21226921251826331</v>
      </c>
      <c r="BN17" s="3">
        <f t="shared" si="17"/>
        <v>2000</v>
      </c>
      <c r="BO17" s="3">
        <v>1750</v>
      </c>
      <c r="BP17" s="4">
        <f>Andsaudare!C17 + Aplasia!C17 + Astye!C17 + 'Crila Republic'!C17 + 'Elja and Munusia'!C17 + Hiwush!C17 + Iainoa!C17 + Isari!C17 + Isuibul!C17 + Maalle!C17 + Mendereide!C17 + Nia!C17 + 'Niretui and Anulan'!C17 + Ohtina!C17 + Prstreula!C17 + 'Rethern'!C17 + 'Rkmepuia'!C17 + Tvecoca!C17 + Umarcia!C17 + 'United Delet'!C17 + Veelmit!C17 + Walporein!C17 + Yutnitu!C17</f>
        <v>223111636.4038108</v>
      </c>
      <c r="BQ17" s="7">
        <f t="shared" si="18"/>
        <v>1.5973876728965882E-2</v>
      </c>
      <c r="BR17" s="5">
        <f t="shared" si="19"/>
        <v>3.8308761257458003E-2</v>
      </c>
      <c r="BY17" s="3">
        <f t="shared" si="20"/>
        <v>2000</v>
      </c>
      <c r="BZ17" s="3">
        <v>1750</v>
      </c>
      <c r="CA17" s="4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932399358.35134745</v>
      </c>
      <c r="CB17" s="7">
        <f t="shared" si="21"/>
        <v>1.8610156119002699E-2</v>
      </c>
      <c r="CC17" s="5">
        <f t="shared" si="22"/>
        <v>0.16009503130997929</v>
      </c>
    </row>
    <row r="18" spans="1:81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5755366690.6279364</v>
      </c>
      <c r="D18" s="5">
        <f t="shared" si="1"/>
        <v>1.2019771949847316E-2</v>
      </c>
      <c r="K18" s="3">
        <f t="shared" si="2"/>
        <v>1999</v>
      </c>
      <c r="L18" s="3">
        <v>1749</v>
      </c>
      <c r="M18" s="4">
        <f>'Areoix Lie'!C18 + Pelines!C18 + Terressin!C18 + Taniduna!C18 + Iquir!C18 + Deschon!C18 + Othya!C18 + Eldavpir!C18 + 'Candenat'!C18 + Jau!C18 + Viussi!C18 + Jathua!C18 + Jshain!C18 + Acetoa!C18 + Sattle!C18 + 'Reerica'!C18 + 'Feio Lie'!C18 + Umendel!C18 + 'Fire Coast'!C18 + Yoprioq!C18 + 'Rijan bu'!C18 + Saa!C18 + 'Rinew'!C18 + Enina!C18 + Trevilla!C18</f>
        <v>864569024.70668924</v>
      </c>
      <c r="N18" s="5">
        <f t="shared" si="3"/>
        <v>1.533682742290342E-2</v>
      </c>
      <c r="O18" s="5">
        <f t="shared" si="4"/>
        <v>0.15021962477465722</v>
      </c>
      <c r="V18" s="3">
        <f t="shared" si="5"/>
        <v>1999</v>
      </c>
      <c r="W18" s="3">
        <v>1749</v>
      </c>
      <c r="X18" s="4">
        <f>Aetintio!C18 + Arbiya!C18 + 'Curata'!C18 + 'Disal Nila'!C18 + Etirha!C18 + Fincen!C18 + Gaeiya!C18 + Genaire!C18 + Grazail!C18 + Guise!C18 + Laselteh!C18 + Lasri!C18 + Metndria!C18 + 'New Misos'!C18 + Peka!C18 + Pelan!C18 + Phuris!C18 + 'Raledria'!C18 + Slyiaduun!C18 + Tomscilus!C18</f>
        <v>444151781.37073106</v>
      </c>
      <c r="Y18" s="5">
        <f t="shared" si="6"/>
        <v>1.1468330449234137E-2</v>
      </c>
      <c r="Z18" s="5">
        <f t="shared" si="7"/>
        <v>7.7171760766171466E-2</v>
      </c>
      <c r="AG18" s="3">
        <f t="shared" si="8"/>
        <v>1999</v>
      </c>
      <c r="AH18" s="3">
        <v>1749</v>
      </c>
      <c r="AI18" s="4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895668394.36814356</v>
      </c>
      <c r="AJ18" s="5">
        <f t="shared" si="9"/>
        <v>4.5879426995769513E-3</v>
      </c>
      <c r="AK18" s="5">
        <f t="shared" si="10"/>
        <v>0.15562316747369959</v>
      </c>
      <c r="AR18" s="3">
        <f t="shared" si="11"/>
        <v>1999</v>
      </c>
      <c r="AS18" s="3">
        <v>1749</v>
      </c>
      <c r="AT18" s="4">
        <f>Amcha!C18 + Byllu!C18 + 'Chaenia'!C18 + 'Cruthi Anoso'!C18 + 'Dual Cenryia'!C18 + Exilium!C18 + Galca!C18 + Inania!C18 + Inrea!C18 + Isnti!C18 + Lieri!C18 + Ocaun!C18 + Otiiric!C18 + Ozinia!C18 + Pelugrotoa!C18 + 'Rtesania'!C18 + Sadain!C18 + Selaja!C18 + Seytinemas!C18 + Sivoso!C18 + Sunsokua!C18 + Taing!C18 + Taoisia!C18 + Trian!C18 + Vayvele!C18</f>
        <v>1174331113.0572026</v>
      </c>
      <c r="AU18" s="5">
        <f t="shared" si="12"/>
        <v>1.2637035982366431E-2</v>
      </c>
      <c r="AV18" s="5">
        <f t="shared" si="13"/>
        <v>0.20404105875121534</v>
      </c>
      <c r="BC18" s="3">
        <f t="shared" si="14"/>
        <v>1999</v>
      </c>
      <c r="BD18" s="3">
        <v>1749</v>
      </c>
      <c r="BE18" s="4">
        <f>'Canldives'!C18 + 'Cloja'!C18 + Dahe!C18 + Eparia!C18 + Etretes!C18 + Haiza!C18 + Ihner!C18 + Kaastini!C18 + Kusierna!C18 + Migoku!C18 + 'North Ayre'!C18 + Oscairia!C18 + Oyreain!C18 + 'Pha Hii'!C18 + 'Pruim Fijan'!C18 + 'Prystr Hii'!C18 + 'Ruylku'!C18 + Sanagara!C18 + Shinam!C18 + Stinebar!C18 + Suenan!C18 + Taval!C18 + Ucrua!C18 + Vesozata!C18 + 'Welenu Fana'!C18 + 'Western Migoku'!C18</f>
        <v>1225414828.2896118</v>
      </c>
      <c r="BF18" s="5">
        <f t="shared" si="15"/>
        <v>8.6959404932917782E-3</v>
      </c>
      <c r="BG18" s="5">
        <f t="shared" si="16"/>
        <v>0.21291689898492178</v>
      </c>
      <c r="BN18" s="3">
        <f t="shared" si="17"/>
        <v>1999</v>
      </c>
      <c r="BO18" s="3">
        <v>1749</v>
      </c>
      <c r="BP18" s="4">
        <f>Andsaudare!C18 + Aplasia!C18 + Astye!C18 + 'Crila Republic'!C18 + 'Elja and Munusia'!C18 + Hiwush!C18 + Iainoa!C18 + Isari!C18 + Isuibul!C18 + Maalle!C18 + Mendereide!C18 + Nia!C18 + 'Niretui and Anulan'!C18 + Ohtina!C18 + Prstreula!C18 + 'Rethern'!C18 + 'Rkmepuia'!C18 + Tvecoca!C18 + Umarcia!C18 + 'United Delet'!C18 + Veelmit!C18 + Walporein!C18 + Yutnitu!C18</f>
        <v>219603713.75112718</v>
      </c>
      <c r="BQ18" s="6">
        <f t="shared" si="18"/>
        <v>1.6524817766570169E-2</v>
      </c>
      <c r="BR18" s="5">
        <f t="shared" si="19"/>
        <v>3.8156337476937967E-2</v>
      </c>
      <c r="BY18" s="3">
        <f t="shared" si="20"/>
        <v>1999</v>
      </c>
      <c r="BZ18" s="3">
        <v>1749</v>
      </c>
      <c r="CA18" s="4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915364286.08160925</v>
      </c>
      <c r="CB18" s="6">
        <f t="shared" si="21"/>
        <v>1.906385446724532E-2</v>
      </c>
      <c r="CC18" s="5">
        <f t="shared" si="22"/>
        <v>0.1590453458981497</v>
      </c>
    </row>
    <row r="19" spans="1:81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5687010125.8388805</v>
      </c>
      <c r="D19" s="5">
        <f t="shared" si="1"/>
        <v>1.2093360639972472E-2</v>
      </c>
      <c r="K19" s="3">
        <f t="shared" si="2"/>
        <v>1998</v>
      </c>
      <c r="L19" s="3">
        <v>1748</v>
      </c>
      <c r="M19" s="4">
        <f>'Areoix Lie'!C19 + Pelines!C19 + Terressin!C19 + Taniduna!C19 + Iquir!C19 + Deschon!C19 + Othya!C19 + Eldavpir!C19 + 'Candenat'!C19 + Jau!C19 + Viussi!C19 + Jathua!C19 + Jshain!C19 + Acetoa!C19 + Sattle!C19 + 'Reerica'!C19 + 'Feio Lie'!C19 + Umendel!C19 + 'Fire Coast'!C19 + Yoprioq!C19 + 'Rijan bu'!C19 + Saa!C19 + 'Rinew'!C19 + Enina!C19 + Trevilla!C19</f>
        <v>851509569.39197373</v>
      </c>
      <c r="N19" s="5">
        <f t="shared" si="3"/>
        <v>1.5324208516115927E-2</v>
      </c>
      <c r="O19" s="5">
        <f t="shared" si="4"/>
        <v>0.14972886464948382</v>
      </c>
      <c r="V19" s="3">
        <f t="shared" si="5"/>
        <v>1998</v>
      </c>
      <c r="W19" s="3">
        <v>1748</v>
      </c>
      <c r="X19" s="4">
        <f>Aetintio!C19 + Arbiya!C19 + 'Curata'!C19 + 'Disal Nila'!C19 + Etirha!C19 + Fincen!C19 + Gaeiya!C19 + Genaire!C19 + Grazail!C19 + Guise!C19 + Laselteh!C19 + Lasri!C19 + Metndria!C19 + 'New Misos'!C19 + Peka!C19 + Pelan!C19 + Phuris!C19 + 'Raledria'!C19 + Slyiaduun!C19 + Tomscilus!C19</f>
        <v>439115855.63283551</v>
      </c>
      <c r="Y19" s="5">
        <f t="shared" si="6"/>
        <v>1.0706583820878917E-2</v>
      </c>
      <c r="Z19" s="5">
        <f t="shared" si="7"/>
        <v>7.7213833968347703E-2</v>
      </c>
      <c r="AG19" s="3">
        <f t="shared" si="8"/>
        <v>1998</v>
      </c>
      <c r="AH19" s="3">
        <v>1748</v>
      </c>
      <c r="AI19" s="4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891577886.11444056</v>
      </c>
      <c r="AJ19" s="5">
        <f t="shared" si="9"/>
        <v>4.500174834169572E-3</v>
      </c>
      <c r="AK19" s="5">
        <f t="shared" si="10"/>
        <v>0.15677445026228531</v>
      </c>
      <c r="AR19" s="3">
        <f t="shared" si="11"/>
        <v>1998</v>
      </c>
      <c r="AS19" s="3">
        <v>1748</v>
      </c>
      <c r="AT19" s="4">
        <f>Amcha!C19 + Byllu!C19 + 'Chaenia'!C19 + 'Cruthi Anoso'!C19 + 'Dual Cenryia'!C19 + Exilium!C19 + Galca!C19 + Inania!C19 + Inrea!C19 + Isnti!C19 + Lieri!C19 + Ocaun!C19 + Otiiric!C19 + Ozinia!C19 + Pelugrotoa!C19 + 'Rtesania'!C19 + Sadain!C19 + Selaja!C19 + Seytinemas!C19 + Sivoso!C19 + Sunsokua!C19 + Taing!C19 + Taoisia!C19 + Trian!C19 + Vayvele!C19</f>
        <v>1159676242.6509273</v>
      </c>
      <c r="AU19" s="5">
        <f t="shared" si="12"/>
        <v>1.2903598325862782E-2</v>
      </c>
      <c r="AV19" s="5">
        <f t="shared" si="13"/>
        <v>0.20391668328177376</v>
      </c>
      <c r="BC19" s="3">
        <f t="shared" si="14"/>
        <v>1998</v>
      </c>
      <c r="BD19" s="3">
        <v>1748</v>
      </c>
      <c r="BE19" s="4">
        <f>'Canldives'!C19 + 'Cloja'!C19 + Dahe!C19 + Eparia!C19 + Etretes!C19 + Haiza!C19 + Ihner!C19 + Kaastini!C19 + Kusierna!C19 + Migoku!C19 + 'North Ayre'!C19 + Oscairia!C19 + Oyreain!C19 + 'Pha Hii'!C19 + 'Pruim Fijan'!C19 + 'Prystr Hii'!C19 + 'Ruylku'!C19 + Sanagara!C19 + Shinam!C19 + Stinebar!C19 + Suenan!C19 + Taval!C19 + Ucrua!C19 + Vesozata!C19 + 'Welenu Fana'!C19 + 'Western Migoku'!C19</f>
        <v>1214850560.1106474</v>
      </c>
      <c r="BF19" s="5">
        <f t="shared" si="15"/>
        <v>8.8090579992024728E-3</v>
      </c>
      <c r="BG19" s="5">
        <f t="shared" si="16"/>
        <v>0.21361849780976908</v>
      </c>
      <c r="BN19" s="3">
        <f t="shared" si="17"/>
        <v>1998</v>
      </c>
      <c r="BO19" s="3">
        <v>1748</v>
      </c>
      <c r="BP19" s="4">
        <f>Andsaudare!C19 + Aplasia!C19 + Astye!C19 + 'Crila Republic'!C19 + 'Elja and Munusia'!C19 + Hiwush!C19 + Iainoa!C19 + Isari!C19 + Isuibul!C19 + Maalle!C19 + Mendereide!C19 + Nia!C19 + 'Niretui and Anulan'!C19 + Ohtina!C19 + Prstreula!C19 + 'Rethern'!C19 + 'Rkmepuia'!C19 + Tvecoca!C19 + Umarcia!C19 + 'United Delet'!C19 + Veelmit!C19 + Walporein!C19 + Yutnitu!C19</f>
        <v>216033794.66290209</v>
      </c>
      <c r="BQ19" s="7">
        <f t="shared" si="18"/>
        <v>1.6937336591623831E-2</v>
      </c>
      <c r="BR19" s="5">
        <f t="shared" si="19"/>
        <v>3.7987235802755905E-2</v>
      </c>
      <c r="BY19" s="3">
        <f t="shared" si="20"/>
        <v>1998</v>
      </c>
      <c r="BZ19" s="3">
        <v>1748</v>
      </c>
      <c r="CA19" s="4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898240362.53366184</v>
      </c>
      <c r="CB19" s="7">
        <f t="shared" si="21"/>
        <v>1.9521300429666568E-2</v>
      </c>
      <c r="CC19" s="5">
        <f t="shared" si="22"/>
        <v>0.15794597559313542</v>
      </c>
    </row>
    <row r="20" spans="1:81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5619056844.9563179</v>
      </c>
      <c r="D20" s="5">
        <f t="shared" si="1"/>
        <v>1.2376514814027696E-2</v>
      </c>
      <c r="K20" s="3">
        <f t="shared" si="2"/>
        <v>1997</v>
      </c>
      <c r="L20" s="3">
        <v>1747</v>
      </c>
      <c r="M20" s="4">
        <f>'Areoix Lie'!C20 + Pelines!C20 + Terressin!C20 + Taniduna!C20 + Iquir!C20 + Deschon!C20 + Othya!C20 + Eldavpir!C20 + 'Candenat'!C20 + Jau!C20 + Viussi!C20 + Jathua!C20 + Jshain!C20 + Acetoa!C20 + Sattle!C20 + 'Reerica'!C20 + 'Feio Lie'!C20 + Umendel!C20 + 'Fire Coast'!C20 + Yoprioq!C20 + 'Rijan bu'!C20 + Saa!C20 + 'Rinew'!C20 + Enina!C20 + Trevilla!C20</f>
        <v>838657802.3550179</v>
      </c>
      <c r="N20" s="5">
        <f t="shared" si="3"/>
        <v>1.5135130947315811E-2</v>
      </c>
      <c r="O20" s="5">
        <f t="shared" si="4"/>
        <v>0.14925241468375597</v>
      </c>
      <c r="V20" s="3">
        <f t="shared" si="5"/>
        <v>1997</v>
      </c>
      <c r="W20" s="3">
        <v>1747</v>
      </c>
      <c r="X20" s="4">
        <f>Aetintio!C20 + Arbiya!C20 + 'Curata'!C20 + 'Disal Nila'!C20 + Etirha!C20 + Fincen!C20 + Gaeiya!C20 + Genaire!C20 + Grazail!C20 + Guise!C20 + Laselteh!C20 + Lasri!C20 + Metndria!C20 + 'New Misos'!C20 + Peka!C20 + Pelan!C20 + Phuris!C20 + 'Raledria'!C20 + Slyiaduun!C20 + Tomscilus!C20</f>
        <v>434464227.95901883</v>
      </c>
      <c r="Y20" s="5">
        <f t="shared" si="6"/>
        <v>1.1479528863773647E-2</v>
      </c>
      <c r="Z20" s="5">
        <f t="shared" si="7"/>
        <v>7.7319778024490929E-2</v>
      </c>
      <c r="AG20" s="3">
        <f t="shared" si="8"/>
        <v>1997</v>
      </c>
      <c r="AH20" s="3">
        <v>1747</v>
      </c>
      <c r="AI20" s="4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887583604.71328831</v>
      </c>
      <c r="AJ20" s="5">
        <f t="shared" si="9"/>
        <v>4.5573807660792935E-3</v>
      </c>
      <c r="AK20" s="5">
        <f t="shared" si="10"/>
        <v>0.15795953470554155</v>
      </c>
      <c r="AR20" s="3">
        <f t="shared" si="11"/>
        <v>1997</v>
      </c>
      <c r="AS20" s="3">
        <v>1747</v>
      </c>
      <c r="AT20" s="4">
        <f>Amcha!C20 + Byllu!C20 + 'Chaenia'!C20 + 'Cruthi Anoso'!C20 + 'Dual Cenryia'!C20 + Exilium!C20 + Galca!C20 + Inania!C20 + Inrea!C20 + Isnti!C20 + Lieri!C20 + Ocaun!C20 + Otiiric!C20 + Ozinia!C20 + Pelugrotoa!C20 + 'Rtesania'!C20 + Sadain!C20 + Selaja!C20 + Seytinemas!C20 + Sivoso!C20 + Sunsokua!C20 + Taing!C20 + Taoisia!C20 + Trian!C20 + Vayvele!C20</f>
        <v>1144902875.8192308</v>
      </c>
      <c r="AU20" s="5">
        <f t="shared" si="12"/>
        <v>1.3607608464763311E-2</v>
      </c>
      <c r="AV20" s="5">
        <f t="shared" si="13"/>
        <v>0.20375356708606696</v>
      </c>
      <c r="BC20" s="3">
        <f t="shared" si="14"/>
        <v>1997</v>
      </c>
      <c r="BD20" s="3">
        <v>1747</v>
      </c>
      <c r="BE20" s="4">
        <f>'Canldives'!C20 + 'Cloja'!C20 + Dahe!C20 + Eparia!C20 + Etretes!C20 + Haiza!C20 + Ihner!C20 + Kaastini!C20 + Kusierna!C20 + Migoku!C20 + 'North Ayre'!C20 + Oscairia!C20 + Oyreain!C20 + 'Pha Hii'!C20 + 'Pruim Fijan'!C20 + 'Prystr Hii'!C20 + 'Ruylku'!C20 + Sanagara!C20 + Shinam!C20 + Stinebar!C20 + Suenan!C20 + Taval!C20 + Ucrua!C20 + Vesozata!C20 + 'Welenu Fana'!C20 + 'Western Migoku'!C20</f>
        <v>1204242319.6715665</v>
      </c>
      <c r="BF20" s="5">
        <f t="shared" si="15"/>
        <v>9.0275971168151826E-3</v>
      </c>
      <c r="BG20" s="5">
        <f t="shared" si="16"/>
        <v>0.21431395924611404</v>
      </c>
      <c r="BN20" s="3">
        <f t="shared" si="17"/>
        <v>1997</v>
      </c>
      <c r="BO20" s="3">
        <v>1747</v>
      </c>
      <c r="BP20" s="4">
        <f>Andsaudare!C20 + Aplasia!C20 + Astye!C20 + 'Crila Republic'!C20 + 'Elja and Munusia'!C20 + Hiwush!C20 + Iainoa!C20 + Isari!C20 + Isuibul!C20 + Maalle!C20 + Mendereide!C20 + Nia!C20 + 'Niretui and Anulan'!C20 + Ohtina!C20 + Prstreula!C20 + 'Rethern'!C20 + 'Rkmepuia'!C20 + Tvecoca!C20 + Umarcia!C20 + 'United Delet'!C20 + Veelmit!C20 + Walporein!C20 + Yutnitu!C20</f>
        <v>212435699.71278945</v>
      </c>
      <c r="BQ20" s="6">
        <f t="shared" si="18"/>
        <v>1.7326358739380498E-2</v>
      </c>
      <c r="BR20" s="5">
        <f t="shared" si="19"/>
        <v>3.7806291264604726E-2</v>
      </c>
      <c r="BY20" s="3">
        <f t="shared" si="20"/>
        <v>1997</v>
      </c>
      <c r="BZ20" s="3">
        <v>1747</v>
      </c>
      <c r="CA20" s="4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881041290.80491781</v>
      </c>
      <c r="CB20" s="6">
        <f t="shared" si="21"/>
        <v>1.9882047503954454E-2</v>
      </c>
      <c r="CC20" s="5">
        <f t="shared" si="22"/>
        <v>0.1567952265148809</v>
      </c>
    </row>
    <row r="21" spans="1:81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5550362698.7914982</v>
      </c>
      <c r="D21" s="5">
        <f t="shared" si="1"/>
        <v>1.2793772190885287E-2</v>
      </c>
      <c r="K21" s="3">
        <f t="shared" si="2"/>
        <v>1996</v>
      </c>
      <c r="L21" s="3">
        <v>1746</v>
      </c>
      <c r="M21" s="4">
        <f>'Areoix Lie'!C21 + Pelines!C21 + Terressin!C21 + Taniduna!C21 + Iquir!C21 + Deschon!C21 + Othya!C21 + Eldavpir!C21 + 'Candenat'!C21 + Jau!C21 + Viussi!C21 + Jathua!C21 + Jshain!C21 + Acetoa!C21 + Sattle!C21 + 'Reerica'!C21 + 'Feio Lie'!C21 + Umendel!C21 + 'Fire Coast'!C21 + Yoprioq!C21 + 'Rijan bu'!C21 + Saa!C21 + 'Rinew'!C21 + Enina!C21 + Trevilla!C21</f>
        <v>826153855.56836092</v>
      </c>
      <c r="N21" s="5">
        <f t="shared" si="3"/>
        <v>1.4930072342614415E-2</v>
      </c>
      <c r="O21" s="5">
        <f t="shared" si="4"/>
        <v>0.14884682324422557</v>
      </c>
      <c r="V21" s="3">
        <f t="shared" si="5"/>
        <v>1996</v>
      </c>
      <c r="W21" s="3">
        <v>1746</v>
      </c>
      <c r="X21" s="4">
        <f>Aetintio!C21 + Arbiya!C21 + 'Curata'!C21 + 'Disal Nila'!C21 + Etirha!C21 + Fincen!C21 + Gaeiya!C21 + Genaire!C21 + Grazail!C21 + Guise!C21 + Laselteh!C21 + Lasri!C21 + Metndria!C21 + 'New Misos'!C21 + Peka!C21 + Pelan!C21 + Phuris!C21 + 'Raledria'!C21 + Slyiaduun!C21 + Tomscilus!C21</f>
        <v>429533387.04448718</v>
      </c>
      <c r="Y21" s="5">
        <f t="shared" si="6"/>
        <v>1.1619979650855041E-2</v>
      </c>
      <c r="Z21" s="5">
        <f t="shared" si="7"/>
        <v>7.738834565496254E-2</v>
      </c>
      <c r="AG21" s="3">
        <f t="shared" si="8"/>
        <v>1996</v>
      </c>
      <c r="AH21" s="3">
        <v>1746</v>
      </c>
      <c r="AI21" s="4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883556899.49379861</v>
      </c>
      <c r="AJ21" s="5">
        <f t="shared" si="9"/>
        <v>5.7088701159781737E-3</v>
      </c>
      <c r="AK21" s="5">
        <f t="shared" si="10"/>
        <v>0.15918903816613261</v>
      </c>
      <c r="AR21" s="3">
        <f t="shared" si="11"/>
        <v>1996</v>
      </c>
      <c r="AS21" s="3">
        <v>1746</v>
      </c>
      <c r="AT21" s="4">
        <f>Amcha!C21 + Byllu!C21 + 'Chaenia'!C21 + 'Cruthi Anoso'!C21 + 'Dual Cenryia'!C21 + Exilium!C21 + Galca!C21 + Inania!C21 + Inrea!C21 + Isnti!C21 + Lieri!C21 + Ocaun!C21 + Otiiric!C21 + Ozinia!C21 + Pelugrotoa!C21 + 'Rtesania'!C21 + Sadain!C21 + Selaja!C21 + Seytinemas!C21 + Sivoso!C21 + Sunsokua!C21 + Taing!C21 + Taoisia!C21 + Trian!C21 + Vayvele!C21</f>
        <v>1129532637.9340529</v>
      </c>
      <c r="AU21" s="5">
        <f t="shared" si="12"/>
        <v>1.4115039647925168E-2</v>
      </c>
      <c r="AV21" s="5">
        <f t="shared" si="13"/>
        <v>0.20350609486835705</v>
      </c>
      <c r="BC21" s="3">
        <f t="shared" si="14"/>
        <v>1996</v>
      </c>
      <c r="BD21" s="3">
        <v>1746</v>
      </c>
      <c r="BE21" s="4">
        <f>'Canldives'!C21 + 'Cloja'!C21 + Dahe!C21 + Eparia!C21 + Etretes!C21 + Haiza!C21 + Ihner!C21 + Kaastini!C21 + Kusierna!C21 + Migoku!C21 + 'North Ayre'!C21 + Oscairia!C21 + Oyreain!C21 + 'Pha Hii'!C21 + 'Pruim Fijan'!C21 + 'Prystr Hii'!C21 + 'Ruylku'!C21 + Sanagara!C21 + Shinam!C21 + Stinebar!C21 + Suenan!C21 + Taval!C21 + Ucrua!C21 + Vesozata!C21 + 'Welenu Fana'!C21 + 'Western Migoku'!C21</f>
        <v>1193468169.8623068</v>
      </c>
      <c r="BF21" s="5">
        <f t="shared" si="15"/>
        <v>9.3873992380003133E-3</v>
      </c>
      <c r="BG21" s="5">
        <f t="shared" si="16"/>
        <v>0.21502525774075362</v>
      </c>
      <c r="BN21" s="3">
        <f t="shared" si="17"/>
        <v>1996</v>
      </c>
      <c r="BO21" s="3">
        <v>1746</v>
      </c>
      <c r="BP21" s="4">
        <f>Andsaudare!C21 + Aplasia!C21 + Astye!C21 + 'Crila Republic'!C21 + 'Elja and Munusia'!C21 + Hiwush!C21 + Iainoa!C21 + Isari!C21 + Isuibul!C21 + Maalle!C21 + Mendereide!C21 + Nia!C21 + 'Niretui and Anulan'!C21 + Ohtina!C21 + Prstreula!C21 + 'Rethern'!C21 + 'Rkmepuia'!C21 + Tvecoca!C21 + Umarcia!C21 + 'United Delet'!C21 + Veelmit!C21 + Walporein!C21 + Yutnitu!C21</f>
        <v>208817650.19440669</v>
      </c>
      <c r="BQ21" s="7">
        <f t="shared" si="18"/>
        <v>1.809942412733748E-2</v>
      </c>
      <c r="BR21" s="5">
        <f t="shared" si="19"/>
        <v>3.7622343174054801E-2</v>
      </c>
      <c r="BY21" s="3">
        <f t="shared" si="20"/>
        <v>1996</v>
      </c>
      <c r="BZ21" s="3">
        <v>1746</v>
      </c>
      <c r="CA21" s="4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863865868.56898439</v>
      </c>
      <c r="CB21" s="7">
        <f t="shared" si="21"/>
        <v>2.027398996998582E-2</v>
      </c>
      <c r="CC21" s="5">
        <f t="shared" si="22"/>
        <v>0.15564133651249085</v>
      </c>
    </row>
    <row r="22" spans="1:81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5480249633.4321842</v>
      </c>
      <c r="D22" s="5">
        <f t="shared" si="1"/>
        <v>1.3113365140102765E-2</v>
      </c>
      <c r="K22" s="3">
        <f t="shared" si="2"/>
        <v>1995</v>
      </c>
      <c r="L22" s="3">
        <v>1745</v>
      </c>
      <c r="M22" s="4">
        <f>'Areoix Lie'!C22 + Pelines!C22 + Terressin!C22 + Taniduna!C22 + Iquir!C22 + Deschon!C22 + Othya!C22 + Eldavpir!C22 + 'Candenat'!C22 + Jau!C22 + Viussi!C22 + Jathua!C22 + Jshain!C22 + Acetoa!C22 + Sattle!C22 + 'Reerica'!C22 + 'Feio Lie'!C22 + Umendel!C22 + 'Fire Coast'!C22 + Yoprioq!C22 + 'Rijan bu'!C22 + Saa!C22 + 'Rinew'!C22 + Enina!C22 + Trevilla!C22</f>
        <v>814000765.25614321</v>
      </c>
      <c r="N22" s="5">
        <f t="shared" si="3"/>
        <v>1.4717144090747774E-2</v>
      </c>
      <c r="O22" s="5">
        <f t="shared" si="4"/>
        <v>0.1485335194021716</v>
      </c>
      <c r="V22" s="3">
        <f t="shared" si="5"/>
        <v>1995</v>
      </c>
      <c r="W22" s="3">
        <v>1745</v>
      </c>
      <c r="X22" s="4">
        <f>Aetintio!C22 + Arbiya!C22 + 'Curata'!C22 + 'Disal Nila'!C22 + Etirha!C22 + Fincen!C22 + Gaeiya!C22 + Genaire!C22 + Grazail!C22 + Guise!C22 + Laselteh!C22 + Lasri!C22 + Metndria!C22 + 'New Misos'!C22 + Peka!C22 + Pelan!C22 + Phuris!C22 + 'Raledria'!C22 + Slyiaduun!C22 + Tomscilus!C22</f>
        <v>424599548.92620248</v>
      </c>
      <c r="Y22" s="5">
        <f t="shared" si="6"/>
        <v>1.0857819465584057E-2</v>
      </c>
      <c r="Z22" s="5">
        <f t="shared" si="7"/>
        <v>7.7478140108059868E-2</v>
      </c>
      <c r="AG22" s="3">
        <f t="shared" si="8"/>
        <v>1995</v>
      </c>
      <c r="AH22" s="3">
        <v>1745</v>
      </c>
      <c r="AI22" s="4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878541420.63190413</v>
      </c>
      <c r="AJ22" s="5">
        <f t="shared" si="9"/>
        <v>5.5861374583970197E-3</v>
      </c>
      <c r="AK22" s="5">
        <f t="shared" si="10"/>
        <v>0.16031047477698365</v>
      </c>
      <c r="AR22" s="3">
        <f t="shared" si="11"/>
        <v>1995</v>
      </c>
      <c r="AS22" s="3">
        <v>1745</v>
      </c>
      <c r="AT22" s="4">
        <f>Amcha!C22 + Byllu!C22 + 'Chaenia'!C22 + 'Cruthi Anoso'!C22 + 'Dual Cenryia'!C22 + Exilium!C22 + Galca!C22 + Inania!C22 + Inrea!C22 + Isnti!C22 + Lieri!C22 + Ocaun!C22 + Otiiric!C22 + Ozinia!C22 + Pelugrotoa!C22 + 'Rtesania'!C22 + Sadain!C22 + Selaja!C22 + Seytinemas!C22 + Sivoso!C22 + Sunsokua!C22 + Taing!C22 + Taoisia!C22 + Trian!C22 + Vayvele!C22</f>
        <v>1113811149.3999712</v>
      </c>
      <c r="AU22" s="5">
        <f t="shared" si="12"/>
        <v>1.5851272373682921E-2</v>
      </c>
      <c r="AV22" s="5">
        <f t="shared" si="13"/>
        <v>0.20324095139848783</v>
      </c>
      <c r="BC22" s="3">
        <f t="shared" si="14"/>
        <v>1995</v>
      </c>
      <c r="BD22" s="3">
        <v>1745</v>
      </c>
      <c r="BE22" s="4">
        <f>'Canldives'!C22 + 'Cloja'!C22 + Dahe!C22 + Eparia!C22 + Etretes!C22 + Haiza!C22 + Ihner!C22 + Kaastini!C22 + Kusierna!C22 + Migoku!C22 + 'North Ayre'!C22 + Oscairia!C22 + Oyreain!C22 + 'Pha Hii'!C22 + 'Pruim Fijan'!C22 + 'Prystr Hii'!C22 + 'Ruylku'!C22 + Sanagara!C22 + Shinam!C22 + Stinebar!C22 + Suenan!C22 + Taval!C22 + Ucrua!C22 + Vesozata!C22 + 'Welenu Fana'!C22 + 'Western Migoku'!C22</f>
        <v>1182368801.8725729</v>
      </c>
      <c r="BF22" s="5">
        <f t="shared" si="15"/>
        <v>9.7121152300298531E-3</v>
      </c>
      <c r="BG22" s="5">
        <f t="shared" si="16"/>
        <v>0.2157509020500725</v>
      </c>
      <c r="BN22" s="3">
        <f t="shared" si="17"/>
        <v>1995</v>
      </c>
      <c r="BO22" s="3">
        <v>1745</v>
      </c>
      <c r="BP22" s="4">
        <f>Andsaudare!C22 + Aplasia!C22 + Astye!C22 + 'Crila Republic'!C22 + 'Elja and Munusia'!C22 + Hiwush!C22 + Iainoa!C22 + Isari!C22 + Isuibul!C22 + Maalle!C22 + Mendereide!C22 + Nia!C22 + 'Niretui and Anulan'!C22 + Ohtina!C22 + Prstreula!C22 + 'Rethern'!C22 + 'Rkmepuia'!C22 + Tvecoca!C22 + Umarcia!C22 + 'United Delet'!C22 + Veelmit!C22 + Walporein!C22 + Yutnitu!C22</f>
        <v>205105361.26999035</v>
      </c>
      <c r="BQ22" s="6">
        <f t="shared" si="18"/>
        <v>1.6822047382159529E-2</v>
      </c>
      <c r="BR22" s="5">
        <f t="shared" si="19"/>
        <v>3.7426280733408208E-2</v>
      </c>
      <c r="BY22" s="3">
        <f t="shared" si="20"/>
        <v>1995</v>
      </c>
      <c r="BZ22" s="3">
        <v>1745</v>
      </c>
      <c r="CA22" s="4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846699883.62086678</v>
      </c>
      <c r="CB22" s="6">
        <f t="shared" si="21"/>
        <v>2.0753030403070024E-2</v>
      </c>
      <c r="CC22" s="5">
        <f t="shared" si="22"/>
        <v>0.15450023999921214</v>
      </c>
    </row>
    <row r="23" spans="1:81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5409315306.6580305</v>
      </c>
      <c r="D23" s="5">
        <f t="shared" si="1"/>
        <v>1.3184623830067322E-2</v>
      </c>
      <c r="K23" s="3">
        <f t="shared" si="2"/>
        <v>1994</v>
      </c>
      <c r="L23" s="3">
        <v>1744</v>
      </c>
      <c r="M23" s="4">
        <f>'Areoix Lie'!C23 + Pelines!C23 + Terressin!C23 + Taniduna!C23 + Iquir!C23 + Deschon!C23 + Othya!C23 + Eldavpir!C23 + 'Candenat'!C23 + Jau!C23 + Viussi!C23 + Jathua!C23 + Jshain!C23 + Acetoa!C23 + Sattle!C23 + 'Reerica'!C23 + 'Feio Lie'!C23 + Umendel!C23 + 'Fire Coast'!C23 + Yoprioq!C23 + 'Rijan bu'!C23 + Saa!C23 + 'Rinew'!C23 + Enina!C23 + Trevilla!C23</f>
        <v>802194749.53834605</v>
      </c>
      <c r="N23" s="5">
        <f t="shared" si="3"/>
        <v>1.386247974545139E-2</v>
      </c>
      <c r="O23" s="5">
        <f t="shared" si="4"/>
        <v>0.14829875946609516</v>
      </c>
      <c r="V23" s="3">
        <f t="shared" si="5"/>
        <v>1994</v>
      </c>
      <c r="W23" s="3">
        <v>1744</v>
      </c>
      <c r="X23" s="4">
        <f>Aetintio!C23 + Arbiya!C23 + 'Curata'!C23 + 'Disal Nila'!C23 + Etirha!C23 + Fincen!C23 + Gaeiya!C23 + Genaire!C23 + Grazail!C23 + Guise!C23 + Laselteh!C23 + Lasri!C23 + Metndria!C23 + 'New Misos'!C23 + Peka!C23 + Pelan!C23 + Phuris!C23 + 'Raledria'!C23 + Slyiaduun!C23 + Tomscilus!C23</f>
        <v>420038843.00037163</v>
      </c>
      <c r="Y23" s="5">
        <f t="shared" si="6"/>
        <v>1.1010524665063685E-2</v>
      </c>
      <c r="Z23" s="5">
        <f t="shared" si="7"/>
        <v>7.7651018509379333E-2</v>
      </c>
      <c r="AG23" s="3">
        <f t="shared" si="8"/>
        <v>1994</v>
      </c>
      <c r="AH23" s="3">
        <v>1744</v>
      </c>
      <c r="AI23" s="4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873661030.02613342</v>
      </c>
      <c r="AJ23" s="5">
        <f t="shared" si="9"/>
        <v>4.7895532420499064E-3</v>
      </c>
      <c r="AK23" s="5">
        <f t="shared" si="10"/>
        <v>0.16151046491055751</v>
      </c>
      <c r="AR23" s="3">
        <f t="shared" si="11"/>
        <v>1994</v>
      </c>
      <c r="AS23" s="3">
        <v>1744</v>
      </c>
      <c r="AT23" s="4">
        <f>Amcha!C23 + Byllu!C23 + 'Chaenia'!C23 + 'Cruthi Anoso'!C23 + 'Dual Cenryia'!C23 + Exilium!C23 + Galca!C23 + Inania!C23 + Inrea!C23 + Isnti!C23 + Lieri!C23 + Ocaun!C23 + Otiiric!C23 + Ozinia!C23 + Pelugrotoa!C23 + 'Rtesania'!C23 + Sadain!C23 + Selaja!C23 + Seytinemas!C23 + Sivoso!C23 + Sunsokua!C23 + Taing!C23 + Taoisia!C23 + Trian!C23 + Vayvele!C23</f>
        <v>1096431317.940264</v>
      </c>
      <c r="AU23" s="5">
        <f t="shared" si="12"/>
        <v>1.6771428104508029E-2</v>
      </c>
      <c r="AV23" s="5">
        <f t="shared" si="13"/>
        <v>0.20269317941047485</v>
      </c>
      <c r="BC23" s="3">
        <f t="shared" si="14"/>
        <v>1994</v>
      </c>
      <c r="BD23" s="3">
        <v>1744</v>
      </c>
      <c r="BE23" s="4">
        <f>'Canldives'!C23 + 'Cloja'!C23 + Dahe!C23 + Eparia!C23 + Etretes!C23 + Haiza!C23 + Ihner!C23 + Kaastini!C23 + Kusierna!C23 + Migoku!C23 + 'North Ayre'!C23 + Oscairia!C23 + Oyreain!C23 + 'Pha Hii'!C23 + 'Pruim Fijan'!C23 + 'Prystr Hii'!C23 + 'Ruylku'!C23 + Sanagara!C23 + Shinam!C23 + Stinebar!C23 + Suenan!C23 + Taval!C23 + Ucrua!C23 + Vesozata!C23 + 'Welenu Fana'!C23 + 'Western Migoku'!C23</f>
        <v>1170995954.2311809</v>
      </c>
      <c r="BF23" s="5">
        <f t="shared" si="15"/>
        <v>9.973882320674813E-3</v>
      </c>
      <c r="BG23" s="5">
        <f t="shared" si="16"/>
        <v>0.21647766636747279</v>
      </c>
      <c r="BN23" s="3">
        <f t="shared" si="17"/>
        <v>1994</v>
      </c>
      <c r="BO23" s="3">
        <v>1744</v>
      </c>
      <c r="BP23" s="4">
        <f>Andsaudare!C23 + Aplasia!C23 + Astye!C23 + 'Crila Republic'!C23 + 'Elja and Munusia'!C23 + Hiwush!C23 + Iainoa!C23 + Isari!C23 + Isuibul!C23 + Maalle!C23 + Mendereide!C23 + Nia!C23 + 'Niretui and Anulan'!C23 + Ohtina!C23 + Prstreula!C23 + 'Rethern'!C23 + 'Rkmepuia'!C23 + Tvecoca!C23 + Umarcia!C23 + 'United Delet'!C23 + Veelmit!C23 + Walporein!C23 + Yutnitu!C23</f>
        <v>201712149.92637166</v>
      </c>
      <c r="BQ23" s="7">
        <f t="shared" si="18"/>
        <v>1.8057435402070821E-2</v>
      </c>
      <c r="BR23" s="5">
        <f t="shared" si="19"/>
        <v>3.7289774858953996E-2</v>
      </c>
      <c r="BY23" s="3">
        <f t="shared" si="20"/>
        <v>1994</v>
      </c>
      <c r="BZ23" s="3">
        <v>1744</v>
      </c>
      <c r="CA23" s="4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829485544.88888073</v>
      </c>
      <c r="CB23" s="7">
        <f t="shared" si="21"/>
        <v>2.1081654555103586E-2</v>
      </c>
      <c r="CC23" s="5">
        <f t="shared" si="22"/>
        <v>0.15334390729043143</v>
      </c>
    </row>
    <row r="24" spans="1:81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5338923607.2391167</v>
      </c>
      <c r="D24" s="5">
        <f t="shared" si="1"/>
        <v>1.3000241726671573E-2</v>
      </c>
      <c r="K24" s="3">
        <f t="shared" si="2"/>
        <v>1993</v>
      </c>
      <c r="L24" s="3">
        <v>1743</v>
      </c>
      <c r="M24" s="4">
        <f>'Areoix Lie'!C24 + Pelines!C24 + Terressin!C24 + Taniduna!C24 + Iquir!C24 + Deschon!C24 + Othya!C24 + Eldavpir!C24 + 'Candenat'!C24 + Jau!C24 + Viussi!C24 + Jathua!C24 + Jshain!C24 + Acetoa!C24 + Sattle!C24 + 'Reerica'!C24 + 'Feio Lie'!C24 + Umendel!C24 + 'Fire Coast'!C24 + Yoprioq!C24 + 'Rijan bu'!C24 + Saa!C24 + 'Rinew'!C24 + Enina!C24 + Trevilla!C24</f>
        <v>791226389.73655641</v>
      </c>
      <c r="N24" s="5">
        <f t="shared" si="3"/>
        <v>1.3999687541917574E-2</v>
      </c>
      <c r="O24" s="5">
        <f t="shared" si="4"/>
        <v>0.14819960874954685</v>
      </c>
      <c r="V24" s="3">
        <f t="shared" si="5"/>
        <v>1993</v>
      </c>
      <c r="W24" s="3">
        <v>1743</v>
      </c>
      <c r="X24" s="4">
        <f>Aetintio!C24 + Arbiya!C24 + 'Curata'!C24 + 'Disal Nila'!C24 + Etirha!C24 + Fincen!C24 + Gaeiya!C24 + Genaire!C24 + Grazail!C24 + Guise!C24 + Laselteh!C24 + Lasri!C24 + Metndria!C24 + 'New Misos'!C24 + Peka!C24 + Pelan!C24 + Phuris!C24 + 'Raledria'!C24 + Slyiaduun!C24 + Tomscilus!C24</f>
        <v>415464362.39081264</v>
      </c>
      <c r="Y24" s="5">
        <f t="shared" si="6"/>
        <v>1.0443639427278073E-2</v>
      </c>
      <c r="Z24" s="5">
        <f t="shared" si="7"/>
        <v>7.7818000959496605E-2</v>
      </c>
      <c r="AG24" s="3">
        <f t="shared" si="8"/>
        <v>1993</v>
      </c>
      <c r="AH24" s="3">
        <v>1743</v>
      </c>
      <c r="AI24" s="4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869496530.10143495</v>
      </c>
      <c r="AJ24" s="5">
        <f t="shared" si="9"/>
        <v>3.6913218452011786E-3</v>
      </c>
      <c r="AK24" s="5">
        <f t="shared" si="10"/>
        <v>0.16285989350409008</v>
      </c>
      <c r="AR24" s="3">
        <f t="shared" si="11"/>
        <v>1993</v>
      </c>
      <c r="AS24" s="3">
        <v>1743</v>
      </c>
      <c r="AT24" s="4">
        <f>Amcha!C24 + Byllu!C24 + 'Chaenia'!C24 + 'Cruthi Anoso'!C24 + 'Dual Cenryia'!C24 + Exilium!C24 + Galca!C24 + Inania!C24 + Inrea!C24 + Isnti!C24 + Lieri!C24 + Ocaun!C24 + Otiiric!C24 + Ozinia!C24 + Pelugrotoa!C24 + 'Rtesania'!C24 + Sadain!C24 + Selaja!C24 + Seytinemas!C24 + Sivoso!C24 + Sunsokua!C24 + Taing!C24 + Taoisia!C24 + Trian!C24 + Vayvele!C24</f>
        <v>1078345916.9228034</v>
      </c>
      <c r="AU24" s="5">
        <f t="shared" si="12"/>
        <v>1.6186477826773033E-2</v>
      </c>
      <c r="AV24" s="5">
        <f t="shared" si="13"/>
        <v>0.20197815070076297</v>
      </c>
      <c r="BC24" s="3">
        <f t="shared" si="14"/>
        <v>1993</v>
      </c>
      <c r="BD24" s="3">
        <v>1743</v>
      </c>
      <c r="BE24" s="4">
        <f>'Canldives'!C24 + 'Cloja'!C24 + Dahe!C24 + Eparia!C24 + Etretes!C24 + Haiza!C24 + Ihner!C24 + Kaastini!C24 + Kusierna!C24 + Migoku!C24 + 'North Ayre'!C24 + Oscairia!C24 + Oyreain!C24 + 'Pha Hii'!C24 + 'Pruim Fijan'!C24 + 'Prystr Hii'!C24 + 'Ruylku'!C24 + Sanagara!C24 + Shinam!C24 + Stinebar!C24 + Suenan!C24 + Taval!C24 + Ucrua!C24 + Vesozata!C24 + 'Welenu Fana'!C24 + 'Western Migoku'!C24</f>
        <v>1159431916.7348332</v>
      </c>
      <c r="BF24" s="5">
        <f t="shared" si="15"/>
        <v>1.016629444453542E-2</v>
      </c>
      <c r="BG24" s="5">
        <f t="shared" si="16"/>
        <v>0.21716585627161705</v>
      </c>
      <c r="BN24" s="3">
        <f t="shared" si="17"/>
        <v>1993</v>
      </c>
      <c r="BO24" s="3">
        <v>1743</v>
      </c>
      <c r="BP24" s="4">
        <f>Andsaudare!C24 + Aplasia!C24 + Astye!C24 + 'Crila Republic'!C24 + 'Elja and Munusia'!C24 + Hiwush!C24 + Iainoa!C24 + Isari!C24 + Isuibul!C24 + Maalle!C24 + Mendereide!C24 + Nia!C24 + 'Niretui and Anulan'!C24 + Ohtina!C24 + Prstreula!C24 + 'Rethern'!C24 + 'Rkmepuia'!C24 + Tvecoca!C24 + Umarcia!C24 + 'United Delet'!C24 + Veelmit!C24 + Walporein!C24 + Yutnitu!C24</f>
        <v>198134351.67015663</v>
      </c>
      <c r="BQ24" s="6">
        <f t="shared" si="18"/>
        <v>1.9620964329533253E-2</v>
      </c>
      <c r="BR24" s="5">
        <f t="shared" si="19"/>
        <v>3.7111291759541878E-2</v>
      </c>
      <c r="BY24" s="3">
        <f t="shared" si="20"/>
        <v>1993</v>
      </c>
      <c r="BZ24" s="3">
        <v>1743</v>
      </c>
      <c r="CA24" s="4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812359659.17955565</v>
      </c>
      <c r="CB24" s="6">
        <f t="shared" si="21"/>
        <v>2.1526793841337589E-2</v>
      </c>
      <c r="CC24" s="5">
        <f t="shared" si="22"/>
        <v>0.15215794773277266</v>
      </c>
    </row>
    <row r="25" spans="1:81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5270407041.6990767</v>
      </c>
      <c r="D25" s="5">
        <f t="shared" si="1"/>
        <v>1.3516458720943966E-2</v>
      </c>
      <c r="K25" s="3">
        <f t="shared" si="2"/>
        <v>1992</v>
      </c>
      <c r="L25" s="3">
        <v>1742</v>
      </c>
      <c r="M25" s="4">
        <f>'Areoix Lie'!C25 + Pelines!C25 + Terressin!C25 + Taniduna!C25 + Iquir!C25 + Deschon!C25 + Othya!C25 + Eldavpir!C25 + 'Candenat'!C25 + Jau!C25 + Viussi!C25 + Jathua!C25 + Jshain!C25 + Acetoa!C25 + Sattle!C25 + 'Reerica'!C25 + 'Feio Lie'!C25 + Umendel!C25 + 'Fire Coast'!C25 + Yoprioq!C25 + 'Rijan bu'!C25 + Saa!C25 + 'Rinew'!C25 + Enina!C25 + Trevilla!C25</f>
        <v>780302399.94906116</v>
      </c>
      <c r="N25" s="5">
        <f t="shared" si="3"/>
        <v>1.4703964483288513E-2</v>
      </c>
      <c r="O25" s="5">
        <f t="shared" si="4"/>
        <v>0.14805353624024964</v>
      </c>
      <c r="V25" s="3">
        <f t="shared" si="5"/>
        <v>1992</v>
      </c>
      <c r="W25" s="3">
        <v>1742</v>
      </c>
      <c r="X25" s="4">
        <f>Aetintio!C25 + Arbiya!C25 + 'Curata'!C25 + 'Disal Nila'!C25 + Etirha!C25 + Fincen!C25 + Gaeiya!C25 + Genaire!C25 + Grazail!C25 + Guise!C25 + Laselteh!C25 + Lasri!C25 + Metndria!C25 + 'New Misos'!C25 + Peka!C25 + Pelan!C25 + Phuris!C25 + 'Raledria'!C25 + Slyiaduun!C25 + Tomscilus!C25</f>
        <v>411170248.57150751</v>
      </c>
      <c r="Y25" s="5">
        <f t="shared" si="6"/>
        <v>1.1891486894103062E-2</v>
      </c>
      <c r="Z25" s="5">
        <f t="shared" si="7"/>
        <v>7.8014894356044695E-2</v>
      </c>
      <c r="AG25" s="3">
        <f t="shared" si="8"/>
        <v>1992</v>
      </c>
      <c r="AH25" s="3">
        <v>1742</v>
      </c>
      <c r="AI25" s="4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866298742.62830079</v>
      </c>
      <c r="AJ25" s="5">
        <f t="shared" si="9"/>
        <v>5.0419393076515827E-3</v>
      </c>
      <c r="AK25" s="5">
        <f t="shared" si="10"/>
        <v>0.16437036755874987</v>
      </c>
      <c r="AR25" s="3">
        <f t="shared" si="11"/>
        <v>1992</v>
      </c>
      <c r="AS25" s="3">
        <v>1742</v>
      </c>
      <c r="AT25" s="4">
        <f>Amcha!C25 + Byllu!C25 + 'Chaenia'!C25 + 'Cruthi Anoso'!C25 + 'Dual Cenryia'!C25 + Exilium!C25 + Galca!C25 + Inania!C25 + Inrea!C25 + Isnti!C25 + Lieri!C25 + Ocaun!C25 + Otiiric!C25 + Ozinia!C25 + Pelugrotoa!C25 + 'Rtesania'!C25 + Sadain!C25 + Selaja!C25 + Seytinemas!C25 + Sivoso!C25 + Sunsokua!C25 + Taing!C25 + Taoisia!C25 + Trian!C25 + Vayvele!C25</f>
        <v>1061169323.202337</v>
      </c>
      <c r="AU25" s="5">
        <f t="shared" si="12"/>
        <v>1.6647012357089555E-2</v>
      </c>
      <c r="AV25" s="5">
        <f t="shared" si="13"/>
        <v>0.20134485150889536</v>
      </c>
      <c r="BC25" s="3">
        <f t="shared" si="14"/>
        <v>1992</v>
      </c>
      <c r="BD25" s="3">
        <v>1742</v>
      </c>
      <c r="BE25" s="4">
        <f>'Canldives'!C25 + 'Cloja'!C25 + Dahe!C25 + Eparia!C25 + Etretes!C25 + Haiza!C25 + Ihner!C25 + Kaastini!C25 + Kusierna!C25 + Migoku!C25 + 'North Ayre'!C25 + Oscairia!C25 + Oyreain!C25 + 'Pha Hii'!C25 + 'Pruim Fijan'!C25 + 'Prystr Hii'!C25 + 'Ruylku'!C25 + Sanagara!C25 + Shinam!C25 + Stinebar!C25 + Suenan!C25 + Taval!C25 + Ucrua!C25 + Vesozata!C25 + 'Welenu Fana'!C25 + 'Western Migoku'!C25</f>
        <v>1147763415.896167</v>
      </c>
      <c r="BF25" s="5">
        <f t="shared" si="15"/>
        <v>1.020535250417832E-2</v>
      </c>
      <c r="BG25" s="5">
        <f t="shared" si="16"/>
        <v>0.21777509911761017</v>
      </c>
      <c r="BN25" s="3">
        <f t="shared" si="17"/>
        <v>1992</v>
      </c>
      <c r="BO25" s="3">
        <v>1742</v>
      </c>
      <c r="BP25" s="4">
        <f>Andsaudare!C25 + Aplasia!C25 + Astye!C25 + 'Crila Republic'!C25 + 'Elja and Munusia'!C25 + Hiwush!C25 + Iainoa!C25 + Isari!C25 + Isuibul!C25 + Maalle!C25 + Mendereide!C25 + Nia!C25 + 'Niretui and Anulan'!C25 + Ohtina!C25 + Prstreula!C25 + 'Rethern'!C25 + 'Rkmepuia'!C25 + Tvecoca!C25 + Umarcia!C25 + 'United Delet'!C25 + Veelmit!C25 + Walporein!C25 + Yutnitu!C25</f>
        <v>194321574.97903427</v>
      </c>
      <c r="BQ25" s="7">
        <f t="shared" si="18"/>
        <v>1.8780797228635678E-2</v>
      </c>
      <c r="BR25" s="5">
        <f t="shared" si="19"/>
        <v>3.6870316361065879E-2</v>
      </c>
      <c r="BY25" s="3">
        <f t="shared" si="20"/>
        <v>1992</v>
      </c>
      <c r="BZ25" s="3">
        <v>1742</v>
      </c>
      <c r="CA25" s="4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795240677.07002354</v>
      </c>
      <c r="CB25" s="7">
        <f t="shared" si="21"/>
        <v>2.1776443740172173E-2</v>
      </c>
      <c r="CC25" s="5">
        <f t="shared" si="22"/>
        <v>0.15088790500963914</v>
      </c>
    </row>
    <row r="26" spans="1:81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5200119836.5839281</v>
      </c>
      <c r="D26" s="5">
        <f t="shared" si="1"/>
        <v>1.4115518612981855E-2</v>
      </c>
      <c r="K26" s="3">
        <f t="shared" si="2"/>
        <v>1991</v>
      </c>
      <c r="L26" s="3">
        <v>1741</v>
      </c>
      <c r="M26" s="4">
        <f>'Areoix Lie'!C26 + Pelines!C26 + Terressin!C26 + Taniduna!C26 + Iquir!C26 + Deschon!C26 + Othya!C26 + Eldavpir!C26 + 'Candenat'!C26 + Jau!C26 + Viussi!C26 + Jathua!C26 + Jshain!C26 + Acetoa!C26 + Sattle!C26 + 'Reerica'!C26 + 'Feio Lie'!C26 + Umendel!C26 + 'Fire Coast'!C26 + Yoprioq!C26 + 'Rijan bu'!C26 + Saa!C26 + 'Rinew'!C26 + Enina!C26 + Trevilla!C26</f>
        <v>768995122.97304344</v>
      </c>
      <c r="N26" s="5">
        <f t="shared" si="3"/>
        <v>1.486393154019503E-2</v>
      </c>
      <c r="O26" s="5">
        <f t="shared" si="4"/>
        <v>0.14788026952052188</v>
      </c>
      <c r="V26" s="3">
        <f t="shared" si="5"/>
        <v>1991</v>
      </c>
      <c r="W26" s="3">
        <v>1741</v>
      </c>
      <c r="X26" s="4">
        <f>Aetintio!C26 + Arbiya!C26 + 'Curata'!C26 + 'Disal Nila'!C26 + Etirha!C26 + Fincen!C26 + Gaeiya!C26 + Genaire!C26 + Grazail!C26 + Guise!C26 + Laselteh!C26 + Lasri!C26 + Metndria!C26 + 'New Misos'!C26 + Peka!C26 + Pelan!C26 + Phuris!C26 + 'Raledria'!C26 + Slyiaduun!C26 + Tomscilus!C26</f>
        <v>406338282.21398753</v>
      </c>
      <c r="Y26" s="5">
        <f t="shared" si="6"/>
        <v>1.241703323046256E-2</v>
      </c>
      <c r="Z26" s="5">
        <f t="shared" si="7"/>
        <v>7.8140176569646128E-2</v>
      </c>
      <c r="AG26" s="3">
        <f t="shared" si="8"/>
        <v>1991</v>
      </c>
      <c r="AH26" s="3">
        <v>1741</v>
      </c>
      <c r="AI26" s="4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861952828.77953577</v>
      </c>
      <c r="AJ26" s="5">
        <f t="shared" si="9"/>
        <v>6.4886009097467508E-3</v>
      </c>
      <c r="AK26" s="5">
        <f t="shared" si="10"/>
        <v>0.16575633944347162</v>
      </c>
      <c r="AR26" s="3">
        <f t="shared" si="11"/>
        <v>1991</v>
      </c>
      <c r="AS26" s="3">
        <v>1741</v>
      </c>
      <c r="AT26" s="4">
        <f>Amcha!C26 + Byllu!C26 + 'Chaenia'!C26 + 'Cruthi Anoso'!C26 + 'Dual Cenryia'!C26 + Exilium!C26 + Galca!C26 + Inania!C26 + Inrea!C26 + Isnti!C26 + Lieri!C26 + Ocaun!C26 + Otiiric!C26 + Ozinia!C26 + Pelugrotoa!C26 + 'Rtesania'!C26 + Sadain!C26 + Selaja!C26 + Seytinemas!C26 + Sivoso!C26 + Sunsokua!C26 + Taing!C26 + Taoisia!C26 + Trian!C26 + Vayvele!C26</f>
        <v>1043793283.5134417</v>
      </c>
      <c r="AU26" s="5">
        <f t="shared" si="12"/>
        <v>1.7052682015766079E-2</v>
      </c>
      <c r="AV26" s="5">
        <f t="shared" si="13"/>
        <v>0.20072485179478713</v>
      </c>
      <c r="BC26" s="3">
        <f t="shared" si="14"/>
        <v>1991</v>
      </c>
      <c r="BD26" s="3">
        <v>1741</v>
      </c>
      <c r="BE26" s="4">
        <f>'Canldives'!C26 + 'Cloja'!C26 + Dahe!C26 + Eparia!C26 + Etretes!C26 + Haiza!C26 + Ihner!C26 + Kaastini!C26 + Kusierna!C26 + Migoku!C26 + 'North Ayre'!C26 + Oscairia!C26 + Oyreain!C26 + 'Pha Hii'!C26 + 'Pruim Fijan'!C26 + 'Prystr Hii'!C26 + 'Ruylku'!C26 + Sanagara!C26 + Shinam!C26 + Stinebar!C26 + Suenan!C26 + Taval!C26 + Ucrua!C26 + Vesozata!C26 + 'Welenu Fana'!C26 + 'Western Migoku'!C26</f>
        <v>1136168416.6996331</v>
      </c>
      <c r="BF26" s="5">
        <f t="shared" si="15"/>
        <v>1.0886189035768318E-2</v>
      </c>
      <c r="BG26" s="5">
        <f t="shared" si="16"/>
        <v>0.21848889110332637</v>
      </c>
      <c r="BN26" s="3">
        <f t="shared" si="17"/>
        <v>1991</v>
      </c>
      <c r="BO26" s="3">
        <v>1741</v>
      </c>
      <c r="BP26" s="4">
        <f>Andsaudare!C26 + Aplasia!C26 + Astye!C26 + 'Crila Republic'!C26 + 'Elja and Munusia'!C26 + Hiwush!C26 + Iainoa!C26 + Isari!C26 + Isuibul!C26 + Maalle!C26 + Mendereide!C26 + Nia!C26 + 'Niretui and Anulan'!C26 + Ohtina!C26 + Prstreula!C26 + 'Rethern'!C26 + 'Rkmepuia'!C26 + Tvecoca!C26 + Umarcia!C26 + 'United Delet'!C26 + Veelmit!C26 + Walporein!C26 + Yutnitu!C26</f>
        <v>190739338.14579394</v>
      </c>
      <c r="BQ26" s="6">
        <f t="shared" si="18"/>
        <v>2.1160420650121716E-2</v>
      </c>
      <c r="BR26" s="5">
        <f t="shared" si="19"/>
        <v>3.6679796646973961E-2</v>
      </c>
      <c r="BY26" s="3">
        <f t="shared" si="20"/>
        <v>1991</v>
      </c>
      <c r="BZ26" s="3">
        <v>1741</v>
      </c>
      <c r="CA26" s="4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778292239.89454734</v>
      </c>
      <c r="CB26" s="6">
        <f t="shared" si="21"/>
        <v>2.1807627793444508E-2</v>
      </c>
      <c r="CC26" s="5">
        <f t="shared" si="22"/>
        <v>0.14966813541855306</v>
      </c>
    </row>
    <row r="27" spans="1:81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5127739139.3203363</v>
      </c>
      <c r="D27" s="5">
        <f t="shared" si="1"/>
        <v>1.4247153081831122E-2</v>
      </c>
      <c r="K27" s="3">
        <f t="shared" si="2"/>
        <v>1990</v>
      </c>
      <c r="L27" s="3">
        <v>1740</v>
      </c>
      <c r="M27" s="4">
        <f>'Areoix Lie'!C27 + Pelines!C27 + Terressin!C27 + Taniduna!C27 + Iquir!C27 + Deschon!C27 + Othya!C27 + Eldavpir!C27 + 'Candenat'!C27 + Jau!C27 + Viussi!C27 + Jathua!C27 + Jshain!C27 + Acetoa!C27 + Sattle!C27 + 'Reerica'!C27 + 'Feio Lie'!C27 + Umendel!C27 + 'Fire Coast'!C27 + Yoprioq!C27 + 'Rijan bu'!C27 + Saa!C27 + 'Rinew'!C27 + Enina!C27 + Trevilla!C27</f>
        <v>757732242.79040837</v>
      </c>
      <c r="N27" s="5">
        <f t="shared" si="3"/>
        <v>1.5406775756520814E-2</v>
      </c>
      <c r="O27" s="5">
        <f t="shared" si="4"/>
        <v>0.14777121499414714</v>
      </c>
      <c r="V27" s="3">
        <f t="shared" si="5"/>
        <v>1990</v>
      </c>
      <c r="W27" s="3">
        <v>1740</v>
      </c>
      <c r="X27" s="4">
        <f>Aetintio!C27 + Arbiya!C27 + 'Curata'!C27 + 'Disal Nila'!C27 + Etirha!C27 + Fincen!C27 + Gaeiya!C27 + Genaire!C27 + Grazail!C27 + Guise!C27 + Laselteh!C27 + Lasri!C27 + Metndria!C27 + 'New Misos'!C27 + Peka!C27 + Pelan!C27 + Phuris!C27 + 'Raledria'!C27 + Slyiaduun!C27 + Tomscilus!C27</f>
        <v>401354648.2099638</v>
      </c>
      <c r="Y27" s="5">
        <f t="shared" si="6"/>
        <v>1.3007113527057305E-2</v>
      </c>
      <c r="Z27" s="5">
        <f t="shared" si="7"/>
        <v>7.8271268741483199E-2</v>
      </c>
      <c r="AG27" s="3">
        <f t="shared" si="8"/>
        <v>1990</v>
      </c>
      <c r="AH27" s="3">
        <v>1740</v>
      </c>
      <c r="AI27" s="4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856396016.80578625</v>
      </c>
      <c r="AJ27" s="5">
        <f t="shared" si="9"/>
        <v>6.5416332211033924E-3</v>
      </c>
      <c r="AK27" s="5">
        <f t="shared" si="10"/>
        <v>0.16701239933186199</v>
      </c>
      <c r="AR27" s="3">
        <f t="shared" si="11"/>
        <v>1990</v>
      </c>
      <c r="AS27" s="3">
        <v>1740</v>
      </c>
      <c r="AT27" s="4">
        <f>Amcha!C27 + Byllu!C27 + 'Chaenia'!C27 + 'Cruthi Anoso'!C27 + 'Dual Cenryia'!C27 + Exilium!C27 + Galca!C27 + Inania!C27 + Inrea!C27 + Isnti!C27 + Lieri!C27 + Ocaun!C27 + Otiiric!C27 + Ozinia!C27 + Pelugrotoa!C27 + 'Rtesania'!C27 + Sadain!C27 + Selaja!C27 + Seytinemas!C27 + Sivoso!C27 + Sunsokua!C27 + Taing!C27 + Taoisia!C27 + Trian!C27 + Vayvele!C27</f>
        <v>1026292248.1504858</v>
      </c>
      <c r="AU27" s="5">
        <f t="shared" si="12"/>
        <v>1.7037929191113632E-2</v>
      </c>
      <c r="AV27" s="5">
        <f t="shared" si="13"/>
        <v>0.20014517514760261</v>
      </c>
      <c r="BC27" s="3">
        <f t="shared" si="14"/>
        <v>1990</v>
      </c>
      <c r="BD27" s="3">
        <v>1740</v>
      </c>
      <c r="BE27" s="4">
        <f>'Canldives'!C27 + 'Cloja'!C27 + Dahe!C27 + Eparia!C27 + Etretes!C27 + Haiza!C27 + Ihner!C27 + Kaastini!C27 + Kusierna!C27 + Migoku!C27 + 'North Ayre'!C27 + Oscairia!C27 + Oyreain!C27 + 'Pha Hii'!C27 + 'Pruim Fijan'!C27 + 'Prystr Hii'!C27 + 'Ruylku'!C27 + Sanagara!C27 + Shinam!C27 + Stinebar!C27 + Suenan!C27 + Taval!C27 + Ucrua!C27 + Vesozata!C27 + 'Welenu Fana'!C27 + 'Western Migoku'!C27</f>
        <v>1123933068.8485961</v>
      </c>
      <c r="BF27" s="5">
        <f t="shared" si="15"/>
        <v>1.1131624054834971E-2</v>
      </c>
      <c r="BG27" s="5">
        <f t="shared" si="16"/>
        <v>0.21918686546086069</v>
      </c>
      <c r="BN27" s="3">
        <f t="shared" si="17"/>
        <v>1990</v>
      </c>
      <c r="BO27" s="3">
        <v>1740</v>
      </c>
      <c r="BP27" s="4">
        <f>Andsaudare!C27 + Aplasia!C27 + Astye!C27 + 'Crila Republic'!C27 + 'Elja and Munusia'!C27 + Hiwush!C27 + Iainoa!C27 + Isari!C27 + Isuibul!C27 + Maalle!C27 + Mendereide!C27 + Nia!C27 + 'Niretui and Anulan'!C27 + Ohtina!C27 + Prstreula!C27 + 'Rethern'!C27 + 'Rkmepuia'!C27 + Tvecoca!C27 + Umarcia!C27 + 'United Delet'!C27 + Veelmit!C27 + Walporein!C27 + Yutnitu!C27</f>
        <v>186786849.83144936</v>
      </c>
      <c r="BQ27" s="7">
        <f t="shared" si="18"/>
        <v>2.2780047192727308E-2</v>
      </c>
      <c r="BR27" s="5">
        <f t="shared" si="19"/>
        <v>3.6426745736563987E-2</v>
      </c>
      <c r="BY27" s="3">
        <f t="shared" si="20"/>
        <v>1990</v>
      </c>
      <c r="BZ27" s="3">
        <v>1740</v>
      </c>
      <c r="CA27" s="4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761681767.41373563</v>
      </c>
      <c r="CB27" s="7">
        <f t="shared" si="21"/>
        <v>2.1203971039085407E-2</v>
      </c>
      <c r="CC27" s="5">
        <f t="shared" si="22"/>
        <v>0.14854144228458038</v>
      </c>
    </row>
    <row r="28" spans="1:81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5055709669.7185621</v>
      </c>
      <c r="D28" s="5">
        <f t="shared" si="1"/>
        <v>1.4806541582128298E-2</v>
      </c>
      <c r="K28" s="3">
        <f t="shared" si="2"/>
        <v>1989</v>
      </c>
      <c r="L28" s="3">
        <v>1739</v>
      </c>
      <c r="M28" s="4">
        <f>'Areoix Lie'!C28 + Pelines!C28 + Terressin!C28 + Taniduna!C28 + Iquir!C28 + Deschon!C28 + Othya!C28 + Eldavpir!C28 + 'Candenat'!C28 + Jau!C28 + Viussi!C28 + Jathua!C28 + Jshain!C28 + Acetoa!C28 + Sattle!C28 + 'Reerica'!C28 + 'Feio Lie'!C28 + Umendel!C28 + 'Fire Coast'!C28 + Yoprioq!C28 + 'Rijan bu'!C28 + Saa!C28 + 'Rinew'!C28 + Enina!C28 + Trevilla!C28</f>
        <v>746235164.94250882</v>
      </c>
      <c r="N28" s="5">
        <f t="shared" si="3"/>
        <v>1.5617077837033604E-2</v>
      </c>
      <c r="O28" s="5">
        <f t="shared" si="4"/>
        <v>0.14760245617190471</v>
      </c>
      <c r="V28" s="3">
        <f t="shared" si="5"/>
        <v>1989</v>
      </c>
      <c r="W28" s="3">
        <v>1739</v>
      </c>
      <c r="X28" s="4">
        <f>Aetintio!C28 + Arbiya!C28 + 'Curata'!C28 + 'Disal Nila'!C28 + Etirha!C28 + Fincen!C28 + Gaeiya!C28 + Genaire!C28 + Grazail!C28 + Guise!C28 + Laselteh!C28 + Lasri!C28 + Metndria!C28 + 'New Misos'!C28 + Peka!C28 + Pelan!C28 + Phuris!C28 + 'Raledria'!C28 + Slyiaduun!C28 + Tomscilus!C28</f>
        <v>396201214.03939545</v>
      </c>
      <c r="Y28" s="5">
        <f t="shared" si="6"/>
        <v>1.4216338090961031E-2</v>
      </c>
      <c r="Z28" s="5">
        <f t="shared" si="7"/>
        <v>7.8367081957348816E-2</v>
      </c>
      <c r="AG28" s="3">
        <f t="shared" si="8"/>
        <v>1989</v>
      </c>
      <c r="AH28" s="3">
        <v>1739</v>
      </c>
      <c r="AI28" s="4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850830197.71887052</v>
      </c>
      <c r="AJ28" s="5">
        <f t="shared" si="9"/>
        <v>8.3001145043818201E-3</v>
      </c>
      <c r="AK28" s="5">
        <f t="shared" si="10"/>
        <v>0.16829095286364298</v>
      </c>
      <c r="AR28" s="3">
        <f t="shared" si="11"/>
        <v>1989</v>
      </c>
      <c r="AS28" s="3">
        <v>1739</v>
      </c>
      <c r="AT28" s="4">
        <f>Amcha!C28 + Byllu!C28 + 'Chaenia'!C28 + 'Cruthi Anoso'!C28 + 'Dual Cenryia'!C28 + Exilium!C28 + Galca!C28 + Inania!C28 + Inrea!C28 + Isnti!C28 + Lieri!C28 + Ocaun!C28 + Otiiric!C28 + Ozinia!C28 + Pelugrotoa!C28 + 'Rtesania'!C28 + Sadain!C28 + Selaja!C28 + Seytinemas!C28 + Sivoso!C28 + Sunsokua!C28 + Taing!C28 + Taoisia!C28 + Trian!C28 + Vayvele!C28</f>
        <v>1009099285.9693369</v>
      </c>
      <c r="AU28" s="5">
        <f t="shared" si="12"/>
        <v>1.7561553361175857E-2</v>
      </c>
      <c r="AV28" s="5">
        <f t="shared" si="13"/>
        <v>0.19959597205776863</v>
      </c>
      <c r="BC28" s="3">
        <f t="shared" si="14"/>
        <v>1989</v>
      </c>
      <c r="BD28" s="3">
        <v>1739</v>
      </c>
      <c r="BE28" s="4">
        <f>'Canldives'!C28 + 'Cloja'!C28 + Dahe!C28 + Eparia!C28 + Etretes!C28 + Haiza!C28 + Ihner!C28 + Kaastini!C28 + Kusierna!C28 + Migoku!C28 + 'North Ayre'!C28 + Oscairia!C28 + Oyreain!C28 + 'Pha Hii'!C28 + 'Pruim Fijan'!C28 + 'Prystr Hii'!C28 + 'Ruylku'!C28 + Sanagara!C28 + Shinam!C28 + Stinebar!C28 + Suenan!C28 + Taval!C28 + Ucrua!C28 + Vesozata!C28 + 'Welenu Fana'!C28 + 'Western Migoku'!C28</f>
        <v>1111559605.2088702</v>
      </c>
      <c r="BF28" s="5">
        <f t="shared" si="15"/>
        <v>1.1271163332039404E-2</v>
      </c>
      <c r="BG28" s="5">
        <f t="shared" si="16"/>
        <v>0.2198622305918029</v>
      </c>
      <c r="BN28" s="3">
        <f t="shared" si="17"/>
        <v>1989</v>
      </c>
      <c r="BO28" s="3">
        <v>1739</v>
      </c>
      <c r="BP28" s="4">
        <f>Andsaudare!C28 + Aplasia!C28 + Astye!C28 + 'Crila Republic'!C28 + 'Elja and Munusia'!C28 + Hiwush!C28 + Iainoa!C28 + Isari!C28 + Isuibul!C28 + Maalle!C28 + Mendereide!C28 + Nia!C28 + 'Niretui and Anulan'!C28 + Ohtina!C28 + Prstreula!C28 + 'Rethern'!C28 + 'Rkmepuia'!C28 + Tvecoca!C28 + Umarcia!C28 + 'United Delet'!C28 + Veelmit!C28 + Walporein!C28 + Yutnitu!C28</f>
        <v>182626607.10299546</v>
      </c>
      <c r="BQ28" s="6">
        <f t="shared" si="18"/>
        <v>2.322415291560475E-2</v>
      </c>
      <c r="BR28" s="5">
        <f t="shared" si="19"/>
        <v>3.6122843089041901E-2</v>
      </c>
      <c r="BY28" s="3">
        <f t="shared" si="20"/>
        <v>1989</v>
      </c>
      <c r="BZ28" s="3">
        <v>1739</v>
      </c>
      <c r="CA28" s="4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745866437.08280599</v>
      </c>
      <c r="CB28" s="6">
        <f t="shared" si="21"/>
        <v>2.1249011021259076E-2</v>
      </c>
      <c r="CC28" s="5">
        <f t="shared" si="22"/>
        <v>0.14752952321416163</v>
      </c>
    </row>
    <row r="29" spans="1:81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4981944304.2183065</v>
      </c>
      <c r="D29" s="5">
        <f t="shared" si="1"/>
        <v>1.5182327510343929E-2</v>
      </c>
      <c r="K29" s="3">
        <f t="shared" si="2"/>
        <v>1988</v>
      </c>
      <c r="L29" s="3">
        <v>1738</v>
      </c>
      <c r="M29" s="4">
        <f>'Areoix Lie'!C29 + Pelines!C29 + Terressin!C29 + Taniduna!C29 + Iquir!C29 + Deschon!C29 + Othya!C29 + Eldavpir!C29 + 'Candenat'!C29 + Jau!C29 + Viussi!C29 + Jathua!C29 + Jshain!C29 + Acetoa!C29 + Sattle!C29 + 'Reerica'!C29 + 'Feio Lie'!C29 + Umendel!C29 + 'Fire Coast'!C29 + Yoprioq!C29 + 'Rijan bu'!C29 + Saa!C29 + 'Rinew'!C29 + Enina!C29 + Trevilla!C29</f>
        <v>734760355.28249562</v>
      </c>
      <c r="N29" s="5">
        <f t="shared" si="3"/>
        <v>1.601635199187806E-2</v>
      </c>
      <c r="O29" s="5">
        <f t="shared" si="4"/>
        <v>0.14748465868242649</v>
      </c>
      <c r="V29" s="3">
        <f t="shared" si="5"/>
        <v>1988</v>
      </c>
      <c r="W29" s="3">
        <v>1738</v>
      </c>
      <c r="X29" s="4">
        <f>Aetintio!C29 + Arbiya!C29 + 'Curata'!C29 + 'Disal Nila'!C29 + Etirha!C29 + Fincen!C29 + Gaeiya!C29 + Genaire!C29 + Grazail!C29 + Guise!C29 + Laselteh!C29 + Lasri!C29 + Metndria!C29 + 'New Misos'!C29 + Peka!C29 + Pelan!C29 + Phuris!C29 + 'Raledria'!C29 + Slyiaduun!C29 + Tomscilus!C29</f>
        <v>390647635.18319672</v>
      </c>
      <c r="Y29" s="5">
        <f t="shared" si="6"/>
        <v>1.3941248592036671E-2</v>
      </c>
      <c r="Z29" s="5">
        <f t="shared" si="7"/>
        <v>7.8412686157978112E-2</v>
      </c>
      <c r="AG29" s="3">
        <f t="shared" si="8"/>
        <v>1988</v>
      </c>
      <c r="AH29" s="3">
        <v>1738</v>
      </c>
      <c r="AI29" s="4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843826342.45468295</v>
      </c>
      <c r="AJ29" s="5">
        <f t="shared" si="9"/>
        <v>8.2590596946088644E-3</v>
      </c>
      <c r="AK29" s="5">
        <f t="shared" si="10"/>
        <v>0.16937691209036584</v>
      </c>
      <c r="AR29" s="3">
        <f t="shared" si="11"/>
        <v>1988</v>
      </c>
      <c r="AS29" s="3">
        <v>1738</v>
      </c>
      <c r="AT29" s="4">
        <f>Amcha!C29 + Byllu!C29 + 'Chaenia'!C29 + 'Cruthi Anoso'!C29 + 'Dual Cenryia'!C29 + Exilium!C29 + Galca!C29 + Inania!C29 + Inrea!C29 + Isnti!C29 + Lieri!C29 + Ocaun!C29 + Otiiric!C29 + Ozinia!C29 + Pelugrotoa!C29 + 'Rtesania'!C29 + Sadain!C29 + Selaja!C29 + Seytinemas!C29 + Sivoso!C29 + Sunsokua!C29 + Taing!C29 + Taoisia!C29 + Trian!C29 + Vayvele!C29</f>
        <v>991683778.37794018</v>
      </c>
      <c r="AU29" s="5">
        <f t="shared" si="12"/>
        <v>1.8806104687683352E-2</v>
      </c>
      <c r="AV29" s="5">
        <f t="shared" si="13"/>
        <v>0.1990555730497153</v>
      </c>
      <c r="BC29" s="3">
        <f t="shared" si="14"/>
        <v>1988</v>
      </c>
      <c r="BD29" s="3">
        <v>1738</v>
      </c>
      <c r="BE29" s="4">
        <f>'Canldives'!C29 + 'Cloja'!C29 + Dahe!C29 + Eparia!C29 + Etretes!C29 + Haiza!C29 + Ihner!C29 + Kaastini!C29 + Kusierna!C29 + Migoku!C29 + 'North Ayre'!C29 + Oscairia!C29 + Oyreain!C29 + 'Pha Hii'!C29 + 'Pruim Fijan'!C29 + 'Prystr Hii'!C29 + 'Ruylku'!C29 + Sanagara!C29 + Shinam!C29 + Stinebar!C29 + Suenan!C29 + Taval!C29 + Ucrua!C29 + Vesozata!C29 + 'Welenu Fana'!C29 + 'Western Migoku'!C29</f>
        <v>1099170673.0234354</v>
      </c>
      <c r="BF29" s="5">
        <f t="shared" si="15"/>
        <v>1.1679420231198497E-2</v>
      </c>
      <c r="BG29" s="5">
        <f t="shared" si="16"/>
        <v>0.22063086335444312</v>
      </c>
      <c r="BN29" s="3">
        <f t="shared" si="17"/>
        <v>1988</v>
      </c>
      <c r="BO29" s="3">
        <v>1738</v>
      </c>
      <c r="BP29" s="4">
        <f>Andsaudare!C29 + Aplasia!C29 + Astye!C29 + 'Crila Republic'!C29 + 'Elja and Munusia'!C29 + Hiwush!C29 + Iainoa!C29 + Isari!C29 + Isuibul!C29 + Maalle!C29 + Mendereide!C29 + Nia!C29 + 'Niretui and Anulan'!C29 + Ohtina!C29 + Prstreula!C29 + 'Rethern'!C29 + 'Rkmepuia'!C29 + Tvecoca!C29 + Umarcia!C29 + 'United Delet'!C29 + Veelmit!C29 + Walporein!C29 + Yutnitu!C29</f>
        <v>178481524.87664983</v>
      </c>
      <c r="BQ29" s="7">
        <f t="shared" si="18"/>
        <v>2.3291919426655674E-2</v>
      </c>
      <c r="BR29" s="5">
        <f t="shared" si="19"/>
        <v>3.5825676478463665E-2</v>
      </c>
      <c r="BY29" s="3">
        <f t="shared" si="20"/>
        <v>1988</v>
      </c>
      <c r="BZ29" s="3">
        <v>1738</v>
      </c>
      <c r="CA29" s="4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730347279.68738222</v>
      </c>
      <c r="CB29" s="7">
        <f t="shared" si="21"/>
        <v>2.1430962642541893E-2</v>
      </c>
      <c r="CC29" s="5">
        <f t="shared" si="22"/>
        <v>0.14659884476608528</v>
      </c>
    </row>
    <row r="30" spans="1:81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4907437973.6654196</v>
      </c>
      <c r="D30" s="5">
        <f t="shared" si="1"/>
        <v>1.525923380401862E-2</v>
      </c>
      <c r="K30" s="3">
        <f t="shared" si="2"/>
        <v>1987</v>
      </c>
      <c r="L30" s="3">
        <v>1737</v>
      </c>
      <c r="M30" s="4">
        <f>'Areoix Lie'!C30 + Pelines!C30 + Terressin!C30 + Taniduna!C30 + Iquir!C30 + Deschon!C30 + Othya!C30 + Eldavpir!C30 + 'Candenat'!C30 + Jau!C30 + Viussi!C30 + Jathua!C30 + Jshain!C30 + Acetoa!C30 + Sattle!C30 + 'Reerica'!C30 + 'Feio Lie'!C30 + Umendel!C30 + 'Fire Coast'!C30 + Yoprioq!C30 + 'Rijan bu'!C30 + Saa!C30 + 'Rinew'!C30 + Enina!C30 + Trevilla!C30</f>
        <v>723177686.89648926</v>
      </c>
      <c r="N30" s="5">
        <f t="shared" si="3"/>
        <v>1.6321412632335934E-2</v>
      </c>
      <c r="O30" s="5">
        <f t="shared" si="4"/>
        <v>0.14736359191440576</v>
      </c>
      <c r="V30" s="3">
        <f t="shared" si="5"/>
        <v>1987</v>
      </c>
      <c r="W30" s="3">
        <v>1737</v>
      </c>
      <c r="X30" s="4">
        <f>Aetintio!C30 + Arbiya!C30 + 'Curata'!C30 + 'Disal Nila'!C30 + Etirha!C30 + Fincen!C30 + Gaeiya!C30 + Genaire!C30 + Grazail!C30 + Guise!C30 + Laselteh!C30 + Lasri!C30 + Metndria!C30 + 'New Misos'!C30 + Peka!C30 + Pelan!C30 + Phuris!C30 + 'Raledria'!C30 + Slyiaduun!C30 + Tomscilus!C30</f>
        <v>385276401.09883267</v>
      </c>
      <c r="Y30" s="5">
        <f t="shared" si="6"/>
        <v>1.3558860510370583E-2</v>
      </c>
      <c r="Z30" s="5">
        <f t="shared" si="7"/>
        <v>7.8508664432709166E-2</v>
      </c>
      <c r="AG30" s="3">
        <f t="shared" si="8"/>
        <v>1987</v>
      </c>
      <c r="AH30" s="3">
        <v>1737</v>
      </c>
      <c r="AI30" s="4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836914217.96920836</v>
      </c>
      <c r="AJ30" s="5">
        <f t="shared" si="9"/>
        <v>7.9232160939620502E-3</v>
      </c>
      <c r="AK30" s="5">
        <f t="shared" si="10"/>
        <v>0.17053994822966817</v>
      </c>
      <c r="AR30" s="3">
        <f t="shared" si="11"/>
        <v>1987</v>
      </c>
      <c r="AS30" s="3">
        <v>1737</v>
      </c>
      <c r="AT30" s="4">
        <f>Amcha!C30 + Byllu!C30 + 'Chaenia'!C30 + 'Cruthi Anoso'!C30 + 'Dual Cenryia'!C30 + Exilium!C30 + Galca!C30 + Inania!C30 + Inrea!C30 + Isnti!C30 + Lieri!C30 + Ocaun!C30 + Otiiric!C30 + Ozinia!C30 + Pelugrotoa!C30 + 'Rtesania'!C30 + Sadain!C30 + Selaja!C30 + Seytinemas!C30 + Sivoso!C30 + Sunsokua!C30 + Taing!C30 + Taoisia!C30 + Trian!C30 + Vayvele!C30</f>
        <v>973378323.72131538</v>
      </c>
      <c r="AU30" s="5">
        <f t="shared" si="12"/>
        <v>1.8802607928667614E-2</v>
      </c>
      <c r="AV30" s="5">
        <f t="shared" si="13"/>
        <v>0.19834755506737223</v>
      </c>
      <c r="BC30" s="3">
        <f t="shared" si="14"/>
        <v>1987</v>
      </c>
      <c r="BD30" s="3">
        <v>1737</v>
      </c>
      <c r="BE30" s="4">
        <f>'Canldives'!C30 + 'Cloja'!C30 + Dahe!C30 + Eparia!C30 + Etretes!C30 + Haiza!C30 + Ihner!C30 + Kaastini!C30 + Kusierna!C30 + Migoku!C30 + 'North Ayre'!C30 + Oscairia!C30 + Oyreain!C30 + 'Pha Hii'!C30 + 'Pruim Fijan'!C30 + 'Prystr Hii'!C30 + 'Ruylku'!C30 + Sanagara!C30 + Shinam!C30 + Stinebar!C30 + Suenan!C30 + Taval!C30 + Ucrua!C30 + Vesozata!C30 + 'Welenu Fana'!C30 + 'Western Migoku'!C30</f>
        <v>1086481202.4863</v>
      </c>
      <c r="BF30" s="5">
        <f t="shared" si="15"/>
        <v>1.216074159936296E-2</v>
      </c>
      <c r="BG30" s="5">
        <f t="shared" si="16"/>
        <v>0.22139479058454511</v>
      </c>
      <c r="BN30" s="3">
        <f t="shared" si="17"/>
        <v>1987</v>
      </c>
      <c r="BO30" s="3">
        <v>1737</v>
      </c>
      <c r="BP30" s="4">
        <f>Andsaudare!C30 + Aplasia!C30 + Astye!C30 + 'Crila Republic'!C30 + 'Elja and Munusia'!C30 + Hiwush!C30 + Iainoa!C30 + Isari!C30 + Isuibul!C30 + Maalle!C30 + Mendereide!C30 + Nia!C30 + 'Niretui and Anulan'!C30 + Ohtina!C30 + Prstreula!C30 + 'Rethern'!C30 + 'Rkmepuia'!C30 + Tvecoca!C30 + Umarcia!C30 + 'United Delet'!C30 + Veelmit!C30 + Walporein!C30 + Yutnitu!C30</f>
        <v>174418972.2290116</v>
      </c>
      <c r="BQ30" s="6">
        <f t="shared" si="18"/>
        <v>2.332722693543194E-2</v>
      </c>
      <c r="BR30" s="5">
        <f t="shared" si="19"/>
        <v>3.5541757871416585E-2</v>
      </c>
      <c r="BY30" s="3">
        <f t="shared" si="20"/>
        <v>1987</v>
      </c>
      <c r="BZ30" s="3">
        <v>1737</v>
      </c>
      <c r="CA30" s="4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715023634.87974</v>
      </c>
      <c r="CB30" s="6">
        <f t="shared" si="21"/>
        <v>2.1663082130395448E-2</v>
      </c>
      <c r="CC30" s="5">
        <f t="shared" si="22"/>
        <v>0.14570202185269412</v>
      </c>
    </row>
    <row r="31" spans="1:81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4833679724.6137934</v>
      </c>
      <c r="D31" s="5">
        <f t="shared" si="1"/>
        <v>1.5570387223278583E-2</v>
      </c>
      <c r="K31" s="3">
        <f t="shared" si="2"/>
        <v>1986</v>
      </c>
      <c r="L31" s="3">
        <v>1736</v>
      </c>
      <c r="M31" s="4">
        <f>'Areoix Lie'!C31 + Pelines!C31 + Terressin!C31 + Taniduna!C31 + Iquir!C31 + Deschon!C31 + Othya!C31 + Eldavpir!C31 + 'Candenat'!C31 + Jau!C31 + Viussi!C31 + Jathua!C31 + Jshain!C31 + Acetoa!C31 + Sattle!C31 + 'Reerica'!C31 + 'Feio Lie'!C31 + Umendel!C31 + 'Fire Coast'!C31 + Yoprioq!C31 + 'Rijan bu'!C31 + Saa!C31 + 'Rinew'!C31 + Enina!C31 + Trevilla!C31</f>
        <v>711563957.92489886</v>
      </c>
      <c r="N31" s="5">
        <f t="shared" si="3"/>
        <v>1.6488529476213966E-2</v>
      </c>
      <c r="O31" s="5">
        <f t="shared" si="4"/>
        <v>0.14720957913316282</v>
      </c>
      <c r="V31" s="3">
        <f t="shared" si="5"/>
        <v>1986</v>
      </c>
      <c r="W31" s="3">
        <v>1736</v>
      </c>
      <c r="X31" s="4">
        <f>Aetintio!C31 + Arbiya!C31 + 'Curata'!C31 + 'Disal Nila'!C31 + Etirha!C31 + Fincen!C31 + Gaeiya!C31 + Genaire!C31 + Grazail!C31 + Guise!C31 + Laselteh!C31 + Lasri!C31 + Metndria!C31 + 'New Misos'!C31 + Peka!C31 + Pelan!C31 + Phuris!C31 + 'Raledria'!C31 + Slyiaduun!C31 + Tomscilus!C31</f>
        <v>380122374.84148616</v>
      </c>
      <c r="Y31" s="5">
        <f t="shared" si="6"/>
        <v>1.318211467227225E-2</v>
      </c>
      <c r="Z31" s="5">
        <f t="shared" si="7"/>
        <v>7.8640372655608165E-2</v>
      </c>
      <c r="AG31" s="3">
        <f t="shared" si="8"/>
        <v>1986</v>
      </c>
      <c r="AH31" s="3">
        <v>1736</v>
      </c>
      <c r="AI31" s="4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830335292.0200901</v>
      </c>
      <c r="AJ31" s="5">
        <f t="shared" si="9"/>
        <v>7.2947887234017256E-3</v>
      </c>
      <c r="AK31" s="5">
        <f t="shared" si="10"/>
        <v>0.17178119762298341</v>
      </c>
      <c r="AR31" s="3">
        <f t="shared" si="11"/>
        <v>1986</v>
      </c>
      <c r="AS31" s="3">
        <v>1736</v>
      </c>
      <c r="AT31" s="4">
        <f>Amcha!C31 + Byllu!C31 + 'Chaenia'!C31 + 'Cruthi Anoso'!C31 + 'Dual Cenryia'!C31 + Exilium!C31 + Galca!C31 + Inania!C31 + Inrea!C31 + Isnti!C31 + Lieri!C31 + Ocaun!C31 + Otiiric!C31 + Ozinia!C31 + Pelugrotoa!C31 + 'Rtesania'!C31 + Sadain!C31 + Selaja!C31 + Seytinemas!C31 + Sivoso!C31 + Sunsokua!C31 + Taing!C31 + Taoisia!C31 + Trian!C31 + Vayvele!C31</f>
        <v>955414047.96783495</v>
      </c>
      <c r="AU31" s="5">
        <f t="shared" si="12"/>
        <v>2.0194862071229145E-2</v>
      </c>
      <c r="AV31" s="5">
        <f t="shared" si="13"/>
        <v>0.19765770642658201</v>
      </c>
      <c r="BC31" s="3">
        <f t="shared" si="14"/>
        <v>1986</v>
      </c>
      <c r="BD31" s="3">
        <v>1736</v>
      </c>
      <c r="BE31" s="4">
        <f>'Canldives'!C31 + 'Cloja'!C31 + Dahe!C31 + Eparia!C31 + Etretes!C31 + Haiza!C31 + Ihner!C31 + Kaastini!C31 + Kusierna!C31 + Migoku!C31 + 'North Ayre'!C31 + Oscairia!C31 + Oyreain!C31 + 'Pha Hii'!C31 + 'Pruim Fijan'!C31 + 'Prystr Hii'!C31 + 'Ruylku'!C31 + Sanagara!C31 + Shinam!C31 + Stinebar!C31 + Suenan!C31 + Taval!C31 + Ucrua!C31 + Vesozata!C31 + 'Welenu Fana'!C31 + 'Western Migoku'!C31</f>
        <v>1073427527.6963418</v>
      </c>
      <c r="BF31" s="5">
        <f t="shared" si="15"/>
        <v>1.2679867051070033E-2</v>
      </c>
      <c r="BG31" s="5">
        <f t="shared" si="16"/>
        <v>0.22207253869764979</v>
      </c>
      <c r="BN31" s="3">
        <f t="shared" si="17"/>
        <v>1986</v>
      </c>
      <c r="BO31" s="3">
        <v>1736</v>
      </c>
      <c r="BP31" s="4">
        <f>Andsaudare!C31 + Aplasia!C31 + Astye!C31 + 'Crila Republic'!C31 + 'Elja and Munusia'!C31 + Hiwush!C31 + Iainoa!C31 + Isari!C31 + Isuibul!C31 + Maalle!C31 + Mendereide!C31 + Nia!C31 + 'Niretui and Anulan'!C31 + Ohtina!C31 + Prstreula!C31 + 'Rethern'!C31 + 'Rkmepuia'!C31 + Tvecoca!C31 + Umarcia!C31 + 'United Delet'!C31 + Veelmit!C31 + Walporein!C31 + Yutnitu!C31</f>
        <v>170443009.46760285</v>
      </c>
      <c r="BQ31" s="7">
        <f t="shared" si="18"/>
        <v>2.3383940266679525E-2</v>
      </c>
      <c r="BR31" s="5">
        <f t="shared" si="19"/>
        <v>3.526154382957615E-2</v>
      </c>
      <c r="BY31" s="3">
        <f t="shared" si="20"/>
        <v>1986</v>
      </c>
      <c r="BZ31" s="3">
        <v>1736</v>
      </c>
      <c r="CA31" s="4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699862456.99390078</v>
      </c>
      <c r="CB31" s="7">
        <f t="shared" si="21"/>
        <v>2.2058402874503485E-2</v>
      </c>
      <c r="CC31" s="5">
        <f t="shared" si="22"/>
        <v>0.14478875243432046</v>
      </c>
    </row>
    <row r="32" spans="1:81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4759571355.5904255</v>
      </c>
      <c r="D32" s="5">
        <f t="shared" si="1"/>
        <v>1.5860834168742448E-2</v>
      </c>
      <c r="K32" s="3">
        <f t="shared" si="2"/>
        <v>1985</v>
      </c>
      <c r="L32" s="3">
        <v>1735</v>
      </c>
      <c r="M32" s="4">
        <f>'Areoix Lie'!C32 + Pelines!C32 + Terressin!C32 + Taniduna!C32 + Iquir!C32 + Deschon!C32 + Othya!C32 + Eldavpir!C32 + 'Candenat'!C32 + Jau!C32 + Viussi!C32 + Jathua!C32 + Jshain!C32 + Acetoa!C32 + Sattle!C32 + 'Reerica'!C32 + 'Feio Lie'!C32 + Umendel!C32 + 'Fire Coast'!C32 + Yoprioq!C32 + 'Rijan bu'!C32 + Saa!C32 + 'Rinew'!C32 + Enina!C32 + Trevilla!C32</f>
        <v>700021630.6341995</v>
      </c>
      <c r="N32" s="5">
        <f t="shared" si="3"/>
        <v>1.703501705959809E-2</v>
      </c>
      <c r="O32" s="5">
        <f t="shared" si="4"/>
        <v>0.14707661222727098</v>
      </c>
      <c r="V32" s="3">
        <f t="shared" si="5"/>
        <v>1985</v>
      </c>
      <c r="W32" s="3">
        <v>1735</v>
      </c>
      <c r="X32" s="4">
        <f>Aetintio!C32 + Arbiya!C32 + 'Curata'!C32 + 'Disal Nila'!C32 + Etirha!C32 + Fincen!C32 + Gaeiya!C32 + Genaire!C32 + Grazail!C32 + Guise!C32 + Laselteh!C32 + Lasri!C32 + Metndria!C32 + 'New Misos'!C32 + Peka!C32 + Pelan!C32 + Phuris!C32 + 'Raledria'!C32 + Slyiaduun!C32 + Tomscilus!C32</f>
        <v>375176751.87588757</v>
      </c>
      <c r="Y32" s="5">
        <f t="shared" si="6"/>
        <v>1.3062585890885726E-2</v>
      </c>
      <c r="Z32" s="5">
        <f t="shared" si="7"/>
        <v>7.8825743716441632E-2</v>
      </c>
      <c r="AG32" s="3">
        <f t="shared" si="8"/>
        <v>1985</v>
      </c>
      <c r="AH32" s="3">
        <v>1735</v>
      </c>
      <c r="AI32" s="4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824322036.92070937</v>
      </c>
      <c r="AJ32" s="5">
        <f t="shared" si="9"/>
        <v>7.0566533362259789E-3</v>
      </c>
      <c r="AK32" s="5">
        <f t="shared" si="10"/>
        <v>0.17319249473011675</v>
      </c>
      <c r="AR32" s="3">
        <f t="shared" si="11"/>
        <v>1985</v>
      </c>
      <c r="AS32" s="3">
        <v>1735</v>
      </c>
      <c r="AT32" s="4">
        <f>Amcha!C32 + Byllu!C32 + 'Chaenia'!C32 + 'Cruthi Anoso'!C32 + 'Dual Cenryia'!C32 + Exilium!C32 + Galca!C32 + Inania!C32 + Inrea!C32 + Isnti!C32 + Lieri!C32 + Ocaun!C32 + Otiiric!C32 + Ozinia!C32 + Pelugrotoa!C32 + 'Rtesania'!C32 + Sadain!C32 + Selaja!C32 + Seytinemas!C32 + Sivoso!C32 + Sunsokua!C32 + Taing!C32 + Taoisia!C32 + Trian!C32 + Vayvele!C32</f>
        <v>936501528.76493192</v>
      </c>
      <c r="AU32" s="5">
        <f t="shared" si="12"/>
        <v>2.0618671151992313E-2</v>
      </c>
      <c r="AV32" s="5">
        <f t="shared" si="13"/>
        <v>0.19676173730748886</v>
      </c>
      <c r="BC32" s="3">
        <f t="shared" si="14"/>
        <v>1985</v>
      </c>
      <c r="BD32" s="3">
        <v>1735</v>
      </c>
      <c r="BE32" s="4">
        <f>'Canldives'!C32 + 'Cloja'!C32 + Dahe!C32 + Eparia!C32 + Etretes!C32 + Haiza!C32 + Ihner!C32 + Kaastini!C32 + Kusierna!C32 + Migoku!C32 + 'North Ayre'!C32 + Oscairia!C32 + Oyreain!C32 + 'Pha Hii'!C32 + 'Pruim Fijan'!C32 + 'Prystr Hii'!C32 + 'Ruylku'!C32 + Sanagara!C32 + Shinam!C32 + Stinebar!C32 + Suenan!C32 + Taval!C32 + Ucrua!C32 + Vesozata!C32 + 'Welenu Fana'!C32 + 'Western Migoku'!C32</f>
        <v>1059987033.0415171</v>
      </c>
      <c r="BF32" s="5">
        <f t="shared" si="15"/>
        <v>1.3210356329696969E-2</v>
      </c>
      <c r="BG32" s="5">
        <f t="shared" si="16"/>
        <v>0.22270640649109999</v>
      </c>
      <c r="BN32" s="3">
        <f t="shared" si="17"/>
        <v>1985</v>
      </c>
      <c r="BO32" s="3">
        <v>1735</v>
      </c>
      <c r="BP32" s="4">
        <f>Andsaudare!C32 + Aplasia!C32 + Astye!C32 + 'Crila Republic'!C32 + 'Elja and Munusia'!C32 + Hiwush!C32 + Iainoa!C32 + Isari!C32 + Isuibul!C32 + Maalle!C32 + Mendereide!C32 + Nia!C32 + 'Niretui and Anulan'!C32 + Ohtina!C32 + Prstreula!C32 + 'Rethern'!C32 + 'Rkmepuia'!C32 + Tvecoca!C32 + Umarcia!C32 + 'United Delet'!C32 + Veelmit!C32 + Walporein!C32 + Yutnitu!C32</f>
        <v>166548450.45075437</v>
      </c>
      <c r="BQ32" s="6">
        <f t="shared" si="18"/>
        <v>2.3200868064762716E-2</v>
      </c>
      <c r="BR32" s="5">
        <f t="shared" si="19"/>
        <v>3.4992321368421633E-2</v>
      </c>
      <c r="BY32" s="3">
        <f t="shared" si="20"/>
        <v>1985</v>
      </c>
      <c r="BZ32" s="3">
        <v>1735</v>
      </c>
      <c r="CA32" s="4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684757793.70881557</v>
      </c>
      <c r="CB32" s="6">
        <f t="shared" si="21"/>
        <v>2.2707540816652824E-2</v>
      </c>
      <c r="CC32" s="5">
        <f t="shared" si="22"/>
        <v>0.14386963500495126</v>
      </c>
    </row>
    <row r="33" spans="1:81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4685259235.8136168</v>
      </c>
      <c r="D33" s="5">
        <f t="shared" si="1"/>
        <v>1.603192579839224E-2</v>
      </c>
      <c r="K33" s="3">
        <f t="shared" si="2"/>
        <v>1984</v>
      </c>
      <c r="L33" s="3">
        <v>1734</v>
      </c>
      <c r="M33" s="4">
        <f>'Areoix Lie'!C33 + Pelines!C33 + Terressin!C33 + Taniduna!C33 + Iquir!C33 + Deschon!C33 + Othya!C33 + Eldavpir!C33 + 'Candenat'!C33 + Jau!C33 + Viussi!C33 + Jathua!C33 + Jshain!C33 + Acetoa!C33 + Sattle!C33 + 'Reerica'!C33 + 'Feio Lie'!C33 + Umendel!C33 + 'Fire Coast'!C33 + Yoprioq!C33 + 'Rijan bu'!C33 + Saa!C33 + 'Rinew'!C33 + Enina!C33 + Trevilla!C33</f>
        <v>688296488.21538889</v>
      </c>
      <c r="N33" s="5">
        <f t="shared" si="3"/>
        <v>1.7196946619841058E-2</v>
      </c>
      <c r="O33" s="5">
        <f t="shared" si="4"/>
        <v>0.1469068099698998</v>
      </c>
      <c r="V33" s="3">
        <f t="shared" si="5"/>
        <v>1984</v>
      </c>
      <c r="W33" s="3">
        <v>1734</v>
      </c>
      <c r="X33" s="4">
        <f>Aetintio!C33 + Arbiya!C33 + 'Curata'!C33 + 'Disal Nila'!C33 + Etirha!C33 + Fincen!C33 + Gaeiya!C33 + Genaire!C33 + Grazail!C33 + Guise!C33 + Laselteh!C33 + Lasri!C33 + Metndria!C33 + 'New Misos'!C33 + Peka!C33 + Pelan!C33 + Phuris!C33 + 'Raledria'!C33 + Slyiaduun!C33 + Tomscilus!C33</f>
        <v>370339164.72787088</v>
      </c>
      <c r="Y33" s="5">
        <f t="shared" si="6"/>
        <v>1.284607793820205E-2</v>
      </c>
      <c r="Z33" s="5">
        <f t="shared" si="7"/>
        <v>7.9043473602706596E-2</v>
      </c>
      <c r="AG33" s="3">
        <f t="shared" si="8"/>
        <v>1984</v>
      </c>
      <c r="AH33" s="3">
        <v>1734</v>
      </c>
      <c r="AI33" s="4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818545842.66918397</v>
      </c>
      <c r="AJ33" s="5">
        <f t="shared" si="9"/>
        <v>6.9249965644428693E-3</v>
      </c>
      <c r="AK33" s="5">
        <f t="shared" si="10"/>
        <v>0.17470662805855175</v>
      </c>
      <c r="AR33" s="3">
        <f t="shared" si="11"/>
        <v>1984</v>
      </c>
      <c r="AS33" s="3">
        <v>1734</v>
      </c>
      <c r="AT33" s="4">
        <f>Amcha!C33 + Byllu!C33 + 'Chaenia'!C33 + 'Cruthi Anoso'!C33 + 'Dual Cenryia'!C33 + Exilium!C33 + Galca!C33 + Inania!C33 + Inrea!C33 + Isnti!C33 + Lieri!C33 + Ocaun!C33 + Otiiric!C33 + Ozinia!C33 + Pelugrotoa!C33 + 'Rtesania'!C33 + Sadain!C33 + Selaja!C33 + Seytinemas!C33 + Sivoso!C33 + Sunsokua!C33 + Taing!C33 + Taoisia!C33 + Trian!C33 + Vayvele!C33</f>
        <v>917582203.06501377</v>
      </c>
      <c r="AU33" s="5">
        <f t="shared" si="12"/>
        <v>2.1067504219464565E-2</v>
      </c>
      <c r="AV33" s="5">
        <f t="shared" si="13"/>
        <v>0.19584448946839789</v>
      </c>
      <c r="BC33" s="3">
        <f t="shared" si="14"/>
        <v>1984</v>
      </c>
      <c r="BD33" s="3">
        <v>1734</v>
      </c>
      <c r="BE33" s="4">
        <f>'Canldives'!C33 + 'Cloja'!C33 + Dahe!C33 + Eparia!C33 + Etretes!C33 + Haiza!C33 + Ihner!C33 + Kaastini!C33 + Kusierna!C33 + Migoku!C33 + 'North Ayre'!C33 + Oscairia!C33 + Oyreain!C33 + 'Pha Hii'!C33 + 'Pruim Fijan'!C33 + 'Prystr Hii'!C33 + 'Ruylku'!C33 + Sanagara!C33 + Shinam!C33 + Stinebar!C33 + Suenan!C33 + Taval!C33 + Ucrua!C33 + Vesozata!C33 + 'Welenu Fana'!C33 + 'Western Migoku'!C33</f>
        <v>1046166796.8745072</v>
      </c>
      <c r="BF33" s="5">
        <f t="shared" si="15"/>
        <v>1.3532807033965977E-2</v>
      </c>
      <c r="BG33" s="5">
        <f t="shared" si="16"/>
        <v>0.2232889887666665</v>
      </c>
      <c r="BN33" s="3">
        <f t="shared" si="17"/>
        <v>1984</v>
      </c>
      <c r="BO33" s="3">
        <v>1734</v>
      </c>
      <c r="BP33" s="4">
        <f>Andsaudare!C33 + Aplasia!C33 + Astye!C33 + 'Crila Republic'!C33 + 'Elja and Munusia'!C33 + Hiwush!C33 + Iainoa!C33 + Isari!C33 + Isuibul!C33 + Maalle!C33 + Mendereide!C33 + Nia!C33 + 'Niretui and Anulan'!C33 + Ohtina!C33 + Prstreula!C33 + 'Rethern'!C33 + 'Rkmepuia'!C33 + Tvecoca!C33 + Umarcia!C33 + 'United Delet'!C33 + Veelmit!C33 + Walporein!C33 + Yutnitu!C33</f>
        <v>162771998.78236696</v>
      </c>
      <c r="BQ33" s="7">
        <f t="shared" si="18"/>
        <v>2.3145109634420111E-2</v>
      </c>
      <c r="BR33" s="5">
        <f t="shared" si="19"/>
        <v>3.4741300446761908E-2</v>
      </c>
      <c r="BY33" s="3">
        <f t="shared" si="20"/>
        <v>1984</v>
      </c>
      <c r="BZ33" s="3">
        <v>1734</v>
      </c>
      <c r="CA33" s="4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669553871.83517051</v>
      </c>
      <c r="CB33" s="7">
        <f t="shared" si="21"/>
        <v>2.3121188768062913E-2</v>
      </c>
      <c r="CC33" s="5">
        <f t="shared" si="22"/>
        <v>0.14290647286219998</v>
      </c>
    </row>
    <row r="34" spans="1:81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4611330723.8175278</v>
      </c>
      <c r="D34" s="5">
        <f t="shared" si="1"/>
        <v>1.639089727345952E-2</v>
      </c>
      <c r="K34" s="3">
        <f t="shared" si="2"/>
        <v>1983</v>
      </c>
      <c r="L34" s="3">
        <v>1733</v>
      </c>
      <c r="M34" s="4">
        <f>'Areoix Lie'!C34 + Pelines!C34 + Terressin!C34 + Taniduna!C34 + Iquir!C34 + Deschon!C34 + Othya!C34 + Eldavpir!C34 + 'Candenat'!C34 + Jau!C34 + Viussi!C34 + Jathua!C34 + Jshain!C34 + Acetoa!C34 + Sattle!C34 + 'Reerica'!C34 + 'Feio Lie'!C34 + Umendel!C34 + 'Fire Coast'!C34 + Yoprioq!C34 + 'Rijan bu'!C34 + Saa!C34 + 'Rinew'!C34 + Enina!C34 + Trevilla!C34</f>
        <v>676660002.2764591</v>
      </c>
      <c r="N34" s="5">
        <f t="shared" si="3"/>
        <v>1.768297420922495E-2</v>
      </c>
      <c r="O34" s="5">
        <f t="shared" si="4"/>
        <v>0.14673855396697302</v>
      </c>
      <c r="V34" s="3">
        <f t="shared" si="5"/>
        <v>1983</v>
      </c>
      <c r="W34" s="3">
        <v>1733</v>
      </c>
      <c r="X34" s="4">
        <f>Aetintio!C34 + Arbiya!C34 + 'Curata'!C34 + 'Disal Nila'!C34 + Etirha!C34 + Fincen!C34 + Gaeiya!C34 + Genaire!C34 + Grazail!C34 + Guise!C34 + Laselteh!C34 + Lasri!C34 + Metndria!C34 + 'New Misos'!C34 + Peka!C34 + Pelan!C34 + Phuris!C34 + 'Raledria'!C34 + Slyiaduun!C34 + Tomscilus!C34</f>
        <v>365642097.84151113</v>
      </c>
      <c r="Y34" s="5">
        <f t="shared" si="6"/>
        <v>1.3694252686065445E-2</v>
      </c>
      <c r="Z34" s="5">
        <f t="shared" si="7"/>
        <v>7.9292100207206853E-2</v>
      </c>
      <c r="AG34" s="3">
        <f t="shared" si="8"/>
        <v>1983</v>
      </c>
      <c r="AH34" s="3">
        <v>1733</v>
      </c>
      <c r="AI34" s="4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812916399.39618611</v>
      </c>
      <c r="AJ34" s="5">
        <f t="shared" si="9"/>
        <v>6.988861781853868E-3</v>
      </c>
      <c r="AK34" s="5">
        <f t="shared" si="10"/>
        <v>0.17628672677877388</v>
      </c>
      <c r="AR34" s="3">
        <f t="shared" si="11"/>
        <v>1983</v>
      </c>
      <c r="AS34" s="3">
        <v>1733</v>
      </c>
      <c r="AT34" s="4">
        <f>Amcha!C34 + Byllu!C34 + 'Chaenia'!C34 + 'Cruthi Anoso'!C34 + 'Dual Cenryia'!C34 + Exilium!C34 + Galca!C34 + Inania!C34 + Inrea!C34 + Isnti!C34 + Lieri!C34 + Ocaun!C34 + Otiiric!C34 + Ozinia!C34 + Pelugrotoa!C34 + 'Rtesania'!C34 + Sadain!C34 + Selaja!C34 + Seytinemas!C34 + Sivoso!C34 + Sunsokua!C34 + Taing!C34 + Taoisia!C34 + Trian!C34 + Vayvele!C34</f>
        <v>898649892.65958655</v>
      </c>
      <c r="AU34" s="5">
        <f t="shared" si="12"/>
        <v>2.1756654911050288E-2</v>
      </c>
      <c r="AV34" s="5">
        <f t="shared" si="13"/>
        <v>0.19487864707210414</v>
      </c>
      <c r="BC34" s="3">
        <f t="shared" si="14"/>
        <v>1983</v>
      </c>
      <c r="BD34" s="3">
        <v>1733</v>
      </c>
      <c r="BE34" s="4">
        <f>'Canldives'!C34 + 'Cloja'!C34 + Dahe!C34 + Eparia!C34 + Etretes!C34 + Haiza!C34 + Ihner!C34 + Kaastini!C34 + Kusierna!C34 + Migoku!C34 + 'North Ayre'!C34 + Oscairia!C34 + Oyreain!C34 + 'Pha Hii'!C34 + 'Pruim Fijan'!C34 + 'Prystr Hii'!C34 + 'Ruylku'!C34 + Sanagara!C34 + Shinam!C34 + Stinebar!C34 + Suenan!C34 + Taval!C34 + Ucrua!C34 + Vesozata!C34 + 'Welenu Fana'!C34 + 'Western Migoku'!C34</f>
        <v>1032198257.041173</v>
      </c>
      <c r="BF34" s="5">
        <f t="shared" si="15"/>
        <v>1.3874893858251676E-2</v>
      </c>
      <c r="BG34" s="5">
        <f t="shared" si="16"/>
        <v>0.22383956364479954</v>
      </c>
      <c r="BN34" s="3">
        <f t="shared" si="17"/>
        <v>1983</v>
      </c>
      <c r="BO34" s="3">
        <v>1733</v>
      </c>
      <c r="BP34" s="4">
        <f>Andsaudare!C34 + Aplasia!C34 + Astye!C34 + 'Crila Republic'!C34 + 'Elja and Munusia'!C34 + Hiwush!C34 + Iainoa!C34 + Isari!C34 + Isuibul!C34 + Maalle!C34 + Mendereide!C34 + Nia!C34 + 'Niretui and Anulan'!C34 + Ohtina!C34 + Prstreula!C34 + 'Rethern'!C34 + 'Rkmepuia'!C34 + Tvecoca!C34 + Umarcia!C34 + 'United Delet'!C34 + Veelmit!C34 + Walporein!C34 + Yutnitu!C34</f>
        <v>159089846.83563313</v>
      </c>
      <c r="BQ34" s="6">
        <f t="shared" si="18"/>
        <v>2.3032909243803985E-2</v>
      </c>
      <c r="BR34" s="5">
        <f t="shared" si="19"/>
        <v>3.4499769451350325E-2</v>
      </c>
      <c r="BY34" s="3">
        <f t="shared" si="20"/>
        <v>1983</v>
      </c>
      <c r="BZ34" s="3">
        <v>1733</v>
      </c>
      <c r="CA34" s="4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654422837.86672258</v>
      </c>
      <c r="CB34" s="6">
        <f t="shared" si="21"/>
        <v>2.3356098157046597E-2</v>
      </c>
      <c r="CC34" s="5">
        <f t="shared" si="22"/>
        <v>0.14191626605453128</v>
      </c>
    </row>
    <row r="35" spans="1:81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4536965783.7233181</v>
      </c>
      <c r="D35" s="5">
        <f t="shared" si="1"/>
        <v>1.6895613834827971E-2</v>
      </c>
      <c r="K35" s="3">
        <f t="shared" si="2"/>
        <v>1982</v>
      </c>
      <c r="L35" s="3">
        <v>1732</v>
      </c>
      <c r="M35" s="4">
        <f>'Areoix Lie'!C35 + Pelines!C35 + Terressin!C35 + Taniduna!C35 + Iquir!C35 + Deschon!C35 + Othya!C35 + Eldavpir!C35 + 'Candenat'!C35 + Jau!C35 + Viussi!C35 + Jathua!C35 + Jshain!C35 + Acetoa!C35 + Sattle!C35 + 'Reerica'!C35 + 'Feio Lie'!C35 + Umendel!C35 + 'Fire Coast'!C35 + Yoprioq!C35 + 'Rijan bu'!C35 + Saa!C35 + 'Rinew'!C35 + Enina!C35 + Trevilla!C35</f>
        <v>664902547.67428672</v>
      </c>
      <c r="N35" s="5">
        <f t="shared" si="3"/>
        <v>1.8292479483164981E-2</v>
      </c>
      <c r="O35" s="5">
        <f t="shared" si="4"/>
        <v>0.14655225085886059</v>
      </c>
      <c r="V35" s="3">
        <f t="shared" si="5"/>
        <v>1982</v>
      </c>
      <c r="W35" s="3">
        <v>1732</v>
      </c>
      <c r="X35" s="4">
        <f>Aetintio!C35 + Arbiya!C35 + 'Curata'!C35 + 'Disal Nila'!C35 + Etirha!C35 + Fincen!C35 + Gaeiya!C35 + Genaire!C35 + Grazail!C35 + Guise!C35 + Laselteh!C35 + Lasri!C35 + Metndria!C35 + 'New Misos'!C35 + Peka!C35 + Pelan!C35 + Phuris!C35 + 'Raledria'!C35 + Slyiaduun!C35 + Tomscilus!C35</f>
        <v>360702546.03164661</v>
      </c>
      <c r="Y35" s="5">
        <f t="shared" si="6"/>
        <v>1.5999747268891008E-2</v>
      </c>
      <c r="Z35" s="5">
        <f t="shared" si="7"/>
        <v>7.9503034236161133E-2</v>
      </c>
      <c r="AG35" s="3">
        <f t="shared" si="8"/>
        <v>1982</v>
      </c>
      <c r="AH35" s="3">
        <v>1732</v>
      </c>
      <c r="AI35" s="4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807274469.70738184</v>
      </c>
      <c r="AJ35" s="5">
        <f t="shared" si="9"/>
        <v>7.5981165915090338E-3</v>
      </c>
      <c r="AK35" s="5">
        <f t="shared" si="10"/>
        <v>0.17793267751842773</v>
      </c>
      <c r="AR35" s="3">
        <f t="shared" si="11"/>
        <v>1982</v>
      </c>
      <c r="AS35" s="3">
        <v>1732</v>
      </c>
      <c r="AT35" s="4">
        <f>Amcha!C35 + Byllu!C35 + 'Chaenia'!C35 + 'Cruthi Anoso'!C35 + 'Dual Cenryia'!C35 + Exilium!C35 + Galca!C35 + Inania!C35 + Inrea!C35 + Isnti!C35 + Lieri!C35 + Ocaun!C35 + Otiiric!C35 + Ozinia!C35 + Pelugrotoa!C35 + 'Rtesania'!C35 + Sadain!C35 + Selaja!C35 + Seytinemas!C35 + Sivoso!C35 + Sunsokua!C35 + Taing!C35 + Taoisia!C35 + Trian!C35 + Vayvele!C35</f>
        <v>879514597.08164966</v>
      </c>
      <c r="AU35" s="5">
        <f t="shared" si="12"/>
        <v>2.2295779862426285E-2</v>
      </c>
      <c r="AV35" s="5">
        <f t="shared" si="13"/>
        <v>0.19385524136791371</v>
      </c>
      <c r="BC35" s="3">
        <f t="shared" si="14"/>
        <v>1982</v>
      </c>
      <c r="BD35" s="3">
        <v>1732</v>
      </c>
      <c r="BE35" s="4">
        <f>'Canldives'!C35 + 'Cloja'!C35 + Dahe!C35 + Eparia!C35 + Etretes!C35 + Haiza!C35 + Ihner!C35 + Kaastini!C35 + Kusierna!C35 + Migoku!C35 + 'North Ayre'!C35 + Oscairia!C35 + Oyreain!C35 + 'Pha Hii'!C35 + 'Pruim Fijan'!C35 + 'Prystr Hii'!C35 + 'Ruylku'!C35 + Sanagara!C35 + Shinam!C35 + Stinebar!C35 + Suenan!C35 + Taval!C35 + Ucrua!C35 + Vesozata!C35 + 'Welenu Fana'!C35 + 'Western Migoku'!C35</f>
        <v>1018072607.6697615</v>
      </c>
      <c r="BF35" s="5">
        <f t="shared" si="15"/>
        <v>1.413175148443014E-2</v>
      </c>
      <c r="BG35" s="5">
        <f t="shared" si="16"/>
        <v>0.22439503760909288</v>
      </c>
      <c r="BN35" s="3">
        <f t="shared" si="17"/>
        <v>1982</v>
      </c>
      <c r="BO35" s="3">
        <v>1732</v>
      </c>
      <c r="BP35" s="4">
        <f>Andsaudare!C35 + Aplasia!C35 + Astye!C35 + 'Crila Republic'!C35 + 'Elja and Munusia'!C35 + Hiwush!C35 + Iainoa!C35 + Isari!C35 + Isuibul!C35 + Maalle!C35 + Mendereide!C35 + Nia!C35 + 'Niretui and Anulan'!C35 + Ohtina!C35 + Prstreula!C35 + 'Rethern'!C35 + 'Rkmepuia'!C35 + Tvecoca!C35 + Umarcia!C35 + 'United Delet'!C35 + Veelmit!C35 + Walporein!C35 + Yutnitu!C35</f>
        <v>155508044.16763845</v>
      </c>
      <c r="BQ35" s="7">
        <f t="shared" si="18"/>
        <v>2.2882985489828991E-2</v>
      </c>
      <c r="BR35" s="5">
        <f t="shared" si="19"/>
        <v>3.4275780682661183E-2</v>
      </c>
      <c r="BY35" s="3">
        <f t="shared" si="20"/>
        <v>1982</v>
      </c>
      <c r="BZ35" s="3">
        <v>1732</v>
      </c>
      <c r="CA35" s="4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639486918.62516594</v>
      </c>
      <c r="CB35" s="7">
        <f t="shared" si="21"/>
        <v>2.3332845999030939E-2</v>
      </c>
      <c r="CC35" s="5">
        <f t="shared" si="22"/>
        <v>0.14095035076512369</v>
      </c>
    </row>
    <row r="36" spans="1:81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4461584573.6750784</v>
      </c>
      <c r="D36" s="5">
        <f t="shared" si="1"/>
        <v>1.7020076783448513E-2</v>
      </c>
      <c r="K36" s="3">
        <f t="shared" si="2"/>
        <v>1981</v>
      </c>
      <c r="L36" s="3">
        <v>1731</v>
      </c>
      <c r="M36" s="4">
        <f>'Areoix Lie'!C36 + Pelines!C36 + Terressin!C36 + Taniduna!C36 + Iquir!C36 + Deschon!C36 + Othya!C36 + Eldavpir!C36 + 'Candenat'!C36 + Jau!C36 + Viussi!C36 + Jathua!C36 + Jshain!C36 + Acetoa!C36 + Sattle!C36 + 'Reerica'!C36 + 'Feio Lie'!C36 + Umendel!C36 + 'Fire Coast'!C36 + Yoprioq!C36 + 'Rijan bu'!C36 + Saa!C36 + 'Rinew'!C36 + Enina!C36 + Trevilla!C36</f>
        <v>652958320.98431921</v>
      </c>
      <c r="N36" s="5">
        <f t="shared" si="3"/>
        <v>1.8672770282214028E-2</v>
      </c>
      <c r="O36" s="5">
        <f t="shared" si="4"/>
        <v>0.14635121450728591</v>
      </c>
      <c r="V36" s="3">
        <f t="shared" si="5"/>
        <v>1981</v>
      </c>
      <c r="W36" s="3">
        <v>1731</v>
      </c>
      <c r="X36" s="4">
        <f>Aetintio!C36 + Arbiya!C36 + 'Curata'!C36 + 'Disal Nila'!C36 + Etirha!C36 + Fincen!C36 + Gaeiya!C36 + Genaire!C36 + Grazail!C36 + Guise!C36 + Laselteh!C36 + Lasri!C36 + Metndria!C36 + 'New Misos'!C36 + Peka!C36 + Pelan!C36 + Phuris!C36 + 'Raledria'!C36 + Slyiaduun!C36 + Tomscilus!C36</f>
        <v>355022279.28820962</v>
      </c>
      <c r="Y36" s="5">
        <f t="shared" si="6"/>
        <v>1.5432988054975146E-2</v>
      </c>
      <c r="Z36" s="5">
        <f t="shared" si="7"/>
        <v>7.9573136724330237E-2</v>
      </c>
      <c r="AG36" s="3">
        <f t="shared" si="8"/>
        <v>1981</v>
      </c>
      <c r="AH36" s="3">
        <v>1731</v>
      </c>
      <c r="AI36" s="4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801186957.79049325</v>
      </c>
      <c r="AJ36" s="5">
        <f t="shared" si="9"/>
        <v>8.2860095618362845E-3</v>
      </c>
      <c r="AK36" s="5">
        <f t="shared" si="10"/>
        <v>0.17957453110219601</v>
      </c>
      <c r="AR36" s="3">
        <f t="shared" si="11"/>
        <v>1981</v>
      </c>
      <c r="AS36" s="3">
        <v>1731</v>
      </c>
      <c r="AT36" s="4">
        <f>Amcha!C36 + Byllu!C36 + 'Chaenia'!C36 + 'Cruthi Anoso'!C36 + 'Dual Cenryia'!C36 + Exilium!C36 + Galca!C36 + Inania!C36 + Inrea!C36 + Isnti!C36 + Lieri!C36 + Ocaun!C36 + Otiiric!C36 + Ozinia!C36 + Pelugrotoa!C36 + 'Rtesania'!C36 + Sadain!C36 + Selaja!C36 + Seytinemas!C36 + Sivoso!C36 + Sunsokua!C36 + Taing!C36 + Taoisia!C36 + Trian!C36 + Vayvele!C36</f>
        <v>860332806.22561979</v>
      </c>
      <c r="AU36" s="5">
        <f t="shared" si="12"/>
        <v>2.2426296123213032E-2</v>
      </c>
      <c r="AV36" s="5">
        <f t="shared" si="13"/>
        <v>0.19283122218547344</v>
      </c>
      <c r="BC36" s="3">
        <f t="shared" si="14"/>
        <v>1981</v>
      </c>
      <c r="BD36" s="3">
        <v>1731</v>
      </c>
      <c r="BE36" s="4">
        <f>'Canldives'!C36 + 'Cloja'!C36 + Dahe!C36 + Eparia!C36 + Etretes!C36 + Haiza!C36 + Ihner!C36 + Kaastini!C36 + Kusierna!C36 + Migoku!C36 + 'North Ayre'!C36 + Oscairia!C36 + Oyreain!C36 + 'Pha Hii'!C36 + 'Pruim Fijan'!C36 + 'Prystr Hii'!C36 + 'Ruylku'!C36 + Sanagara!C36 + Shinam!C36 + Stinebar!C36 + Suenan!C36 + Taval!C36 + Ucrua!C36 + Vesozata!C36 + 'Welenu Fana'!C36 + 'Western Migoku'!C36</f>
        <v>1003885941.0323787</v>
      </c>
      <c r="BF36" s="5">
        <f t="shared" si="15"/>
        <v>1.426670546029008E-2</v>
      </c>
      <c r="BG36" s="5">
        <f t="shared" si="16"/>
        <v>0.22500659226671607</v>
      </c>
      <c r="BN36" s="3">
        <f t="shared" si="17"/>
        <v>1981</v>
      </c>
      <c r="BO36" s="3">
        <v>1731</v>
      </c>
      <c r="BP36" s="4">
        <f>Andsaudare!C36 + Aplasia!C36 + Astye!C36 + 'Crila Republic'!C36 + 'Elja and Munusia'!C36 + Hiwush!C36 + Iainoa!C36 + Isari!C36 + Isuibul!C36 + Maalle!C36 + Mendereide!C36 + Nia!C36 + 'Niretui and Anulan'!C36 + Ohtina!C36 + Prstreula!C36 + 'Rethern'!C36 + 'Rkmepuia'!C36 + Tvecoca!C36 + Umarcia!C36 + 'United Delet'!C36 + Veelmit!C36 + Walporein!C36 + Yutnitu!C36</f>
        <v>152029163.03585806</v>
      </c>
      <c r="BQ36" s="6">
        <f t="shared" si="18"/>
        <v>2.2923139495033978E-2</v>
      </c>
      <c r="BR36" s="5">
        <f t="shared" si="19"/>
        <v>3.407514987676883E-2</v>
      </c>
      <c r="BY36" s="3">
        <f t="shared" si="20"/>
        <v>1981</v>
      </c>
      <c r="BZ36" s="3">
        <v>1731</v>
      </c>
      <c r="CA36" s="4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624906081.26710272</v>
      </c>
      <c r="CB36" s="6">
        <f t="shared" si="21"/>
        <v>2.3069164960843287E-2</v>
      </c>
      <c r="CC36" s="5">
        <f t="shared" si="22"/>
        <v>0.14006370852057112</v>
      </c>
    </row>
    <row r="37" spans="1:81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4386918877.5366449</v>
      </c>
      <c r="D37" s="5">
        <f t="shared" si="1"/>
        <v>1.7079054080866567E-2</v>
      </c>
      <c r="K37" s="3">
        <f t="shared" si="2"/>
        <v>1980</v>
      </c>
      <c r="L37" s="3">
        <v>1730</v>
      </c>
      <c r="M37" s="4">
        <f>'Areoix Lie'!C37 + Pelines!C37 + Terressin!C37 + Taniduna!C37 + Iquir!C37 + Deschon!C37 + Othya!C37 + Eldavpir!C37 + 'Candenat'!C37 + Jau!C37 + Viussi!C37 + Jathua!C37 + Jshain!C37 + Acetoa!C37 + Sattle!C37 + 'Reerica'!C37 + 'Feio Lie'!C37 + Umendel!C37 + 'Fire Coast'!C37 + Yoprioq!C37 + 'Rijan bu'!C37 + Saa!C37 + 'Rinew'!C37 + Enina!C37 + Trevilla!C37</f>
        <v>640989275.48973656</v>
      </c>
      <c r="N37" s="5">
        <f t="shared" si="3"/>
        <v>1.9035075265595894E-2</v>
      </c>
      <c r="O37" s="5">
        <f t="shared" si="4"/>
        <v>0.14611377446980892</v>
      </c>
      <c r="V37" s="3">
        <f t="shared" si="5"/>
        <v>1980</v>
      </c>
      <c r="W37" s="3">
        <v>1730</v>
      </c>
      <c r="X37" s="4">
        <f>Aetintio!C37 + Arbiya!C37 + 'Curata'!C37 + 'Disal Nila'!C37 + Etirha!C37 + Fincen!C37 + Gaeiya!C37 + Genaire!C37 + Grazail!C37 + Guise!C37 + Laselteh!C37 + Lasri!C37 + Metndria!C37 + 'New Misos'!C37 + Peka!C37 + Pelan!C37 + Phuris!C37 + 'Raledria'!C37 + Slyiaduun!C37 + Tomscilus!C37</f>
        <v>349626497.72511512</v>
      </c>
      <c r="Y37" s="5">
        <f t="shared" si="6"/>
        <v>1.3994717439014372E-2</v>
      </c>
      <c r="Z37" s="5">
        <f t="shared" si="7"/>
        <v>7.9697506948530214E-2</v>
      </c>
      <c r="AG37" s="3">
        <f t="shared" si="8"/>
        <v>1980</v>
      </c>
      <c r="AH37" s="3">
        <v>1730</v>
      </c>
      <c r="AI37" s="4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794602870.8051393</v>
      </c>
      <c r="AJ37" s="5">
        <f t="shared" si="9"/>
        <v>8.4826136925162873E-3</v>
      </c>
      <c r="AK37" s="5">
        <f t="shared" si="10"/>
        <v>0.18113005801724033</v>
      </c>
      <c r="AR37" s="3">
        <f t="shared" si="11"/>
        <v>1980</v>
      </c>
      <c r="AS37" s="3">
        <v>1730</v>
      </c>
      <c r="AT37" s="4">
        <f>Amcha!C37 + Byllu!C37 + 'Chaenia'!C37 + 'Cruthi Anoso'!C37 + 'Dual Cenryia'!C37 + Exilium!C37 + Galca!C37 + Inania!C37 + Inrea!C37 + Isnti!C37 + Lieri!C37 + Ocaun!C37 + Otiiric!C37 + Ozinia!C37 + Pelugrotoa!C37 + 'Rtesania'!C37 + Sadain!C37 + Selaja!C37 + Seytinemas!C37 + Sivoso!C37 + Sunsokua!C37 + Taing!C37 + Taoisia!C37 + Trian!C37 + Vayvele!C37</f>
        <v>841461931.76739335</v>
      </c>
      <c r="AU37" s="5">
        <f t="shared" si="12"/>
        <v>2.3204059682363058E-2</v>
      </c>
      <c r="AV37" s="5">
        <f t="shared" si="13"/>
        <v>0.19181160063755121</v>
      </c>
      <c r="BC37" s="3">
        <f t="shared" si="14"/>
        <v>1980</v>
      </c>
      <c r="BD37" s="3">
        <v>1730</v>
      </c>
      <c r="BE37" s="4">
        <f>'Canldives'!C37 + 'Cloja'!C37 + Dahe!C37 + Eparia!C37 + Etretes!C37 + Haiza!C37 + Ihner!C37 + Kaastini!C37 + Kusierna!C37 + Migoku!C37 + 'North Ayre'!C37 + Oscairia!C37 + Oyreain!C37 + 'Pha Hii'!C37 + 'Pruim Fijan'!C37 + 'Prystr Hii'!C37 + 'Ruylku'!C37 + Sanagara!C37 + Shinam!C37 + Stinebar!C37 + Suenan!C37 + Taval!C37 + Ucrua!C37 + Vesozata!C37 + 'Welenu Fana'!C37 + 'Western Migoku'!C37</f>
        <v>989765251.71138251</v>
      </c>
      <c r="BF37" s="5">
        <f t="shared" si="15"/>
        <v>1.4340129408420272E-2</v>
      </c>
      <c r="BG37" s="5">
        <f t="shared" si="16"/>
        <v>0.22561740468452846</v>
      </c>
      <c r="BN37" s="3">
        <f t="shared" si="17"/>
        <v>1980</v>
      </c>
      <c r="BO37" s="3">
        <v>1730</v>
      </c>
      <c r="BP37" s="4">
        <f>Andsaudare!C37 + Aplasia!C37 + Astye!C37 + 'Crila Republic'!C37 + 'Elja and Munusia'!C37 + Hiwush!C37 + Iainoa!C37 + Isari!C37 + Isuibul!C37 + Maalle!C37 + Mendereide!C37 + Nia!C37 + 'Niretui and Anulan'!C37 + Ohtina!C37 + Prstreula!C37 + 'Rethern'!C37 + 'Rkmepuia'!C37 + Tvecoca!C37 + Umarcia!C37 + 'United Delet'!C37 + Veelmit!C37 + Walporein!C37 + Yutnitu!C37</f>
        <v>148622273.91874942</v>
      </c>
      <c r="BQ37" s="7">
        <f t="shared" si="18"/>
        <v>2.2850693246638139E-2</v>
      </c>
      <c r="BR37" s="5">
        <f t="shared" si="19"/>
        <v>3.3878509739437949E-2</v>
      </c>
      <c r="BY37" s="3">
        <f t="shared" si="20"/>
        <v>1980</v>
      </c>
      <c r="BZ37" s="3">
        <v>1730</v>
      </c>
      <c r="CA37" s="4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610815087.25856304</v>
      </c>
      <c r="CB37" s="7">
        <f t="shared" si="21"/>
        <v>2.2731713809738919E-2</v>
      </c>
      <c r="CC37" s="5">
        <f t="shared" si="22"/>
        <v>0.13923555559375869</v>
      </c>
    </row>
    <row r="38" spans="1:81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4313252603.0644684</v>
      </c>
      <c r="D38" s="5">
        <f t="shared" si="1"/>
        <v>1.7105070257869899E-2</v>
      </c>
      <c r="K38" s="3">
        <f t="shared" si="2"/>
        <v>1979</v>
      </c>
      <c r="L38" s="3">
        <v>1729</v>
      </c>
      <c r="M38" s="4">
        <f>'Areoix Lie'!C38 + Pelines!C38 + Terressin!C38 + Taniduna!C38 + Iquir!C38 + Deschon!C38 + Othya!C38 + Eldavpir!C38 + 'Candenat'!C38 + Jau!C38 + Viussi!C38 + Jathua!C38 + Jshain!C38 + Acetoa!C38 + Sattle!C38 + 'Reerica'!C38 + 'Feio Lie'!C38 + Umendel!C38 + 'Fire Coast'!C38 + Yoprioq!C38 + 'Rijan bu'!C38 + Saa!C38 + 'Rinew'!C38 + Enina!C38 + Trevilla!C38</f>
        <v>629015910.29403234</v>
      </c>
      <c r="N38" s="5">
        <f t="shared" si="3"/>
        <v>1.9122836038880545E-2</v>
      </c>
      <c r="O38" s="5">
        <f t="shared" si="4"/>
        <v>0.1458333114659528</v>
      </c>
      <c r="V38" s="3">
        <f t="shared" si="5"/>
        <v>1979</v>
      </c>
      <c r="W38" s="3">
        <v>1729</v>
      </c>
      <c r="X38" s="4">
        <f>Aetintio!C38 + Arbiya!C38 + 'Curata'!C38 + 'Disal Nila'!C38 + Etirha!C38 + Fincen!C38 + Gaeiya!C38 + Genaire!C38 + Grazail!C38 + Guise!C38 + Laselteh!C38 + Lasri!C38 + Metndria!C38 + 'New Misos'!C38 + Peka!C38 + Pelan!C38 + Phuris!C38 + 'Raledria'!C38 + Slyiaduun!C38 + Tomscilus!C38</f>
        <v>344801103.70608813</v>
      </c>
      <c r="Y38" s="5">
        <f t="shared" si="6"/>
        <v>1.330628148218776E-2</v>
      </c>
      <c r="Z38" s="5">
        <f t="shared" si="7"/>
        <v>7.9939928271558852E-2</v>
      </c>
      <c r="AG38" s="3">
        <f t="shared" si="8"/>
        <v>1979</v>
      </c>
      <c r="AH38" s="3">
        <v>1729</v>
      </c>
      <c r="AI38" s="4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787919256.13445592</v>
      </c>
      <c r="AJ38" s="5">
        <f t="shared" si="9"/>
        <v>8.0598264793056273E-3</v>
      </c>
      <c r="AK38" s="5">
        <f t="shared" si="10"/>
        <v>0.18267403480488417</v>
      </c>
      <c r="AR38" s="3">
        <f t="shared" si="11"/>
        <v>1979</v>
      </c>
      <c r="AS38" s="3">
        <v>1729</v>
      </c>
      <c r="AT38" s="4">
        <f>Amcha!C38 + Byllu!C38 + 'Chaenia'!C38 + 'Cruthi Anoso'!C38 + 'Dual Cenryia'!C38 + Exilium!C38 + Galca!C38 + Inania!C38 + Inrea!C38 + Isnti!C38 + Lieri!C38 + Ocaun!C38 + Otiiric!C38 + Ozinia!C38 + Pelugrotoa!C38 + 'Rtesania'!C38 + Sadain!C38 + Selaja!C38 + Seytinemas!C38 + Sivoso!C38 + Sunsokua!C38 + Taing!C38 + Taoisia!C38 + Trian!C38 + Vayvele!C38</f>
        <v>822379391.29034674</v>
      </c>
      <c r="AU38" s="5">
        <f t="shared" si="12"/>
        <v>2.4351358163506767E-2</v>
      </c>
      <c r="AV38" s="5">
        <f t="shared" si="13"/>
        <v>0.19066339650640093</v>
      </c>
      <c r="BC38" s="3">
        <f t="shared" si="14"/>
        <v>1979</v>
      </c>
      <c r="BD38" s="3">
        <v>1729</v>
      </c>
      <c r="BE38" s="4">
        <f>'Canldives'!C38 + 'Cloja'!C38 + Dahe!C38 + Eparia!C38 + Etretes!C38 + Haiza!C38 + Ihner!C38 + Kaastini!C38 + Kusierna!C38 + Migoku!C38 + 'North Ayre'!C38 + Oscairia!C38 + Oyreain!C38 + 'Pha Hii'!C38 + 'Pruim Fijan'!C38 + 'Prystr Hii'!C38 + 'Ruylku'!C38 + Sanagara!C38 + Shinam!C38 + Stinebar!C38 + Suenan!C38 + Taval!C38 + Ucrua!C38 + Vesozata!C38 + 'Welenu Fana'!C38 + 'Western Migoku'!C38</f>
        <v>975772547.1126039</v>
      </c>
      <c r="BF38" s="5">
        <f t="shared" si="15"/>
        <v>1.4392694819979159E-2</v>
      </c>
      <c r="BG38" s="5">
        <f t="shared" si="16"/>
        <v>0.22622661756914947</v>
      </c>
      <c r="BN38" s="3">
        <f t="shared" si="17"/>
        <v>1979</v>
      </c>
      <c r="BO38" s="3">
        <v>1729</v>
      </c>
      <c r="BP38" s="4">
        <f>Andsaudare!C38 + Aplasia!C38 + Astye!C38 + 'Crila Republic'!C38 + 'Elja and Munusia'!C38 + Hiwush!C38 + Iainoa!C38 + Isari!C38 + Isuibul!C38 + Maalle!C38 + Mendereide!C38 + Nia!C38 + 'Niretui and Anulan'!C38 + Ohtina!C38 + Prstreula!C38 + 'Rethern'!C38 + 'Rkmepuia'!C38 + Tvecoca!C38 + Umarcia!C38 + 'United Delet'!C38 + Veelmit!C38 + Walporein!C38 + Yutnitu!C38</f>
        <v>145302021.9862259</v>
      </c>
      <c r="BQ38" s="6">
        <f t="shared" si="18"/>
        <v>2.2687451397484182E-2</v>
      </c>
      <c r="BR38" s="5">
        <f t="shared" si="19"/>
        <v>3.3687343487138248E-2</v>
      </c>
      <c r="BY38" s="3">
        <f t="shared" si="20"/>
        <v>1979</v>
      </c>
      <c r="BZ38" s="3">
        <v>1729</v>
      </c>
      <c r="CA38" s="4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597238825.20787299</v>
      </c>
      <c r="CB38" s="6">
        <f t="shared" si="21"/>
        <v>2.2420621193956831E-2</v>
      </c>
      <c r="CC38" s="5">
        <f t="shared" si="22"/>
        <v>0.13846599774461349</v>
      </c>
    </row>
    <row r="39" spans="1:81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4240714877.1472702</v>
      </c>
      <c r="D39" s="5">
        <f t="shared" si="1"/>
        <v>1.7058231827975504E-2</v>
      </c>
      <c r="K39" s="3">
        <f t="shared" si="2"/>
        <v>1978</v>
      </c>
      <c r="L39" s="3">
        <v>1728</v>
      </c>
      <c r="M39" s="4">
        <f>'Areoix Lie'!C39 + Pelines!C39 + Terressin!C39 + Taniduna!C39 + Iquir!C39 + Deschon!C39 + Othya!C39 + Eldavpir!C39 + 'Candenat'!C39 + Jau!C39 + Viussi!C39 + Jathua!C39 + Jshain!C39 + Acetoa!C39 + Sattle!C39 + 'Reerica'!C39 + 'Feio Lie'!C39 + Umendel!C39 + 'Fire Coast'!C39 + Yoprioq!C39 + 'Rijan bu'!C39 + Saa!C39 + 'Rinew'!C39 + Enina!C39 + Trevilla!C39</f>
        <v>617213046.40654206</v>
      </c>
      <c r="N39" s="5">
        <f t="shared" si="3"/>
        <v>1.9212763048328169E-2</v>
      </c>
      <c r="O39" s="5">
        <f t="shared" si="4"/>
        <v>0.14554457545180247</v>
      </c>
      <c r="V39" s="3">
        <f t="shared" si="5"/>
        <v>1978</v>
      </c>
      <c r="W39" s="3">
        <v>1728</v>
      </c>
      <c r="X39" s="4">
        <f>Aetintio!C39 + Arbiya!C39 + 'Curata'!C39 + 'Disal Nila'!C39 + Etirha!C39 + Fincen!C39 + Gaeiya!C39 + Genaire!C39 + Grazail!C39 + Guise!C39 + Laselteh!C39 + Lasri!C39 + Metndria!C39 + 'New Misos'!C39 + Peka!C39 + Pelan!C39 + Phuris!C39 + 'Raledria'!C39 + Slyiaduun!C39 + Tomscilus!C39</f>
        <v>340273330.98314476</v>
      </c>
      <c r="Y39" s="5">
        <f t="shared" si="6"/>
        <v>1.307503801380492E-2</v>
      </c>
      <c r="Z39" s="5">
        <f t="shared" si="7"/>
        <v>8.0239615451828422E-2</v>
      </c>
      <c r="AG39" s="3">
        <f t="shared" si="8"/>
        <v>1978</v>
      </c>
      <c r="AH39" s="3">
        <v>1728</v>
      </c>
      <c r="AI39" s="4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781619538.28305948</v>
      </c>
      <c r="AJ39" s="5">
        <f t="shared" si="9"/>
        <v>8.4294418770844582E-3</v>
      </c>
      <c r="AK39" s="5">
        <f t="shared" si="10"/>
        <v>0.18431315495769787</v>
      </c>
      <c r="AR39" s="3">
        <f t="shared" si="11"/>
        <v>1978</v>
      </c>
      <c r="AS39" s="3">
        <v>1728</v>
      </c>
      <c r="AT39" s="4">
        <f>Amcha!C39 + Byllu!C39 + 'Chaenia'!C39 + 'Cruthi Anoso'!C39 + 'Dual Cenryia'!C39 + Exilium!C39 + Galca!C39 + Inania!C39 + Inrea!C39 + Isnti!C39 + Lieri!C39 + Ocaun!C39 + Otiiric!C39 + Ozinia!C39 + Pelugrotoa!C39 + 'Rtesania'!C39 + Sadain!C39 + Selaja!C39 + Seytinemas!C39 + Sivoso!C39 + Sunsokua!C39 + Taing!C39 + Taoisia!C39 + Trian!C39 + Vayvele!C39</f>
        <v>802829404.90725517</v>
      </c>
      <c r="AU39" s="5">
        <f t="shared" si="12"/>
        <v>2.420251174046946E-2</v>
      </c>
      <c r="AV39" s="5">
        <f t="shared" si="13"/>
        <v>0.18931463872603449</v>
      </c>
      <c r="BC39" s="3">
        <f t="shared" si="14"/>
        <v>1978</v>
      </c>
      <c r="BD39" s="3">
        <v>1728</v>
      </c>
      <c r="BE39" s="4">
        <f>'Canldives'!C39 + 'Cloja'!C39 + Dahe!C39 + Eparia!C39 + Etretes!C39 + Haiza!C39 + Ihner!C39 + Kaastini!C39 + Kusierna!C39 + Migoku!C39 + 'North Ayre'!C39 + Oscairia!C39 + Oyreain!C39 + 'Pha Hii'!C39 + 'Pruim Fijan'!C39 + 'Prystr Hii'!C39 + 'Ruylku'!C39 + Sanagara!C39 + Shinam!C39 + Stinebar!C39 + Suenan!C39 + Taval!C39 + Ucrua!C39 + Vesozata!C39 + 'Welenu Fana'!C39 + 'Western Migoku'!C39</f>
        <v>961927813.65186286</v>
      </c>
      <c r="BF39" s="5">
        <f t="shared" si="15"/>
        <v>1.4268863568963851E-2</v>
      </c>
      <c r="BG39" s="5">
        <f t="shared" si="16"/>
        <v>0.22683152287261338</v>
      </c>
      <c r="BN39" s="3">
        <f t="shared" si="17"/>
        <v>1978</v>
      </c>
      <c r="BO39" s="3">
        <v>1728</v>
      </c>
      <c r="BP39" s="4">
        <f>Andsaudare!C39 + Aplasia!C39 + Astye!C39 + 'Crila Republic'!C39 + 'Elja and Munusia'!C39 + Hiwush!C39 + Iainoa!C39 + Isari!C39 + Isuibul!C39 + Maalle!C39 + Mendereide!C39 + Nia!C39 + 'Niretui and Anulan'!C39 + Ohtina!C39 + Prstreula!C39 + 'Rethern'!C39 + 'Rkmepuia'!C39 + Tvecoca!C39 + Umarcia!C39 + 'United Delet'!C39 + Veelmit!C39 + Walporein!C39 + Yutnitu!C39</f>
        <v>142078620.19590959</v>
      </c>
      <c r="BQ39" s="7">
        <f t="shared" si="18"/>
        <v>2.2569079586802994E-2</v>
      </c>
      <c r="BR39" s="5">
        <f t="shared" si="19"/>
        <v>3.3503459749570787E-2</v>
      </c>
      <c r="BY39" s="3">
        <f t="shared" si="20"/>
        <v>1978</v>
      </c>
      <c r="BZ39" s="3">
        <v>1728</v>
      </c>
      <c r="CA39" s="4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584141998.73084784</v>
      </c>
      <c r="CB39" s="7">
        <f t="shared" si="21"/>
        <v>2.2323950481397396E-2</v>
      </c>
      <c r="CC39" s="5">
        <f t="shared" si="22"/>
        <v>0.13774611490122163</v>
      </c>
    </row>
    <row r="40" spans="1:81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4169589060.3287911</v>
      </c>
      <c r="D40" s="5">
        <f t="shared" si="1"/>
        <v>1.7132392750461245E-2</v>
      </c>
      <c r="K40" s="3">
        <f t="shared" si="2"/>
        <v>1977</v>
      </c>
      <c r="L40" s="3">
        <v>1727</v>
      </c>
      <c r="M40" s="4">
        <f>'Areoix Lie'!C40 + Pelines!C40 + Terressin!C40 + Taniduna!C40 + Iquir!C40 + Deschon!C40 + Othya!C40 + Eldavpir!C40 + 'Candenat'!C40 + Jau!C40 + Viussi!C40 + Jathua!C40 + Jshain!C40 + Acetoa!C40 + Sattle!C40 + 'Reerica'!C40 + 'Feio Lie'!C40 + Umendel!C40 + 'Fire Coast'!C40 + Yoprioq!C40 + 'Rijan bu'!C40 + Saa!C40 + 'Rinew'!C40 + Enina!C40 + Trevilla!C40</f>
        <v>605578215.64217949</v>
      </c>
      <c r="N40" s="5">
        <f t="shared" si="3"/>
        <v>1.9438239888805251E-2</v>
      </c>
      <c r="O40" s="5">
        <f t="shared" si="4"/>
        <v>0.14523690629465219</v>
      </c>
      <c r="V40" s="3">
        <f t="shared" si="5"/>
        <v>1977</v>
      </c>
      <c r="W40" s="3">
        <v>1727</v>
      </c>
      <c r="X40" s="4">
        <f>Aetintio!C40 + Arbiya!C40 + 'Curata'!C40 + 'Disal Nila'!C40 + Etirha!C40 + Fincen!C40 + Gaeiya!C40 + Genaire!C40 + Grazail!C40 + Guise!C40 + Laselteh!C40 + Lasri!C40 + Metndria!C40 + 'New Misos'!C40 + Peka!C40 + Pelan!C40 + Phuris!C40 + 'Raledria'!C40 + Slyiaduun!C40 + Tomscilus!C40</f>
        <v>335881665.4393847</v>
      </c>
      <c r="Y40" s="5">
        <f t="shared" si="6"/>
        <v>1.3487508116921988E-2</v>
      </c>
      <c r="Z40" s="5">
        <f t="shared" si="7"/>
        <v>8.0555100413876007E-2</v>
      </c>
      <c r="AG40" s="3">
        <f t="shared" si="8"/>
        <v>1977</v>
      </c>
      <c r="AH40" s="3">
        <v>1727</v>
      </c>
      <c r="AI40" s="4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775085995.93062019</v>
      </c>
      <c r="AJ40" s="5">
        <f t="shared" si="9"/>
        <v>8.5916414360544535E-3</v>
      </c>
      <c r="AK40" s="5">
        <f t="shared" si="10"/>
        <v>0.18589026033886924</v>
      </c>
      <c r="AR40" s="3">
        <f t="shared" si="11"/>
        <v>1977</v>
      </c>
      <c r="AS40" s="3">
        <v>1727</v>
      </c>
      <c r="AT40" s="4">
        <f>Amcha!C40 + Byllu!C40 + 'Chaenia'!C40 + 'Cruthi Anoso'!C40 + 'Dual Cenryia'!C40 + Exilium!C40 + Galca!C40 + Inania!C40 + Inrea!C40 + Isnti!C40 + Lieri!C40 + Ocaun!C40 + Otiiric!C40 + Ozinia!C40 + Pelugrotoa!C40 + 'Rtesania'!C40 + Sadain!C40 + Selaja!C40 + Seytinemas!C40 + Sivoso!C40 + Sunsokua!C40 + Taing!C40 + Taoisia!C40 + Trian!C40 + Vayvele!C40</f>
        <v>783858070.74713588</v>
      </c>
      <c r="AU40" s="5">
        <f t="shared" si="12"/>
        <v>2.403940874980659E-2</v>
      </c>
      <c r="AV40" s="5">
        <f t="shared" si="13"/>
        <v>0.18799408272750148</v>
      </c>
      <c r="BC40" s="3">
        <f t="shared" si="14"/>
        <v>1977</v>
      </c>
      <c r="BD40" s="3">
        <v>1727</v>
      </c>
      <c r="BE40" s="4">
        <f>'Canldives'!C40 + 'Cloja'!C40 + Dahe!C40 + Eparia!C40 + Etretes!C40 + Haiza!C40 + Ihner!C40 + Kaastini!C40 + Kusierna!C40 + Migoku!C40 + 'North Ayre'!C40 + Oscairia!C40 + Oyreain!C40 + 'Pha Hii'!C40 + 'Pruim Fijan'!C40 + 'Prystr Hii'!C40 + 'Ruylku'!C40 + Sanagara!C40 + Shinam!C40 + Stinebar!C40 + Suenan!C40 + Taval!C40 + Ucrua!C40 + Vesozata!C40 + 'Welenu Fana'!C40 + 'Western Migoku'!C40</f>
        <v>948395290.64026904</v>
      </c>
      <c r="BF40" s="5">
        <f t="shared" si="15"/>
        <v>1.4243534721851473E-2</v>
      </c>
      <c r="BG40" s="5">
        <f t="shared" si="16"/>
        <v>0.22745533838423007</v>
      </c>
      <c r="BN40" s="3">
        <f t="shared" si="17"/>
        <v>1977</v>
      </c>
      <c r="BO40" s="3">
        <v>1727</v>
      </c>
      <c r="BP40" s="4">
        <f>Andsaudare!C40 + Aplasia!C40 + Astye!C40 + 'Crila Republic'!C40 + 'Elja and Munusia'!C40 + Hiwush!C40 + Iainoa!C40 + Isari!C40 + Isuibul!C40 + Maalle!C40 + Mendereide!C40 + Nia!C40 + 'Niretui and Anulan'!C40 + Ohtina!C40 + Prstreula!C40 + 'Rethern'!C40 + 'Rkmepuia'!C40 + Tvecoca!C40 + Umarcia!C40 + 'United Delet'!C40 + Veelmit!C40 + Walporein!C40 + Yutnitu!C40</f>
        <v>138942808.88418838</v>
      </c>
      <c r="BQ40" s="6">
        <f t="shared" si="18"/>
        <v>2.2647580258203605E-2</v>
      </c>
      <c r="BR40" s="5">
        <f t="shared" si="19"/>
        <v>3.332290229896951E-2</v>
      </c>
      <c r="BY40" s="3">
        <f t="shared" si="20"/>
        <v>1977</v>
      </c>
      <c r="BZ40" s="3">
        <v>1727</v>
      </c>
      <c r="CA40" s="4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571386397.0963254</v>
      </c>
      <c r="CB40" s="6">
        <f t="shared" si="21"/>
        <v>2.2663993851024952E-2</v>
      </c>
      <c r="CC40" s="5">
        <f t="shared" si="22"/>
        <v>0.13703662131425223</v>
      </c>
    </row>
    <row r="41" spans="1:81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4099357261.6969438</v>
      </c>
      <c r="D41" s="5">
        <f t="shared" si="1"/>
        <v>1.7024400385775677E-2</v>
      </c>
      <c r="K41" s="3">
        <f t="shared" si="2"/>
        <v>1976</v>
      </c>
      <c r="L41" s="3">
        <v>1726</v>
      </c>
      <c r="M41" s="4">
        <f>'Areoix Lie'!C41 + Pelines!C41 + Terressin!C41 + Taniduna!C41 + Iquir!C41 + Deschon!C41 + Othya!C41 + Eldavpir!C41 + 'Candenat'!C41 + Jau!C41 + Viussi!C41 + Jathua!C41 + Jshain!C41 + Acetoa!C41 + Sattle!C41 + 'Reerica'!C41 + 'Feio Lie'!C41 + Umendel!C41 + 'Fire Coast'!C41 + Yoprioq!C41 + 'Rijan bu'!C41 + Saa!C41 + 'Rinew'!C41 + Enina!C41 + Trevilla!C41</f>
        <v>594031292.86991692</v>
      </c>
      <c r="N41" s="5">
        <f t="shared" si="3"/>
        <v>1.965512783575998E-2</v>
      </c>
      <c r="O41" s="5">
        <f t="shared" si="4"/>
        <v>0.14490839781649464</v>
      </c>
      <c r="V41" s="3">
        <f t="shared" si="5"/>
        <v>1976</v>
      </c>
      <c r="W41" s="3">
        <v>1726</v>
      </c>
      <c r="X41" s="4">
        <f>Aetintio!C41 + Arbiya!C41 + 'Curata'!C41 + 'Disal Nila'!C41 + Etirha!C41 + Fincen!C41 + Gaeiya!C41 + Genaire!C41 + Grazail!C41 + Guise!C41 + Laselteh!C41 + Lasri!C41 + Metndria!C41 + 'New Misos'!C41 + Peka!C41 + Pelan!C41 + Phuris!C41 + 'Raledria'!C41 + Slyiaduun!C41 + Tomscilus!C41</f>
        <v>331411746.81418508</v>
      </c>
      <c r="Y41" s="5">
        <f t="shared" si="6"/>
        <v>1.2859896735053828E-2</v>
      </c>
      <c r="Z41" s="5">
        <f t="shared" si="7"/>
        <v>8.0844807041042327E-2</v>
      </c>
      <c r="AG41" s="3">
        <f t="shared" si="8"/>
        <v>1976</v>
      </c>
      <c r="AH41" s="3">
        <v>1726</v>
      </c>
      <c r="AI41" s="4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768483461.57919383</v>
      </c>
      <c r="AJ41" s="5">
        <f t="shared" si="9"/>
        <v>8.2784568335757223E-3</v>
      </c>
      <c r="AK41" s="5">
        <f t="shared" si="10"/>
        <v>0.18746437856481857</v>
      </c>
      <c r="AR41" s="3">
        <f t="shared" si="11"/>
        <v>1976</v>
      </c>
      <c r="AS41" s="3">
        <v>1726</v>
      </c>
      <c r="AT41" s="4">
        <f>Amcha!C41 + Byllu!C41 + 'Chaenia'!C41 + 'Cruthi Anoso'!C41 + 'Dual Cenryia'!C41 + Exilium!C41 + Galca!C41 + Inania!C41 + Inrea!C41 + Isnti!C41 + Lieri!C41 + Ocaun!C41 + Otiiric!C41 + Ozinia!C41 + Pelugrotoa!C41 + 'Rtesania'!C41 + Sadain!C41 + Selaja!C41 + Seytinemas!C41 + Sivoso!C41 + Sunsokua!C41 + Taing!C41 + Taoisia!C41 + Trian!C41 + Vayvele!C41</f>
        <v>765456938.52163863</v>
      </c>
      <c r="AU41" s="5">
        <f t="shared" si="12"/>
        <v>2.3971723740295624E-2</v>
      </c>
      <c r="AV41" s="5">
        <f t="shared" si="13"/>
        <v>0.18672608647063246</v>
      </c>
      <c r="BC41" s="3">
        <f t="shared" si="14"/>
        <v>1976</v>
      </c>
      <c r="BD41" s="3">
        <v>1726</v>
      </c>
      <c r="BE41" s="4">
        <f>'Canldives'!C41 + 'Cloja'!C41 + Dahe!C41 + Eparia!C41 + Etretes!C41 + Haiza!C41 + Ihner!C41 + Kaastini!C41 + Kusierna!C41 + Migoku!C41 + 'North Ayre'!C41 + Oscairia!C41 + Oyreain!C41 + 'Pha Hii'!C41 + 'Pruim Fijan'!C41 + 'Prystr Hii'!C41 + 'Ruylku'!C41 + Sanagara!C41 + Shinam!C41 + Stinebar!C41 + Suenan!C41 + Taval!C41 + Ucrua!C41 + Vesozata!C41 + 'Welenu Fana'!C41 + 'Western Migoku'!C41</f>
        <v>935076496.10047472</v>
      </c>
      <c r="BF41" s="5">
        <f t="shared" si="15"/>
        <v>1.4033777351935962E-2</v>
      </c>
      <c r="BG41" s="5">
        <f t="shared" si="16"/>
        <v>0.22810319677124127</v>
      </c>
      <c r="BN41" s="3">
        <f t="shared" si="17"/>
        <v>1976</v>
      </c>
      <c r="BO41" s="3">
        <v>1726</v>
      </c>
      <c r="BP41" s="4">
        <f>Andsaudare!C41 + Aplasia!C41 + Astye!C41 + 'Crila Republic'!C41 + 'Elja and Munusia'!C41 + Hiwush!C41 + Iainoa!C41 + Isari!C41 + Isuibul!C41 + Maalle!C41 + Mendereide!C41 + Nia!C41 + 'Niretui and Anulan'!C41 + Ohtina!C41 + Prstreula!C41 + 'Rethern'!C41 + 'Rkmepuia'!C41 + Tvecoca!C41 + Umarcia!C41 + 'United Delet'!C41 + Veelmit!C41 + Walporein!C41 + Yutnitu!C41</f>
        <v>135865777.77762634</v>
      </c>
      <c r="BQ41" s="7">
        <f t="shared" si="18"/>
        <v>2.2603079828143101E-2</v>
      </c>
      <c r="BR41" s="5">
        <f t="shared" si="19"/>
        <v>3.3143190286709534E-2</v>
      </c>
      <c r="BY41" s="3">
        <f t="shared" si="20"/>
        <v>1976</v>
      </c>
      <c r="BZ41" s="3">
        <v>1726</v>
      </c>
      <c r="CA41" s="4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558723491.32452321</v>
      </c>
      <c r="CB41" s="7">
        <f t="shared" si="21"/>
        <v>2.3160733911883623E-2</v>
      </c>
      <c r="CC41" s="5">
        <f t="shared" si="22"/>
        <v>0.13629538868081911</v>
      </c>
    </row>
    <row r="42" spans="1:81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4030736391.5182209</v>
      </c>
      <c r="D42" s="5">
        <f t="shared" si="1"/>
        <v>1.6971841405226545E-2</v>
      </c>
      <c r="K42" s="3">
        <f t="shared" si="2"/>
        <v>1975</v>
      </c>
      <c r="L42" s="3">
        <v>1725</v>
      </c>
      <c r="M42" s="4">
        <f>'Areoix Lie'!C42 + Pelines!C42 + Terressin!C42 + Taniduna!C42 + Iquir!C42 + Deschon!C42 + Othya!C42 + Eldavpir!C42 + 'Candenat'!C42 + Jau!C42 + Viussi!C42 + Jathua!C42 + Jshain!C42 + Acetoa!C42 + Sattle!C42 + 'Reerica'!C42 + 'Feio Lie'!C42 + Umendel!C42 + 'Fire Coast'!C42 + Yoprioq!C42 + 'Rijan bu'!C42 + Saa!C42 + 'Rinew'!C42 + Enina!C42 + Trevilla!C42</f>
        <v>582580596.76585078</v>
      </c>
      <c r="N42" s="5">
        <f t="shared" si="3"/>
        <v>2.0149770269913717E-2</v>
      </c>
      <c r="O42" s="5">
        <f t="shared" si="4"/>
        <v>0.14453453170288208</v>
      </c>
      <c r="V42" s="3">
        <f t="shared" si="5"/>
        <v>1975</v>
      </c>
      <c r="W42" s="3">
        <v>1725</v>
      </c>
      <c r="X42" s="4">
        <f>Aetintio!C42 + Arbiya!C42 + 'Curata'!C42 + 'Disal Nila'!C42 + Etirha!C42 + Fincen!C42 + Gaeiya!C42 + Genaire!C42 + Grazail!C42 + Guise!C42 + Laselteh!C42 + Lasri!C42 + Metndria!C42 + 'New Misos'!C42 + Peka!C42 + Pelan!C42 + Phuris!C42 + 'Raledria'!C42 + Slyiaduun!C42 + Tomscilus!C42</f>
        <v>327203937.96070743</v>
      </c>
      <c r="Y42" s="5">
        <f t="shared" si="6"/>
        <v>1.423489661497199E-2</v>
      </c>
      <c r="Z42" s="5">
        <f t="shared" si="7"/>
        <v>8.1177210856367241E-2</v>
      </c>
      <c r="AG42" s="3">
        <f t="shared" si="8"/>
        <v>1975</v>
      </c>
      <c r="AH42" s="3">
        <v>1725</v>
      </c>
      <c r="AI42" s="4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762173838.35866094</v>
      </c>
      <c r="AJ42" s="5">
        <f t="shared" si="9"/>
        <v>8.5762922185613887E-3</v>
      </c>
      <c r="AK42" s="5">
        <f t="shared" si="10"/>
        <v>0.18909046991077971</v>
      </c>
      <c r="AR42" s="3">
        <f t="shared" si="11"/>
        <v>1975</v>
      </c>
      <c r="AS42" s="3">
        <v>1725</v>
      </c>
      <c r="AT42" s="4">
        <f>Amcha!C42 + Byllu!C42 + 'Chaenia'!C42 + 'Cruthi Anoso'!C42 + 'Dual Cenryia'!C42 + Exilium!C42 + Galca!C42 + Inania!C42 + Inrea!C42 + Isnti!C42 + Lieri!C42 + Ocaun!C42 + Otiiric!C42 + Ozinia!C42 + Pelugrotoa!C42 + 'Rtesania'!C42 + Sadain!C42 + Selaja!C42 + Seytinemas!C42 + Sivoso!C42 + Sunsokua!C42 + Taing!C42 + Taoisia!C42 + Trian!C42 + Vayvele!C42</f>
        <v>747537183.66912377</v>
      </c>
      <c r="AU42" s="5">
        <f t="shared" si="12"/>
        <v>2.2405071339622561E-2</v>
      </c>
      <c r="AV42" s="5">
        <f t="shared" si="13"/>
        <v>0.18545920920111467</v>
      </c>
      <c r="BC42" s="3">
        <f t="shared" si="14"/>
        <v>1975</v>
      </c>
      <c r="BD42" s="3">
        <v>1725</v>
      </c>
      <c r="BE42" s="4">
        <f>'Canldives'!C42 + 'Cloja'!C42 + Dahe!C42 + Eparia!C42 + Etretes!C42 + Haiza!C42 + Ihner!C42 + Kaastini!C42 + Kusierna!C42 + Migoku!C42 + 'North Ayre'!C42 + Oscairia!C42 + Oyreain!C42 + 'Pha Hii'!C42 + 'Pruim Fijan'!C42 + 'Prystr Hii'!C42 + 'Ruylku'!C42 + Sanagara!C42 + Shinam!C42 + Stinebar!C42 + Suenan!C42 + Taval!C42 + Ucrua!C42 + Vesozata!C42 + 'Welenu Fana'!C42 + 'Western Migoku'!C42</f>
        <v>922135452.47215378</v>
      </c>
      <c r="BF42" s="5">
        <f t="shared" si="15"/>
        <v>1.4099165615414674E-2</v>
      </c>
      <c r="BG42" s="5">
        <f t="shared" si="16"/>
        <v>0.22877592650627826</v>
      </c>
      <c r="BN42" s="3">
        <f t="shared" si="17"/>
        <v>1975</v>
      </c>
      <c r="BO42" s="3">
        <v>1725</v>
      </c>
      <c r="BP42" s="4">
        <f>Andsaudare!C42 + Aplasia!C42 + Astye!C42 + 'Crila Republic'!C42 + 'Elja and Munusia'!C42 + Hiwush!C42 + Iainoa!C42 + Isari!C42 + Isuibul!C42 + Maalle!C42 + Mendereide!C42 + Nia!C42 + 'Niretui and Anulan'!C42 + Ohtina!C42 + Prstreula!C42 + 'Rethern'!C42 + 'Rkmepuia'!C42 + Tvecoca!C42 + Umarcia!C42 + 'United Delet'!C42 + Veelmit!C42 + Walporein!C42 + Yutnitu!C42</f>
        <v>132862672.19189258</v>
      </c>
      <c r="BQ42" s="6">
        <f t="shared" si="18"/>
        <v>2.2585291059770012E-2</v>
      </c>
      <c r="BR42" s="5">
        <f t="shared" si="19"/>
        <v>3.2962381879269559E-2</v>
      </c>
      <c r="BY42" s="3">
        <f t="shared" si="20"/>
        <v>1975</v>
      </c>
      <c r="BZ42" s="3">
        <v>1725</v>
      </c>
      <c r="CA42" s="4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546075971.06305826</v>
      </c>
      <c r="CB42" s="6">
        <f t="shared" si="21"/>
        <v>2.3269371003216462E-2</v>
      </c>
      <c r="CC42" s="5">
        <f t="shared" si="22"/>
        <v>0.13547796680828655</v>
      </c>
    </row>
    <row r="43" spans="1:81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3963469023.8312292</v>
      </c>
      <c r="D43" s="5">
        <f t="shared" si="1"/>
        <v>1.7860630239554028E-2</v>
      </c>
      <c r="K43" s="3">
        <f t="shared" si="2"/>
        <v>1974</v>
      </c>
      <c r="L43" s="3">
        <v>1724</v>
      </c>
      <c r="M43" s="4">
        <f>'Areoix Lie'!C43 + Pelines!C43 + Terressin!C43 + Taniduna!C43 + Iquir!C43 + Deschon!C43 + Othya!C43 + Eldavpir!C43 + 'Candenat'!C43 + Jau!C43 + Viussi!C43 + Jathua!C43 + Jshain!C43 + Acetoa!C43 + Sattle!C43 + 'Reerica'!C43 + 'Feio Lie'!C43 + Umendel!C43 + 'Fire Coast'!C43 + Yoprioq!C43 + 'Rijan bu'!C43 + Saa!C43 + 'Rinew'!C43 + Enina!C43 + Trevilla!C43</f>
        <v>571073595.01900411</v>
      </c>
      <c r="N43" s="5">
        <f t="shared" si="3"/>
        <v>2.0607382476814765E-2</v>
      </c>
      <c r="O43" s="5">
        <f t="shared" si="4"/>
        <v>0.144084283637717</v>
      </c>
      <c r="V43" s="3">
        <f t="shared" si="5"/>
        <v>1974</v>
      </c>
      <c r="W43" s="3">
        <v>1724</v>
      </c>
      <c r="X43" s="4">
        <f>Aetintio!C43 + Arbiya!C43 + 'Curata'!C43 + 'Disal Nila'!C43 + Etirha!C43 + Fincen!C43 + Gaeiya!C43 + Genaire!C43 + Grazail!C43 + Guise!C43 + Laselteh!C43 + Lasri!C43 + Metndria!C43 + 'New Misos'!C43 + Peka!C43 + Pelan!C43 + Phuris!C43 + 'Raledria'!C43 + Slyiaduun!C43 + Tomscilus!C43</f>
        <v>322611595.25545484</v>
      </c>
      <c r="Y43" s="5">
        <f t="shared" si="6"/>
        <v>2.1207166742685028E-2</v>
      </c>
      <c r="Z43" s="5">
        <f t="shared" si="7"/>
        <v>8.1396270114811459E-2</v>
      </c>
      <c r="AG43" s="3">
        <f t="shared" si="8"/>
        <v>1974</v>
      </c>
      <c r="AH43" s="3">
        <v>1724</v>
      </c>
      <c r="AI43" s="4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755692796.11174488</v>
      </c>
      <c r="AJ43" s="5">
        <f t="shared" si="9"/>
        <v>9.1705012231703721E-3</v>
      </c>
      <c r="AK43" s="5">
        <f t="shared" si="10"/>
        <v>0.1906644890039447</v>
      </c>
      <c r="AR43" s="3">
        <f t="shared" si="11"/>
        <v>1974</v>
      </c>
      <c r="AS43" s="3">
        <v>1724</v>
      </c>
      <c r="AT43" s="4">
        <f>Amcha!C43 + Byllu!C43 + 'Chaenia'!C43 + 'Cruthi Anoso'!C43 + 'Dual Cenryia'!C43 + Exilium!C43 + Galca!C43 + Inania!C43 + Inrea!C43 + Isnti!C43 + Lieri!C43 + Ocaun!C43 + Otiiric!C43 + Ozinia!C43 + Pelugrotoa!C43 + 'Rtesania'!C43 + Sadain!C43 + Selaja!C43 + Seytinemas!C43 + Sivoso!C43 + Sunsokua!C43 + Taing!C43 + Taoisia!C43 + Trian!C43 + Vayvele!C43</f>
        <v>731155590.50352836</v>
      </c>
      <c r="AU43" s="5">
        <f t="shared" si="12"/>
        <v>2.3249801609009958E-2</v>
      </c>
      <c r="AV43" s="5">
        <f t="shared" si="13"/>
        <v>0.1844736482377671</v>
      </c>
      <c r="BC43" s="3">
        <f t="shared" si="14"/>
        <v>1974</v>
      </c>
      <c r="BD43" s="3">
        <v>1724</v>
      </c>
      <c r="BE43" s="4">
        <f>'Canldives'!C43 + 'Cloja'!C43 + Dahe!C43 + Eparia!C43 + Etretes!C43 + Haiza!C43 + Ihner!C43 + Kaastini!C43 + Kusierna!C43 + Migoku!C43 + 'North Ayre'!C43 + Oscairia!C43 + Oyreain!C43 + 'Pha Hii'!C43 + 'Pruim Fijan'!C43 + 'Prystr Hii'!C43 + 'Ruylku'!C43 + Sanagara!C43 + Shinam!C43 + Stinebar!C43 + Suenan!C43 + Taval!C43 + Ucrua!C43 + Vesozata!C43 + 'Welenu Fana'!C43 + 'Western Migoku'!C43</f>
        <v>909314871.50228357</v>
      </c>
      <c r="BF43" s="5">
        <f t="shared" si="15"/>
        <v>1.412390791540909E-2</v>
      </c>
      <c r="BG43" s="5">
        <f t="shared" si="16"/>
        <v>0.2294239884391244</v>
      </c>
      <c r="BN43" s="3">
        <f t="shared" si="17"/>
        <v>1974</v>
      </c>
      <c r="BO43" s="3">
        <v>1724</v>
      </c>
      <c r="BP43" s="4">
        <f>Andsaudare!C43 + Aplasia!C43 + Astye!C43 + 'Crila Republic'!C43 + 'Elja and Munusia'!C43 + Hiwush!C43 + Iainoa!C43 + Isari!C43 + Isuibul!C43 + Maalle!C43 + Mendereide!C43 + Nia!C43 + 'Niretui and Anulan'!C43 + Ohtina!C43 + Prstreula!C43 + 'Rethern'!C43 + 'Rkmepuia'!C43 + Tvecoca!C43 + Umarcia!C43 + 'United Delet'!C43 + Veelmit!C43 + Walporein!C43 + Yutnitu!C43</f>
        <v>129928205.84598725</v>
      </c>
      <c r="BQ43" s="7">
        <f t="shared" si="18"/>
        <v>2.2529394728388597E-2</v>
      </c>
      <c r="BR43" s="5">
        <f t="shared" si="19"/>
        <v>3.2781435925136625E-2</v>
      </c>
      <c r="BY43" s="3">
        <f t="shared" si="20"/>
        <v>1974</v>
      </c>
      <c r="BZ43" s="3">
        <v>1724</v>
      </c>
      <c r="CA43" s="4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533658083.13766265</v>
      </c>
      <c r="CB43" s="7">
        <f t="shared" si="21"/>
        <v>2.3394822875070137E-2</v>
      </c>
      <c r="CC43" s="5">
        <f t="shared" si="22"/>
        <v>0.1346441917242007</v>
      </c>
    </row>
    <row r="44" spans="1:81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3893921138.1998582</v>
      </c>
      <c r="D44" s="5">
        <f t="shared" si="1"/>
        <v>1.7639237303446676E-2</v>
      </c>
      <c r="K44" s="3">
        <f t="shared" si="2"/>
        <v>1973</v>
      </c>
      <c r="L44" s="3">
        <v>1723</v>
      </c>
      <c r="M44" s="4">
        <f>'Areoix Lie'!C44 + Pelines!C44 + Terressin!C44 + Taniduna!C44 + Iquir!C44 + Deschon!C44 + Othya!C44 + Eldavpir!C44 + 'Candenat'!C44 + Jau!C44 + Viussi!C44 + Jathua!C44 + Jshain!C44 + Acetoa!C44 + Sattle!C44 + 'Reerica'!C44 + 'Feio Lie'!C44 + Umendel!C44 + 'Fire Coast'!C44 + Yoprioq!C44 + 'Rijan bu'!C44 + Saa!C44 + 'Rinew'!C44 + Enina!C44 + Trevilla!C44</f>
        <v>559542880.86092424</v>
      </c>
      <c r="N44" s="5">
        <f t="shared" si="3"/>
        <v>2.0983609356668459E-2</v>
      </c>
      <c r="O44" s="5">
        <f t="shared" si="4"/>
        <v>0.14369651079261414</v>
      </c>
      <c r="V44" s="3">
        <f t="shared" si="5"/>
        <v>1973</v>
      </c>
      <c r="W44" s="3">
        <v>1723</v>
      </c>
      <c r="X44" s="4">
        <f>Aetintio!C44 + Arbiya!C44 + 'Curata'!C44 + 'Disal Nila'!C44 + Etirha!C44 + Fincen!C44 + Gaeiya!C44 + Genaire!C44 + Grazail!C44 + Guise!C44 + Laselteh!C44 + Lasri!C44 + Metndria!C44 + 'New Misos'!C44 + Peka!C44 + Pelan!C44 + Phuris!C44 + 'Raledria'!C44 + Slyiaduun!C44 + Tomscilus!C44</f>
        <v>315911996.86198807</v>
      </c>
      <c r="Y44" s="5">
        <f t="shared" si="6"/>
        <v>1.586192903006527E-2</v>
      </c>
      <c r="Z44" s="5">
        <f t="shared" si="7"/>
        <v>8.1129531300172336E-2</v>
      </c>
      <c r="AG44" s="3">
        <f t="shared" si="8"/>
        <v>1973</v>
      </c>
      <c r="AH44" s="3">
        <v>1723</v>
      </c>
      <c r="AI44" s="4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748825689.2128768</v>
      </c>
      <c r="AJ44" s="5">
        <f t="shared" si="9"/>
        <v>9.7071988764577503E-3</v>
      </c>
      <c r="AK44" s="5">
        <f t="shared" si="10"/>
        <v>0.19230633149367157</v>
      </c>
      <c r="AR44" s="3">
        <f t="shared" si="11"/>
        <v>1973</v>
      </c>
      <c r="AS44" s="3">
        <v>1723</v>
      </c>
      <c r="AT44" s="4">
        <f>Amcha!C44 + Byllu!C44 + 'Chaenia'!C44 + 'Cruthi Anoso'!C44 + 'Dual Cenryia'!C44 + Exilium!C44 + Galca!C44 + Inania!C44 + Inrea!C44 + Isnti!C44 + Lieri!C44 + Ocaun!C44 + Otiiric!C44 + Ozinia!C44 + Pelugrotoa!C44 + 'Rtesania'!C44 + Sadain!C44 + Selaja!C44 + Seytinemas!C44 + Sivoso!C44 + Sunsokua!C44 + Taing!C44 + Taoisia!C44 + Trian!C44 + Vayvele!C44</f>
        <v>714542616.43034005</v>
      </c>
      <c r="AU44" s="5">
        <f t="shared" si="12"/>
        <v>2.375314034814845E-2</v>
      </c>
      <c r="AV44" s="5">
        <f t="shared" si="13"/>
        <v>0.18350207697341037</v>
      </c>
      <c r="BC44" s="3">
        <f t="shared" si="14"/>
        <v>1973</v>
      </c>
      <c r="BD44" s="3">
        <v>1723</v>
      </c>
      <c r="BE44" s="4">
        <f>'Canldives'!C44 + 'Cloja'!C44 + Dahe!C44 + Eparia!C44 + Etretes!C44 + Haiza!C44 + Ihner!C44 + Kaastini!C44 + Kusierna!C44 + Migoku!C44 + 'North Ayre'!C44 + Oscairia!C44 + Oyreain!C44 + 'Pha Hii'!C44 + 'Pruim Fijan'!C44 + 'Prystr Hii'!C44 + 'Ruylku'!C44 + Sanagara!C44 + Shinam!C44 + Stinebar!C44 + Suenan!C44 + Taval!C44 + Ucrua!C44 + Vesozata!C44 + 'Welenu Fana'!C44 + 'Western Migoku'!C44</f>
        <v>896650660.14608943</v>
      </c>
      <c r="BF44" s="5">
        <f t="shared" si="15"/>
        <v>1.4118749866427862E-2</v>
      </c>
      <c r="BG44" s="5">
        <f t="shared" si="16"/>
        <v>0.23026934247584863</v>
      </c>
      <c r="BN44" s="3">
        <f t="shared" si="17"/>
        <v>1973</v>
      </c>
      <c r="BO44" s="3">
        <v>1723</v>
      </c>
      <c r="BP44" s="4">
        <f>Andsaudare!C44 + Aplasia!C44 + Astye!C44 + 'Crila Republic'!C44 + 'Elja and Munusia'!C44 + Hiwush!C44 + Iainoa!C44 + Isari!C44 + Isuibul!C44 + Maalle!C44 + Mendereide!C44 + Nia!C44 + 'Niretui and Anulan'!C44 + Ohtina!C44 + Prstreula!C44 + 'Rethern'!C44 + 'Rkmepuia'!C44 + Tvecoca!C44 + Umarcia!C44 + 'United Delet'!C44 + Veelmit!C44 + Walporein!C44 + Yutnitu!C44</f>
        <v>127065497.10534208</v>
      </c>
      <c r="BQ44" s="6">
        <f t="shared" si="18"/>
        <v>2.2370222768209529E-2</v>
      </c>
      <c r="BR44" s="5">
        <f t="shared" si="19"/>
        <v>3.2631759246178227E-2</v>
      </c>
      <c r="BY44" s="3">
        <f t="shared" si="20"/>
        <v>1973</v>
      </c>
      <c r="BZ44" s="3">
        <v>1723</v>
      </c>
      <c r="CA44" s="4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521458650.37545574</v>
      </c>
      <c r="CB44" s="6">
        <f t="shared" si="21"/>
        <v>2.3389493838920916E-2</v>
      </c>
      <c r="CC44" s="5">
        <f t="shared" si="22"/>
        <v>0.1339160789004894</v>
      </c>
    </row>
    <row r="45" spans="1:81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3826425903.6611242</v>
      </c>
      <c r="D45" s="5">
        <f t="shared" si="1"/>
        <v>1.7635899789233342E-2</v>
      </c>
      <c r="K45" s="3">
        <f t="shared" si="2"/>
        <v>1972</v>
      </c>
      <c r="L45" s="3">
        <v>1722</v>
      </c>
      <c r="M45" s="4">
        <f>'Areoix Lie'!C45 + Pelines!C45 + Terressin!C45 + Taniduna!C45 + Iquir!C45 + Deschon!C45 + Othya!C45 + Eldavpir!C45 + 'Candenat'!C45 + Jau!C45 + Viussi!C45 + Jathua!C45 + Jshain!C45 + Acetoa!C45 + Sattle!C45 + 'Reerica'!C45 + 'Feio Lie'!C45 + Umendel!C45 + 'Fire Coast'!C45 + Yoprioq!C45 + 'Rijan bu'!C45 + Saa!C45 + 'Rinew'!C45 + Enina!C45 + Trevilla!C45</f>
        <v>548042961.44724357</v>
      </c>
      <c r="N45" s="5">
        <f t="shared" si="3"/>
        <v>2.1161488668505021E-2</v>
      </c>
      <c r="O45" s="5">
        <f t="shared" si="4"/>
        <v>0.14322581313357619</v>
      </c>
      <c r="V45" s="3">
        <f t="shared" si="5"/>
        <v>1972</v>
      </c>
      <c r="W45" s="3">
        <v>1722</v>
      </c>
      <c r="X45" s="4">
        <f>Aetintio!C45 + Arbiya!C45 + 'Curata'!C45 + 'Disal Nila'!C45 + Etirha!C45 + Fincen!C45 + Gaeiya!C45 + Genaire!C45 + Grazail!C45 + Guise!C45 + Laselteh!C45 + Lasri!C45 + Metndria!C45 + 'New Misos'!C45 + Peka!C45 + Pelan!C45 + Phuris!C45 + 'Raledria'!C45 + Slyiaduun!C45 + Tomscilus!C45</f>
        <v>310979265.81776488</v>
      </c>
      <c r="Y45" s="5">
        <f t="shared" si="6"/>
        <v>1.7619868206933047E-2</v>
      </c>
      <c r="Z45" s="5">
        <f t="shared" si="7"/>
        <v>8.1271472033528705E-2</v>
      </c>
      <c r="AG45" s="3">
        <f t="shared" si="8"/>
        <v>1972</v>
      </c>
      <c r="AH45" s="3">
        <v>1722</v>
      </c>
      <c r="AI45" s="4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741626572.58076954</v>
      </c>
      <c r="AJ45" s="5">
        <f t="shared" si="9"/>
        <v>9.9485834065492062E-3</v>
      </c>
      <c r="AK45" s="5">
        <f t="shared" si="10"/>
        <v>0.19381704788042053</v>
      </c>
      <c r="AR45" s="3">
        <f t="shared" si="11"/>
        <v>1972</v>
      </c>
      <c r="AS45" s="3">
        <v>1722</v>
      </c>
      <c r="AT45" s="4">
        <f>Amcha!C45 + Byllu!C45 + 'Chaenia'!C45 + 'Cruthi Anoso'!C45 + 'Dual Cenryia'!C45 + Exilium!C45 + Galca!C45 + Inania!C45 + Inrea!C45 + Isnti!C45 + Lieri!C45 + Ocaun!C45 + Otiiric!C45 + Ozinia!C45 + Pelugrotoa!C45 + 'Rtesania'!C45 + Sadain!C45 + Selaja!C45 + Seytinemas!C45 + Sivoso!C45 + Sunsokua!C45 + Taing!C45 + Taoisia!C45 + Trian!C45 + Vayvele!C45</f>
        <v>697963784.69456518</v>
      </c>
      <c r="AU45" s="5">
        <f t="shared" si="12"/>
        <v>2.4023542297480004E-2</v>
      </c>
      <c r="AV45" s="5">
        <f t="shared" si="13"/>
        <v>0.18240619373466854</v>
      </c>
      <c r="BC45" s="3">
        <f t="shared" si="14"/>
        <v>1972</v>
      </c>
      <c r="BD45" s="3">
        <v>1722</v>
      </c>
      <c r="BE45" s="4">
        <f>'Canldives'!C45 + 'Cloja'!C45 + Dahe!C45 + Eparia!C45 + Etretes!C45 + Haiza!C45 + Ihner!C45 + Kaastini!C45 + Kusierna!C45 + Migoku!C45 + 'North Ayre'!C45 + Oscairia!C45 + Oyreain!C45 + 'Pha Hii'!C45 + 'Pruim Fijan'!C45 + 'Prystr Hii'!C45 + 'Ruylku'!C45 + Sanagara!C45 + Shinam!C45 + Stinebar!C45 + Suenan!C45 + Taval!C45 + Ucrua!C45 + Vesozata!C45 + 'Welenu Fana'!C45 + 'Western Migoku'!C45</f>
        <v>884167322.87435722</v>
      </c>
      <c r="BF45" s="5">
        <f t="shared" si="15"/>
        <v>1.3865080122714962E-2</v>
      </c>
      <c r="BG45" s="5">
        <f t="shared" si="16"/>
        <v>0.23106871663930195</v>
      </c>
      <c r="BN45" s="3">
        <f t="shared" si="17"/>
        <v>1972</v>
      </c>
      <c r="BO45" s="3">
        <v>1722</v>
      </c>
      <c r="BP45" s="4">
        <f>Andsaudare!C45 + Aplasia!C45 + Astye!C45 + 'Crila Republic'!C45 + 'Elja and Munusia'!C45 + Hiwush!C45 + Iainoa!C45 + Isari!C45 + Isuibul!C45 + Maalle!C45 + Mendereide!C45 + Nia!C45 + 'Niretui and Anulan'!C45 + Ohtina!C45 + Prstreula!C45 + 'Rethern'!C45 + 'Rkmepuia'!C45 + Tvecoca!C45 + Umarcia!C45 + 'United Delet'!C45 + Veelmit!C45 + Walporein!C45 + Yutnitu!C45</f>
        <v>124285209.28680275</v>
      </c>
      <c r="BQ45" s="7">
        <f t="shared" si="18"/>
        <v>2.2146286075038185E-2</v>
      </c>
      <c r="BR45" s="5">
        <f t="shared" si="19"/>
        <v>3.2480756825288754E-2</v>
      </c>
      <c r="BY45" s="3">
        <f t="shared" si="20"/>
        <v>1972</v>
      </c>
      <c r="BZ45" s="3">
        <v>1722</v>
      </c>
      <c r="CA45" s="4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509540750.1393913</v>
      </c>
      <c r="CB45" s="7">
        <f t="shared" si="21"/>
        <v>2.2000934276987693E-2</v>
      </c>
      <c r="CC45" s="5">
        <f t="shared" si="22"/>
        <v>0.1331636265716952</v>
      </c>
    </row>
    <row r="46" spans="1:81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3760112928.8516951</v>
      </c>
      <c r="D46" s="5">
        <f t="shared" si="1"/>
        <v>1.838388200780396E-2</v>
      </c>
      <c r="K46" s="3">
        <f t="shared" si="2"/>
        <v>1971</v>
      </c>
      <c r="L46" s="3">
        <v>1721</v>
      </c>
      <c r="M46" s="4">
        <f>'Areoix Lie'!C46 + Pelines!C46 + Terressin!C46 + Taniduna!C46 + Iquir!C46 + Deschon!C46 + Othya!C46 + Eldavpir!C46 + 'Candenat'!C46 + Jau!C46 + Viussi!C46 + Jathua!C46 + Jshain!C46 + Acetoa!C46 + Sattle!C46 + 'Reerica'!C46 + 'Feio Lie'!C46 + Umendel!C46 + 'Fire Coast'!C46 + Yoprioq!C46 + 'Rijan bu'!C46 + Saa!C46 + 'Rinew'!C46 + Enina!C46 + Trevilla!C46</f>
        <v>536685889.08678699</v>
      </c>
      <c r="N46" s="5">
        <f t="shared" si="3"/>
        <v>2.1224526721783588E-2</v>
      </c>
      <c r="O46" s="5">
        <f t="shared" si="4"/>
        <v>0.14273132196874896</v>
      </c>
      <c r="V46" s="3">
        <f t="shared" si="5"/>
        <v>1971</v>
      </c>
      <c r="W46" s="3">
        <v>1721</v>
      </c>
      <c r="X46" s="4">
        <f>Aetintio!C46 + Arbiya!C46 + 'Curata'!C46 + 'Disal Nila'!C46 + Etirha!C46 + Fincen!C46 + Gaeiya!C46 + Genaire!C46 + Grazail!C46 + Guise!C46 + Laselteh!C46 + Lasri!C46 + Metndria!C46 + 'New Misos'!C46 + Peka!C46 + Pelan!C46 + Phuris!C46 + 'Raledria'!C46 + Slyiaduun!C46 + Tomscilus!C46</f>
        <v>305594727.00323421</v>
      </c>
      <c r="Y46" s="5">
        <f t="shared" si="6"/>
        <v>2.5984590894568393E-2</v>
      </c>
      <c r="Z46" s="5">
        <f t="shared" si="7"/>
        <v>8.1272752384211E-2</v>
      </c>
      <c r="AG46" s="3">
        <f t="shared" si="8"/>
        <v>1971</v>
      </c>
      <c r="AH46" s="3">
        <v>1721</v>
      </c>
      <c r="AI46" s="4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734321117.69419837</v>
      </c>
      <c r="AJ46" s="5">
        <f t="shared" si="9"/>
        <v>1.0139994528014536E-2</v>
      </c>
      <c r="AK46" s="5">
        <f t="shared" si="10"/>
        <v>0.19529230413791149</v>
      </c>
      <c r="AR46" s="3">
        <f t="shared" si="11"/>
        <v>1971</v>
      </c>
      <c r="AS46" s="3">
        <v>1721</v>
      </c>
      <c r="AT46" s="4">
        <f>Amcha!C46 + Byllu!C46 + 'Chaenia'!C46 + 'Cruthi Anoso'!C46 + 'Dual Cenryia'!C46 + Exilium!C46 + Galca!C46 + Inania!C46 + Inrea!C46 + Isnti!C46 + Lieri!C46 + Ocaun!C46 + Otiiric!C46 + Ozinia!C46 + Pelugrotoa!C46 + 'Rtesania'!C46 + Sadain!C46 + Selaja!C46 + Seytinemas!C46 + Sivoso!C46 + Sunsokua!C46 + Taing!C46 + Taoisia!C46 + Trian!C46 + Vayvele!C46</f>
        <v>681589588.38839459</v>
      </c>
      <c r="AU46" s="5">
        <f t="shared" si="12"/>
        <v>2.4211523545779923E-2</v>
      </c>
      <c r="AV46" s="5">
        <f t="shared" si="13"/>
        <v>0.18126838243566956</v>
      </c>
      <c r="BC46" s="3">
        <f t="shared" si="14"/>
        <v>1971</v>
      </c>
      <c r="BD46" s="3">
        <v>1721</v>
      </c>
      <c r="BE46" s="4">
        <f>'Canldives'!C46 + 'Cloja'!C46 + Dahe!C46 + Eparia!C46 + Etretes!C46 + Haiza!C46 + Ihner!C46 + Kaastini!C46 + Kusierna!C46 + Migoku!C46 + 'North Ayre'!C46 + Oscairia!C46 + Oyreain!C46 + 'Pha Hii'!C46 + 'Pruim Fijan'!C46 + 'Prystr Hii'!C46 + 'Ruylku'!C46 + Sanagara!C46 + Shinam!C46 + Stinebar!C46 + Suenan!C46 + Taval!C46 + Ucrua!C46 + Vesozata!C46 + 'Welenu Fana'!C46 + 'Western Migoku'!C46</f>
        <v>872075920.36540055</v>
      </c>
      <c r="BF46" s="5">
        <f t="shared" si="15"/>
        <v>1.38311592267981E-2</v>
      </c>
      <c r="BG46" s="5">
        <f t="shared" si="16"/>
        <v>0.23192811941202116</v>
      </c>
      <c r="BN46" s="3">
        <f t="shared" si="17"/>
        <v>1971</v>
      </c>
      <c r="BO46" s="3">
        <v>1721</v>
      </c>
      <c r="BP46" s="4">
        <f>Andsaudare!C46 + Aplasia!C46 + Astye!C46 + 'Crila Republic'!C46 + 'Elja and Munusia'!C46 + Hiwush!C46 + Iainoa!C46 + Isari!C46 + Isuibul!C46 + Maalle!C46 + Mendereide!C46 + Nia!C46 + 'Niretui and Anulan'!C46 + Ohtina!C46 + Prstreula!C46 + 'Rethern'!C46 + 'Rkmepuia'!C46 + Tvecoca!C46 + Umarcia!C46 + 'United Delet'!C46 + Veelmit!C46 + Walporein!C46 + Yutnitu!C46</f>
        <v>121592389.44559319</v>
      </c>
      <c r="BQ46" s="6">
        <f t="shared" si="18"/>
        <v>2.1891657532840371E-2</v>
      </c>
      <c r="BR46" s="5">
        <f t="shared" si="19"/>
        <v>3.2337430217215954E-2</v>
      </c>
      <c r="BY46" s="3">
        <f t="shared" si="20"/>
        <v>1971</v>
      </c>
      <c r="BZ46" s="3">
        <v>1721</v>
      </c>
      <c r="CA46" s="4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498571706.78602636</v>
      </c>
      <c r="CB46" s="6">
        <f t="shared" si="21"/>
        <v>2.2094940324925469E-2</v>
      </c>
      <c r="CC46" s="5">
        <f t="shared" si="22"/>
        <v>0.13259487579759624</v>
      </c>
    </row>
    <row r="47" spans="1:81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3692235310.5573611</v>
      </c>
      <c r="D47" s="5">
        <f t="shared" si="1"/>
        <v>1.7888463065279199E-2</v>
      </c>
      <c r="K47" s="3">
        <f t="shared" si="2"/>
        <v>1970</v>
      </c>
      <c r="L47" s="3">
        <v>1720</v>
      </c>
      <c r="M47" s="4">
        <f>'Areoix Lie'!C47 + Pelines!C47 + Terressin!C47 + Taniduna!C47 + Iquir!C47 + Deschon!C47 + Othya!C47 + Eldavpir!C47 + 'Candenat'!C47 + Jau!C47 + Viussi!C47 + Jathua!C47 + Jshain!C47 + Acetoa!C47 + Sattle!C47 + 'Reerica'!C47 + 'Feio Lie'!C47 + Umendel!C47 + 'Fire Coast'!C47 + Yoprioq!C47 + 'Rijan bu'!C47 + Saa!C47 + 'Rinew'!C47 + Enina!C47 + Trevilla!C47</f>
        <v>525531726.90592706</v>
      </c>
      <c r="N47" s="5">
        <f t="shared" si="3"/>
        <v>2.1396245288430035E-2</v>
      </c>
      <c r="O47" s="5">
        <f t="shared" si="4"/>
        <v>0.14233429960524252</v>
      </c>
      <c r="V47" s="3">
        <f t="shared" si="5"/>
        <v>1970</v>
      </c>
      <c r="W47" s="3">
        <v>1720</v>
      </c>
      <c r="X47" s="4">
        <f>Aetintio!C47 + Arbiya!C47 + 'Curata'!C47 + 'Disal Nila'!C47 + Etirha!C47 + Fincen!C47 + Gaeiya!C47 + Genaire!C47 + Grazail!C47 + Guise!C47 + Laselteh!C47 + Lasri!C47 + Metndria!C47 + 'New Misos'!C47 + Peka!C47 + Pelan!C47 + Phuris!C47 + 'Raledria'!C47 + Slyiaduun!C47 + Tomscilus!C47</f>
        <v>297855084.48697311</v>
      </c>
      <c r="Y47" s="5">
        <f t="shared" si="6"/>
        <v>1.8798905150355791E-2</v>
      </c>
      <c r="Z47" s="5">
        <f t="shared" si="7"/>
        <v>8.0670666800489052E-2</v>
      </c>
      <c r="AG47" s="3">
        <f t="shared" si="8"/>
        <v>1970</v>
      </c>
      <c r="AH47" s="3">
        <v>1720</v>
      </c>
      <c r="AI47" s="4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726949850.19111943</v>
      </c>
      <c r="AJ47" s="5">
        <f t="shared" si="9"/>
        <v>1.0905663012746357E-2</v>
      </c>
      <c r="AK47" s="5">
        <f t="shared" si="10"/>
        <v>0.19688611072878309</v>
      </c>
      <c r="AR47" s="3">
        <f t="shared" si="11"/>
        <v>1970</v>
      </c>
      <c r="AS47" s="3">
        <v>1720</v>
      </c>
      <c r="AT47" s="4">
        <f>Amcha!C47 + Byllu!C47 + 'Chaenia'!C47 + 'Cruthi Anoso'!C47 + 'Dual Cenryia'!C47 + Exilium!C47 + Galca!C47 + Inania!C47 + Inrea!C47 + Isnti!C47 + Lieri!C47 + Ocaun!C47 + Otiiric!C47 + Ozinia!C47 + Pelugrotoa!C47 + 'Rtesania'!C47 + Sadain!C47 + Selaja!C47 + Seytinemas!C47 + Sivoso!C47 + Sunsokua!C47 + Taing!C47 + Taoisia!C47 + Trian!C47 + Vayvele!C47</f>
        <v>665477367.43749797</v>
      </c>
      <c r="AU47" s="5">
        <f t="shared" si="12"/>
        <v>2.3169311005195932E-2</v>
      </c>
      <c r="AV47" s="5">
        <f t="shared" si="13"/>
        <v>0.18023698693706519</v>
      </c>
      <c r="BC47" s="3">
        <f t="shared" si="14"/>
        <v>1970</v>
      </c>
      <c r="BD47" s="3">
        <v>1720</v>
      </c>
      <c r="BE47" s="4">
        <f>'Canldives'!C47 + 'Cloja'!C47 + Dahe!C47 + Eparia!C47 + Etretes!C47 + Haiza!C47 + Ihner!C47 + Kaastini!C47 + Kusierna!C47 + Migoku!C47 + 'North Ayre'!C47 + Oscairia!C47 + Oyreain!C47 + 'Pha Hii'!C47 + 'Pruim Fijan'!C47 + 'Prystr Hii'!C47 + 'Ruylku'!C47 + Sanagara!C47 + Shinam!C47 + Stinebar!C47 + Suenan!C47 + Taval!C47 + Ucrua!C47 + Vesozata!C47 + 'Welenu Fana'!C47 + 'Western Migoku'!C47</f>
        <v>860178652.4597373</v>
      </c>
      <c r="BF47" s="5">
        <f t="shared" si="15"/>
        <v>1.384681680489787E-2</v>
      </c>
      <c r="BG47" s="5">
        <f t="shared" si="16"/>
        <v>0.23296961870230559</v>
      </c>
      <c r="BN47" s="3">
        <f t="shared" si="17"/>
        <v>1970</v>
      </c>
      <c r="BO47" s="3">
        <v>1720</v>
      </c>
      <c r="BP47" s="4">
        <f>Andsaudare!C47 + Aplasia!C47 + Astye!C47 + 'Crila Republic'!C47 + 'Elja and Munusia'!C47 + Hiwush!C47 + Iainoa!C47 + Isari!C47 + Isuibul!C47 + Maalle!C47 + Mendereide!C47 + Nia!C47 + 'Niretui and Anulan'!C47 + Ohtina!C47 + Prstreula!C47 + 'Rethern'!C47 + 'Rkmepuia'!C47 + Tvecoca!C47 + Umarcia!C47 + 'United Delet'!C47 + Veelmit!C47 + Walporein!C47 + Yutnitu!C47</f>
        <v>118987554.64855686</v>
      </c>
      <c r="BQ47" s="7">
        <f t="shared" si="18"/>
        <v>2.1783375560344008E-2</v>
      </c>
      <c r="BR47" s="5">
        <f t="shared" si="19"/>
        <v>3.2226427797906278E-2</v>
      </c>
      <c r="BY47" s="3">
        <f t="shared" si="20"/>
        <v>1970</v>
      </c>
      <c r="BZ47" s="3">
        <v>1720</v>
      </c>
      <c r="CA47" s="4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487793929.03317738</v>
      </c>
      <c r="CB47" s="7">
        <f t="shared" si="21"/>
        <v>2.2783836440059501E-2</v>
      </c>
      <c r="CC47" s="5">
        <f t="shared" si="22"/>
        <v>0.13211344565131264</v>
      </c>
    </row>
    <row r="48" spans="1:81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3627347636.3397694</v>
      </c>
      <c r="D48" s="5">
        <f t="shared" si="1"/>
        <v>1.8093983017473531E-2</v>
      </c>
      <c r="K48" s="3">
        <f t="shared" si="2"/>
        <v>1969</v>
      </c>
      <c r="L48" s="3">
        <v>1719</v>
      </c>
      <c r="M48" s="4">
        <f>'Areoix Lie'!C48 + Pelines!C48 + Terressin!C48 + Taniduna!C48 + Iquir!C48 + Deschon!C48 + Othya!C48 + Eldavpir!C48 + 'Candenat'!C48 + Jau!C48 + Viussi!C48 + Jathua!C48 + Jshain!C48 + Acetoa!C48 + Sattle!C48 + 'Reerica'!C48 + 'Feio Lie'!C48 + Umendel!C48 + 'Fire Coast'!C48 + Yoprioq!C48 + 'Rijan bu'!C48 + Saa!C48 + 'Rinew'!C48 + Enina!C48 + Trevilla!C48</f>
        <v>514522869.38603657</v>
      </c>
      <c r="N48" s="5">
        <f t="shared" si="3"/>
        <v>2.1712266201274734E-2</v>
      </c>
      <c r="O48" s="5">
        <f t="shared" si="4"/>
        <v>0.14184548076710501</v>
      </c>
      <c r="V48" s="3">
        <f t="shared" si="5"/>
        <v>1969</v>
      </c>
      <c r="W48" s="3">
        <v>1719</v>
      </c>
      <c r="X48" s="4">
        <f>Aetintio!C48 + Arbiya!C48 + 'Curata'!C48 + 'Disal Nila'!C48 + Etirha!C48 + Fincen!C48 + Gaeiya!C48 + Genaire!C48 + Grazail!C48 + Guise!C48 + Laselteh!C48 + Lasri!C48 + Metndria!C48 + 'New Misos'!C48 + Peka!C48 + Pelan!C48 + Phuris!C48 + 'Raledria'!C48 + Slyiaduun!C48 + Tomscilus!C48</f>
        <v>292359054.35431856</v>
      </c>
      <c r="Y48" s="5">
        <f t="shared" si="6"/>
        <v>1.9767406129756516E-2</v>
      </c>
      <c r="Z48" s="5">
        <f t="shared" si="7"/>
        <v>8.059857605744343E-2</v>
      </c>
      <c r="AG48" s="3">
        <f t="shared" si="8"/>
        <v>1969</v>
      </c>
      <c r="AH48" s="3">
        <v>1719</v>
      </c>
      <c r="AI48" s="4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719107506.06009161</v>
      </c>
      <c r="AJ48" s="5">
        <f t="shared" si="9"/>
        <v>1.0787767825707553E-2</v>
      </c>
      <c r="AK48" s="5">
        <f t="shared" si="10"/>
        <v>0.19824609553710107</v>
      </c>
      <c r="AR48" s="3">
        <f t="shared" si="11"/>
        <v>1969</v>
      </c>
      <c r="AS48" s="3">
        <v>1719</v>
      </c>
      <c r="AT48" s="4">
        <f>Amcha!C48 + Byllu!C48 + 'Chaenia'!C48 + 'Cruthi Anoso'!C48 + 'Dual Cenryia'!C48 + Exilium!C48 + Galca!C48 + Inania!C48 + Inrea!C48 + Isnti!C48 + Lieri!C48 + Ocaun!C48 + Otiiric!C48 + Ozinia!C48 + Pelugrotoa!C48 + 'Rtesania'!C48 + Sadain!C48 + Selaja!C48 + Seytinemas!C48 + Sivoso!C48 + Sunsokua!C48 + Taing!C48 + Taoisia!C48 + Trian!C48 + Vayvele!C48</f>
        <v>650407865.32554483</v>
      </c>
      <c r="AU48" s="5">
        <f t="shared" si="12"/>
        <v>2.3983153586073547E-2</v>
      </c>
      <c r="AV48" s="5">
        <f t="shared" si="13"/>
        <v>0.17930673608715619</v>
      </c>
      <c r="BC48" s="3">
        <f t="shared" si="14"/>
        <v>1969</v>
      </c>
      <c r="BD48" s="3">
        <v>1719</v>
      </c>
      <c r="BE48" s="4">
        <f>'Canldives'!C48 + 'Cloja'!C48 + Dahe!C48 + Eparia!C48 + Etretes!C48 + Haiza!C48 + Ihner!C48 + Kaastini!C48 + Kusierna!C48 + Migoku!C48 + 'North Ayre'!C48 + Oscairia!C48 + Oyreain!C48 + 'Pha Hii'!C48 + 'Pruim Fijan'!C48 + 'Prystr Hii'!C48 + 'Ruylku'!C48 + Sanagara!C48 + Shinam!C48 + Stinebar!C48 + Suenan!C48 + Taval!C48 + Ucrua!C48 + Vesozata!C48 + 'Welenu Fana'!C48 + 'Western Migoku'!C48</f>
        <v>848430589.51505089</v>
      </c>
      <c r="BF48" s="5">
        <f t="shared" si="15"/>
        <v>1.3702146730137648E-2</v>
      </c>
      <c r="BG48" s="5">
        <f t="shared" si="16"/>
        <v>0.23389833966153098</v>
      </c>
      <c r="BN48" s="3">
        <f t="shared" si="17"/>
        <v>1969</v>
      </c>
      <c r="BO48" s="3">
        <v>1719</v>
      </c>
      <c r="BP48" s="4">
        <f>Andsaudare!C48 + Aplasia!C48 + Astye!C48 + 'Crila Republic'!C48 + 'Elja and Munusia'!C48 + Hiwush!C48 + Iainoa!C48 + Isari!C48 + Isuibul!C48 + Maalle!C48 + Mendereide!C48 + Nia!C48 + 'Niretui and Anulan'!C48 + Ohtina!C48 + Prstreula!C48 + 'Rethern'!C48 + 'Rkmepuia'!C48 + Tvecoca!C48 + Umarcia!C48 + 'United Delet'!C48 + Veelmit!C48 + Walporein!C48 + Yutnitu!C48</f>
        <v>116450861.79181993</v>
      </c>
      <c r="BQ48" s="6">
        <f t="shared" si="18"/>
        <v>2.1641366735196496E-2</v>
      </c>
      <c r="BR48" s="5">
        <f t="shared" si="19"/>
        <v>3.210358462066968E-2</v>
      </c>
      <c r="BY48" s="3">
        <f t="shared" si="20"/>
        <v>1969</v>
      </c>
      <c r="BZ48" s="3">
        <v>1719</v>
      </c>
      <c r="CA48" s="4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476927686.62732446</v>
      </c>
      <c r="CB48" s="6">
        <f t="shared" si="21"/>
        <v>2.2771623115125379E-2</v>
      </c>
      <c r="CC48" s="5">
        <f t="shared" si="22"/>
        <v>0.13148110808275759</v>
      </c>
    </row>
    <row r="49" spans="1:81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3562880929.3115263</v>
      </c>
      <c r="D49" s="5">
        <f t="shared" si="1"/>
        <v>1.830207572254737E-2</v>
      </c>
      <c r="K49" s="3">
        <f t="shared" si="2"/>
        <v>1968</v>
      </c>
      <c r="L49" s="3">
        <v>1718</v>
      </c>
      <c r="M49" s="4">
        <f>'Areoix Lie'!C49 + Pelines!C49 + Terressin!C49 + Taniduna!C49 + Iquir!C49 + Deschon!C49 + Othya!C49 + Eldavpir!C49 + 'Candenat'!C49 + Jau!C49 + Viussi!C49 + Jathua!C49 + Jshain!C49 + Acetoa!C49 + Sattle!C49 + 'Reerica'!C49 + 'Feio Lie'!C49 + Umendel!C49 + 'Fire Coast'!C49 + Yoprioq!C49 + 'Rijan bu'!C49 + Saa!C49 + 'Rinew'!C49 + Enina!C49 + Trevilla!C49</f>
        <v>503588814.97922319</v>
      </c>
      <c r="N49" s="5">
        <f t="shared" si="3"/>
        <v>2.2253345171171314E-2</v>
      </c>
      <c r="O49" s="5">
        <f t="shared" si="4"/>
        <v>0.1413431503804238</v>
      </c>
      <c r="V49" s="3">
        <f t="shared" si="5"/>
        <v>1968</v>
      </c>
      <c r="W49" s="3">
        <v>1718</v>
      </c>
      <c r="X49" s="4">
        <f>Aetintio!C49 + Arbiya!C49 + 'Curata'!C49 + 'Disal Nila'!C49 + Etirha!C49 + Fincen!C49 + Gaeiya!C49 + Genaire!C49 + Grazail!C49 + Guise!C49 + Laselteh!C49 + Lasri!C49 + Metndria!C49 + 'New Misos'!C49 + Peka!C49 + Pelan!C49 + Phuris!C49 + 'Raledria'!C49 + Slyiaduun!C49 + Tomscilus!C49</f>
        <v>286691899.14971495</v>
      </c>
      <c r="Y49" s="5">
        <f t="shared" si="6"/>
        <v>1.8306022088764112E-2</v>
      </c>
      <c r="Z49" s="5">
        <f t="shared" si="7"/>
        <v>8.0466314995576882E-2</v>
      </c>
      <c r="AG49" s="3">
        <f t="shared" si="8"/>
        <v>1968</v>
      </c>
      <c r="AH49" s="3">
        <v>1718</v>
      </c>
      <c r="AI49" s="4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711432734.89246356</v>
      </c>
      <c r="AJ49" s="5">
        <f t="shared" si="9"/>
        <v>1.1746609936088849E-2</v>
      </c>
      <c r="AK49" s="5">
        <f t="shared" si="10"/>
        <v>0.19967906562343002</v>
      </c>
      <c r="AR49" s="3">
        <f t="shared" si="11"/>
        <v>1968</v>
      </c>
      <c r="AS49" s="3">
        <v>1718</v>
      </c>
      <c r="AT49" s="4">
        <f>Amcha!C49 + Byllu!C49 + 'Chaenia'!C49 + 'Cruthi Anoso'!C49 + 'Dual Cenryia'!C49 + Exilium!C49 + Galca!C49 + Inania!C49 + Inrea!C49 + Isnti!C49 + Lieri!C49 + Ocaun!C49 + Otiiric!C49 + Ozinia!C49 + Pelugrotoa!C49 + 'Rtesania'!C49 + Sadain!C49 + Selaja!C49 + Seytinemas!C49 + Sivoso!C49 + Sunsokua!C49 + Taing!C49 + Taoisia!C49 + Trian!C49 + Vayvele!C49</f>
        <v>635174380.60163665</v>
      </c>
      <c r="AU49" s="5">
        <f t="shared" si="12"/>
        <v>2.4256026660643328E-2</v>
      </c>
      <c r="AV49" s="5">
        <f t="shared" si="13"/>
        <v>0.17827550041768436</v>
      </c>
      <c r="BC49" s="3">
        <f t="shared" si="14"/>
        <v>1968</v>
      </c>
      <c r="BD49" s="3">
        <v>1718</v>
      </c>
      <c r="BE49" s="4">
        <f>'Canldives'!C49 + 'Cloja'!C49 + Dahe!C49 + Eparia!C49 + Etretes!C49 + Haiza!C49 + Ihner!C49 + Kaastini!C49 + Kusierna!C49 + Migoku!C49 + 'North Ayre'!C49 + Oscairia!C49 + Oyreain!C49 + 'Pha Hii'!C49 + 'Pruim Fijan'!C49 + 'Prystr Hii'!C49 + 'Ruylku'!C49 + Sanagara!C49 + Shinam!C49 + Stinebar!C49 + Suenan!C49 + Taval!C49 + Ucrua!C49 + Vesozata!C49 + 'Welenu Fana'!C49 + 'Western Migoku'!C49</f>
        <v>836962407.79582322</v>
      </c>
      <c r="BF49" s="5">
        <f t="shared" si="15"/>
        <v>1.3674928399016429E-2</v>
      </c>
      <c r="BG49" s="5">
        <f t="shared" si="16"/>
        <v>0.23491169769671583</v>
      </c>
      <c r="BN49" s="3">
        <f t="shared" si="17"/>
        <v>1968</v>
      </c>
      <c r="BO49" s="3">
        <v>1718</v>
      </c>
      <c r="BP49" s="4">
        <f>Andsaudare!C49 + Aplasia!C49 + Astye!C49 + 'Crila Republic'!C49 + 'Elja and Munusia'!C49 + Hiwush!C49 + Iainoa!C49 + Isari!C49 + Isuibul!C49 + Maalle!C49 + Mendereide!C49 + Nia!C49 + 'Niretui and Anulan'!C49 + Ohtina!C49 + Prstreula!C49 + 'Rethern'!C49 + 'Rkmepuia'!C49 + Tvecoca!C49 + Umarcia!C49 + 'United Delet'!C49 + Veelmit!C49 + Walporein!C49 + Yutnitu!C49</f>
        <v>113984090.29183654</v>
      </c>
      <c r="BQ49" s="7">
        <f t="shared" si="18"/>
        <v>2.1460155501634697E-2</v>
      </c>
      <c r="BR49" s="5">
        <f t="shared" si="19"/>
        <v>3.1992113279480906E-2</v>
      </c>
      <c r="BY49" s="3">
        <f t="shared" si="20"/>
        <v>1968</v>
      </c>
      <c r="BZ49" s="3">
        <v>1718</v>
      </c>
      <c r="CA49" s="4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466309072.18046707</v>
      </c>
      <c r="CB49" s="7">
        <f t="shared" si="21"/>
        <v>2.3072003164258208E-2</v>
      </c>
      <c r="CC49" s="5">
        <f t="shared" si="22"/>
        <v>0.13087977999606468</v>
      </c>
    </row>
    <row r="50" spans="1:81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3498844806.7175403</v>
      </c>
      <c r="D50" s="5">
        <f t="shared" si="1"/>
        <v>1.8437967214937834E-2</v>
      </c>
      <c r="K50" s="3">
        <f t="shared" si="2"/>
        <v>1967</v>
      </c>
      <c r="L50" s="3">
        <v>1717</v>
      </c>
      <c r="M50" s="4">
        <f>'Areoix Lie'!C50 + Pelines!C50 + Terressin!C50 + Taniduna!C50 + Iquir!C50 + Deschon!C50 + Othya!C50 + Eldavpir!C50 + 'Candenat'!C50 + Jau!C50 + Viussi!C50 + Jathua!C50 + Jshain!C50 + Acetoa!C50 + Sattle!C50 + 'Reerica'!C50 + 'Feio Lie'!C50 + Umendel!C50 + 'Fire Coast'!C50 + Yoprioq!C50 + 'Rijan bu'!C50 + Saa!C50 + 'Rinew'!C50 + Enina!C50 + Trevilla!C50</f>
        <v>492626233.36771739</v>
      </c>
      <c r="N50" s="5">
        <f t="shared" si="3"/>
        <v>2.2797124736293597E-2</v>
      </c>
      <c r="O50" s="5">
        <f t="shared" si="4"/>
        <v>0.14079682311770703</v>
      </c>
      <c r="V50" s="3">
        <f t="shared" si="5"/>
        <v>1967</v>
      </c>
      <c r="W50" s="3">
        <v>1717</v>
      </c>
      <c r="X50" s="4">
        <f>Aetintio!C50 + Arbiya!C50 + 'Curata'!C50 + 'Disal Nila'!C50 + Etirha!C50 + Fincen!C50 + Gaeiya!C50 + Genaire!C50 + Grazail!C50 + Guise!C50 + Laselteh!C50 + Lasri!C50 + Metndria!C50 + 'New Misos'!C50 + Peka!C50 + Pelan!C50 + Phuris!C50 + 'Raledria'!C50 + Slyiaduun!C50 + Tomscilus!C50</f>
        <v>281538057.25478119</v>
      </c>
      <c r="Y50" s="5">
        <f t="shared" si="6"/>
        <v>1.603764440967393E-2</v>
      </c>
      <c r="Z50" s="5">
        <f t="shared" si="7"/>
        <v>8.0466003154597648E-2</v>
      </c>
      <c r="AG50" s="3">
        <f t="shared" si="8"/>
        <v>1967</v>
      </c>
      <c r="AH50" s="3">
        <v>1717</v>
      </c>
      <c r="AI50" s="4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703172837.84860337</v>
      </c>
      <c r="AJ50" s="5">
        <f t="shared" si="9"/>
        <v>1.2829706718495929E-2</v>
      </c>
      <c r="AK50" s="5">
        <f t="shared" si="10"/>
        <v>0.20097285724092709</v>
      </c>
      <c r="AR50" s="3">
        <f t="shared" si="11"/>
        <v>1967</v>
      </c>
      <c r="AS50" s="3">
        <v>1717</v>
      </c>
      <c r="AT50" s="4">
        <f>Amcha!C50 + Byllu!C50 + 'Chaenia'!C50 + 'Cruthi Anoso'!C50 + 'Dual Cenryia'!C50 + Exilium!C50 + Galca!C50 + Inania!C50 + Inrea!C50 + Isnti!C50 + Lieri!C50 + Ocaun!C50 + Otiiric!C50 + Ozinia!C50 + Pelugrotoa!C50 + 'Rtesania'!C50 + Sadain!C50 + Selaja!C50 + Seytinemas!C50 + Sivoso!C50 + Sunsokua!C50 + Taing!C50 + Taoisia!C50 + Trian!C50 + Vayvele!C50</f>
        <v>620132431.80270076</v>
      </c>
      <c r="AU50" s="5">
        <f t="shared" si="12"/>
        <v>2.477892165751688E-2</v>
      </c>
      <c r="AV50" s="5">
        <f t="shared" si="13"/>
        <v>0.17723919352241327</v>
      </c>
      <c r="BC50" s="3">
        <f t="shared" si="14"/>
        <v>1967</v>
      </c>
      <c r="BD50" s="3">
        <v>1717</v>
      </c>
      <c r="BE50" s="4">
        <f>'Canldives'!C50 + 'Cloja'!C50 + Dahe!C50 + Eparia!C50 + Etretes!C50 + Haiza!C50 + Ihner!C50 + Kaastini!C50 + Kusierna!C50 + Migoku!C50 + 'North Ayre'!C50 + Oscairia!C50 + Oyreain!C50 + 'Pha Hii'!C50 + 'Pruim Fijan'!C50 + 'Prystr Hii'!C50 + 'Ruylku'!C50 + Sanagara!C50 + Shinam!C50 + Stinebar!C50 + Suenan!C50 + Taval!C50 + Ucrua!C50 + Vesozata!C50 + 'Welenu Fana'!C50 + 'Western Migoku'!C50</f>
        <v>825671410.377792</v>
      </c>
      <c r="BF50" s="5">
        <f t="shared" si="15"/>
        <v>1.3963964952212955E-2</v>
      </c>
      <c r="BG50" s="5">
        <f t="shared" si="16"/>
        <v>0.23598400500432598</v>
      </c>
      <c r="BN50" s="3">
        <f t="shared" si="17"/>
        <v>1967</v>
      </c>
      <c r="BO50" s="3">
        <v>1717</v>
      </c>
      <c r="BP50" s="4">
        <f>Andsaudare!C50 + Aplasia!C50 + Astye!C50 + 'Crila Republic'!C50 + 'Elja and Munusia'!C50 + Hiwush!C50 + Iainoa!C50 + Isari!C50 + Isuibul!C50 + Maalle!C50 + Mendereide!C50 + Nia!C50 + 'Niretui and Anulan'!C50 + Ohtina!C50 + Prstreula!C50 + 'Rethern'!C50 + 'Rkmepuia'!C50 + Tvecoca!C50 + Umarcia!C50 + 'United Delet'!C50 + Veelmit!C50 + Walporein!C50 + Yutnitu!C50</f>
        <v>111589365.16310756</v>
      </c>
      <c r="BQ50" s="6">
        <f t="shared" si="18"/>
        <v>2.1375705278051774E-2</v>
      </c>
      <c r="BR50" s="5">
        <f t="shared" si="19"/>
        <v>3.1893202278896075E-2</v>
      </c>
      <c r="BY50" s="3">
        <f t="shared" si="20"/>
        <v>1967</v>
      </c>
      <c r="BZ50" s="3">
        <v>1717</v>
      </c>
      <c r="CA50" s="4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455793014.31201351</v>
      </c>
      <c r="CB50" s="6">
        <f t="shared" si="21"/>
        <v>2.2315656460867504E-2</v>
      </c>
      <c r="CC50" s="5">
        <f t="shared" si="22"/>
        <v>0.13026957167031886</v>
      </c>
    </row>
    <row r="51" spans="1:81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3435501149.1624026</v>
      </c>
      <c r="D51" s="5">
        <f t="shared" si="1"/>
        <v>1.9441842246539467E-2</v>
      </c>
      <c r="K51" s="3">
        <f t="shared" si="2"/>
        <v>1966</v>
      </c>
      <c r="L51" s="3">
        <v>1716</v>
      </c>
      <c r="M51" s="4">
        <f>'Areoix Lie'!C51 + Pelines!C51 + Terressin!C51 + Taniduna!C51 + Iquir!C51 + Deschon!C51 + Othya!C51 + Eldavpir!C51 + 'Candenat'!C51 + Jau!C51 + Viussi!C51 + Jathua!C51 + Jshain!C51 + Acetoa!C51 + Sattle!C51 + 'Reerica'!C51 + 'Feio Lie'!C51 + Umendel!C51 + 'Fire Coast'!C51 + Yoprioq!C51 + 'Rijan bu'!C51 + Saa!C51 + 'Rinew'!C51 + Enina!C51 + Trevilla!C51</f>
        <v>481646087.43374258</v>
      </c>
      <c r="N51" s="5">
        <f t="shared" si="3"/>
        <v>2.3455251103348985E-2</v>
      </c>
      <c r="O51" s="5">
        <f t="shared" si="4"/>
        <v>0.14019674758402309</v>
      </c>
      <c r="V51" s="3">
        <f t="shared" si="5"/>
        <v>1966</v>
      </c>
      <c r="W51" s="3">
        <v>1716</v>
      </c>
      <c r="X51" s="4">
        <f>Aetintio!C51 + Arbiya!C51 + 'Curata'!C51 + 'Disal Nila'!C51 + Etirha!C51 + Fincen!C51 + Gaeiya!C51 + Genaire!C51 + Grazail!C51 + Guise!C51 + Laselteh!C51 + Lasri!C51 + Metndria!C51 + 'New Misos'!C51 + Peka!C51 + Pelan!C51 + Phuris!C51 + 'Raledria'!C51 + Slyiaduun!C51 + Tomscilus!C51</f>
        <v>277094120.28562886</v>
      </c>
      <c r="Y51" s="5">
        <f t="shared" si="6"/>
        <v>2.1754675333863323E-2</v>
      </c>
      <c r="Z51" s="5">
        <f t="shared" si="7"/>
        <v>8.0656098849853738E-2</v>
      </c>
      <c r="AG51" s="3">
        <f t="shared" si="8"/>
        <v>1966</v>
      </c>
      <c r="AH51" s="3">
        <v>1716</v>
      </c>
      <c r="AI51" s="4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694265613.6408546</v>
      </c>
      <c r="AJ51" s="5">
        <f t="shared" si="9"/>
        <v>1.2982175079184902E-2</v>
      </c>
      <c r="AK51" s="5">
        <f t="shared" si="10"/>
        <v>0.20208568808370828</v>
      </c>
      <c r="AR51" s="3">
        <f t="shared" si="11"/>
        <v>1966</v>
      </c>
      <c r="AS51" s="3">
        <v>1716</v>
      </c>
      <c r="AT51" s="4">
        <f>Amcha!C51 + Byllu!C51 + 'Chaenia'!C51 + 'Cruthi Anoso'!C51 + 'Dual Cenryia'!C51 + Exilium!C51 + Galca!C51 + Inania!C51 + Inrea!C51 + Isnti!C51 + Lieri!C51 + Ocaun!C51 + Otiiric!C51 + Ozinia!C51 + Pelugrotoa!C51 + 'Rtesania'!C51 + Sadain!C51 + Selaja!C51 + Seytinemas!C51 + Sivoso!C51 + Sunsokua!C51 + Taing!C51 + Taoisia!C51 + Trian!C51 + Vayvele!C51</f>
        <v>605137770.39800417</v>
      </c>
      <c r="AU51" s="5">
        <f t="shared" si="12"/>
        <v>2.7519690544774641E-2</v>
      </c>
      <c r="AV51" s="5">
        <f t="shared" si="13"/>
        <v>0.17614250268713799</v>
      </c>
      <c r="BC51" s="3">
        <f t="shared" si="14"/>
        <v>1966</v>
      </c>
      <c r="BD51" s="3">
        <v>1716</v>
      </c>
      <c r="BE51" s="4">
        <f>'Canldives'!C51 + 'Cloja'!C51 + Dahe!C51 + Eparia!C51 + Etretes!C51 + Haiza!C51 + Ihner!C51 + Kaastini!C51 + Kusierna!C51 + Migoku!C51 + 'North Ayre'!C51 + Oscairia!C51 + Oyreain!C51 + 'Pha Hii'!C51 + 'Pruim Fijan'!C51 + 'Prystr Hii'!C51 + 'Ruylku'!C51 + Sanagara!C51 + Shinam!C51 + Stinebar!C51 + Suenan!C51 + Taval!C51 + Ucrua!C51 + Vesozata!C51 + 'Welenu Fana'!C51 + 'Western Migoku'!C51</f>
        <v>814300546.09160101</v>
      </c>
      <c r="BF51" s="5">
        <f t="shared" si="15"/>
        <v>1.3706581121551176E-2</v>
      </c>
      <c r="BG51" s="5">
        <f t="shared" si="16"/>
        <v>0.23702525795694546</v>
      </c>
      <c r="BN51" s="3">
        <f t="shared" si="17"/>
        <v>1966</v>
      </c>
      <c r="BO51" s="3">
        <v>1716</v>
      </c>
      <c r="BP51" s="4">
        <f>Andsaudare!C51 + Aplasia!C51 + Astye!C51 + 'Crila Republic'!C51 + 'Elja and Munusia'!C51 + Hiwush!C51 + Iainoa!C51 + Isari!C51 + Isuibul!C51 + Maalle!C51 + Mendereide!C51 + Nia!C51 + 'Niretui and Anulan'!C51 + Ohtina!C51 + Prstreula!C51 + 'Rethern'!C51 + 'Rkmepuia'!C51 + Tvecoca!C51 + Umarcia!C51 + 'United Delet'!C51 + Veelmit!C51 + Walporein!C51 + Yutnitu!C51</f>
        <v>109253984.19647087</v>
      </c>
      <c r="BQ51" s="7">
        <f t="shared" si="18"/>
        <v>2.1334144295736154E-2</v>
      </c>
      <c r="BR51" s="5">
        <f t="shared" si="19"/>
        <v>3.18014692625289E-2</v>
      </c>
      <c r="BY51" s="3">
        <f t="shared" si="20"/>
        <v>1966</v>
      </c>
      <c r="BZ51" s="3">
        <v>1716</v>
      </c>
      <c r="CA51" s="4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445843719.0426228</v>
      </c>
      <c r="CB51" s="7">
        <f t="shared" si="21"/>
        <v>2.26820322542515E-2</v>
      </c>
      <c r="CC51" s="5">
        <f t="shared" si="22"/>
        <v>0.12977545332835136</v>
      </c>
    </row>
    <row r="52" spans="1:81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3369982481.3857002</v>
      </c>
      <c r="D52" s="5">
        <f t="shared" si="1"/>
        <v>1.9526146120983214E-2</v>
      </c>
      <c r="K52" s="3">
        <f t="shared" si="2"/>
        <v>1965</v>
      </c>
      <c r="L52" s="3">
        <v>1715</v>
      </c>
      <c r="M52" s="4">
        <f>'Areoix Lie'!C52 + Pelines!C52 + Terressin!C52 + Taniduna!C52 + Iquir!C52 + Deschon!C52 + Othya!C52 + Eldavpir!C52 + 'Candenat'!C52 + Jau!C52 + Viussi!C52 + Jathua!C52 + Jshain!C52 + Acetoa!C52 + Sattle!C52 + 'Reerica'!C52 + 'Feio Lie'!C52 + Umendel!C52 + 'Fire Coast'!C52 + Yoprioq!C52 + 'Rijan bu'!C52 + Saa!C52 + 'Rinew'!C52 + Enina!C52 + Trevilla!C52</f>
        <v>470607861.86254638</v>
      </c>
      <c r="N52" s="5">
        <f t="shared" si="3"/>
        <v>2.4065706325385707E-2</v>
      </c>
      <c r="O52" s="5">
        <f t="shared" si="4"/>
        <v>0.13964697575194443</v>
      </c>
      <c r="V52" s="3">
        <f t="shared" si="5"/>
        <v>1965</v>
      </c>
      <c r="W52" s="3">
        <v>1715</v>
      </c>
      <c r="X52" s="4">
        <f>Aetintio!C52 + Arbiya!C52 + 'Curata'!C52 + 'Disal Nila'!C52 + Etirha!C52 + Fincen!C52 + Gaeiya!C52 + Genaire!C52 + Grazail!C52 + Guise!C52 + Laselteh!C52 + Lasri!C52 + Metndria!C52 + 'New Misos'!C52 + Peka!C52 + Pelan!C52 + Phuris!C52 + 'Raledria'!C52 + Slyiaduun!C52 + Tomscilus!C52</f>
        <v>271194374.71141201</v>
      </c>
      <c r="Y52" s="5">
        <f t="shared" si="6"/>
        <v>1.9264814070962231E-2</v>
      </c>
      <c r="Z52" s="5">
        <f t="shared" si="7"/>
        <v>8.0473526556701813E-2</v>
      </c>
      <c r="AG52" s="3">
        <f t="shared" si="8"/>
        <v>1965</v>
      </c>
      <c r="AH52" s="3">
        <v>1715</v>
      </c>
      <c r="AI52" s="4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685368045.67818165</v>
      </c>
      <c r="AJ52" s="5">
        <f t="shared" si="9"/>
        <v>1.3324850878472377E-2</v>
      </c>
      <c r="AK52" s="5">
        <f t="shared" si="10"/>
        <v>0.20337436454457938</v>
      </c>
      <c r="AR52" s="3">
        <f t="shared" si="11"/>
        <v>1965</v>
      </c>
      <c r="AS52" s="3">
        <v>1715</v>
      </c>
      <c r="AT52" s="4">
        <f>Amcha!C52 + Byllu!C52 + 'Chaenia'!C52 + 'Cruthi Anoso'!C52 + 'Dual Cenryia'!C52 + Exilium!C52 + Galca!C52 + Inania!C52 + Inrea!C52 + Isnti!C52 + Lieri!C52 + Ocaun!C52 + Otiiric!C52 + Ozinia!C52 + Pelugrotoa!C52 + 'Rtesania'!C52 + Sadain!C52 + Selaja!C52 + Seytinemas!C52 + Sivoso!C52 + Sunsokua!C52 + Taing!C52 + Taoisia!C52 + Trian!C52 + Vayvele!C52</f>
        <v>588930583.00145054</v>
      </c>
      <c r="AU52" s="5">
        <f t="shared" si="12"/>
        <v>2.803392794603525E-2</v>
      </c>
      <c r="AV52" s="5">
        <f t="shared" si="13"/>
        <v>0.17475775801638252</v>
      </c>
      <c r="BC52" s="3">
        <f t="shared" si="14"/>
        <v>1965</v>
      </c>
      <c r="BD52" s="3">
        <v>1715</v>
      </c>
      <c r="BE52" s="4">
        <f>'Canldives'!C52 + 'Cloja'!C52 + Dahe!C52 + Eparia!C52 + Etretes!C52 + Haiza!C52 + Ihner!C52 + Kaastini!C52 + Kusierna!C52 + Migoku!C52 + 'North Ayre'!C52 + Oscairia!C52 + Oyreain!C52 + 'Pha Hii'!C52 + 'Pruim Fijan'!C52 + 'Prystr Hii'!C52 + 'Ruylku'!C52 + Sanagara!C52 + Shinam!C52 + Stinebar!C52 + Suenan!C52 + Taval!C52 + Ucrua!C52 + Vesozata!C52 + 'Welenu Fana'!C52 + 'Western Migoku'!C52</f>
        <v>803290184.02018261</v>
      </c>
      <c r="BF52" s="5">
        <f t="shared" si="15"/>
        <v>1.4001845626449662E-2</v>
      </c>
      <c r="BG52" s="5">
        <f t="shared" si="16"/>
        <v>0.23836627889230996</v>
      </c>
      <c r="BN52" s="3">
        <f t="shared" si="17"/>
        <v>1965</v>
      </c>
      <c r="BO52" s="3">
        <v>1715</v>
      </c>
      <c r="BP52" s="4">
        <f>Andsaudare!C52 + Aplasia!C52 + Astye!C52 + 'Crila Republic'!C52 + 'Elja and Munusia'!C52 + Hiwush!C52 + Iainoa!C52 + Isari!C52 + Isuibul!C52 + Maalle!C52 + Mendereide!C52 + Nia!C52 + 'Niretui and Anulan'!C52 + Ohtina!C52 + Prstreula!C52 + 'Rethern'!C52 + 'Rkmepuia'!C52 + Tvecoca!C52 + Umarcia!C52 + 'United Delet'!C52 + Veelmit!C52 + Walporein!C52 + Yutnitu!C52</f>
        <v>106971831.70333277</v>
      </c>
      <c r="BQ52" s="6">
        <f t="shared" si="18"/>
        <v>2.1402890253649571E-2</v>
      </c>
      <c r="BR52" s="5">
        <f t="shared" si="19"/>
        <v>3.174254830527995E-2</v>
      </c>
      <c r="BY52" s="3">
        <f t="shared" si="20"/>
        <v>1965</v>
      </c>
      <c r="BZ52" s="3">
        <v>1715</v>
      </c>
      <c r="CA52" s="4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435955365.38357848</v>
      </c>
      <c r="CB52" s="6">
        <f t="shared" si="21"/>
        <v>2.276530779438854E-2</v>
      </c>
      <c r="CC52" s="5">
        <f t="shared" si="22"/>
        <v>0.12936428239363379</v>
      </c>
    </row>
    <row r="53" spans="1:81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3305439977.3929853</v>
      </c>
      <c r="D53" s="5">
        <f t="shared" si="1"/>
        <v>1.984980953373738E-2</v>
      </c>
      <c r="K53" s="3">
        <f t="shared" si="2"/>
        <v>1964</v>
      </c>
      <c r="L53" s="3">
        <v>1714</v>
      </c>
      <c r="M53" s="4">
        <f>'Areoix Lie'!C53 + Pelines!C53 + Terressin!C53 + Taniduna!C53 + Iquir!C53 + Deschon!C53 + Othya!C53 + Eldavpir!C53 + 'Candenat'!C53 + Jau!C53 + Viussi!C53 + Jathua!C53 + Jshain!C53 + Acetoa!C53 + Sattle!C53 + 'Reerica'!C53 + 'Feio Lie'!C53 + Umendel!C53 + 'Fire Coast'!C53 + Yoprioq!C53 + 'Rijan bu'!C53 + Saa!C53 + 'Rinew'!C53 + Enina!C53 + Trevilla!C53</f>
        <v>459548502.5577215</v>
      </c>
      <c r="N53" s="5">
        <f t="shared" si="3"/>
        <v>2.4510216917350648E-2</v>
      </c>
      <c r="O53" s="5">
        <f t="shared" si="4"/>
        <v>0.13902793749114434</v>
      </c>
      <c r="V53" s="3">
        <f t="shared" si="5"/>
        <v>1964</v>
      </c>
      <c r="W53" s="3">
        <v>1714</v>
      </c>
      <c r="X53" s="4">
        <f>Aetintio!C53 + Arbiya!C53 + 'Curata'!C53 + 'Disal Nila'!C53 + Etirha!C53 + Fincen!C53 + Gaeiya!C53 + Genaire!C53 + Grazail!C53 + Guise!C53 + Laselteh!C53 + Lasri!C53 + Metndria!C53 + 'New Misos'!C53 + Peka!C53 + Pelan!C53 + Phuris!C53 + 'Raledria'!C53 + Slyiaduun!C53 + Tomscilus!C53</f>
        <v>266068612.36409873</v>
      </c>
      <c r="Y53" s="5">
        <f t="shared" si="6"/>
        <v>1.8931711617505752E-2</v>
      </c>
      <c r="Z53" s="5">
        <f t="shared" si="7"/>
        <v>8.0494159380848349E-2</v>
      </c>
      <c r="AG53" s="3">
        <f t="shared" si="8"/>
        <v>1964</v>
      </c>
      <c r="AH53" s="3">
        <v>1714</v>
      </c>
      <c r="AI53" s="4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676355706.74500072</v>
      </c>
      <c r="AJ53" s="5">
        <f t="shared" si="9"/>
        <v>1.4144090849195858E-2</v>
      </c>
      <c r="AK53" s="5">
        <f t="shared" si="10"/>
        <v>0.20461896490961101</v>
      </c>
      <c r="AR53" s="3">
        <f t="shared" si="11"/>
        <v>1964</v>
      </c>
      <c r="AS53" s="3">
        <v>1714</v>
      </c>
      <c r="AT53" s="4">
        <f>Amcha!C53 + Byllu!C53 + 'Chaenia'!C53 + 'Cruthi Anoso'!C53 + 'Dual Cenryia'!C53 + Exilium!C53 + Galca!C53 + Inania!C53 + Inrea!C53 + Isnti!C53 + Lieri!C53 + Ocaun!C53 + Otiiric!C53 + Ozinia!C53 + Pelugrotoa!C53 + 'Rtesania'!C53 + Sadain!C53 + Selaja!C53 + Seytinemas!C53 + Sivoso!C53 + Sunsokua!C53 + Taing!C53 + Taoisia!C53 + Trian!C53 + Vayvele!C53</f>
        <v>572870765.2461499</v>
      </c>
      <c r="AU53" s="5">
        <f t="shared" si="12"/>
        <v>2.8333446070348593E-2</v>
      </c>
      <c r="AV53" s="5">
        <f t="shared" si="13"/>
        <v>0.17331150139291759</v>
      </c>
      <c r="BC53" s="3">
        <f t="shared" si="14"/>
        <v>1964</v>
      </c>
      <c r="BD53" s="3">
        <v>1714</v>
      </c>
      <c r="BE53" s="4">
        <f>'Canldives'!C53 + 'Cloja'!C53 + Dahe!C53 + Eparia!C53 + Etretes!C53 + Haiza!C53 + Ihner!C53 + Kaastini!C53 + Kusierna!C53 + Migoku!C53 + 'North Ayre'!C53 + Oscairia!C53 + Oyreain!C53 + 'Pha Hii'!C53 + 'Pruim Fijan'!C53 + 'Prystr Hii'!C53 + 'Ruylku'!C53 + Sanagara!C53 + Shinam!C53 + Stinebar!C53 + Suenan!C53 + Taval!C53 + Ucrua!C53 + Vesozata!C53 + 'Welenu Fana'!C53 + 'Western Migoku'!C53</f>
        <v>792197950.6101495</v>
      </c>
      <c r="BF53" s="5">
        <f t="shared" si="15"/>
        <v>1.4405298384947633E-2</v>
      </c>
      <c r="BG53" s="5">
        <f t="shared" si="16"/>
        <v>0.23966490271439125</v>
      </c>
      <c r="BN53" s="3">
        <f t="shared" si="17"/>
        <v>1964</v>
      </c>
      <c r="BO53" s="3">
        <v>1714</v>
      </c>
      <c r="BP53" s="4">
        <f>Andsaudare!C53 + Aplasia!C53 + Astye!C53 + 'Crila Republic'!C53 + 'Elja and Munusia'!C53 + Hiwush!C53 + Iainoa!C53 + Isari!C53 + Isuibul!C53 + Maalle!C53 + Mendereide!C53 + Nia!C53 + 'Niretui and Anulan'!C53 + Ohtina!C53 + Prstreula!C53 + 'Rethern'!C53 + 'Rkmepuia'!C53 + Tvecoca!C53 + Umarcia!C53 + 'United Delet'!C53 + Veelmit!C53 + Walporein!C53 + Yutnitu!C53</f>
        <v>104730300.57391748</v>
      </c>
      <c r="BQ53" s="7">
        <f t="shared" si="18"/>
        <v>2.1446640029024754E-2</v>
      </c>
      <c r="BR53" s="5">
        <f t="shared" si="19"/>
        <v>3.1684223973269275E-2</v>
      </c>
      <c r="BY53" s="3">
        <f t="shared" si="20"/>
        <v>1964</v>
      </c>
      <c r="BZ53" s="3">
        <v>1714</v>
      </c>
      <c r="CA53" s="4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426251616.14420021</v>
      </c>
      <c r="CB53" s="7">
        <f t="shared" si="21"/>
        <v>2.2828602952109464E-2</v>
      </c>
      <c r="CC53" s="5">
        <f t="shared" si="22"/>
        <v>0.12895457762339604</v>
      </c>
    </row>
    <row r="54" spans="1:81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3241104667.0726852</v>
      </c>
      <c r="D54" s="5">
        <f t="shared" si="1"/>
        <v>1.9966976474479387E-2</v>
      </c>
      <c r="K54" s="3">
        <f t="shared" si="2"/>
        <v>1963</v>
      </c>
      <c r="L54" s="3">
        <v>1713</v>
      </c>
      <c r="M54" s="4">
        <f>'Areoix Lie'!C54 + Pelines!C54 + Terressin!C54 + Taniduna!C54 + Iquir!C54 + Deschon!C54 + Othya!C54 + Eldavpir!C54 + 'Candenat'!C54 + Jau!C54 + Viussi!C54 + Jathua!C54 + Jshain!C54 + Acetoa!C54 + Sattle!C54 + 'Reerica'!C54 + 'Feio Lie'!C54 + Umendel!C54 + 'Fire Coast'!C54 + Yoprioq!C54 + 'Rijan bu'!C54 + Saa!C54 + 'Rinew'!C54 + Enina!C54 + Trevilla!C54</f>
        <v>448554338.42373699</v>
      </c>
      <c r="N54" s="5">
        <f t="shared" si="3"/>
        <v>2.4827097330473499E-2</v>
      </c>
      <c r="O54" s="5">
        <f t="shared" si="4"/>
        <v>0.13839551156145297</v>
      </c>
      <c r="V54" s="3">
        <f t="shared" si="5"/>
        <v>1963</v>
      </c>
      <c r="W54" s="3">
        <v>1713</v>
      </c>
      <c r="X54" s="4">
        <f>Aetintio!C54 + Arbiya!C54 + 'Curata'!C54 + 'Disal Nila'!C54 + Etirha!C54 + Fincen!C54 + Gaeiya!C54 + Genaire!C54 + Grazail!C54 + Guise!C54 + Laselteh!C54 + Lasri!C54 + Metndria!C54 + 'New Misos'!C54 + Peka!C54 + Pelan!C54 + Phuris!C54 + 'Raledria'!C54 + Slyiaduun!C54 + Tomscilus!C54</f>
        <v>261125067.8828392</v>
      </c>
      <c r="Y54" s="5">
        <f t="shared" si="6"/>
        <v>1.8995469568133048E-2</v>
      </c>
      <c r="Z54" s="5">
        <f t="shared" si="7"/>
        <v>8.0566687813474175E-2</v>
      </c>
      <c r="AG54" s="3">
        <f t="shared" si="8"/>
        <v>1963</v>
      </c>
      <c r="AH54" s="3">
        <v>1713</v>
      </c>
      <c r="AI54" s="4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666922691.60554171</v>
      </c>
      <c r="AJ54" s="5">
        <f t="shared" si="9"/>
        <v>1.4458796524095386E-2</v>
      </c>
      <c r="AK54" s="5">
        <f t="shared" si="10"/>
        <v>0.20577018026631513</v>
      </c>
      <c r="AR54" s="3">
        <f t="shared" si="11"/>
        <v>1963</v>
      </c>
      <c r="AS54" s="3">
        <v>1713</v>
      </c>
      <c r="AT54" s="4">
        <f>Amcha!C54 + Byllu!C54 + 'Chaenia'!C54 + 'Cruthi Anoso'!C54 + 'Dual Cenryia'!C54 + Exilium!C54 + Galca!C54 + Inania!C54 + Inrea!C54 + Isnti!C54 + Lieri!C54 + Ocaun!C54 + Otiiric!C54 + Ozinia!C54 + Pelugrotoa!C54 + 'Rtesania'!C54 + Sadain!C54 + Selaja!C54 + Seytinemas!C54 + Sivoso!C54 + Sunsokua!C54 + Taing!C54 + Taoisia!C54 + Trian!C54 + Vayvele!C54</f>
        <v>557086582.60149562</v>
      </c>
      <c r="AU54" s="5">
        <f t="shared" si="12"/>
        <v>2.8703352983089514E-2</v>
      </c>
      <c r="AV54" s="5">
        <f t="shared" si="13"/>
        <v>0.17188170078587664</v>
      </c>
      <c r="BC54" s="3">
        <f t="shared" si="14"/>
        <v>1963</v>
      </c>
      <c r="BD54" s="3">
        <v>1713</v>
      </c>
      <c r="BE54" s="4">
        <f>'Canldives'!C54 + 'Cloja'!C54 + Dahe!C54 + Eparia!C54 + Etretes!C54 + Haiza!C54 + Ihner!C54 + Kaastini!C54 + Kusierna!C54 + Migoku!C54 + 'North Ayre'!C54 + Oscairia!C54 + Oyreain!C54 + 'Pha Hii'!C54 + 'Pruim Fijan'!C54 + 'Prystr Hii'!C54 + 'Ruylku'!C54 + Sanagara!C54 + Shinam!C54 + Stinebar!C54 + Suenan!C54 + Taval!C54 + Ucrua!C54 + Vesozata!C54 + 'Welenu Fana'!C54 + 'Western Migoku'!C54</f>
        <v>780948159.35151529</v>
      </c>
      <c r="BF54" s="5">
        <f t="shared" si="15"/>
        <v>1.4513307853350747E-2</v>
      </c>
      <c r="BG54" s="5">
        <f t="shared" si="16"/>
        <v>0.24095123100632704</v>
      </c>
      <c r="BN54" s="3">
        <f t="shared" si="17"/>
        <v>1963</v>
      </c>
      <c r="BO54" s="3">
        <v>1713</v>
      </c>
      <c r="BP54" s="4">
        <f>Andsaudare!C54 + Aplasia!C54 + Astye!C54 + 'Crila Republic'!C54 + 'Elja and Munusia'!C54 + Hiwush!C54 + Iainoa!C54 + Isari!C54 + Isuibul!C54 + Maalle!C54 + Mendereide!C54 + Nia!C54 + 'Niretui and Anulan'!C54 + Ohtina!C54 + Prstreula!C54 + 'Rethern'!C54 + 'Rkmepuia'!C54 + Tvecoca!C54 + Umarcia!C54 + 'United Delet'!C54 + Veelmit!C54 + Walporein!C54 + Yutnitu!C54</f>
        <v>102531347.66877449</v>
      </c>
      <c r="BQ54" s="6">
        <f t="shared" si="18"/>
        <v>2.1568105497444999E-2</v>
      </c>
      <c r="BR54" s="5">
        <f t="shared" si="19"/>
        <v>3.1634691934024822E-2</v>
      </c>
      <c r="BY54" s="3">
        <f t="shared" si="20"/>
        <v>1963</v>
      </c>
      <c r="BZ54" s="3">
        <v>1713</v>
      </c>
      <c r="CA54" s="4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416738068.24911213</v>
      </c>
      <c r="CB54" s="6">
        <f t="shared" si="21"/>
        <v>2.2401312655289225E-2</v>
      </c>
      <c r="CC54" s="5">
        <f t="shared" si="22"/>
        <v>0.12857902198681642</v>
      </c>
    </row>
    <row r="55" spans="1:81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3177656474.9925323</v>
      </c>
      <c r="D55" s="5">
        <f t="shared" si="1"/>
        <v>2.035962047794727E-2</v>
      </c>
      <c r="K55" s="3">
        <f t="shared" si="2"/>
        <v>1962</v>
      </c>
      <c r="L55" s="3">
        <v>1712</v>
      </c>
      <c r="M55" s="4">
        <f>'Areoix Lie'!C55 + Pelines!C55 + Terressin!C55 + Taniduna!C55 + Iquir!C55 + Deschon!C55 + Othya!C55 + Eldavpir!C55 + 'Candenat'!C55 + Jau!C55 + Viussi!C55 + Jathua!C55 + Jshain!C55 + Acetoa!C55 + Sattle!C55 + 'Reerica'!C55 + 'Feio Lie'!C55 + Umendel!C55 + 'Fire Coast'!C55 + Yoprioq!C55 + 'Rijan bu'!C55 + Saa!C55 + 'Rinew'!C55 + Enina!C55 + Trevilla!C55</f>
        <v>437687820.30857325</v>
      </c>
      <c r="N55" s="5">
        <f t="shared" si="3"/>
        <v>2.4983585564940146E-2</v>
      </c>
      <c r="O55" s="5">
        <f t="shared" si="4"/>
        <v>0.13773918727624634</v>
      </c>
      <c r="V55" s="3">
        <f t="shared" si="5"/>
        <v>1962</v>
      </c>
      <c r="W55" s="3">
        <v>1712</v>
      </c>
      <c r="X55" s="4">
        <f>Aetintio!C55 + Arbiya!C55 + 'Curata'!C55 + 'Disal Nila'!C55 + Etirha!C55 + Fincen!C55 + Gaeiya!C55 + Genaire!C55 + Grazail!C55 + Guise!C55 + Laselteh!C55 + Lasri!C55 + Metndria!C55 + 'New Misos'!C55 + Peka!C55 + Pelan!C55 + Phuris!C55 + 'Raledria'!C55 + Slyiaduun!C55 + Tomscilus!C55</f>
        <v>256257339.39082995</v>
      </c>
      <c r="Y55" s="5">
        <f t="shared" si="6"/>
        <v>2.216636369603741E-2</v>
      </c>
      <c r="Z55" s="5">
        <f t="shared" si="7"/>
        <v>8.064349982684399E-2</v>
      </c>
      <c r="AG55" s="3">
        <f t="shared" si="8"/>
        <v>1962</v>
      </c>
      <c r="AH55" s="3">
        <v>1712</v>
      </c>
      <c r="AI55" s="4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657417229.65058935</v>
      </c>
      <c r="AJ55" s="5">
        <f t="shared" si="9"/>
        <v>1.468494915763896E-2</v>
      </c>
      <c r="AK55" s="5">
        <f t="shared" si="10"/>
        <v>0.20688744514214186</v>
      </c>
      <c r="AR55" s="3">
        <f t="shared" si="11"/>
        <v>1962</v>
      </c>
      <c r="AS55" s="3">
        <v>1712</v>
      </c>
      <c r="AT55" s="4">
        <f>Amcha!C55 + Byllu!C55 + 'Chaenia'!C55 + 'Cruthi Anoso'!C55 + 'Dual Cenryia'!C55 + Exilium!C55 + Galca!C55 + Inania!C55 + Inrea!C55 + Isnti!C55 + Lieri!C55 + Ocaun!C55 + Otiiric!C55 + Ozinia!C55 + Pelugrotoa!C55 + 'Rtesania'!C55 + Sadain!C55 + Selaja!C55 + Seytinemas!C55 + Sivoso!C55 + Sunsokua!C55 + Taing!C55 + Taoisia!C55 + Trian!C55 + Vayvele!C55</f>
        <v>541542497.15044272</v>
      </c>
      <c r="AU55" s="5">
        <f t="shared" si="12"/>
        <v>2.9023054313699649E-2</v>
      </c>
      <c r="AV55" s="5">
        <f t="shared" si="13"/>
        <v>0.17042197651390728</v>
      </c>
      <c r="BC55" s="3">
        <f t="shared" si="14"/>
        <v>1962</v>
      </c>
      <c r="BD55" s="3">
        <v>1712</v>
      </c>
      <c r="BE55" s="4">
        <f>'Canldives'!C55 + 'Cloja'!C55 + Dahe!C55 + Eparia!C55 + Etretes!C55 + Haiza!C55 + Ihner!C55 + Kaastini!C55 + Kusierna!C55 + Migoku!C55 + 'North Ayre'!C55 + Oscairia!C55 + Oyreain!C55 + 'Pha Hii'!C55 + 'Pruim Fijan'!C55 + 'Prystr Hii'!C55 + 'Ruylku'!C55 + Sanagara!C55 + Shinam!C55 + Stinebar!C55 + Suenan!C55 + Taval!C55 + Ucrua!C55 + Vesozata!C55 + 'Welenu Fana'!C55 + 'Western Migoku'!C55</f>
        <v>769776160.94948494</v>
      </c>
      <c r="BF55" s="5">
        <f t="shared" si="15"/>
        <v>1.4850691784956987E-2</v>
      </c>
      <c r="BG55" s="5">
        <f t="shared" si="16"/>
        <v>0.24224650052875649</v>
      </c>
      <c r="BN55" s="3">
        <f t="shared" si="17"/>
        <v>1962</v>
      </c>
      <c r="BO55" s="3">
        <v>1712</v>
      </c>
      <c r="BP55" s="4">
        <f>Andsaudare!C55 + Aplasia!C55 + Astye!C55 + 'Crila Republic'!C55 + 'Elja and Munusia'!C55 + Hiwush!C55 + Iainoa!C55 + Isari!C55 + Isuibul!C55 + Maalle!C55 + Mendereide!C55 + Nia!C55 + 'Niretui and Anulan'!C55 + Ohtina!C55 + Prstreula!C55 + 'Rethern'!C55 + 'Rkmepuia'!C55 + Tvecoca!C55 + Umarcia!C55 + 'United Delet'!C55 + Veelmit!C55 + Walporein!C55 + Yutnitu!C55</f>
        <v>100366629.61286131</v>
      </c>
      <c r="BQ55" s="7">
        <f t="shared" si="18"/>
        <v>2.1020001763171148E-2</v>
      </c>
      <c r="BR55" s="5">
        <f t="shared" si="19"/>
        <v>3.1585110096929901E-2</v>
      </c>
      <c r="BY55" s="3">
        <f t="shared" si="20"/>
        <v>1962</v>
      </c>
      <c r="BZ55" s="3">
        <v>1712</v>
      </c>
      <c r="CA55" s="4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407607133.4130013</v>
      </c>
      <c r="CB55" s="7">
        <f t="shared" si="21"/>
        <v>2.2264731368182949E-2</v>
      </c>
      <c r="CC55" s="5">
        <f t="shared" si="22"/>
        <v>0.12827287550456795</v>
      </c>
    </row>
    <row r="56" spans="1:81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3114251496.4518924</v>
      </c>
      <c r="D56" s="5">
        <f t="shared" si="1"/>
        <v>1.992423853905358E-2</v>
      </c>
      <c r="K56" s="3">
        <f t="shared" si="2"/>
        <v>1961</v>
      </c>
      <c r="L56" s="3">
        <v>1711</v>
      </c>
      <c r="M56" s="4">
        <f>'Areoix Lie'!C56 + Pelines!C56 + Terressin!C56 + Taniduna!C56 + Iquir!C56 + Deschon!C56 + Othya!C56 + Eldavpir!C56 + 'Candenat'!C56 + Jau!C56 + Viussi!C56 + Jathua!C56 + Jshain!C56 + Acetoa!C56 + Sattle!C56 + 'Reerica'!C56 + 'Feio Lie'!C56 + Umendel!C56 + 'Fire Coast'!C56 + Yoprioq!C56 + 'Rijan bu'!C56 + Saa!C56 + 'Rinew'!C56 + Enina!C56 + Trevilla!C56</f>
        <v>427019345.94136244</v>
      </c>
      <c r="N56" s="5">
        <f t="shared" si="3"/>
        <v>2.5155866191267234E-2</v>
      </c>
      <c r="O56" s="5">
        <f t="shared" si="4"/>
        <v>0.13711781030782877</v>
      </c>
      <c r="V56" s="3">
        <f t="shared" si="5"/>
        <v>1961</v>
      </c>
      <c r="W56" s="3">
        <v>1711</v>
      </c>
      <c r="X56" s="4">
        <f>Aetintio!C56 + Arbiya!C56 + 'Curata'!C56 + 'Disal Nila'!C56 + Etirha!C56 + Fincen!C56 + Gaeiya!C56 + Genaire!C56 + Grazail!C56 + Guise!C56 + Laselteh!C56 + Lasri!C56 + Metndria!C56 + 'New Misos'!C56 + Peka!C56 + Pelan!C56 + Phuris!C56 + 'Raledria'!C56 + Slyiaduun!C56 + Tomscilus!C56</f>
        <v>250700226.98089236</v>
      </c>
      <c r="Y56" s="5">
        <f t="shared" si="6"/>
        <v>1.6555941399772886E-2</v>
      </c>
      <c r="Z56" s="5">
        <f t="shared" si="7"/>
        <v>8.050095737820738E-2</v>
      </c>
      <c r="AG56" s="3">
        <f t="shared" si="8"/>
        <v>1961</v>
      </c>
      <c r="AH56" s="3">
        <v>1711</v>
      </c>
      <c r="AI56" s="4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647902809.82915676</v>
      </c>
      <c r="AJ56" s="5">
        <f t="shared" si="9"/>
        <v>1.4699422831956297E-2</v>
      </c>
      <c r="AK56" s="5">
        <f t="shared" si="10"/>
        <v>0.20804447250561522</v>
      </c>
      <c r="AR56" s="3">
        <f t="shared" si="11"/>
        <v>1961</v>
      </c>
      <c r="AS56" s="3">
        <v>1711</v>
      </c>
      <c r="AT56" s="4">
        <f>Amcha!C56 + Byllu!C56 + 'Chaenia'!C56 + 'Cruthi Anoso'!C56 + 'Dual Cenryia'!C56 + Exilium!C56 + Galca!C56 + Inania!C56 + Inrea!C56 + Isnti!C56 + Lieri!C56 + Ocaun!C56 + Otiiric!C56 + Ozinia!C56 + Pelugrotoa!C56 + 'Rtesania'!C56 + Sadain!C56 + Selaja!C56 + Seytinemas!C56 + Sivoso!C56 + Sunsokua!C56 + Taing!C56 + Taoisia!C56 + Trian!C56 + Vayvele!C56</f>
        <v>526268575.6944688</v>
      </c>
      <c r="AU56" s="5">
        <f t="shared" si="12"/>
        <v>2.9407147978218841E-2</v>
      </c>
      <c r="AV56" s="5">
        <f t="shared" si="13"/>
        <v>0.16898717919668771</v>
      </c>
      <c r="BC56" s="3">
        <f t="shared" si="14"/>
        <v>1961</v>
      </c>
      <c r="BD56" s="3">
        <v>1711</v>
      </c>
      <c r="BE56" s="4">
        <f>'Canldives'!C56 + 'Cloja'!C56 + Dahe!C56 + Eparia!C56 + Etretes!C56 + Haiza!C56 + Ihner!C56 + Kaastini!C56 + Kusierna!C56 + Migoku!C56 + 'North Ayre'!C56 + Oscairia!C56 + Oyreain!C56 + 'Pha Hii'!C56 + 'Pruim Fijan'!C56 + 'Prystr Hii'!C56 + 'Ruylku'!C56 + Sanagara!C56 + Shinam!C56 + Stinebar!C56 + Suenan!C56 + Taval!C56 + Ucrua!C56 + Vesozata!C56 + 'Welenu Fana'!C56 + 'Western Migoku'!C56</f>
        <v>758511736.92907882</v>
      </c>
      <c r="BF56" s="5">
        <f t="shared" si="15"/>
        <v>1.4795322289282473E-2</v>
      </c>
      <c r="BG56" s="5">
        <f t="shared" si="16"/>
        <v>0.24356149071237862</v>
      </c>
      <c r="BN56" s="3">
        <f t="shared" si="17"/>
        <v>1961</v>
      </c>
      <c r="BO56" s="3">
        <v>1711</v>
      </c>
      <c r="BP56" s="4">
        <f>Andsaudare!C56 + Aplasia!C56 + Astye!C56 + 'Crila Republic'!C56 + 'Elja and Munusia'!C56 + Hiwush!C56 + Iainoa!C56 + Isari!C56 + Isuibul!C56 + Maalle!C56 + Mendereide!C56 + Nia!C56 + 'Niretui and Anulan'!C56 + Ohtina!C56 + Prstreula!C56 + 'Rethern'!C56 + 'Rkmepuia'!C56 + Tvecoca!C56 + Umarcia!C56 + 'United Delet'!C56 + Veelmit!C56 + Walporein!C56 + Yutnitu!C56</f>
        <v>98300355.957318127</v>
      </c>
      <c r="BQ56" s="6">
        <f t="shared" si="18"/>
        <v>2.0947705511689233E-2</v>
      </c>
      <c r="BR56" s="5">
        <f t="shared" si="19"/>
        <v>3.1564681294787213E-2</v>
      </c>
      <c r="BY56" s="3">
        <f t="shared" si="20"/>
        <v>1961</v>
      </c>
      <c r="BZ56" s="3">
        <v>1711</v>
      </c>
      <c r="CA56" s="4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398729527.5925898</v>
      </c>
      <c r="CB56" s="6">
        <f t="shared" si="21"/>
        <v>2.2062889694037361E-2</v>
      </c>
      <c r="CC56" s="5">
        <f t="shared" si="22"/>
        <v>0.12803382387288489</v>
      </c>
    </row>
    <row r="57" spans="1:81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3053414536.8608627</v>
      </c>
      <c r="D57" s="5">
        <f t="shared" si="1"/>
        <v>2.0248379910842478E-2</v>
      </c>
      <c r="K57" s="3">
        <f t="shared" si="2"/>
        <v>1960</v>
      </c>
      <c r="L57" s="3">
        <v>1710</v>
      </c>
      <c r="M57" s="4">
        <f>'Areoix Lie'!C57 + Pelines!C57 + Terressin!C57 + Taniduna!C57 + Iquir!C57 + Deschon!C57 + Othya!C57 + Eldavpir!C57 + 'Candenat'!C57 + Jau!C57 + Viussi!C57 + Jathua!C57 + Jshain!C57 + Acetoa!C57 + Sattle!C57 + 'Reerica'!C57 + 'Feio Lie'!C57 + Umendel!C57 + 'Fire Coast'!C57 + Yoprioq!C57 + 'Rijan bu'!C57 + Saa!C57 + 'Rinew'!C57 + Enina!C57 + Trevilla!C57</f>
        <v>416540898.82727337</v>
      </c>
      <c r="N57" s="5">
        <f t="shared" si="3"/>
        <v>2.5219312555851567E-2</v>
      </c>
      <c r="O57" s="5">
        <f t="shared" si="4"/>
        <v>0.13641806371155499</v>
      </c>
      <c r="V57" s="3">
        <f t="shared" si="5"/>
        <v>1960</v>
      </c>
      <c r="W57" s="3">
        <v>1710</v>
      </c>
      <c r="X57" s="4">
        <f>Aetintio!C57 + Arbiya!C57 + 'Curata'!C57 + 'Disal Nila'!C57 + Etirha!C57 + Fincen!C57 + Gaeiya!C57 + Genaire!C57 + Grazail!C57 + Guise!C57 + Laselteh!C57 + Lasri!C57 + Metndria!C57 + 'New Misos'!C57 + Peka!C57 + Pelan!C57 + Phuris!C57 + 'Raledria'!C57 + Slyiaduun!C57 + Tomscilus!C57</f>
        <v>246617246.30292773</v>
      </c>
      <c r="Y57" s="5">
        <f t="shared" si="6"/>
        <v>2.0629495426835766E-2</v>
      </c>
      <c r="Z57" s="5">
        <f t="shared" si="7"/>
        <v>8.0767692472070496E-2</v>
      </c>
      <c r="AG57" s="3">
        <f t="shared" si="8"/>
        <v>1960</v>
      </c>
      <c r="AH57" s="3">
        <v>1710</v>
      </c>
      <c r="AI57" s="4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638516978.77279222</v>
      </c>
      <c r="AJ57" s="5">
        <f t="shared" si="9"/>
        <v>1.455838113226603E-2</v>
      </c>
      <c r="AK57" s="5">
        <f t="shared" si="10"/>
        <v>0.209115719816162</v>
      </c>
      <c r="AR57" s="3">
        <f t="shared" si="11"/>
        <v>1960</v>
      </c>
      <c r="AS57" s="3">
        <v>1710</v>
      </c>
      <c r="AT57" s="4">
        <f>Amcha!C57 + Byllu!C57 + 'Chaenia'!C57 + 'Cruthi Anoso'!C57 + 'Dual Cenryia'!C57 + Exilium!C57 + Galca!C57 + Inania!C57 + Inrea!C57 + Isnti!C57 + Lieri!C57 + Ocaun!C57 + Otiiric!C57 + Ozinia!C57 + Pelugrotoa!C57 + 'Rtesania'!C57 + Sadain!C57 + Selaja!C57 + Seytinemas!C57 + Sivoso!C57 + Sunsokua!C57 + Taing!C57 + Taoisia!C57 + Trian!C57 + Vayvele!C57</f>
        <v>511234623.4704833</v>
      </c>
      <c r="AU57" s="5">
        <f t="shared" si="12"/>
        <v>2.9657667270868757E-2</v>
      </c>
      <c r="AV57" s="5">
        <f t="shared" si="13"/>
        <v>0.16743046753031787</v>
      </c>
      <c r="BC57" s="3">
        <f t="shared" si="14"/>
        <v>1960</v>
      </c>
      <c r="BD57" s="3">
        <v>1710</v>
      </c>
      <c r="BE57" s="4">
        <f>'Canldives'!C57 + 'Cloja'!C57 + Dahe!C57 + Eparia!C57 + Etretes!C57 + Haiza!C57 + Ihner!C57 + Kaastini!C57 + Kusierna!C57 + Migoku!C57 + 'North Ayre'!C57 + Oscairia!C57 + Oyreain!C57 + 'Pha Hii'!C57 + 'Pruim Fijan'!C57 + 'Prystr Hii'!C57 + 'Ruylku'!C57 + Sanagara!C57 + Shinam!C57 + Stinebar!C57 + Suenan!C57 + Taval!C57 + Ucrua!C57 + Vesozata!C57 + 'Welenu Fana'!C57 + 'Western Migoku'!C57</f>
        <v>747452929.93462753</v>
      </c>
      <c r="BF57" s="5">
        <f t="shared" si="15"/>
        <v>1.4931469513845953E-2</v>
      </c>
      <c r="BG57" s="5">
        <f t="shared" si="16"/>
        <v>0.24479248425373148</v>
      </c>
      <c r="BN57" s="3">
        <f t="shared" si="17"/>
        <v>1960</v>
      </c>
      <c r="BO57" s="3">
        <v>1710</v>
      </c>
      <c r="BP57" s="4">
        <f>Andsaudare!C57 + Aplasia!C57 + Astye!C57 + 'Crila Republic'!C57 + 'Elja and Munusia'!C57 + Hiwush!C57 + Iainoa!C57 + Isari!C57 + Isuibul!C57 + Maalle!C57 + Mendereide!C57 + Nia!C57 + 'Niretui and Anulan'!C57 + Ohtina!C57 + Prstreula!C57 + 'Rethern'!C57 + 'Rkmepuia'!C57 + Tvecoca!C57 + Umarcia!C57 + 'United Delet'!C57 + Veelmit!C57 + Walporein!C57 + Yutnitu!C57</f>
        <v>96283438.834950835</v>
      </c>
      <c r="BQ57" s="7">
        <f t="shared" si="18"/>
        <v>2.1373001658314274E-2</v>
      </c>
      <c r="BR57" s="5">
        <f t="shared" si="19"/>
        <v>3.1533038725209378E-2</v>
      </c>
      <c r="BY57" s="3">
        <f t="shared" si="20"/>
        <v>1960</v>
      </c>
      <c r="BZ57" s="3">
        <v>1710</v>
      </c>
      <c r="CA57" s="4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390122302.27041376</v>
      </c>
      <c r="CB57" s="7">
        <f t="shared" si="21"/>
        <v>2.1762891152433485E-2</v>
      </c>
      <c r="CC57" s="5">
        <f t="shared" si="22"/>
        <v>0.12776591503081286</v>
      </c>
    </row>
    <row r="58" spans="1:81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2992814884.085084</v>
      </c>
      <c r="D58" s="5">
        <f t="shared" si="1"/>
        <v>2.0242958238365395E-2</v>
      </c>
      <c r="K58" s="3">
        <f t="shared" si="2"/>
        <v>1959</v>
      </c>
      <c r="L58" s="3">
        <v>1709</v>
      </c>
      <c r="M58" s="4">
        <f>'Areoix Lie'!C58 + Pelines!C58 + Terressin!C58 + Taniduna!C58 + Iquir!C58 + Deschon!C58 + Othya!C58 + Eldavpir!C58 + 'Candenat'!C58 + Jau!C58 + Viussi!C58 + Jathua!C58 + Jshain!C58 + Acetoa!C58 + Sattle!C58 + 'Reerica'!C58 + 'Feio Lie'!C58 + Umendel!C58 + 'Fire Coast'!C58 + Yoprioq!C58 + 'Rijan bu'!C58 + Saa!C58 + 'Rinew'!C58 + Enina!C58 + Trevilla!C58</f>
        <v>406294432.54326248</v>
      </c>
      <c r="N58" s="5">
        <f t="shared" si="3"/>
        <v>2.5331504977207851E-2</v>
      </c>
      <c r="O58" s="5">
        <f t="shared" si="4"/>
        <v>0.1357566198644018</v>
      </c>
      <c r="V58" s="3">
        <f t="shared" si="5"/>
        <v>1959</v>
      </c>
      <c r="W58" s="3">
        <v>1709</v>
      </c>
      <c r="X58" s="4">
        <f>Aetintio!C58 + Arbiya!C58 + 'Curata'!C58 + 'Disal Nila'!C58 + Etirha!C58 + Fincen!C58 + Gaeiya!C58 + Genaire!C58 + Grazail!C58 + Guise!C58 + Laselteh!C58 + Lasri!C58 + Metndria!C58 + 'New Misos'!C58 + Peka!C58 + Pelan!C58 + Phuris!C58 + 'Raledria'!C58 + Slyiaduun!C58 + Tomscilus!C58</f>
        <v>241632489.95639729</v>
      </c>
      <c r="Y58" s="5">
        <f t="shared" si="6"/>
        <v>2.0312202785356021E-2</v>
      </c>
      <c r="Z58" s="5">
        <f t="shared" si="7"/>
        <v>8.073753282948716E-2</v>
      </c>
      <c r="AG58" s="3">
        <f t="shared" si="8"/>
        <v>1959</v>
      </c>
      <c r="AH58" s="3">
        <v>1709</v>
      </c>
      <c r="AI58" s="4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629354594.71557999</v>
      </c>
      <c r="AJ58" s="5">
        <f t="shared" si="9"/>
        <v>1.447175804942215E-2</v>
      </c>
      <c r="AK58" s="5">
        <f t="shared" si="10"/>
        <v>0.21028851402146656</v>
      </c>
      <c r="AR58" s="3">
        <f t="shared" si="11"/>
        <v>1959</v>
      </c>
      <c r="AS58" s="3">
        <v>1709</v>
      </c>
      <c r="AT58" s="4">
        <f>Amcha!C58 + Byllu!C58 + 'Chaenia'!C58 + 'Cruthi Anoso'!C58 + 'Dual Cenryia'!C58 + Exilium!C58 + Galca!C58 + Inania!C58 + Inrea!C58 + Isnti!C58 + Lieri!C58 + Ocaun!C58 + Otiiric!C58 + Ozinia!C58 + Pelugrotoa!C58 + 'Rtesania'!C58 + Sadain!C58 + Selaja!C58 + Seytinemas!C58 + Sivoso!C58 + Sunsokua!C58 + Taing!C58 + Taoisia!C58 + Trian!C58 + Vayvele!C58</f>
        <v>496509315.39753634</v>
      </c>
      <c r="AU58" s="5">
        <f t="shared" si="12"/>
        <v>3.0048797855480692E-2</v>
      </c>
      <c r="AV58" s="5">
        <f t="shared" si="13"/>
        <v>0.16590044310385782</v>
      </c>
      <c r="BC58" s="3">
        <f t="shared" si="14"/>
        <v>1959</v>
      </c>
      <c r="BD58" s="3">
        <v>1709</v>
      </c>
      <c r="BE58" s="4">
        <f>'Canldives'!C58 + 'Cloja'!C58 + Dahe!C58 + Eparia!C58 + Etretes!C58 + Haiza!C58 + Ihner!C58 + Kaastini!C58 + Kusierna!C58 + Migoku!C58 + 'North Ayre'!C58 + Oscairia!C58 + Oyreain!C58 + 'Pha Hii'!C58 + 'Pruim Fijan'!C58 + 'Prystr Hii'!C58 + 'Ruylku'!C58 + Sanagara!C58 + Shinam!C58 + Stinebar!C58 + Suenan!C58 + Taval!C58 + Ucrua!C58 + Vesozata!C58 + 'Welenu Fana'!C58 + 'Western Migoku'!C58</f>
        <v>736456551.38928628</v>
      </c>
      <c r="BF58" s="5">
        <f t="shared" si="15"/>
        <v>1.4986297794994181E-2</v>
      </c>
      <c r="BG58" s="5">
        <f t="shared" si="16"/>
        <v>0.24607487596561595</v>
      </c>
      <c r="BN58" s="3">
        <f t="shared" si="17"/>
        <v>1959</v>
      </c>
      <c r="BO58" s="3">
        <v>1709</v>
      </c>
      <c r="BP58" s="4">
        <f>Andsaudare!C58 + Aplasia!C58 + Astye!C58 + 'Crila Republic'!C58 + 'Elja and Munusia'!C58 + Hiwush!C58 + Iainoa!C58 + Isari!C58 + Isuibul!C58 + Maalle!C58 + Mendereide!C58 + Nia!C58 + 'Niretui and Anulan'!C58 + Ohtina!C58 + Prstreula!C58 + 'Rethern'!C58 + 'Rkmepuia'!C58 + Tvecoca!C58 + Umarcia!C58 + 'United Delet'!C58 + Veelmit!C58 + Walporein!C58 + Yutnitu!C58</f>
        <v>94268635.139781266</v>
      </c>
      <c r="BQ58" s="6">
        <f t="shared" si="18"/>
        <v>2.1249370180861118E-2</v>
      </c>
      <c r="BR58" s="5">
        <f t="shared" si="19"/>
        <v>3.1498318068743363E-2</v>
      </c>
      <c r="BY58" s="3">
        <f t="shared" si="20"/>
        <v>1959</v>
      </c>
      <c r="BZ58" s="3">
        <v>1709</v>
      </c>
      <c r="CA58" s="4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381812948.62881517</v>
      </c>
      <c r="CB58" s="6">
        <f t="shared" si="21"/>
        <v>2.1650198921781678E-2</v>
      </c>
      <c r="CC58" s="5">
        <f t="shared" si="22"/>
        <v>0.12757653360359339</v>
      </c>
    </row>
    <row r="59" spans="1:81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2933433512.0065145</v>
      </c>
      <c r="D59" s="5">
        <f t="shared" si="1"/>
        <v>2.0295851289352688E-2</v>
      </c>
      <c r="K59" s="3">
        <f t="shared" si="2"/>
        <v>1958</v>
      </c>
      <c r="L59" s="3">
        <v>1708</v>
      </c>
      <c r="M59" s="4">
        <f>'Areoix Lie'!C59 + Pelines!C59 + Terressin!C59 + Taniduna!C59 + Iquir!C59 + Deschon!C59 + Othya!C59 + Eldavpir!C59 + 'Candenat'!C59 + Jau!C59 + Viussi!C59 + Jathua!C59 + Jshain!C59 + Acetoa!C59 + Sattle!C59 + 'Reerica'!C59 + 'Feio Lie'!C59 + Umendel!C59 + 'Fire Coast'!C59 + Yoprioq!C59 + 'Rijan bu'!C59 + Saa!C59 + 'Rinew'!C59 + Enina!C59 + Trevilla!C59</f>
        <v>396256655.1120401</v>
      </c>
      <c r="N59" s="5">
        <f t="shared" si="3"/>
        <v>2.5416234674582212E-2</v>
      </c>
      <c r="O59" s="5">
        <f t="shared" si="4"/>
        <v>0.13508288273457214</v>
      </c>
      <c r="V59" s="3">
        <f t="shared" si="5"/>
        <v>1958</v>
      </c>
      <c r="W59" s="3">
        <v>1708</v>
      </c>
      <c r="X59" s="4">
        <f>Aetintio!C59 + Arbiya!C59 + 'Curata'!C59 + 'Disal Nila'!C59 + Etirha!C59 + Fincen!C59 + Gaeiya!C59 + Genaire!C59 + Grazail!C59 + Guise!C59 + Laselteh!C59 + Lasri!C59 + Metndria!C59 + 'New Misos'!C59 + Peka!C59 + Pelan!C59 + Phuris!C59 + 'Raledria'!C59 + Slyiaduun!C59 + Tomscilus!C59</f>
        <v>236822111.20945472</v>
      </c>
      <c r="Y59" s="5">
        <f t="shared" si="6"/>
        <v>2.0582540949011689E-2</v>
      </c>
      <c r="Z59" s="5">
        <f t="shared" si="7"/>
        <v>8.0732053492995198E-2</v>
      </c>
      <c r="AG59" s="3">
        <f t="shared" si="8"/>
        <v>1958</v>
      </c>
      <c r="AH59" s="3">
        <v>1708</v>
      </c>
      <c r="AI59" s="4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620376653.88110256</v>
      </c>
      <c r="AJ59" s="5">
        <f t="shared" si="9"/>
        <v>1.4550985777755309E-2</v>
      </c>
      <c r="AK59" s="5">
        <f t="shared" si="10"/>
        <v>0.21148481850429096</v>
      </c>
      <c r="AR59" s="3">
        <f t="shared" si="11"/>
        <v>1958</v>
      </c>
      <c r="AS59" s="3">
        <v>1708</v>
      </c>
      <c r="AT59" s="4">
        <f>Amcha!C59 + Byllu!C59 + 'Chaenia'!C59 + 'Cruthi Anoso'!C59 + 'Dual Cenryia'!C59 + Exilium!C59 + Galca!C59 + Inania!C59 + Inrea!C59 + Isnti!C59 + Lieri!C59 + Ocaun!C59 + Otiiric!C59 + Ozinia!C59 + Pelugrotoa!C59 + 'Rtesania'!C59 + Sadain!C59 + Selaja!C59 + Seytinemas!C59 + Sivoso!C59 + Sunsokua!C59 + Taing!C59 + Taoisia!C59 + Trian!C59 + Vayvele!C59</f>
        <v>482025042.33901185</v>
      </c>
      <c r="AU59" s="5">
        <f t="shared" si="12"/>
        <v>3.0301220724602083E-2</v>
      </c>
      <c r="AV59" s="5">
        <f t="shared" si="13"/>
        <v>0.16432110711427006</v>
      </c>
      <c r="BC59" s="3">
        <f t="shared" si="14"/>
        <v>1958</v>
      </c>
      <c r="BD59" s="3">
        <v>1708</v>
      </c>
      <c r="BE59" s="4">
        <f>'Canldives'!C59 + 'Cloja'!C59 + Dahe!C59 + Eparia!C59 + Etretes!C59 + Haiza!C59 + Ihner!C59 + Kaastini!C59 + Kusierna!C59 + Migoku!C59 + 'North Ayre'!C59 + Oscairia!C59 + Oyreain!C59 + 'Pha Hii'!C59 + 'Pruim Fijan'!C59 + 'Prystr Hii'!C59 + 'Ruylku'!C59 + Sanagara!C59 + Shinam!C59 + Stinebar!C59 + Suenan!C59 + Taval!C59 + Ucrua!C59 + Vesozata!C59 + 'Welenu Fana'!C59 + 'Western Migoku'!C59</f>
        <v>725582752.19005466</v>
      </c>
      <c r="BF59" s="5">
        <f t="shared" si="15"/>
        <v>1.5137288718167052E-2</v>
      </c>
      <c r="BG59" s="5">
        <f t="shared" si="16"/>
        <v>0.24734930899925006</v>
      </c>
      <c r="BN59" s="3">
        <f t="shared" si="17"/>
        <v>1958</v>
      </c>
      <c r="BO59" s="3">
        <v>1708</v>
      </c>
      <c r="BP59" s="4">
        <f>Andsaudare!C59 + Aplasia!C59 + Astye!C59 + 'Crila Republic'!C59 + 'Elja and Munusia'!C59 + Hiwush!C59 + Iainoa!C59 + Isari!C59 + Isuibul!C59 + Maalle!C59 + Mendereide!C59 + Nia!C59 + 'Niretui and Anulan'!C59 + Ohtina!C59 + Prstreula!C59 + 'Rethern'!C59 + 'Rkmepuia'!C59 + Tvecoca!C59 + Umarcia!C59 + 'United Delet'!C59 + Veelmit!C59 + Walporein!C59 + Yutnitu!C59</f>
        <v>92307165.999119774</v>
      </c>
      <c r="BQ59" s="7">
        <f t="shared" si="18"/>
        <v>2.1040466117863432E-2</v>
      </c>
      <c r="BR59" s="5">
        <f t="shared" si="19"/>
        <v>3.146727738034881E-2</v>
      </c>
      <c r="BY59" s="3">
        <f t="shared" si="20"/>
        <v>1958</v>
      </c>
      <c r="BZ59" s="3">
        <v>1708</v>
      </c>
      <c r="CA59" s="4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373721797.37425673</v>
      </c>
      <c r="CB59" s="7">
        <f t="shared" si="21"/>
        <v>2.1386335301534852E-2</v>
      </c>
      <c r="CC59" s="5">
        <f t="shared" si="22"/>
        <v>0.1274008072262818</v>
      </c>
    </row>
    <row r="60" spans="1:81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2875081289.7058444</v>
      </c>
      <c r="D60" s="5">
        <f t="shared" si="1"/>
        <v>2.0387485032919452E-2</v>
      </c>
      <c r="K60" s="3">
        <f t="shared" si="2"/>
        <v>1957</v>
      </c>
      <c r="L60" s="3">
        <v>1707</v>
      </c>
      <c r="M60" s="4">
        <f>'Areoix Lie'!C60 + Pelines!C60 + Terressin!C60 + Taniduna!C60 + Iquir!C60 + Deschon!C60 + Othya!C60 + Eldavpir!C60 + 'Candenat'!C60 + Jau!C60 + Viussi!C60 + Jathua!C60 + Jshain!C60 + Acetoa!C60 + Sattle!C60 + 'Reerica'!C60 + 'Feio Lie'!C60 + Umendel!C60 + 'Fire Coast'!C60 + Yoprioq!C60 + 'Rijan bu'!C60 + Saa!C60 + 'Rinew'!C60 + Enina!C60 + Trevilla!C60</f>
        <v>386434934.139494</v>
      </c>
      <c r="N60" s="5">
        <f t="shared" si="3"/>
        <v>2.5384286331724178E-2</v>
      </c>
      <c r="O60" s="5">
        <f t="shared" si="4"/>
        <v>0.13440835065189791</v>
      </c>
      <c r="V60" s="3">
        <f t="shared" si="5"/>
        <v>1957</v>
      </c>
      <c r="W60" s="3">
        <v>1707</v>
      </c>
      <c r="X60" s="4">
        <f>Aetintio!C60 + Arbiya!C60 + 'Curata'!C60 + 'Disal Nila'!C60 + Etirha!C60 + Fincen!C60 + Gaeiya!C60 + Genaire!C60 + Grazail!C60 + Guise!C60 + Laselteh!C60 + Lasri!C60 + Metndria!C60 + 'New Misos'!C60 + Peka!C60 + Pelan!C60 + Phuris!C60 + 'Raledria'!C60 + Slyiaduun!C60 + Tomscilus!C60</f>
        <v>232046014.61165535</v>
      </c>
      <c r="Y60" s="5">
        <f t="shared" si="6"/>
        <v>2.0878911528766135E-2</v>
      </c>
      <c r="Z60" s="5">
        <f t="shared" si="7"/>
        <v>8.0709375224446767E-2</v>
      </c>
      <c r="AG60" s="3">
        <f t="shared" si="8"/>
        <v>1957</v>
      </c>
      <c r="AH60" s="3">
        <v>1707</v>
      </c>
      <c r="AI60" s="4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611479031.19479156</v>
      </c>
      <c r="AJ60" s="5">
        <f t="shared" si="9"/>
        <v>1.4258440181346725E-2</v>
      </c>
      <c r="AK60" s="5">
        <f t="shared" si="10"/>
        <v>0.21268234515113596</v>
      </c>
      <c r="AR60" s="3">
        <f t="shared" si="11"/>
        <v>1957</v>
      </c>
      <c r="AS60" s="3">
        <v>1707</v>
      </c>
      <c r="AT60" s="4">
        <f>Amcha!C60 + Byllu!C60 + 'Chaenia'!C60 + 'Cruthi Anoso'!C60 + 'Dual Cenryia'!C60 + Exilium!C60 + Galca!C60 + Inania!C60 + Inrea!C60 + Isnti!C60 + Lieri!C60 + Ocaun!C60 + Otiiric!C60 + Ozinia!C60 + Pelugrotoa!C60 + 'Rtesania'!C60 + Sadain!C60 + Selaja!C60 + Seytinemas!C60 + Sivoso!C60 + Sunsokua!C60 + Taing!C60 + Taoisia!C60 + Trian!C60 + Vayvele!C60</f>
        <v>467848656.91997117</v>
      </c>
      <c r="AU60" s="5">
        <f t="shared" si="12"/>
        <v>3.0758722548929349E-2</v>
      </c>
      <c r="AV60" s="5">
        <f t="shared" si="13"/>
        <v>0.16272536661662104</v>
      </c>
      <c r="BC60" s="3">
        <f t="shared" si="14"/>
        <v>1957</v>
      </c>
      <c r="BD60" s="3">
        <v>1707</v>
      </c>
      <c r="BE60" s="4">
        <f>'Canldives'!C60 + 'Cloja'!C60 + Dahe!C60 + Eparia!C60 + Etretes!C60 + Haiza!C60 + Ihner!C60 + Kaastini!C60 + Kusierna!C60 + Migoku!C60 + 'North Ayre'!C60 + Oscairia!C60 + Oyreain!C60 + 'Pha Hii'!C60 + 'Pruim Fijan'!C60 + 'Prystr Hii'!C60 + 'Ruylku'!C60 + Sanagara!C60 + Shinam!C60 + Stinebar!C60 + Suenan!C60 + Taval!C60 + Ucrua!C60 + Vesozata!C60 + 'Welenu Fana'!C60 + 'Western Migoku'!C60</f>
        <v>714763175.63534844</v>
      </c>
      <c r="BF60" s="5">
        <f t="shared" si="15"/>
        <v>1.5555547864616997E-2</v>
      </c>
      <c r="BG60" s="5">
        <f t="shared" si="16"/>
        <v>0.24860624921964464</v>
      </c>
      <c r="BN60" s="3">
        <f t="shared" si="17"/>
        <v>1957</v>
      </c>
      <c r="BO60" s="3">
        <v>1707</v>
      </c>
      <c r="BP60" s="4">
        <f>Andsaudare!C60 + Aplasia!C60 + Astye!C60 + 'Crila Republic'!C60 + 'Elja and Munusia'!C60 + Hiwush!C60 + Iainoa!C60 + Isari!C60 + Isuibul!C60 + Maalle!C60 + Mendereide!C60 + Nia!C60 + 'Niretui and Anulan'!C60 + Ohtina!C60 + Prstreula!C60 + 'Rethern'!C60 + 'Rkmepuia'!C60 + Tvecoca!C60 + Umarcia!C60 + 'United Delet'!C60 + Veelmit!C60 + Walporein!C60 + Yutnitu!C60</f>
        <v>90405002.604925483</v>
      </c>
      <c r="BQ60" s="6">
        <f t="shared" si="18"/>
        <v>2.0977774262170835E-2</v>
      </c>
      <c r="BR60" s="5">
        <f t="shared" si="19"/>
        <v>3.1444329219009665E-2</v>
      </c>
      <c r="BY60" s="3">
        <f t="shared" si="20"/>
        <v>1957</v>
      </c>
      <c r="BZ60" s="3">
        <v>1707</v>
      </c>
      <c r="CA60" s="4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365896609.79155958</v>
      </c>
      <c r="CB60" s="6">
        <f t="shared" si="21"/>
        <v>2.1323261157084161E-2</v>
      </c>
      <c r="CC60" s="5">
        <f t="shared" si="22"/>
        <v>0.12726478764327226</v>
      </c>
    </row>
    <row r="61" spans="1:81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2817636762.3845263</v>
      </c>
      <c r="D61" s="5">
        <f t="shared" si="1"/>
        <v>2.015707605984049E-2</v>
      </c>
      <c r="K61" s="3">
        <f t="shared" si="2"/>
        <v>1956</v>
      </c>
      <c r="L61" s="3">
        <v>1706</v>
      </c>
      <c r="M61" s="4">
        <f>'Areoix Lie'!C61 + Pelines!C61 + Terressin!C61 + Taniduna!C61 + Iquir!C61 + Deschon!C61 + Othya!C61 + Eldavpir!C61 + 'Candenat'!C61 + Jau!C61 + Viussi!C61 + Jathua!C61 + Jshain!C61 + Acetoa!C61 + Sattle!C61 + 'Reerica'!C61 + 'Feio Lie'!C61 + Umendel!C61 + 'Fire Coast'!C61 + Yoprioq!C61 + 'Rijan bu'!C61 + Saa!C61 + 'Rinew'!C61 + Enina!C61 + Trevilla!C61</f>
        <v>376868398.79510075</v>
      </c>
      <c r="N61" s="5">
        <f t="shared" si="3"/>
        <v>2.5313993778919762E-2</v>
      </c>
      <c r="O61" s="5">
        <f t="shared" si="4"/>
        <v>0.13375336516981073</v>
      </c>
      <c r="V61" s="3">
        <f t="shared" si="5"/>
        <v>1956</v>
      </c>
      <c r="W61" s="3">
        <v>1706</v>
      </c>
      <c r="X61" s="4">
        <f>Aetintio!C61 + Arbiya!C61 + 'Curata'!C61 + 'Disal Nila'!C61 + Etirha!C61 + Fincen!C61 + Gaeiya!C61 + Genaire!C61 + Grazail!C61 + Guise!C61 + Laselteh!C61 + Lasri!C61 + Metndria!C61 + 'New Misos'!C61 + Peka!C61 + Pelan!C61 + Phuris!C61 + 'Raledria'!C61 + Slyiaduun!C61 + Tomscilus!C61</f>
        <v>227300233.15318215</v>
      </c>
      <c r="Y61" s="5">
        <f t="shared" si="6"/>
        <v>2.0962837713252466E-2</v>
      </c>
      <c r="Z61" s="5">
        <f t="shared" si="7"/>
        <v>8.067052367701974E-2</v>
      </c>
      <c r="AG61" s="3">
        <f t="shared" si="8"/>
        <v>1956</v>
      </c>
      <c r="AH61" s="3">
        <v>1706</v>
      </c>
      <c r="AI61" s="4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602882861.97101867</v>
      </c>
      <c r="AJ61" s="5">
        <f t="shared" si="9"/>
        <v>1.3525995685393729E-2</v>
      </c>
      <c r="AK61" s="5">
        <f t="shared" si="10"/>
        <v>0.21396755962993874</v>
      </c>
      <c r="AR61" s="3">
        <f t="shared" si="11"/>
        <v>1956</v>
      </c>
      <c r="AS61" s="3">
        <v>1706</v>
      </c>
      <c r="AT61" s="4">
        <f>Amcha!C61 + Byllu!C61 + 'Chaenia'!C61 + 'Cruthi Anoso'!C61 + 'Dual Cenryia'!C61 + Exilium!C61 + Galca!C61 + Inania!C61 + Inrea!C61 + Isnti!C61 + Lieri!C61 + Ocaun!C61 + Otiiric!C61 + Ozinia!C61 + Pelugrotoa!C61 + 'Rtesania'!C61 + Sadain!C61 + Selaja!C61 + Seytinemas!C61 + Sivoso!C61 + Sunsokua!C61 + Taing!C61 + Taoisia!C61 + Trian!C61 + Vayvele!C61</f>
        <v>453887652.54689634</v>
      </c>
      <c r="AU61" s="5">
        <f t="shared" si="12"/>
        <v>3.0569459681035541E-2</v>
      </c>
      <c r="AV61" s="5">
        <f t="shared" si="13"/>
        <v>0.16108806451076313</v>
      </c>
      <c r="BC61" s="3">
        <f t="shared" si="14"/>
        <v>1956</v>
      </c>
      <c r="BD61" s="3">
        <v>1706</v>
      </c>
      <c r="BE61" s="4">
        <f>'Canldives'!C61 + 'Cloja'!C61 + Dahe!C61 + Eparia!C61 + Etretes!C61 + Haiza!C61 + Ihner!C61 + Kaastini!C61 + Kusierna!C61 + Migoku!C61 + 'North Ayre'!C61 + Oscairia!C61 + Oyreain!C61 + 'Pha Hii'!C61 + 'Pruim Fijan'!C61 + 'Prystr Hii'!C61 + 'Ruylku'!C61 + Sanagara!C61 + Shinam!C61 + Stinebar!C61 + Suenan!C61 + Taval!C61 + Ucrua!C61 + Vesozata!C61 + 'Welenu Fana'!C61 + 'Western Migoku'!C61</f>
        <v>703814948.51587677</v>
      </c>
      <c r="BF61" s="5">
        <f t="shared" si="15"/>
        <v>1.5609125819183462E-2</v>
      </c>
      <c r="BG61" s="5">
        <f t="shared" si="16"/>
        <v>0.24978909911732133</v>
      </c>
      <c r="BN61" s="3">
        <f t="shared" si="17"/>
        <v>1956</v>
      </c>
      <c r="BO61" s="3">
        <v>1706</v>
      </c>
      <c r="BP61" s="4">
        <f>Andsaudare!C61 + Aplasia!C61 + Astye!C61 + 'Crila Republic'!C61 + 'Elja and Munusia'!C61 + Hiwush!C61 + Iainoa!C61 + Isari!C61 + Isuibul!C61 + Maalle!C61 + Mendereide!C61 + Nia!C61 + 'Niretui and Anulan'!C61 + Ohtina!C61 + Prstreula!C61 + 'Rethern'!C61 + 'Rkmepuia'!C61 + Tvecoca!C61 + Umarcia!C61 + 'United Delet'!C61 + Veelmit!C61 + Walporein!C61 + Yutnitu!C61</f>
        <v>88547473.690363526</v>
      </c>
      <c r="BQ61" s="7">
        <f t="shared" si="18"/>
        <v>2.0774897899146216E-2</v>
      </c>
      <c r="BR61" s="5">
        <f t="shared" si="19"/>
        <v>3.1426149343475721E-2</v>
      </c>
      <c r="BY61" s="3">
        <f t="shared" si="20"/>
        <v>1956</v>
      </c>
      <c r="BZ61" s="3">
        <v>1706</v>
      </c>
      <c r="CA61" s="4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358257393.82164431</v>
      </c>
      <c r="CB61" s="7">
        <f t="shared" si="21"/>
        <v>2.1203966726709371E-2</v>
      </c>
      <c r="CC61" s="5">
        <f t="shared" si="22"/>
        <v>0.12714818269138997</v>
      </c>
    </row>
    <row r="62" spans="1:81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2761963650.9968677</v>
      </c>
      <c r="D62" s="5">
        <f t="shared" si="1"/>
        <v>2.0048118408649885E-2</v>
      </c>
      <c r="K62" s="3">
        <f t="shared" si="2"/>
        <v>1955</v>
      </c>
      <c r="L62" s="3">
        <v>1705</v>
      </c>
      <c r="M62" s="4">
        <f>'Areoix Lie'!C62 + Pelines!C62 + Terressin!C62 + Taniduna!C62 + Iquir!C62 + Deschon!C62 + Othya!C62 + Eldavpir!C62 + 'Candenat'!C62 + Jau!C62 + Viussi!C62 + Jathua!C62 + Jshain!C62 + Acetoa!C62 + Sattle!C62 + 'Reerica'!C62 + 'Feio Lie'!C62 + Umendel!C62 + 'Fire Coast'!C62 + Yoprioq!C62 + 'Rijan bu'!C62 + Saa!C62 + 'Rinew'!C62 + Enina!C62 + Trevilla!C62</f>
        <v>367563888.80064565</v>
      </c>
      <c r="N62" s="5">
        <f t="shared" si="3"/>
        <v>2.5246678463394037E-2</v>
      </c>
      <c r="O62" s="5">
        <f t="shared" si="4"/>
        <v>0.13308063944577325</v>
      </c>
      <c r="V62" s="3">
        <f t="shared" si="5"/>
        <v>1955</v>
      </c>
      <c r="W62" s="3">
        <v>1705</v>
      </c>
      <c r="X62" s="4">
        <f>Aetintio!C62 + Arbiya!C62 + 'Curata'!C62 + 'Disal Nila'!C62 + Etirha!C62 + Fincen!C62 + Gaeiya!C62 + Genaire!C62 + Grazail!C62 + Guise!C62 + Laselteh!C62 + Lasri!C62 + Metndria!C62 + 'New Misos'!C62 + Peka!C62 + Pelan!C62 + Phuris!C62 + 'Raledria'!C62 + Slyiaduun!C62 + Tomscilus!C62</f>
        <v>222633209.31669569</v>
      </c>
      <c r="Y62" s="5">
        <f t="shared" si="6"/>
        <v>2.0904859984855858E-2</v>
      </c>
      <c r="Z62" s="5">
        <f t="shared" si="7"/>
        <v>8.0606857094712783E-2</v>
      </c>
      <c r="AG62" s="3">
        <f t="shared" si="8"/>
        <v>1955</v>
      </c>
      <c r="AH62" s="3">
        <v>1705</v>
      </c>
      <c r="AI62" s="4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594837097.95062637</v>
      </c>
      <c r="AJ62" s="5">
        <f t="shared" si="9"/>
        <v>1.3773831319787225E-2</v>
      </c>
      <c r="AK62" s="5">
        <f t="shared" si="10"/>
        <v>0.2153674606600755</v>
      </c>
      <c r="AR62" s="3">
        <f t="shared" si="11"/>
        <v>1955</v>
      </c>
      <c r="AS62" s="3">
        <v>1705</v>
      </c>
      <c r="AT62" s="4">
        <f>Amcha!C62 + Byllu!C62 + 'Chaenia'!C62 + 'Cruthi Anoso'!C62 + 'Dual Cenryia'!C62 + Exilium!C62 + Galca!C62 + Inania!C62 + Inrea!C62 + Isnti!C62 + Lieri!C62 + Ocaun!C62 + Otiiric!C62 + Ozinia!C62 + Pelugrotoa!C62 + 'Rtesania'!C62 + Sadain!C62 + Selaja!C62 + Seytinemas!C62 + Sivoso!C62 + Sunsokua!C62 + Taing!C62 + Taoisia!C62 + Trian!C62 + Vayvele!C62</f>
        <v>440424125.01470399</v>
      </c>
      <c r="AU62" s="5">
        <f t="shared" si="12"/>
        <v>2.9987151108705517E-2</v>
      </c>
      <c r="AV62" s="5">
        <f t="shared" si="13"/>
        <v>0.15946050732990022</v>
      </c>
      <c r="BC62" s="3">
        <f t="shared" si="14"/>
        <v>1955</v>
      </c>
      <c r="BD62" s="3">
        <v>1705</v>
      </c>
      <c r="BE62" s="4">
        <f>'Canldives'!C62 + 'Cloja'!C62 + Dahe!C62 + Eparia!C62 + Etretes!C62 + Haiza!C62 + Ihner!C62 + Kaastini!C62 + Kusierna!C62 + Migoku!C62 + 'North Ayre'!C62 + Oscairia!C62 + Oyreain!C62 + 'Pha Hii'!C62 + 'Pruim Fijan'!C62 + 'Prystr Hii'!C62 + 'Ruylku'!C62 + Sanagara!C62 + Shinam!C62 + Stinebar!C62 + Suenan!C62 + Taval!C62 + Ucrua!C62 + Vesozata!C62 + 'Welenu Fana'!C62 + 'Western Migoku'!C62</f>
        <v>692997857.76165056</v>
      </c>
      <c r="BF62" s="5">
        <f t="shared" si="15"/>
        <v>1.5630296567816004E-2</v>
      </c>
      <c r="BG62" s="5">
        <f t="shared" si="16"/>
        <v>0.25090766763405042</v>
      </c>
      <c r="BN62" s="3">
        <f t="shared" si="17"/>
        <v>1955</v>
      </c>
      <c r="BO62" s="3">
        <v>1705</v>
      </c>
      <c r="BP62" s="4">
        <f>Andsaudare!C62 + Aplasia!C62 + Astye!C62 + 'Crila Republic'!C62 + 'Elja and Munusia'!C62 + Hiwush!C62 + Iainoa!C62 + Isari!C62 + Isuibul!C62 + Maalle!C62 + Mendereide!C62 + Nia!C62 + 'Niretui and Anulan'!C62 + Ohtina!C62 + Prstreula!C62 + 'Rethern'!C62 + 'Rkmepuia'!C62 + Tvecoca!C62 + Umarcia!C62 + 'United Delet'!C62 + Veelmit!C62 + Walporein!C62 + Yutnitu!C62</f>
        <v>86745347.943609133</v>
      </c>
      <c r="BQ62" s="6">
        <f t="shared" si="18"/>
        <v>2.0556030876588673E-2</v>
      </c>
      <c r="BR62" s="5">
        <f t="shared" si="19"/>
        <v>3.1407128733320001E-2</v>
      </c>
      <c r="BY62" s="3">
        <f t="shared" si="20"/>
        <v>1955</v>
      </c>
      <c r="BZ62" s="3">
        <v>1705</v>
      </c>
      <c r="CA62" s="4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350818646.90554982</v>
      </c>
      <c r="CB62" s="6">
        <f t="shared" si="21"/>
        <v>2.099964000752564E-2</v>
      </c>
      <c r="CC62" s="5">
        <f t="shared" si="22"/>
        <v>0.12701783630603894</v>
      </c>
    </row>
    <row r="63" spans="1:81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2707679766.426837</v>
      </c>
      <c r="D63" s="5">
        <f t="shared" si="1"/>
        <v>1.9579967740173936E-2</v>
      </c>
      <c r="K63" s="3">
        <f t="shared" si="2"/>
        <v>1954</v>
      </c>
      <c r="L63" s="3">
        <v>1704</v>
      </c>
      <c r="M63" s="4">
        <f>'Areoix Lie'!C63 + Pelines!C63 + Terressin!C63 + Taniduna!C63 + Iquir!C63 + Deschon!C63 + Othya!C63 + Eldavpir!C63 + 'Candenat'!C63 + Jau!C63 + Viussi!C63 + Jathua!C63 + Jshain!C63 + Acetoa!C63 + Sattle!C63 + 'Reerica'!C63 + 'Feio Lie'!C63 + Umendel!C63 + 'Fire Coast'!C63 + Yoprioq!C63 + 'Rijan bu'!C63 + Saa!C63 + 'Rinew'!C63 + Enina!C63 + Trevilla!C63</f>
        <v>358512635.5654605</v>
      </c>
      <c r="N63" s="5">
        <f t="shared" si="3"/>
        <v>2.5109013927345582E-2</v>
      </c>
      <c r="O63" s="5">
        <f t="shared" si="4"/>
        <v>0.1324058479923452</v>
      </c>
      <c r="V63" s="3">
        <f t="shared" si="5"/>
        <v>1954</v>
      </c>
      <c r="W63" s="3">
        <v>1704</v>
      </c>
      <c r="X63" s="4">
        <f>Aetintio!C63 + Arbiya!C63 + 'Curata'!C63 + 'Disal Nila'!C63 + Etirha!C63 + Fincen!C63 + Gaeiya!C63 + Genaire!C63 + Grazail!C63 + Guise!C63 + Laselteh!C63 + Lasri!C63 + Metndria!C63 + 'New Misos'!C63 + Peka!C63 + Pelan!C63 + Phuris!C63 + 'Raledria'!C63 + Slyiaduun!C63 + Tomscilus!C63</f>
        <v>218074394.63065955</v>
      </c>
      <c r="Y63" s="5">
        <f t="shared" si="6"/>
        <v>2.0978983102388611E-2</v>
      </c>
      <c r="Z63" s="5">
        <f t="shared" si="7"/>
        <v>8.053921196096217E-2</v>
      </c>
      <c r="AG63" s="3">
        <f t="shared" si="8"/>
        <v>1954</v>
      </c>
      <c r="AH63" s="3">
        <v>1704</v>
      </c>
      <c r="AI63" s="4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586755230.38135076</v>
      </c>
      <c r="AJ63" s="5">
        <f t="shared" si="9"/>
        <v>1.257752842487329E-2</v>
      </c>
      <c r="AK63" s="5">
        <f t="shared" si="10"/>
        <v>0.21670037855165442</v>
      </c>
      <c r="AR63" s="3">
        <f t="shared" si="11"/>
        <v>1954</v>
      </c>
      <c r="AS63" s="3">
        <v>1704</v>
      </c>
      <c r="AT63" s="4">
        <f>Amcha!C63 + Byllu!C63 + 'Chaenia'!C63 + 'Cruthi Anoso'!C63 + 'Dual Cenryia'!C63 + Exilium!C63 + Galca!C63 + Inania!C63 + Inrea!C63 + Isnti!C63 + Lieri!C63 + Ocaun!C63 + Otiiric!C63 + Ozinia!C63 + Pelugrotoa!C63 + 'Rtesania'!C63 + Sadain!C63 + Selaja!C63 + Seytinemas!C63 + Sivoso!C63 + Sunsokua!C63 + Taing!C63 + Taoisia!C63 + Trian!C63 + Vayvele!C63</f>
        <v>427601572.05904925</v>
      </c>
      <c r="AU63" s="5">
        <f t="shared" si="12"/>
        <v>2.9287443540554538E-2</v>
      </c>
      <c r="AV63" s="5">
        <f t="shared" si="13"/>
        <v>0.15792176658443235</v>
      </c>
      <c r="BC63" s="3">
        <f t="shared" si="14"/>
        <v>1954</v>
      </c>
      <c r="BD63" s="3">
        <v>1704</v>
      </c>
      <c r="BE63" s="4">
        <f>'Canldives'!C63 + 'Cloja'!C63 + Dahe!C63 + Eparia!C63 + Etretes!C63 + Haiza!C63 + Ihner!C63 + Kaastini!C63 + Kusierna!C63 + Migoku!C63 + 'North Ayre'!C63 + Oscairia!C63 + Oyreain!C63 + 'Pha Hii'!C63 + 'Pruim Fijan'!C63 + 'Prystr Hii'!C63 + 'Ruylku'!C63 + Sanagara!C63 + Shinam!C63 + Stinebar!C63 + Suenan!C63 + Taval!C63 + Ucrua!C63 + Vesozata!C63 + 'Welenu Fana'!C63 + 'Western Migoku'!C63</f>
        <v>682332793.8360467</v>
      </c>
      <c r="BF63" s="5">
        <f t="shared" si="15"/>
        <v>1.5581256608235002E-2</v>
      </c>
      <c r="BG63" s="5">
        <f t="shared" si="16"/>
        <v>0.25199907400293514</v>
      </c>
      <c r="BN63" s="3">
        <f t="shared" si="17"/>
        <v>1954</v>
      </c>
      <c r="BO63" s="3">
        <v>1704</v>
      </c>
      <c r="BP63" s="4">
        <f>Andsaudare!C63 + Aplasia!C63 + Astye!C63 + 'Crila Republic'!C63 + 'Elja and Munusia'!C63 + Hiwush!C63 + Iainoa!C63 + Isari!C63 + Isuibul!C63 + Maalle!C63 + Mendereide!C63 + Nia!C63 + 'Niretui and Anulan'!C63 + Ohtina!C63 + Prstreula!C63 + 'Rethern'!C63 + 'Rkmepuia'!C63 + Tvecoca!C63 + Umarcia!C63 + 'United Delet'!C63 + Veelmit!C63 + Walporein!C63 + Yutnitu!C63</f>
        <v>84998123.884585485</v>
      </c>
      <c r="BQ63" s="7">
        <f t="shared" si="18"/>
        <v>2.0354259355256615E-2</v>
      </c>
      <c r="BR63" s="5">
        <f t="shared" si="19"/>
        <v>3.1391497967557823E-2</v>
      </c>
      <c r="BY63" s="3">
        <f t="shared" si="20"/>
        <v>1954</v>
      </c>
      <c r="BZ63" s="3">
        <v>1704</v>
      </c>
      <c r="CA63" s="4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343603105.38695586</v>
      </c>
      <c r="CB63" s="7">
        <f t="shared" si="21"/>
        <v>2.0691596816964988E-2</v>
      </c>
      <c r="CC63" s="5">
        <f t="shared" si="22"/>
        <v>0.12689946191103252</v>
      </c>
    </row>
    <row r="64" spans="1:81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2655681606.2483215</v>
      </c>
      <c r="D64" s="5">
        <f t="shared" si="1"/>
        <v>1.9381213603339418E-2</v>
      </c>
      <c r="K64" s="3">
        <f t="shared" si="2"/>
        <v>1953</v>
      </c>
      <c r="L64" s="3">
        <v>1703</v>
      </c>
      <c r="M64" s="4">
        <f>'Areoix Lie'!C64 + Pelines!C64 + Terressin!C64 + Taniduna!C64 + Iquir!C64 + Deschon!C64 + Othya!C64 + Eldavpir!C64 + 'Candenat'!C64 + Jau!C64 + Viussi!C64 + Jathua!C64 + Jshain!C64 + Acetoa!C64 + Sattle!C64 + 'Reerica'!C64 + 'Feio Lie'!C64 + Umendel!C64 + 'Fire Coast'!C64 + Yoprioq!C64 + 'Rijan bu'!C64 + Saa!C64 + 'Rinew'!C64 + Enina!C64 + Trevilla!C64</f>
        <v>349731229.25916445</v>
      </c>
      <c r="N64" s="5">
        <f t="shared" si="3"/>
        <v>2.495287686382363E-2</v>
      </c>
      <c r="O64" s="5">
        <f t="shared" si="4"/>
        <v>0.1316917014586057</v>
      </c>
      <c r="V64" s="3">
        <f t="shared" si="5"/>
        <v>1953</v>
      </c>
      <c r="W64" s="3">
        <v>1703</v>
      </c>
      <c r="X64" s="4">
        <f>Aetintio!C64 + Arbiya!C64 + 'Curata'!C64 + 'Disal Nila'!C64 + Etirha!C64 + Fincen!C64 + Gaeiya!C64 + Genaire!C64 + Grazail!C64 + Guise!C64 + Laselteh!C64 + Lasri!C64 + Metndria!C64 + 'New Misos'!C64 + Peka!C64 + Pelan!C64 + Phuris!C64 + 'Raledria'!C64 + Slyiaduun!C64 + Tomscilus!C64</f>
        <v>213593421.84303319</v>
      </c>
      <c r="Y64" s="5">
        <f t="shared" si="6"/>
        <v>2.1088388366834677E-2</v>
      </c>
      <c r="Z64" s="5">
        <f t="shared" si="7"/>
        <v>8.0428851614021746E-2</v>
      </c>
      <c r="AG64" s="3">
        <f t="shared" si="8"/>
        <v>1953</v>
      </c>
      <c r="AH64" s="3">
        <v>1703</v>
      </c>
      <c r="AI64" s="4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579466968.11856437</v>
      </c>
      <c r="AJ64" s="5">
        <f t="shared" si="9"/>
        <v>1.2470486963777876E-2</v>
      </c>
      <c r="AK64" s="5">
        <f t="shared" si="10"/>
        <v>0.21819896133451658</v>
      </c>
      <c r="AR64" s="3">
        <f t="shared" si="11"/>
        <v>1953</v>
      </c>
      <c r="AS64" s="3">
        <v>1703</v>
      </c>
      <c r="AT64" s="4">
        <f>Amcha!C64 + Byllu!C64 + 'Chaenia'!C64 + 'Cruthi Anoso'!C64 + 'Dual Cenryia'!C64 + Exilium!C64 + Galca!C64 + Inania!C64 + Inrea!C64 + Isnti!C64 + Lieri!C64 + Ocaun!C64 + Otiiric!C64 + Ozinia!C64 + Pelugrotoa!C64 + 'Rtesania'!C64 + Sadain!C64 + Selaja!C64 + Seytinemas!C64 + Sivoso!C64 + Sunsokua!C64 + Taing!C64 + Taoisia!C64 + Trian!C64 + Vayvele!C64</f>
        <v>415434555.95667285</v>
      </c>
      <c r="AU64" s="5">
        <f t="shared" si="12"/>
        <v>2.8823665067323933E-2</v>
      </c>
      <c r="AV64" s="5">
        <f t="shared" si="13"/>
        <v>0.15643236560408189</v>
      </c>
      <c r="BC64" s="3">
        <f t="shared" si="14"/>
        <v>1953</v>
      </c>
      <c r="BD64" s="3">
        <v>1703</v>
      </c>
      <c r="BE64" s="4">
        <f>'Canldives'!C64 + 'Cloja'!C64 + Dahe!C64 + Eparia!C64 + Etretes!C64 + Haiza!C64 + Ihner!C64 + Kaastini!C64 + Kusierna!C64 + Migoku!C64 + 'North Ayre'!C64 + Oscairia!C64 + Oyreain!C64 + 'Pha Hii'!C64 + 'Pruim Fijan'!C64 + 'Prystr Hii'!C64 + 'Ruylku'!C64 + Sanagara!C64 + Shinam!C64 + Stinebar!C64 + Suenan!C64 + Taval!C64 + Ucrua!C64 + Vesozata!C64 + 'Welenu Fana'!C64 + 'Western Migoku'!C64</f>
        <v>671864303.71396625</v>
      </c>
      <c r="BF64" s="5">
        <f t="shared" si="15"/>
        <v>1.5527794610900307E-2</v>
      </c>
      <c r="BG64" s="5">
        <f t="shared" si="16"/>
        <v>0.25299128560185652</v>
      </c>
      <c r="BN64" s="3">
        <f t="shared" si="17"/>
        <v>1953</v>
      </c>
      <c r="BO64" s="3">
        <v>1703</v>
      </c>
      <c r="BP64" s="4">
        <f>Andsaudare!C64 + Aplasia!C64 + Astye!C64 + 'Crila Republic'!C64 + 'Elja and Munusia'!C64 + Hiwush!C64 + Iainoa!C64 + Isari!C64 + Isuibul!C64 + Maalle!C64 + Mendereide!C64 + Nia!C64 + 'Niretui and Anulan'!C64 + Ohtina!C64 + Prstreula!C64 + 'Rethern'!C64 + 'Rkmepuia'!C64 + Tvecoca!C64 + Umarcia!C64 + 'United Delet'!C64 + Veelmit!C64 + Walporein!C64 + Yutnitu!C64</f>
        <v>83302561.934023052</v>
      </c>
      <c r="BQ64" s="6">
        <f t="shared" si="18"/>
        <v>2.0077526476975301E-2</v>
      </c>
      <c r="BR64" s="5">
        <f t="shared" si="19"/>
        <v>3.1367676658989437E-2</v>
      </c>
      <c r="BY64" s="3">
        <f t="shared" si="20"/>
        <v>1953</v>
      </c>
      <c r="BZ64" s="3">
        <v>1703</v>
      </c>
      <c r="CA64" s="4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336637537.19388396</v>
      </c>
      <c r="CB64" s="6">
        <f t="shared" si="21"/>
        <v>2.0359481049985903E-2</v>
      </c>
      <c r="CC64" s="5">
        <f t="shared" si="22"/>
        <v>0.12676125647059455</v>
      </c>
    </row>
    <row r="65" spans="1:81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2605189864.9975491</v>
      </c>
      <c r="D65" s="5">
        <f t="shared" si="1"/>
        <v>1.9074876490621874E-2</v>
      </c>
      <c r="K65" s="3">
        <f t="shared" si="2"/>
        <v>1952</v>
      </c>
      <c r="L65" s="3">
        <v>1702</v>
      </c>
      <c r="M65" s="4">
        <f>'Areoix Lie'!C65 + Pelines!C65 + Terressin!C65 + Taniduna!C65 + Iquir!C65 + Deschon!C65 + Othya!C65 + Eldavpir!C65 + 'Candenat'!C65 + Jau!C65 + Viussi!C65 + Jathua!C65 + Jshain!C65 + Acetoa!C65 + Sattle!C65 + 'Reerica'!C65 + 'Feio Lie'!C65 + Umendel!C65 + 'Fire Coast'!C65 + Yoprioq!C65 + 'Rijan bu'!C65 + Saa!C65 + 'Rinew'!C65 + Enina!C65 + Trevilla!C65</f>
        <v>341216886.31118417</v>
      </c>
      <c r="N65" s="5">
        <f t="shared" si="3"/>
        <v>2.4808578485085858E-2</v>
      </c>
      <c r="O65" s="5">
        <f t="shared" si="4"/>
        <v>0.13097582287404808</v>
      </c>
      <c r="V65" s="3">
        <f t="shared" si="5"/>
        <v>1952</v>
      </c>
      <c r="W65" s="3">
        <v>1702</v>
      </c>
      <c r="X65" s="4">
        <f>Aetintio!C65 + Arbiya!C65 + 'Curata'!C65 + 'Disal Nila'!C65 + Etirha!C65 + Fincen!C65 + Gaeiya!C65 + Genaire!C65 + Grazail!C65 + Guise!C65 + Laselteh!C65 + Lasri!C65 + Metndria!C65 + 'New Misos'!C65 + Peka!C65 + Pelan!C65 + Phuris!C65 + 'Raledria'!C65 + Slyiaduun!C65 + Tomscilus!C65</f>
        <v>209182108.30373085</v>
      </c>
      <c r="Y65" s="5">
        <f t="shared" si="6"/>
        <v>2.1779135546110114E-2</v>
      </c>
      <c r="Z65" s="5">
        <f t="shared" si="7"/>
        <v>8.0294381271104651E-2</v>
      </c>
      <c r="AG65" s="3">
        <f t="shared" si="8"/>
        <v>1952</v>
      </c>
      <c r="AH65" s="3">
        <v>1702</v>
      </c>
      <c r="AI65" s="4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572329737.58700323</v>
      </c>
      <c r="AJ65" s="5">
        <f t="shared" si="9"/>
        <v>1.1571083720752728E-2</v>
      </c>
      <c r="AK65" s="5">
        <f t="shared" si="10"/>
        <v>0.21968830190714014</v>
      </c>
      <c r="AR65" s="3">
        <f t="shared" si="11"/>
        <v>1952</v>
      </c>
      <c r="AS65" s="3">
        <v>1702</v>
      </c>
      <c r="AT65" s="4">
        <f>Amcha!C65 + Byllu!C65 + 'Chaenia'!C65 + 'Cruthi Anoso'!C65 + 'Dual Cenryia'!C65 + Exilium!C65 + Galca!C65 + Inania!C65 + Inrea!C65 + Isnti!C65 + Lieri!C65 + Ocaun!C65 + Otiiric!C65 + Ozinia!C65 + Pelugrotoa!C65 + 'Rtesania'!C65 + Sadain!C65 + Selaja!C65 + Seytinemas!C65 + Sivoso!C65 + Sunsokua!C65 + Taing!C65 + Taoisia!C65 + Trian!C65 + Vayvele!C65</f>
        <v>403795684.39406741</v>
      </c>
      <c r="AU65" s="5">
        <f t="shared" si="12"/>
        <v>2.8456517116444736E-2</v>
      </c>
      <c r="AV65" s="5">
        <f t="shared" si="13"/>
        <v>0.15499664336151842</v>
      </c>
      <c r="BC65" s="3">
        <f t="shared" si="14"/>
        <v>1952</v>
      </c>
      <c r="BD65" s="3">
        <v>1702</v>
      </c>
      <c r="BE65" s="4">
        <f>'Canldives'!C65 + 'Cloja'!C65 + Dahe!C65 + Eparia!C65 + Etretes!C65 + Haiza!C65 + Ihner!C65 + Kaastini!C65 + Kusierna!C65 + Migoku!C65 + 'North Ayre'!C65 + Oscairia!C65 + Oyreain!C65 + 'Pha Hii'!C65 + 'Pruim Fijan'!C65 + 'Prystr Hii'!C65 + 'Ruylku'!C65 + Sanagara!C65 + Shinam!C65 + Stinebar!C65 + Suenan!C65 + Taval!C65 + Ucrua!C65 + Vesozata!C65 + 'Welenu Fana'!C65 + 'Western Migoku'!C65</f>
        <v>661591250.65738964</v>
      </c>
      <c r="BF65" s="5">
        <f t="shared" si="15"/>
        <v>1.5560670849763114E-2</v>
      </c>
      <c r="BG65" s="5">
        <f t="shared" si="16"/>
        <v>0.2539512607300935</v>
      </c>
      <c r="BN65" s="3">
        <f t="shared" si="17"/>
        <v>1952</v>
      </c>
      <c r="BO65" s="3">
        <v>1702</v>
      </c>
      <c r="BP65" s="4">
        <f>Andsaudare!C65 + Aplasia!C65 + Astye!C65 + 'Crila Republic'!C65 + 'Elja and Munusia'!C65 + Hiwush!C65 + Iainoa!C65 + Isari!C65 + Isuibul!C65 + Maalle!C65 + Mendereide!C65 + Nia!C65 + 'Niretui and Anulan'!C65 + Ohtina!C65 + Prstreula!C65 + 'Rethern'!C65 + 'Rkmepuia'!C65 + Tvecoca!C65 + Umarcia!C65 + 'United Delet'!C65 + Veelmit!C65 + Walporein!C65 + Yutnitu!C65</f>
        <v>81662971.462300241</v>
      </c>
      <c r="BQ65" s="7">
        <f t="shared" si="18"/>
        <v>1.9744094907157925E-2</v>
      </c>
      <c r="BR65" s="5">
        <f t="shared" si="19"/>
        <v>3.13462648383123E-2</v>
      </c>
      <c r="BY65" s="3">
        <f t="shared" si="20"/>
        <v>1952</v>
      </c>
      <c r="BZ65" s="3">
        <v>1702</v>
      </c>
      <c r="CA65" s="4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329920526.48687309</v>
      </c>
      <c r="CB65" s="7">
        <f t="shared" si="21"/>
        <v>1.9922690391425808E-2</v>
      </c>
      <c r="CC65" s="5">
        <f t="shared" si="22"/>
        <v>0.12663972438998547</v>
      </c>
    </row>
    <row r="66" spans="1:81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2556426348.149231</v>
      </c>
      <c r="D66" s="5">
        <f>((C66-C67)/$C$67)</f>
        <v>1.8759483054987116E-2</v>
      </c>
      <c r="K66" s="3">
        <f t="shared" si="2"/>
        <v>1951</v>
      </c>
      <c r="L66" s="3">
        <v>1701</v>
      </c>
      <c r="M66" s="4">
        <f>'Areoix Lie'!C66 + Pelines!C66 + Terressin!C66 + Taniduna!C66 + Iquir!C66 + Deschon!C66 + Othya!C66 + Eldavpir!C66 + 'Candenat'!C66 + Jau!C66 + Viussi!C66 + Jathua!C66 + Jshain!C66 + Acetoa!C66 + Sattle!C66 + 'Reerica'!C66 + 'Feio Lie'!C66 + Umendel!C66 + 'Fire Coast'!C66 + Yoprioq!C66 + 'Rijan bu'!C66 + Saa!C66 + 'Rinew'!C66 + Enina!C66 + Trevilla!C66</f>
        <v>332956703.79300004</v>
      </c>
      <c r="N66" s="5"/>
      <c r="O66" s="5">
        <f t="shared" si="4"/>
        <v>0.13024302618147002</v>
      </c>
      <c r="V66" s="3">
        <f t="shared" si="5"/>
        <v>1951</v>
      </c>
      <c r="W66" s="3">
        <v>1701</v>
      </c>
      <c r="X66" s="4">
        <f>Aetintio!C66 + Arbiya!C66 + 'Curata'!C66 + 'Disal Nila'!C66 + Etirha!C66 + Fincen!C66 + Gaeiya!C66 + Genaire!C66 + Grazail!C66 + Guise!C66 + Laselteh!C66 + Lasri!C66 + Metndria!C66 + 'New Misos'!C66 + Peka!C66 + Pelan!C66 + Phuris!C66 + 'Raledria'!C66 + Slyiaduun!C66 + Tomscilus!C66</f>
        <v>204723409.42049998</v>
      </c>
      <c r="Y66" s="5"/>
      <c r="Z66" s="5">
        <f t="shared" si="7"/>
        <v>8.00818727160722E-2</v>
      </c>
      <c r="AG66" s="3">
        <f t="shared" si="8"/>
        <v>1951</v>
      </c>
      <c r="AH66" s="3">
        <v>1701</v>
      </c>
      <c r="AI66" s="4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565783014.95319986</v>
      </c>
      <c r="AJ66" s="5"/>
      <c r="AK66" s="5">
        <f t="shared" si="10"/>
        <v>0.22131794071157507</v>
      </c>
      <c r="AR66" s="3">
        <f t="shared" si="11"/>
        <v>1951</v>
      </c>
      <c r="AS66" s="3">
        <v>1701</v>
      </c>
      <c r="AT66" s="4">
        <f>Amcha!C66 + Byllu!C66 + 'Chaenia'!C66 + 'Cruthi Anoso'!C66 + 'Dual Cenryia'!C66 + Exilium!C66 + Galca!C66 + Inania!C66 + Inrea!C66 + Isnti!C66 + Lieri!C66 + Ocaun!C66 + Otiiric!C66 + Ozinia!C66 + Pelugrotoa!C66 + 'Rtesania'!C66 + Sadain!C66 + Selaja!C66 + Seytinemas!C66 + Sivoso!C66 + Sunsokua!C66 + Taing!C66 + Taoisia!C66 + Trian!C66 + Vayvele!C66</f>
        <v>392623001.2389999</v>
      </c>
      <c r="AU66" s="5"/>
      <c r="AV66" s="5">
        <f t="shared" si="13"/>
        <v>0.15358275489659465</v>
      </c>
      <c r="BC66" s="3">
        <f t="shared" si="14"/>
        <v>1951</v>
      </c>
      <c r="BD66" s="3">
        <v>1701</v>
      </c>
      <c r="BE66" s="4">
        <f>'Canldives'!C66 + 'Cloja'!C66 + Dahe!C66 + Eparia!C66 + Etretes!C66 + Haiza!C66 + Ihner!C66 + Kaastini!C66 + Kusierna!C66 + Migoku!C66 + 'North Ayre'!C66 + Oscairia!C66 + Oyreain!C66 + 'Pha Hii'!C66 + 'Pruim Fijan'!C66 + 'Prystr Hii'!C66 + 'Ruylku'!C66 + Sanagara!C66 + Shinam!C66 + Stinebar!C66 + Suenan!C66 + Taval!C66 + Ucrua!C66 + Vesozata!C66 + 'Welenu Fana'!C66 + 'Western Migoku'!C66</f>
        <v>651454186.48775351</v>
      </c>
      <c r="BF66" s="5"/>
      <c r="BG66" s="5">
        <f t="shared" si="16"/>
        <v>0.25483002354414985</v>
      </c>
      <c r="BN66" s="3">
        <f t="shared" si="17"/>
        <v>1951</v>
      </c>
      <c r="BO66" s="3">
        <v>1701</v>
      </c>
      <c r="BP66" s="4">
        <f>Andsaudare!C66 + Aplasia!C66 + Astye!C66 + 'Crila Republic'!C66 + 'Elja and Munusia'!C66 + Hiwush!C66 + Iainoa!C66 + Isari!C66 + Isuibul!C66 + Maalle!C66 + Mendereide!C66 + Nia!C66 + 'Niretui and Anulan'!C66 + Ohtina!C66 + Prstreula!C66 + 'Rethern'!C66 + 'Rkmepuia'!C66 + Tvecoca!C66 + Umarcia!C66 + 'United Delet'!C66 + Veelmit!C66 + Walporein!C66 + Yutnitu!C66</f>
        <v>80081828.245090455</v>
      </c>
      <c r="BQ66" s="6"/>
      <c r="BR66" s="5">
        <f t="shared" si="19"/>
        <v>3.132569350298986E-2</v>
      </c>
      <c r="BY66" s="3">
        <f t="shared" si="20"/>
        <v>1951</v>
      </c>
      <c r="BZ66" s="3">
        <v>1701</v>
      </c>
      <c r="CA66" s="4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323476014.01068568</v>
      </c>
      <c r="CB66" s="6"/>
      <c r="CC66" s="5">
        <f t="shared" si="22"/>
        <v>0.12653445472617342</v>
      </c>
    </row>
    <row r="67" spans="1:81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2509352198.1097956</v>
      </c>
      <c r="D67" s="5">
        <v>1.9400000000000001E-2</v>
      </c>
      <c r="K67" s="3">
        <f t="shared" si="2"/>
        <v>1950</v>
      </c>
      <c r="L67" s="3">
        <v>1700</v>
      </c>
      <c r="M67" s="4">
        <f>'Areoix Lie'!C67 + Pelines!C67 + Terressin!C67 + Taniduna!C67 + Iquir!C67 + Deschon!C67 + Othya!C67 + Eldavpir!C67 + 'Candenat'!C67 + Jau!C67 + Viussi!C67 + Jathua!C67 + Jshain!C67 + Acetoa!C67 + Sattle!C67 + 'Reerica'!C67 + 'Feio Lie'!C67 + Umendel!C67 + 'Fire Coast'!C67 + Yoprioq!C67 + 'Rijan bu'!C67 + Saa!C67 + 'Rinew'!C67 + Enina!C67 + Trevilla!C67</f>
        <v>324907011</v>
      </c>
      <c r="N67" s="8"/>
      <c r="O67" s="5">
        <f t="shared" si="4"/>
        <v>0.1294784411868293</v>
      </c>
      <c r="V67" s="3">
        <f t="shared" si="5"/>
        <v>1950</v>
      </c>
      <c r="W67" s="3">
        <v>1700</v>
      </c>
      <c r="X67" s="4">
        <f>Aetintio!C67 + Arbiya!C67 + 'Curata'!C67 + 'Disal Nila'!C67 + Etirha!C67 + Fincen!C67 + Gaeiya!C67 + Genaire!C67 + Grazail!C67 + Guise!C67 + Laselteh!C67 + Lasri!C67 + Metndria!C67 + 'New Misos'!C67 + Peka!C67 + Pelan!C67 + Phuris!C67 + 'Raledria'!C67 + Slyiaduun!C67 + Tomscilus!C67</f>
        <v>200253995</v>
      </c>
      <c r="Y67" s="8"/>
      <c r="Z67" s="5">
        <f t="shared" si="7"/>
        <v>7.9803064372886395E-2</v>
      </c>
      <c r="AG67" s="3">
        <f t="shared" si="8"/>
        <v>1950</v>
      </c>
      <c r="AH67" s="3">
        <v>1700</v>
      </c>
      <c r="AI67" s="4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559691431</v>
      </c>
      <c r="AJ67" s="8"/>
      <c r="AK67" s="5">
        <f t="shared" si="10"/>
        <v>0.22304219846922857</v>
      </c>
      <c r="AR67" s="3">
        <f t="shared" si="11"/>
        <v>1950</v>
      </c>
      <c r="AS67" s="3">
        <v>1700</v>
      </c>
      <c r="AT67" s="4">
        <f>Amcha!C67 + Byllu!C67 + 'Chaenia'!C67 + 'Cruthi Anoso'!C67 + 'Dual Cenryia'!C67 + Exilium!C67 + Galca!C67 + Inania!C67 + Inrea!C67 + Isnti!C67 + Lieri!C67 + Ocaun!C67 + Otiiric!C67 + Ozinia!C67 + Pelugrotoa!C67 + 'Rtesania'!C67 + Sadain!C67 + Selaja!C67 + Seytinemas!C67 + Sivoso!C67 + Sunsokua!C67 + Taing!C67 + Taoisia!C67 + Trian!C67 + Vayvele!C67</f>
        <v>381997123</v>
      </c>
      <c r="AU67" s="8"/>
      <c r="AV67" s="5">
        <f t="shared" si="13"/>
        <v>0.15222937748146501</v>
      </c>
      <c r="BC67" s="3">
        <f t="shared" si="14"/>
        <v>1950</v>
      </c>
      <c r="BD67" s="3">
        <v>1700</v>
      </c>
      <c r="BE67" s="4">
        <f>'Canldives'!C67 + 'Cloja'!C67 + Dahe!C67 + Eparia!C67 + Etretes!C67 + Haiza!C67 + Ihner!C67 + Kaastini!C67 + Kusierna!C67 + Migoku!C67 + 'North Ayre'!C67 + Oscairia!C67 + Oyreain!C67 + 'Pha Hii'!C67 + 'Pruim Fijan'!C67 + 'Prystr Hii'!C67 + 'Ruylku'!C67 + Sanagara!C67 + Shinam!C67 + Stinebar!C67 + Suenan!C67 + Taval!C67 + Ucrua!C67 + Vesozata!C67 + 'Welenu Fana'!C67 + 'Western Migoku'!C67</f>
        <v>641434971.10979581</v>
      </c>
      <c r="BF67" s="8"/>
      <c r="BG67" s="5">
        <f t="shared" si="16"/>
        <v>0.25561775329623543</v>
      </c>
      <c r="BN67" s="3">
        <f t="shared" si="17"/>
        <v>1950</v>
      </c>
      <c r="BO67" s="3">
        <v>1700</v>
      </c>
      <c r="BP67" s="4">
        <f>Andsaudare!C67 + Aplasia!C67 + Astye!C67 + 'Crila Republic'!C67 + 'Elja and Munusia'!C67 + Hiwush!C67 + Iainoa!C67 + Isari!C67 + Isuibul!C67 + Maalle!C67 + Mendereide!C67 + Nia!C67 + 'Niretui and Anulan'!C67 + Ohtina!C67 + Prstreula!C67 + 'Rethern'!C67 + 'Rkmepuia'!C67 + Tvecoca!C67 + Umarcia!C67 + 'United Delet'!C67 + Veelmit!C67 + Walporein!C67 + Yutnitu!C67</f>
        <v>78646235</v>
      </c>
      <c r="BQ67" s="8"/>
      <c r="BR67" s="5">
        <f t="shared" si="19"/>
        <v>3.1341250167768946E-2</v>
      </c>
      <c r="BY67" s="3">
        <f t="shared" si="20"/>
        <v>1950</v>
      </c>
      <c r="BZ67" s="3">
        <v>1700</v>
      </c>
      <c r="CA67" s="4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8"/>
      <c r="CC67" s="5">
        <f t="shared" si="22"/>
        <v>0.12642642680408586</v>
      </c>
    </row>
  </sheetData>
  <dataValidations count="1">
    <dataValidation type="custom" allowBlank="1" showDropDown="1" sqref="AJ2:AJ67 D2:D67 N2:N67 CB2:CB67 Y2:Y67 AU2:AU67 BQ2:BQ67 BF2:BF67" xr:uid="{00000000-0002-0000-00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W67"/>
  <sheetViews>
    <sheetView workbookViewId="0"/>
  </sheetViews>
  <sheetFormatPr defaultColWidth="12.6328125" defaultRowHeight="15.75" customHeight="1"/>
  <cols>
    <col min="1" max="1" width="7.6328125" customWidth="1"/>
    <col min="2" max="2" width="7.36328125" customWidth="1"/>
    <col min="4" max="4" width="13.08984375" customWidth="1"/>
    <col min="11" max="12" width="7.26953125" customWidth="1"/>
    <col min="22" max="23" width="7.26953125" customWidth="1"/>
    <col min="33" max="34" width="7.26953125" customWidth="1"/>
    <col min="44" max="45" width="7.26953125" customWidth="1"/>
    <col min="55" max="56" width="7.26953125" customWidth="1"/>
    <col min="66" max="67" width="7.26953125" customWidth="1"/>
    <col min="77" max="78" width="7.26953125" customWidth="1"/>
    <col min="88" max="89" width="7.26953125" customWidth="1"/>
    <col min="99" max="100" width="7.26953125" customWidth="1"/>
    <col min="110" max="111" width="7.26953125" customWidth="1"/>
    <col min="121" max="122" width="7.26953125" customWidth="1"/>
    <col min="132" max="133" width="7.26953125" customWidth="1"/>
    <col min="143" max="144" width="7.26953125" customWidth="1"/>
    <col min="154" max="155" width="7.26953125" customWidth="1"/>
    <col min="165" max="166" width="7.26953125" customWidth="1"/>
    <col min="176" max="177" width="7.26953125" customWidth="1"/>
    <col min="187" max="188" width="7.26953125" customWidth="1"/>
    <col min="198" max="199" width="7.26953125" customWidth="1"/>
    <col min="209" max="210" width="7.26953125" customWidth="1"/>
    <col min="220" max="221" width="7.26953125" customWidth="1"/>
    <col min="231" max="232" width="7.26953125" customWidth="1"/>
    <col min="242" max="243" width="7.26953125" customWidth="1"/>
    <col min="253" max="254" width="7.26953125" customWidth="1"/>
  </cols>
  <sheetData>
    <row r="1" spans="1:257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9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9" t="s">
        <v>34</v>
      </c>
      <c r="CM1" s="9" t="s">
        <v>35</v>
      </c>
      <c r="CN1" s="2" t="s">
        <v>6</v>
      </c>
      <c r="CU1" s="1" t="s">
        <v>0</v>
      </c>
      <c r="CV1" s="2" t="s">
        <v>1</v>
      </c>
      <c r="CW1" s="9" t="s">
        <v>36</v>
      </c>
      <c r="CX1" s="9" t="s">
        <v>37</v>
      </c>
      <c r="CY1" s="2" t="s">
        <v>6</v>
      </c>
      <c r="DF1" s="1" t="s">
        <v>0</v>
      </c>
      <c r="DG1" s="2" t="s">
        <v>1</v>
      </c>
      <c r="DH1" s="9" t="s">
        <v>38</v>
      </c>
      <c r="DI1" s="9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9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9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9" t="s">
        <v>47</v>
      </c>
      <c r="FB1" s="2" t="s">
        <v>6</v>
      </c>
      <c r="FI1" s="1" t="s">
        <v>0</v>
      </c>
      <c r="FJ1" s="2" t="s">
        <v>1</v>
      </c>
      <c r="FK1" s="9" t="s">
        <v>48</v>
      </c>
      <c r="FL1" s="9" t="s">
        <v>49</v>
      </c>
      <c r="FM1" s="2" t="s">
        <v>6</v>
      </c>
      <c r="FT1" s="1" t="s">
        <v>0</v>
      </c>
      <c r="FU1" s="2" t="s">
        <v>1</v>
      </c>
      <c r="FV1" s="9" t="s">
        <v>50</v>
      </c>
      <c r="FW1" s="9" t="s">
        <v>51</v>
      </c>
      <c r="FX1" s="2" t="s">
        <v>6</v>
      </c>
      <c r="GE1" s="1" t="s">
        <v>0</v>
      </c>
      <c r="GF1" s="2" t="s">
        <v>1</v>
      </c>
      <c r="GG1" s="9" t="s">
        <v>52</v>
      </c>
      <c r="GH1" s="9" t="s">
        <v>53</v>
      </c>
      <c r="GI1" s="2" t="s">
        <v>6</v>
      </c>
      <c r="GP1" s="1" t="s">
        <v>0</v>
      </c>
      <c r="GQ1" s="2" t="s">
        <v>1</v>
      </c>
      <c r="GR1" s="9" t="s">
        <v>54</v>
      </c>
      <c r="GS1" s="9" t="s">
        <v>55</v>
      </c>
      <c r="GT1" s="2" t="s">
        <v>6</v>
      </c>
      <c r="HA1" s="1" t="s">
        <v>0</v>
      </c>
      <c r="HB1" s="2" t="s">
        <v>1</v>
      </c>
      <c r="HC1" s="9" t="s">
        <v>56</v>
      </c>
      <c r="HD1" s="9" t="s">
        <v>57</v>
      </c>
      <c r="HE1" s="2" t="s">
        <v>6</v>
      </c>
      <c r="HL1" s="1" t="s">
        <v>0</v>
      </c>
      <c r="HM1" s="2" t="s">
        <v>1</v>
      </c>
      <c r="HN1" s="9" t="s">
        <v>58</v>
      </c>
      <c r="HO1" s="9" t="s">
        <v>59</v>
      </c>
      <c r="HP1" s="2" t="s">
        <v>6</v>
      </c>
      <c r="HW1" s="1" t="s">
        <v>0</v>
      </c>
      <c r="HX1" s="2" t="s">
        <v>1</v>
      </c>
      <c r="HY1" s="9" t="s">
        <v>60</v>
      </c>
      <c r="HZ1" s="9" t="s">
        <v>61</v>
      </c>
      <c r="IA1" s="2" t="s">
        <v>6</v>
      </c>
      <c r="IH1" s="1" t="s">
        <v>0</v>
      </c>
      <c r="II1" s="2" t="s">
        <v>1</v>
      </c>
      <c r="IJ1" s="9" t="s">
        <v>62</v>
      </c>
      <c r="IK1" s="9" t="s">
        <v>63</v>
      </c>
      <c r="IL1" s="2" t="s">
        <v>6</v>
      </c>
      <c r="IS1" s="1" t="s">
        <v>0</v>
      </c>
      <c r="IT1" s="2" t="s">
        <v>1</v>
      </c>
      <c r="IU1" s="9" t="s">
        <v>64</v>
      </c>
      <c r="IV1" s="9" t="s">
        <v>65</v>
      </c>
      <c r="IW1" s="2" t="s">
        <v>6</v>
      </c>
    </row>
    <row r="2" spans="1:257" ht="22.5" customHeight="1">
      <c r="A2" s="3">
        <f t="shared" ref="A2:A67" si="0">SUM(B2+250)</f>
        <v>2015</v>
      </c>
      <c r="B2" s="3">
        <v>1765</v>
      </c>
      <c r="C2" s="4">
        <f>Acetoa!C2 + Acrana!C2 + Aetintio!C2 + Ahokini!C2 + Amcha!C2 + Andsaudare!C2 + Anymna!C2 + Aplasia!C2 + Arbiya!C2 + 'Areoix Lie'!C2 + Ashain!C2 + Astye!C2 + Baluyde!C2 + Byllu!C2 + 'Candenat'!C2 + 'Canldives'!C2 + 'Chaenia'!C2 + 'Cloja'!C2 + 'Crila Republic'!C2 + 'Cruthi Anoso'!C2 + 'Curata'!C2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'Raledria'!C2 + 'Reerica'!C2 + 'Rethern'!C2 + 'Rijan bu'!C2 + 'Rinew'!C2 + 'Rkmepuia'!C2 + 'Rtesania'!C2 + 'Ruylku'!C2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6849174665.108923</v>
      </c>
      <c r="D2" s="5">
        <f t="shared" ref="D2:D65" si="1">((C2-C3)/C3)</f>
        <v>9.7049154896710794E-3</v>
      </c>
      <c r="K2" s="3">
        <f t="shared" ref="K2:K67" si="2">SUM(L2+250)</f>
        <v>2015</v>
      </c>
      <c r="L2" s="3">
        <v>1765</v>
      </c>
      <c r="M2" s="4">
        <f>Eldavpir!C2 + Iquir!C2 + Viussi!C2 + Umendel!C2 + 'Reerica'!C2 + Saa!C2 + Sattle!C2</f>
        <v>111363867.49651727</v>
      </c>
      <c r="N2" s="5">
        <f t="shared" ref="N2:N66" si="3">((M2-M3)/M3)</f>
        <v>2.270135203707515E-2</v>
      </c>
      <c r="O2" s="5">
        <f t="shared" ref="O2:O67" si="4">SUM(M2/C2)</f>
        <v>1.6259457955398227E-2</v>
      </c>
      <c r="V2" s="3">
        <f t="shared" ref="V2:V67" si="5">SUM(W2+250)</f>
        <v>2015</v>
      </c>
      <c r="W2" s="3">
        <v>1765</v>
      </c>
      <c r="X2" s="4">
        <f>'Areoix Lie'!C2 + Jau!C2 + Terressin!C2 + Acetoa!C2 + 'Feio Lie'!C2</f>
        <v>695214081.86366022</v>
      </c>
      <c r="Y2" s="5">
        <f t="shared" ref="Y2:Y66" si="6">((X2-X3)/X3)</f>
        <v>4.5685788369702806E-3</v>
      </c>
      <c r="Z2" s="5">
        <f t="shared" ref="Z2:Z67" si="7">SUM(X2/C2)</f>
        <v>0.10150333665824307</v>
      </c>
      <c r="AG2" s="3">
        <f t="shared" ref="AG2:AG67" si="8">SUM(AH2+250)</f>
        <v>2015</v>
      </c>
      <c r="AH2" s="3">
        <v>1765</v>
      </c>
      <c r="AI2" s="4">
        <f>Taniduna!C2 + Jathua!C2 + Deschon!C2 + Pelines!C2 + 'Candenat'!C2 + Othya!C2 + Yoprioq!C2 + Jshain!C2 + 'Fire Coast'!C2 + 'Rijan bu'!C2 + 'Rinew'!C2 + Enina!C2 + Trevilla!C2</f>
        <v>263490188.52873191</v>
      </c>
      <c r="AJ2" s="5">
        <f t="shared" ref="AJ2:AJ66" si="9">((AI2-AI3)/AI3)</f>
        <v>2.7423402938306727E-2</v>
      </c>
      <c r="AK2" s="5">
        <f t="shared" ref="AK2:AK67" si="10">SUM(AI2/C2)</f>
        <v>3.847035612495095E-2</v>
      </c>
      <c r="AR2" s="3">
        <f t="shared" ref="AR2:AR67" si="11">SUM(AS2+250)</f>
        <v>2015</v>
      </c>
      <c r="AS2" s="3">
        <v>1765</v>
      </c>
      <c r="AT2" s="4">
        <f>Gaeiya!C2 + 'Raledria'!C2 + Arbiya!C2 + Fincen!C2 + 'Curata'!C2</f>
        <v>326381358.73238164</v>
      </c>
      <c r="AU2" s="5">
        <f t="shared" ref="AU2:AU66" si="12">((AT2-AT3)/AT3)</f>
        <v>1.3689916580767654E-2</v>
      </c>
      <c r="AV2" s="5">
        <f t="shared" ref="AV2:AV67" si="13">SUM(AT2/C2)</f>
        <v>4.7652655201660149E-2</v>
      </c>
      <c r="BC2" s="3">
        <f t="shared" ref="BC2:BC67" si="14">SUM(BD2+250)</f>
        <v>2015</v>
      </c>
      <c r="BD2" s="3">
        <v>1765</v>
      </c>
      <c r="BE2" s="4">
        <f>Etirha!C2 + Laselteh!C2 + Grazail!C2 + 'Disal Nila'!C2 + Pelan!C2 + Peka!C2 + Guise!C2</f>
        <v>107306109.76055335</v>
      </c>
      <c r="BF2" s="5">
        <f t="shared" ref="BF2:BF66" si="15">((BE2-BE3)/BE3)</f>
        <v>4.4523594830258506E-3</v>
      </c>
      <c r="BG2" s="5">
        <f t="shared" ref="BG2:BG67" si="16">SUM(BE2/C2)</f>
        <v>1.5667013181484817E-2</v>
      </c>
      <c r="BN2" s="3">
        <f t="shared" ref="BN2:BN67" si="17">SUM(BO2+250)</f>
        <v>2015</v>
      </c>
      <c r="BO2" s="3">
        <v>1765</v>
      </c>
      <c r="BP2" s="4">
        <f>Genaire!C2 + 'New Misos'!C2 + Phuris!C2 + Lasri!C2 + Slyiaduun!C2 + Aetintio!C2 + Metndria!C2 + Tomscilus!C2</f>
        <v>103750343.01267757</v>
      </c>
      <c r="BQ2" s="5">
        <f t="shared" ref="BQ2:BQ66" si="18">((BP2-BP3)/BP3)</f>
        <v>1.0148463951954947E-2</v>
      </c>
      <c r="BR2" s="5">
        <f t="shared" ref="BR2:BR67" si="19">SUM(BP2/C2)</f>
        <v>1.5147860594241046E-2</v>
      </c>
      <c r="BY2" s="3">
        <f t="shared" ref="BY2:BY67" si="20">SUM(BZ2+250)</f>
        <v>2015</v>
      </c>
      <c r="BZ2" s="3">
        <v>1765</v>
      </c>
      <c r="CA2" s="4">
        <f>Ealdorii!C2 + Ukhdari!C2 + Hkuqo!C2 + Acrana!C2 + Zenashan!C2</f>
        <v>270797133.681306</v>
      </c>
      <c r="CB2" s="6">
        <f t="shared" ref="CB2:CB66" si="21">((CA2-CA3)/CA3)</f>
        <v>5.6264080193361588E-3</v>
      </c>
      <c r="CC2" s="5">
        <f t="shared" ref="CC2:CC67" si="22">SUM(CA2/C2)</f>
        <v>3.9537191986182101E-2</v>
      </c>
      <c r="CJ2" s="3">
        <f t="shared" ref="CJ2:CJ67" si="23">SUM(CK2+250)</f>
        <v>2015</v>
      </c>
      <c r="CK2" s="3">
        <v>1765</v>
      </c>
      <c r="CL2" s="4">
        <f>Estijan!C2 + Ikzen!C2 + Urbiqu!C2 + Danocia!C2 + Koruch!C2 + 'New Kizura'!C2 + Lydroa!C2 + Fermori!C2 + Uularin!C2 + 'Niul Spijan'!C2</f>
        <v>305361246.80551451</v>
      </c>
      <c r="CM2" s="6">
        <f t="shared" ref="CM2:CM66" si="24">((CL2-CL3)/CL3)</f>
        <v>9.5365012409337896E-3</v>
      </c>
      <c r="CN2" s="5">
        <f t="shared" ref="CN2:CN67" si="25">SUM(CL2/C2)</f>
        <v>4.4583655949246889E-2</v>
      </c>
      <c r="CU2" s="3">
        <f t="shared" ref="CU2:CU67" si="26">SUM(CV2+250)</f>
        <v>2015</v>
      </c>
      <c r="CV2" s="3">
        <v>1765</v>
      </c>
      <c r="CW2" s="4">
        <f>Praesyu!C2 + Lycroa!C2 + Emara!C2 + Eldjo!C2 + Easuhura!C2 + Ilicuhe!C2 + Tonder!C2</f>
        <v>250044910.79776329</v>
      </c>
      <c r="CX2" s="6">
        <f t="shared" ref="CX2:CX66" si="27">((CW2-CW3)/CW3)</f>
        <v>7.0197974614573189E-3</v>
      </c>
      <c r="CY2" s="5">
        <f t="shared" ref="CY2:CY67" si="28">SUM(CW2/C2)</f>
        <v>3.6507305335859296E-2</v>
      </c>
      <c r="DF2" s="3">
        <f t="shared" ref="DF2:DF67" si="29">SUM(DG2+250)</f>
        <v>2015</v>
      </c>
      <c r="DG2" s="3">
        <v>1765</v>
      </c>
      <c r="DH2" s="4">
        <f>Verusa!C2 + Darewa!C2 + Siana!C2 + Yaxuto!C2 + 'Merela Sta'!C2 + Palina!C2</f>
        <v>173450331.68247336</v>
      </c>
      <c r="DI2" s="6">
        <f t="shared" ref="DI2:DI66" si="30">((DH2-DH3)/DH3)</f>
        <v>4.8175436555675478E-3</v>
      </c>
      <c r="DJ2" s="5">
        <f t="shared" ref="DJ2:DJ67" si="31">SUM(DH2/C2)</f>
        <v>2.532426754511961E-2</v>
      </c>
      <c r="DQ2" s="3">
        <f t="shared" ref="DQ2:DQ67" si="32">SUM(DR2+250)</f>
        <v>2015</v>
      </c>
      <c r="DR2" s="3">
        <v>1765</v>
      </c>
      <c r="DS2" s="4">
        <f>Sunsokua!C2 + Vayvele!C2 + Selaja!C2 + Sadain!C2</f>
        <v>203930062.56238285</v>
      </c>
      <c r="DT2" s="6">
        <f t="shared" ref="DT2:DT66" si="33">((DS2-DS3)/DS3)</f>
        <v>1.1491543438458372E-2</v>
      </c>
      <c r="DU2" s="5">
        <f t="shared" ref="DU2:DU67" si="34">SUM(DS2/C2)</f>
        <v>2.9774399476369572E-2</v>
      </c>
      <c r="EB2" s="3">
        <f t="shared" ref="EB2:EB67" si="35">SUM(EC2+250)</f>
        <v>2015</v>
      </c>
      <c r="EC2" s="3">
        <v>1765</v>
      </c>
      <c r="ED2" s="4">
        <f>Pelugrotoa!C2 + Lieri!C2 + 'Rtesania'!C2 + Ozinia!C2</f>
        <v>401871033.0767917</v>
      </c>
      <c r="EE2" s="6">
        <f t="shared" ref="EE2:EE66" si="36">((ED2-ED3)/ED3)</f>
        <v>5.585468208166345E-3</v>
      </c>
      <c r="EF2" s="5">
        <f t="shared" ref="EF2:EF67" si="37">SUM(ED2/C2)</f>
        <v>5.8674373588982011E-2</v>
      </c>
      <c r="EM2" s="3">
        <f t="shared" ref="EM2:EM67" si="38">SUM(EN2+250)</f>
        <v>2015</v>
      </c>
      <c r="EN2" s="3">
        <v>1765</v>
      </c>
      <c r="EO2" s="4">
        <f>Ocaun!C2 + 'Dual Cenryia'!C2 + Byllu!C2 + Exilium!C2 + Inrea!C2 + Amcha!C2 + Isnti!C2 + Galca!C2 + Otiiric!C2 + Taing!C2 + 'Cruthi Anoso'!C2</f>
        <v>298188764.6113615</v>
      </c>
      <c r="EP2" s="6">
        <f t="shared" ref="EP2:EP66" si="39">((EO2-EO3)/EO3)</f>
        <v>1.821189447195206E-2</v>
      </c>
      <c r="EQ2" s="5">
        <f t="shared" ref="EQ2:EQ67" si="40">SUM(EO2/C2)</f>
        <v>4.3536452082379384E-2</v>
      </c>
      <c r="EX2" s="3">
        <f t="shared" ref="EX2:EX67" si="41">SUM(EY2+250)</f>
        <v>2015</v>
      </c>
      <c r="EY2" s="3">
        <v>1765</v>
      </c>
      <c r="EZ2" s="4">
        <f>Sivoso!C2 + Taoisia!C2 + Seytinemas!C2 + Trian!C2 + 'Chaenia'!C2</f>
        <v>146859225.55372363</v>
      </c>
      <c r="FA2" s="6">
        <f t="shared" ref="FA2:FA66" si="42">((EZ2-EZ3)/EZ3)</f>
        <v>6.7047667219439812E-3</v>
      </c>
      <c r="FB2" s="5">
        <f t="shared" ref="FB2:FB67" si="43">SUM(EZ2/C2)</f>
        <v>2.1441886465803559E-2</v>
      </c>
      <c r="FI2" s="3">
        <f t="shared" ref="FI2:FI67" si="44">SUM(FJ2+250)</f>
        <v>2015</v>
      </c>
      <c r="FJ2" s="3">
        <v>1765</v>
      </c>
      <c r="FK2" s="4">
        <f>Migoku!C2 + 'Welenu Fana'!C2 + Haiza!C2 + Ucrua!C2 + Ihner!C2 + Oscairia!C2 + Shinam!C2 + 'Ruylku'!C2 + Taval!C2 + 'Western Migoku'!C2 + 'Pruim Fijan'!C2 + 'Canldives'!C2</f>
        <v>197724533.52886093</v>
      </c>
      <c r="FL2" s="6">
        <f t="shared" ref="FL2:FL66" si="45">((FK2-FK3)/FK3)</f>
        <v>1.3016240260895397E-2</v>
      </c>
      <c r="FM2" s="5">
        <f t="shared" ref="FM2:FM67" si="46">SUM(FK2/C2)</f>
        <v>2.8868373664948214E-2</v>
      </c>
      <c r="FT2" s="3">
        <f t="shared" ref="FT2:FT67" si="47">SUM(FU2+250)</f>
        <v>2015</v>
      </c>
      <c r="FU2" s="3">
        <v>1765</v>
      </c>
      <c r="FV2" s="4">
        <f>Vesozata!C2 + Etretes!C2 + Kusierna!C2 + Eparia!C2</f>
        <v>156362424.29524773</v>
      </c>
      <c r="FW2" s="6">
        <f t="shared" ref="FW2:FW66" si="48">((FV2-FV3)/FV3)</f>
        <v>2.5730360016975824E-2</v>
      </c>
      <c r="FX2" s="5">
        <f t="shared" ref="FX2:FX67" si="49">SUM(FV2/C2)</f>
        <v>2.2829381924188537E-2</v>
      </c>
      <c r="GE2" s="3">
        <f t="shared" ref="GE2:GE67" si="50">SUM(GF2+250)</f>
        <v>2015</v>
      </c>
      <c r="GF2" s="3">
        <v>1765</v>
      </c>
      <c r="GG2" s="4">
        <f>Dahe!C2 + Kaastini!C2 + Suenan!C2 + Oyreain!C2 + Sanagara!C2 + 'North Ayre'!C2 + Stinebar!C2 + 'Cloja'!C2 + 'Pha Hii'!C2 + 'Prystr Hii'!C2</f>
        <v>1035011873.7948959</v>
      </c>
      <c r="GH2" s="6">
        <f t="shared" ref="GH2:GH66" si="51">((GG2-GG3)/GG3)</f>
        <v>3.2492257424739574E-3</v>
      </c>
      <c r="GI2" s="5">
        <f t="shared" ref="GI2:GI67" si="52">SUM(GG2/C2)</f>
        <v>0.15111483126097733</v>
      </c>
      <c r="GP2" s="3">
        <f t="shared" ref="GP2:GP67" si="53">SUM(GQ2+250)</f>
        <v>2015</v>
      </c>
      <c r="GQ2" s="3">
        <v>1765</v>
      </c>
      <c r="GR2" s="4">
        <f>Maalle!C2 + 'United Delet'!C2 + Ohtina!C2 + Astye!C2 + Prstreula!C2 + Veelmit!C2 + Aplasia!C2 + 'Elja and Munusia'!C2 + Walporein!C2 + 'Crila Republic'!C2 + 'Niretui and Anulan'!C2 + 'Rethern'!C2 + Tvecoca!C2</f>
        <v>204353689.92445248</v>
      </c>
      <c r="GS2" s="6">
        <f t="shared" ref="GS2:GS66" si="54">((GR2-GR3)/GR3)</f>
        <v>1.0741046026304645E-2</v>
      </c>
      <c r="GT2" s="5">
        <f t="shared" ref="GT2:GT67" si="55">SUM(GR2/C2)</f>
        <v>2.9836250339106023E-2</v>
      </c>
      <c r="HA2" s="3">
        <f t="shared" ref="HA2:HA67" si="56">SUM(HB2+250)</f>
        <v>2015</v>
      </c>
      <c r="HB2" s="3">
        <v>1765</v>
      </c>
      <c r="HC2" s="4">
        <f>Andsaudare!C2 + Nia!C2 + Umarcia!C2 + Mendereide!C2 + Iainoa!C2 + Isari!C2 + 'Rkmepuia'!C2 + Hiwush!C2 + Isuibul!C2 + Yutnitu!C2</f>
        <v>71713507.953493014</v>
      </c>
      <c r="HD2" s="6">
        <f t="shared" ref="HD2:HD66" si="57">((HC2-HC3)/HC3)</f>
        <v>1.2075509389022474E-2</v>
      </c>
      <c r="HE2" s="5">
        <f t="shared" ref="HE2:HE67" si="58">SUM(HC2/C2)</f>
        <v>1.0470386792559998E-2</v>
      </c>
      <c r="HL2" s="3">
        <f t="shared" ref="HL2:HL67" si="59">SUM(HM2+250)</f>
        <v>2015</v>
      </c>
      <c r="HM2" s="3">
        <v>1765</v>
      </c>
      <c r="HN2" s="4">
        <f>Zhanshe!C2 + Volver!C2 + Finae!C2 + Myla!C2 + 'Nheyes Si'!C2 + Onphello!C2 + Hyelen!C2</f>
        <v>123176683.31096971</v>
      </c>
      <c r="HO2" s="6">
        <f t="shared" ref="HO2:HO66" si="60">((HN2-HN3)/HN3)</f>
        <v>1.1188839347309699E-2</v>
      </c>
      <c r="HP2" s="5">
        <f t="shared" ref="HP2:HP67" si="61">SUM(HN2/C2)</f>
        <v>1.7984164418883428E-2</v>
      </c>
      <c r="HW2" s="3">
        <f t="shared" ref="HW2:HW67" si="62">SUM(HX2+250)</f>
        <v>2015</v>
      </c>
      <c r="HX2" s="3">
        <v>1765</v>
      </c>
      <c r="HY2" s="4">
        <f>Yihnurda!C2 + Ztesh!C2 + Wundry!C2 + Anymna!C2 + Shomjind!C2 + Baluyde!C2 + Letan!C2</f>
        <v>600317508.74191809</v>
      </c>
      <c r="HZ2" s="6">
        <f t="shared" ref="HZ2:HZ66" si="63">((HY2-HY3)/HY3)</f>
        <v>1.439349337133437E-2</v>
      </c>
      <c r="IA2" s="5">
        <f t="shared" ref="IA2:IA67" si="64">SUM(HY2/C2)</f>
        <v>8.7648152966525519E-2</v>
      </c>
      <c r="IH2" s="3">
        <f t="shared" ref="IH2:IH67" si="65">SUM(II2+250)</f>
        <v>2015</v>
      </c>
      <c r="II2" s="3">
        <v>1765</v>
      </c>
      <c r="IJ2" s="4">
        <f>Iareva!C2 + 'United Mihili'!C2 + 'Mesjan Hyaa'!C2 + Desaki!C2 + 'Far Lands'!C2</f>
        <v>74200934.916990668</v>
      </c>
      <c r="IK2" s="6">
        <f t="shared" ref="IK2:IK66" si="66">((IJ2-IJ3)/IJ3)</f>
        <v>1.1565105899932131E-2</v>
      </c>
      <c r="IL2" s="5">
        <f t="shared" ref="IL2:IL67" si="67">SUM(IJ2/C2)</f>
        <v>1.0833558573850538E-2</v>
      </c>
      <c r="IS2" s="3">
        <f t="shared" ref="IS2:IS67" si="68">SUM(IT2+250)</f>
        <v>2015</v>
      </c>
      <c r="IT2" s="3">
        <v>1765</v>
      </c>
      <c r="IU2" s="4">
        <f>Verste!C2 + Quidic!C2 + Erkizil!C2 + Ashain!C2 + Ahokini!C2</f>
        <v>371219135.09384602</v>
      </c>
      <c r="IV2" s="6">
        <f t="shared" ref="IV2:IV66" si="69">((IU2-IU3)/IU3)</f>
        <v>8.2218893623500627E-3</v>
      </c>
      <c r="IW2" s="5">
        <f t="shared" ref="IW2:IW67" si="70">SUM(IU2/C2)</f>
        <v>5.4199104745409864E-2</v>
      </c>
    </row>
    <row r="3" spans="1:257" ht="22.5" customHeight="1">
      <c r="A3" s="3">
        <f t="shared" si="0"/>
        <v>2014</v>
      </c>
      <c r="B3" s="3">
        <v>1764</v>
      </c>
      <c r="C3" s="4">
        <f>Acetoa!C3 + Acrana!C3 + Aetintio!C3 + Ahokini!C3 + Amcha!C3 + Andsaudare!C3 + Anymna!C3 + Aplasia!C3 + Arbiya!C3 + 'Areoix Lie'!C3 + Ashain!C3 + Astye!C3 + Baluyde!C3 + Byllu!C3 + 'Candenat'!C3 + 'Canldives'!C3 + 'Chaenia'!C3 + 'Cloja'!C3 + 'Crila Republic'!C3 + 'Cruthi Anoso'!C3 + 'Curata'!C3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'Raledria'!C3 + 'Reerica'!C3 + 'Rethern'!C3 + 'Rijan bu'!C3 + 'Rinew'!C3 + 'Rkmepuia'!C3 + 'Rtesania'!C3 + 'Ruylku'!C3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6783342895.5699558</v>
      </c>
      <c r="D3" s="5">
        <f t="shared" si="1"/>
        <v>9.8777339795086058E-3</v>
      </c>
      <c r="K3" s="3">
        <f t="shared" si="2"/>
        <v>2014</v>
      </c>
      <c r="L3" s="3">
        <v>1764</v>
      </c>
      <c r="M3" s="4">
        <f>Eldavpir!C3 + Iquir!C3 + Viussi!C3 + Umendel!C3 + 'Reerica'!C3 + Saa!C3 + Sattle!C3</f>
        <v>108891874.71464308</v>
      </c>
      <c r="N3" s="5">
        <f t="shared" si="3"/>
        <v>2.3619423521160792E-2</v>
      </c>
      <c r="O3" s="5">
        <f t="shared" si="4"/>
        <v>1.6052833594149846E-2</v>
      </c>
      <c r="V3" s="3">
        <f t="shared" si="5"/>
        <v>2014</v>
      </c>
      <c r="W3" s="3">
        <v>1764</v>
      </c>
      <c r="X3" s="4">
        <f>'Areoix Lie'!C3 + Jau!C3 + Terressin!C3 + Acetoa!C3 + 'Feio Lie'!C3</f>
        <v>692052385.97900176</v>
      </c>
      <c r="Y3" s="5">
        <f t="shared" si="6"/>
        <v>4.7854165818214328E-3</v>
      </c>
      <c r="Z3" s="5">
        <f t="shared" si="7"/>
        <v>0.10202232094605819</v>
      </c>
      <c r="AG3" s="3">
        <f t="shared" si="8"/>
        <v>2014</v>
      </c>
      <c r="AH3" s="3">
        <v>1764</v>
      </c>
      <c r="AI3" s="4">
        <f>Taniduna!C3 + Jathua!C3 + Deschon!C3 + Pelines!C3 + 'Candenat'!C3 + Othya!C3 + Yoprioq!C3 + Jshain!C3 + 'Fire Coast'!C3 + 'Rijan bu'!C3 + 'Rinew'!C3 + Enina!C3 + Trevilla!C3</f>
        <v>256457257.8113189</v>
      </c>
      <c r="AJ3" s="5">
        <f t="shared" si="9"/>
        <v>2.776877089211012E-2</v>
      </c>
      <c r="AK3" s="5">
        <f t="shared" si="10"/>
        <v>3.7806913458378347E-2</v>
      </c>
      <c r="AR3" s="3">
        <f t="shared" si="11"/>
        <v>2014</v>
      </c>
      <c r="AS3" s="3">
        <v>1764</v>
      </c>
      <c r="AT3" s="4">
        <f>Gaeiya!C3 + 'Raledria'!C3 + Arbiya!C3 + Fincen!C3 + 'Curata'!C3</f>
        <v>321973567.45274144</v>
      </c>
      <c r="AU3" s="5">
        <f t="shared" si="12"/>
        <v>1.4181202006595003E-2</v>
      </c>
      <c r="AV3" s="5">
        <f t="shared" si="13"/>
        <v>4.74653238690049E-2</v>
      </c>
      <c r="BC3" s="3">
        <f t="shared" si="14"/>
        <v>2014</v>
      </c>
      <c r="BD3" s="3">
        <v>1764</v>
      </c>
      <c r="BE3" s="4">
        <f>Etirha!C3 + Laselteh!C3 + Grazail!C3 + 'Disal Nila'!C3 + Pelan!C3 + Peka!C3 + Guise!C3</f>
        <v>106830462.13937108</v>
      </c>
      <c r="BF3" s="5">
        <f t="shared" si="15"/>
        <v>4.7757311363850145E-3</v>
      </c>
      <c r="BG3" s="5">
        <f t="shared" si="16"/>
        <v>1.5748940276797681E-2</v>
      </c>
      <c r="BN3" s="3">
        <f t="shared" si="17"/>
        <v>2014</v>
      </c>
      <c r="BO3" s="3">
        <v>1764</v>
      </c>
      <c r="BP3" s="4">
        <f>Genaire!C3 + 'New Misos'!C3 + Phuris!C3 + Lasri!C3 + Slyiaduun!C3 + Aetintio!C3 + Metndria!C3 + Tomscilus!C3</f>
        <v>102708014.43065123</v>
      </c>
      <c r="BQ3" s="5">
        <f t="shared" si="18"/>
        <v>1.0305757553070489E-2</v>
      </c>
      <c r="BR3" s="5">
        <f t="shared" si="19"/>
        <v>1.5141209284544271E-2</v>
      </c>
      <c r="BY3" s="3">
        <f t="shared" si="20"/>
        <v>2014</v>
      </c>
      <c r="BZ3" s="3">
        <v>1764</v>
      </c>
      <c r="CA3" s="4">
        <f>Ealdorii!C3 + Ukhdari!C3 + Hkuqo!C3 + Acrana!C3 + Zenashan!C3</f>
        <v>269282043.03491116</v>
      </c>
      <c r="CB3" s="7">
        <f t="shared" si="21"/>
        <v>6.3470104544885355E-3</v>
      </c>
      <c r="CC3" s="5">
        <f t="shared" si="22"/>
        <v>3.9697542521515909E-2</v>
      </c>
      <c r="CJ3" s="3">
        <f t="shared" si="23"/>
        <v>2014</v>
      </c>
      <c r="CK3" s="3">
        <v>1764</v>
      </c>
      <c r="CL3" s="4">
        <f>Estijan!C3 + Ikzen!C3 + Urbiqu!C3 + Danocia!C3 + Koruch!C3 + 'New Kizura'!C3 + Lydroa!C3 + Fermori!C3 + Uularin!C3 + 'Niul Spijan'!C3</f>
        <v>302476677.5942831</v>
      </c>
      <c r="CM3" s="7">
        <f t="shared" si="24"/>
        <v>9.6614807771866588E-3</v>
      </c>
      <c r="CN3" s="5">
        <f t="shared" si="25"/>
        <v>4.4591093543542321E-2</v>
      </c>
      <c r="CU3" s="3">
        <f t="shared" si="26"/>
        <v>2014</v>
      </c>
      <c r="CV3" s="3">
        <v>1764</v>
      </c>
      <c r="CW3" s="4">
        <f>Praesyu!C3 + Lycroa!C3 + Emara!C3 + Eldjo!C3 + Easuhura!C3 + Ilicuhe!C3 + Tonder!C3</f>
        <v>248301881.87768325</v>
      </c>
      <c r="CX3" s="7">
        <f t="shared" si="27"/>
        <v>5.7930163784236134E-3</v>
      </c>
      <c r="CY3" s="5">
        <f t="shared" si="28"/>
        <v>3.6604648430767585E-2</v>
      </c>
      <c r="DF3" s="3">
        <f t="shared" si="29"/>
        <v>2014</v>
      </c>
      <c r="DG3" s="3">
        <v>1764</v>
      </c>
      <c r="DH3" s="4">
        <f>Verusa!C3 + Darewa!C3 + Siana!C3 + Yaxuto!C3 + 'Merela Sta'!C3 + Palina!C3</f>
        <v>172618733.39855704</v>
      </c>
      <c r="DI3" s="7">
        <f t="shared" si="30"/>
        <v>4.5133056662651719E-3</v>
      </c>
      <c r="DJ3" s="5">
        <f t="shared" si="31"/>
        <v>2.54474432526904E-2</v>
      </c>
      <c r="DQ3" s="3">
        <f t="shared" si="32"/>
        <v>2014</v>
      </c>
      <c r="DR3" s="3">
        <v>1764</v>
      </c>
      <c r="DS3" s="4">
        <f>Sunsokua!C3 + Vayvele!C3 + Selaja!C3 + Sadain!C3</f>
        <v>201613215.53825769</v>
      </c>
      <c r="DT3" s="7">
        <f t="shared" si="33"/>
        <v>1.1979000487162904E-2</v>
      </c>
      <c r="DU3" s="5">
        <f t="shared" si="34"/>
        <v>2.9721808058667743E-2</v>
      </c>
      <c r="EB3" s="3">
        <f t="shared" si="35"/>
        <v>2014</v>
      </c>
      <c r="EC3" s="3">
        <v>1764</v>
      </c>
      <c r="ED3" s="4">
        <f>Pelugrotoa!C3 + Lieri!C3 + 'Rtesania'!C3 + Ozinia!C3</f>
        <v>399638862.91324204</v>
      </c>
      <c r="EE3" s="7">
        <f t="shared" si="36"/>
        <v>5.7165764447475731E-3</v>
      </c>
      <c r="EF3" s="5">
        <f t="shared" si="37"/>
        <v>5.8914737035368939E-2</v>
      </c>
      <c r="EM3" s="3">
        <f t="shared" si="38"/>
        <v>2014</v>
      </c>
      <c r="EN3" s="3">
        <v>1764</v>
      </c>
      <c r="EO3" s="4">
        <f>Ocaun!C3 + 'Dual Cenryia'!C3 + Byllu!C3 + Exilium!C3 + Inrea!C3 + Amcha!C3 + Isnti!C3 + Galca!C3 + Otiiric!C3 + Taing!C3 + 'Cruthi Anoso'!C3</f>
        <v>292855314.52763391</v>
      </c>
      <c r="EP3" s="7">
        <f t="shared" si="39"/>
        <v>1.813286774936064E-2</v>
      </c>
      <c r="EQ3" s="5">
        <f t="shared" si="40"/>
        <v>4.3172712781317735E-2</v>
      </c>
      <c r="EX3" s="3">
        <f t="shared" si="41"/>
        <v>2014</v>
      </c>
      <c r="EY3" s="3">
        <v>1764</v>
      </c>
      <c r="EZ3" s="4">
        <f>Sivoso!C3 + Taoisia!C3 + Seytinemas!C3 + Trian!C3 + 'Chaenia'!C3</f>
        <v>145881126.63053155</v>
      </c>
      <c r="FA3" s="7">
        <f t="shared" si="42"/>
        <v>6.8603170708773642E-3</v>
      </c>
      <c r="FB3" s="5">
        <f t="shared" si="43"/>
        <v>2.1505786877706438E-2</v>
      </c>
      <c r="FI3" s="3">
        <f t="shared" si="44"/>
        <v>2014</v>
      </c>
      <c r="FJ3" s="3">
        <v>1764</v>
      </c>
      <c r="FK3" s="4">
        <f>Migoku!C3 + 'Welenu Fana'!C3 + Haiza!C3 + Ucrua!C3 + Ihner!C3 + Oscairia!C3 + Shinam!C3 + 'Ruylku'!C3 + Taval!C3 + 'Western Migoku'!C3 + 'Pruim Fijan'!C3 + 'Canldives'!C3</f>
        <v>195183972.05353621</v>
      </c>
      <c r="FL3" s="7">
        <f t="shared" si="45"/>
        <v>1.374136994043058E-2</v>
      </c>
      <c r="FM3" s="5">
        <f t="shared" si="46"/>
        <v>2.8774009372429975E-2</v>
      </c>
      <c r="FT3" s="3">
        <f t="shared" si="47"/>
        <v>2014</v>
      </c>
      <c r="FU3" s="3">
        <v>1764</v>
      </c>
      <c r="FV3" s="4">
        <f>Vesozata!C3 + Etretes!C3 + Kusierna!C3 + Eparia!C3</f>
        <v>152440086.00141263</v>
      </c>
      <c r="FW3" s="7">
        <f t="shared" si="48"/>
        <v>2.4955511150934799E-2</v>
      </c>
      <c r="FX3" s="5">
        <f t="shared" si="49"/>
        <v>2.2472708272047948E-2</v>
      </c>
      <c r="GE3" s="3">
        <f t="shared" si="50"/>
        <v>2014</v>
      </c>
      <c r="GF3" s="3">
        <v>1764</v>
      </c>
      <c r="GG3" s="4">
        <f>Dahe!C3 + Kaastini!C3 + Suenan!C3 + Oyreain!C3 + Sanagara!C3 + 'North Ayre'!C3 + Stinebar!C3 + 'Cloja'!C3 + 'Pha Hii'!C3 + 'Prystr Hii'!C3</f>
        <v>1031659778.2858146</v>
      </c>
      <c r="GH3" s="7">
        <f t="shared" si="51"/>
        <v>3.1424057504393838E-3</v>
      </c>
      <c r="GI3" s="5">
        <f t="shared" si="52"/>
        <v>0.15208722221009463</v>
      </c>
      <c r="GP3" s="3">
        <f t="shared" si="53"/>
        <v>2014</v>
      </c>
      <c r="GQ3" s="3">
        <v>1764</v>
      </c>
      <c r="GR3" s="4">
        <f>Maalle!C3 + 'United Delet'!C3 + Ohtina!C3 + Astye!C3 + Prstreula!C3 + Veelmit!C3 + Aplasia!C3 + 'Elja and Munusia'!C3 + Walporein!C3 + 'Crila Republic'!C3 + 'Niretui and Anulan'!C3 + 'Rethern'!C3 + Tvecoca!C3</f>
        <v>202182043.29176334</v>
      </c>
      <c r="GS3" s="7">
        <f t="shared" si="54"/>
        <v>1.1291505917531728E-2</v>
      </c>
      <c r="GT3" s="5">
        <f t="shared" si="55"/>
        <v>2.9805664611736456E-2</v>
      </c>
      <c r="HA3" s="3">
        <f t="shared" si="56"/>
        <v>2014</v>
      </c>
      <c r="HB3" s="3">
        <v>1764</v>
      </c>
      <c r="HC3" s="4">
        <f>Andsaudare!C3 + Nia!C3 + Umarcia!C3 + Mendereide!C3 + Iainoa!C3 + Isari!C3 + 'Rkmepuia'!C3 + Hiwush!C3 + Isuibul!C3 + Yutnitu!C3</f>
        <v>70857863.161599055</v>
      </c>
      <c r="HD3" s="7">
        <f t="shared" si="57"/>
        <v>1.2287192552057827E-2</v>
      </c>
      <c r="HE3" s="5">
        <f t="shared" si="58"/>
        <v>1.044586190797972E-2</v>
      </c>
      <c r="HL3" s="3">
        <f t="shared" si="59"/>
        <v>2014</v>
      </c>
      <c r="HM3" s="3">
        <v>1764</v>
      </c>
      <c r="HN3" s="4">
        <f>Zhanshe!C3 + Volver!C3 + Finae!C3 + Myla!C3 + 'Nheyes Si'!C3 + Onphello!C3 + Hyelen!C3</f>
        <v>121813729.06615183</v>
      </c>
      <c r="HO3" s="7">
        <f t="shared" si="60"/>
        <v>1.2012952263686467E-2</v>
      </c>
      <c r="HP3" s="5">
        <f t="shared" si="61"/>
        <v>1.7957772582262582E-2</v>
      </c>
      <c r="HW3" s="3">
        <f t="shared" si="62"/>
        <v>2014</v>
      </c>
      <c r="HX3" s="3">
        <v>1764</v>
      </c>
      <c r="HY3" s="4">
        <f>Yihnurda!C3 + Ztesh!C3 + Wundry!C3 + Anymna!C3 + Shomjind!C3 + Baluyde!C3 + Letan!C3</f>
        <v>591799447.31976175</v>
      </c>
      <c r="HZ3" s="7">
        <f t="shared" si="63"/>
        <v>1.5177084047445388E-2</v>
      </c>
      <c r="IA3" s="5">
        <f t="shared" si="64"/>
        <v>8.7243038783466523E-2</v>
      </c>
      <c r="IH3" s="3">
        <f t="shared" si="65"/>
        <v>2014</v>
      </c>
      <c r="II3" s="3">
        <v>1764</v>
      </c>
      <c r="IJ3" s="4">
        <f>Iareva!C3 + 'United Mihili'!C3 + 'Mesjan Hyaa'!C3 + Desaki!C3 + 'Far Lands'!C3</f>
        <v>73352604.280451432</v>
      </c>
      <c r="IK3" s="7">
        <f t="shared" si="66"/>
        <v>1.173401874573333E-2</v>
      </c>
      <c r="IL3" s="5">
        <f t="shared" si="67"/>
        <v>1.081363649305659E-2</v>
      </c>
      <c r="IS3" s="3">
        <f t="shared" si="68"/>
        <v>2014</v>
      </c>
      <c r="IT3" s="3">
        <v>1764</v>
      </c>
      <c r="IU3" s="4">
        <f>Verste!C3 + Quidic!C3 + Erkizil!C3 + Ashain!C3 + Ahokini!C3</f>
        <v>368191902.0113951</v>
      </c>
      <c r="IV3" s="7">
        <f t="shared" si="69"/>
        <v>8.6202354832951057E-3</v>
      </c>
      <c r="IW3" s="5">
        <f t="shared" si="70"/>
        <v>5.4278827958387996E-2</v>
      </c>
    </row>
    <row r="4" spans="1:257" ht="22.5" customHeight="1">
      <c r="A4" s="3">
        <f t="shared" si="0"/>
        <v>2013</v>
      </c>
      <c r="B4" s="3">
        <v>1763</v>
      </c>
      <c r="C4" s="4">
        <f>Acetoa!C4 + Acrana!C4 + Aetintio!C4 + Ahokini!C4 + Amcha!C4 + Andsaudare!C4 + Anymna!C4 + Aplasia!C4 + Arbiya!C4 + 'Areoix Lie'!C4 + Ashain!C4 + Astye!C4 + Baluyde!C4 + Byllu!C4 + 'Candenat'!C4 + 'Canldives'!C4 + 'Chaenia'!C4 + 'Cloja'!C4 + 'Crila Republic'!C4 + 'Cruthi Anoso'!C4 + 'Curata'!C4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'Raledria'!C4 + 'Reerica'!C4 + 'Rethern'!C4 + 'Rijan bu'!C4 + 'Rinew'!C4 + 'Rkmepuia'!C4 + 'Rtesania'!C4 + 'Ruylku'!C4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6716994213.5862522</v>
      </c>
      <c r="D4" s="5">
        <f t="shared" si="1"/>
        <v>9.8659533680793953E-3</v>
      </c>
      <c r="K4" s="3">
        <f t="shared" si="2"/>
        <v>2013</v>
      </c>
      <c r="L4" s="3">
        <v>1763</v>
      </c>
      <c r="M4" s="4">
        <f>Eldavpir!C4 + Iquir!C4 + Viussi!C4 + Umendel!C4 + 'Reerica'!C4 + Saa!C4 + Sattle!C4</f>
        <v>106379257.96685706</v>
      </c>
      <c r="N4" s="5">
        <f t="shared" si="3"/>
        <v>2.4434239631731611E-2</v>
      </c>
      <c r="O4" s="5">
        <f t="shared" si="4"/>
        <v>1.5837330595236645E-2</v>
      </c>
      <c r="V4" s="3">
        <f t="shared" si="5"/>
        <v>2013</v>
      </c>
      <c r="W4" s="3">
        <v>1763</v>
      </c>
      <c r="X4" s="4">
        <f>'Areoix Lie'!C4 + Jau!C4 + Terressin!C4 + Acetoa!C4 + 'Feio Lie'!C4</f>
        <v>688756399.68312252</v>
      </c>
      <c r="Y4" s="5">
        <f t="shared" si="6"/>
        <v>3.8484268509908306E-3</v>
      </c>
      <c r="Z4" s="5">
        <f t="shared" si="7"/>
        <v>0.10253937665898188</v>
      </c>
      <c r="AG4" s="3">
        <f t="shared" si="8"/>
        <v>2013</v>
      </c>
      <c r="AH4" s="3">
        <v>1763</v>
      </c>
      <c r="AI4" s="4">
        <f>Taniduna!C4 + Jathua!C4 + Deschon!C4 + Pelines!C4 + 'Candenat'!C4 + Othya!C4 + Yoprioq!C4 + Jshain!C4 + 'Fire Coast'!C4 + 'Rijan bu'!C4 + 'Rinew'!C4 + Enina!C4 + Trevilla!C4</f>
        <v>249528167.30237123</v>
      </c>
      <c r="AJ4" s="5">
        <f t="shared" si="9"/>
        <v>2.7967142907412378E-2</v>
      </c>
      <c r="AK4" s="5">
        <f t="shared" si="10"/>
        <v>3.7148784019741816E-2</v>
      </c>
      <c r="AR4" s="3">
        <f t="shared" si="11"/>
        <v>2013</v>
      </c>
      <c r="AS4" s="3">
        <v>1763</v>
      </c>
      <c r="AT4" s="4">
        <f>Gaeiya!C4 + 'Raledria'!C4 + Arbiya!C4 + Fincen!C4 + 'Curata'!C4</f>
        <v>317471440.81916016</v>
      </c>
      <c r="AU4" s="5">
        <f t="shared" si="12"/>
        <v>1.6275924142318189E-2</v>
      </c>
      <c r="AV4" s="5">
        <f t="shared" si="13"/>
        <v>4.7263914590996776E-2</v>
      </c>
      <c r="BC4" s="3">
        <f t="shared" si="14"/>
        <v>2013</v>
      </c>
      <c r="BD4" s="3">
        <v>1763</v>
      </c>
      <c r="BE4" s="4">
        <f>Etirha!C4 + Laselteh!C4 + Grazail!C4 + 'Disal Nila'!C4 + Pelan!C4 + Peka!C4 + Guise!C4</f>
        <v>106322693.54132147</v>
      </c>
      <c r="BF4" s="5">
        <f t="shared" si="15"/>
        <v>4.5213350897277777E-3</v>
      </c>
      <c r="BG4" s="5">
        <f t="shared" si="16"/>
        <v>1.582890950334093E-2</v>
      </c>
      <c r="BN4" s="3">
        <f t="shared" si="17"/>
        <v>2013</v>
      </c>
      <c r="BO4" s="3">
        <v>1763</v>
      </c>
      <c r="BP4" s="4">
        <f>Genaire!C4 + 'New Misos'!C4 + Phuris!C4 + Lasri!C4 + Slyiaduun!C4 + Aetintio!C4 + Metndria!C4 + Tomscilus!C4</f>
        <v>101660327.7401951</v>
      </c>
      <c r="BQ4" s="5">
        <f t="shared" si="18"/>
        <v>1.0266049226486657E-2</v>
      </c>
      <c r="BR4" s="5">
        <f t="shared" si="19"/>
        <v>1.5134794598240082E-2</v>
      </c>
      <c r="BY4" s="3">
        <f t="shared" si="20"/>
        <v>2013</v>
      </c>
      <c r="BZ4" s="3">
        <v>1763</v>
      </c>
      <c r="CA4" s="4">
        <f>Ealdorii!C4 + Ukhdari!C4 + Hkuqo!C4 + Acrana!C4 + Zenashan!C4</f>
        <v>267583686.57874528</v>
      </c>
      <c r="CB4" s="6">
        <f t="shared" si="21"/>
        <v>6.555204263565215E-3</v>
      </c>
      <c r="CC4" s="5">
        <f t="shared" si="22"/>
        <v>3.9836819575862104E-2</v>
      </c>
      <c r="CJ4" s="3">
        <f t="shared" si="23"/>
        <v>2013</v>
      </c>
      <c r="CK4" s="3">
        <v>1763</v>
      </c>
      <c r="CL4" s="4">
        <f>Estijan!C4 + Ikzen!C4 + Urbiqu!C4 + Danocia!C4 + Koruch!C4 + 'New Kizura'!C4 + Lydroa!C4 + Fermori!C4 + Uularin!C4 + 'Niul Spijan'!C4</f>
        <v>299582269.25865465</v>
      </c>
      <c r="CM4" s="6">
        <f t="shared" si="24"/>
        <v>9.428656348261847E-3</v>
      </c>
      <c r="CN4" s="5">
        <f t="shared" si="25"/>
        <v>4.4600644236479921E-2</v>
      </c>
      <c r="CU4" s="3">
        <f t="shared" si="26"/>
        <v>2013</v>
      </c>
      <c r="CV4" s="3">
        <v>1763</v>
      </c>
      <c r="CW4" s="4">
        <f>Praesyu!C4 + Lycroa!C4 + Emara!C4 + Eldjo!C4 + Easuhura!C4 + Ilicuhe!C4 + Tonder!C4</f>
        <v>246871749.78779247</v>
      </c>
      <c r="CX4" s="6">
        <f t="shared" si="27"/>
        <v>5.2339792069340807E-3</v>
      </c>
      <c r="CY4" s="5">
        <f t="shared" si="28"/>
        <v>3.6753306901538309E-2</v>
      </c>
      <c r="DF4" s="3">
        <f t="shared" si="29"/>
        <v>2013</v>
      </c>
      <c r="DG4" s="3">
        <v>1763</v>
      </c>
      <c r="DH4" s="4">
        <f>Verusa!C4 + Darewa!C4 + Siana!C4 + Yaxuto!C4 + 'Merela Sta'!C4 + Palina!C4</f>
        <v>171843152.72366047</v>
      </c>
      <c r="DI4" s="6">
        <f t="shared" si="30"/>
        <v>3.4030552743086985E-3</v>
      </c>
      <c r="DJ4" s="5">
        <f t="shared" si="31"/>
        <v>2.5583340890197395E-2</v>
      </c>
      <c r="DQ4" s="3">
        <f t="shared" si="32"/>
        <v>2013</v>
      </c>
      <c r="DR4" s="3">
        <v>1763</v>
      </c>
      <c r="DS4" s="4">
        <f>Sunsokua!C4 + Vayvele!C4 + Selaja!C4 + Sadain!C4</f>
        <v>199226679.05282801</v>
      </c>
      <c r="DT4" s="6">
        <f t="shared" si="33"/>
        <v>1.2390854024701513E-2</v>
      </c>
      <c r="DU4" s="5">
        <f t="shared" si="34"/>
        <v>2.9660093892869298E-2</v>
      </c>
      <c r="EB4" s="3">
        <f t="shared" si="35"/>
        <v>2013</v>
      </c>
      <c r="EC4" s="3">
        <v>1763</v>
      </c>
      <c r="ED4" s="4">
        <f>Pelugrotoa!C4 + Lieri!C4 + 'Rtesania'!C4 + Ozinia!C4</f>
        <v>397367282.46638137</v>
      </c>
      <c r="EE4" s="6">
        <f t="shared" si="36"/>
        <v>5.4506069698925632E-3</v>
      </c>
      <c r="EF4" s="5">
        <f t="shared" si="37"/>
        <v>5.9158497064451705E-2</v>
      </c>
      <c r="EM4" s="3">
        <f t="shared" si="38"/>
        <v>2013</v>
      </c>
      <c r="EN4" s="3">
        <v>1763</v>
      </c>
      <c r="EO4" s="4">
        <f>Ocaun!C4 + 'Dual Cenryia'!C4 + Byllu!C4 + Exilium!C4 + Inrea!C4 + Amcha!C4 + Isnti!C4 + Galca!C4 + Otiiric!C4 + Taing!C4 + 'Cruthi Anoso'!C4</f>
        <v>287639583.99163252</v>
      </c>
      <c r="EP4" s="6">
        <f t="shared" si="39"/>
        <v>1.7948947794145603E-2</v>
      </c>
      <c r="EQ4" s="5">
        <f t="shared" si="40"/>
        <v>4.2822663656585117E-2</v>
      </c>
      <c r="EX4" s="3">
        <f t="shared" si="41"/>
        <v>2013</v>
      </c>
      <c r="EY4" s="3">
        <v>1763</v>
      </c>
      <c r="EZ4" s="4">
        <f>Sivoso!C4 + Taoisia!C4 + Seytinemas!C4 + Trian!C4 + 'Chaenia'!C4</f>
        <v>144887154.80904421</v>
      </c>
      <c r="FA4" s="6">
        <f t="shared" si="42"/>
        <v>7.2086931560689377E-3</v>
      </c>
      <c r="FB4" s="5">
        <f t="shared" si="43"/>
        <v>2.1570236656745297E-2</v>
      </c>
      <c r="FI4" s="3">
        <f t="shared" si="44"/>
        <v>2013</v>
      </c>
      <c r="FJ4" s="3">
        <v>1763</v>
      </c>
      <c r="FK4" s="4">
        <f>Migoku!C4 + 'Welenu Fana'!C4 + Haiza!C4 + Ucrua!C4 + Ihner!C4 + Oscairia!C4 + Shinam!C4 + 'Ruylku'!C4 + Taval!C4 + 'Western Migoku'!C4 + 'Pruim Fijan'!C4 + 'Canldives'!C4</f>
        <v>192538232.96666446</v>
      </c>
      <c r="FL4" s="6">
        <f t="shared" si="45"/>
        <v>1.2408477064180872E-2</v>
      </c>
      <c r="FM4" s="5">
        <f t="shared" si="46"/>
        <v>2.8664344027157781E-2</v>
      </c>
      <c r="FT4" s="3">
        <f t="shared" si="47"/>
        <v>2013</v>
      </c>
      <c r="FU4" s="3">
        <v>1763</v>
      </c>
      <c r="FV4" s="4">
        <f>Vesozata!C4 + Etretes!C4 + Kusierna!C4 + Eparia!C4</f>
        <v>148728490.4983201</v>
      </c>
      <c r="FW4" s="6">
        <f t="shared" si="48"/>
        <v>2.4345645338146458E-2</v>
      </c>
      <c r="FX4" s="5">
        <f t="shared" si="49"/>
        <v>2.2142119788862061E-2</v>
      </c>
      <c r="GE4" s="3">
        <f t="shared" si="50"/>
        <v>2013</v>
      </c>
      <c r="GF4" s="3">
        <v>1763</v>
      </c>
      <c r="GG4" s="4">
        <f>Dahe!C4 + Kaastini!C4 + Suenan!C4 + Oyreain!C4 + Sanagara!C4 + 'North Ayre'!C4 + Stinebar!C4 + 'Cloja'!C4 + 'Pha Hii'!C4 + 'Prystr Hii'!C4</f>
        <v>1028428040.0986954</v>
      </c>
      <c r="GH4" s="6">
        <f t="shared" si="51"/>
        <v>3.2348317930290709E-3</v>
      </c>
      <c r="GI4" s="5">
        <f t="shared" si="52"/>
        <v>0.15310837070821445</v>
      </c>
      <c r="GP4" s="3">
        <f t="shared" si="53"/>
        <v>2013</v>
      </c>
      <c r="GQ4" s="3">
        <v>1763</v>
      </c>
      <c r="GR4" s="4">
        <f>Maalle!C4 + 'United Delet'!C4 + Ohtina!C4 + Astye!C4 + Prstreula!C4 + Veelmit!C4 + Aplasia!C4 + 'Elja and Munusia'!C4 + Walporein!C4 + 'Crila Republic'!C4 + 'Niretui and Anulan'!C4 + 'Rethern'!C4 + Tvecoca!C4</f>
        <v>199924593.56051466</v>
      </c>
      <c r="GS4" s="6">
        <f t="shared" si="54"/>
        <v>1.1790848354411227E-2</v>
      </c>
      <c r="GT4" s="5">
        <f t="shared" si="55"/>
        <v>2.9763996693064509E-2</v>
      </c>
      <c r="HA4" s="3">
        <f t="shared" si="56"/>
        <v>2013</v>
      </c>
      <c r="HB4" s="3">
        <v>1763</v>
      </c>
      <c r="HC4" s="4">
        <f>Andsaudare!C4 + Nia!C4 + Umarcia!C4 + Mendereide!C4 + Iainoa!C4 + Isari!C4 + 'Rkmepuia'!C4 + Hiwush!C4 + Isuibul!C4 + Yutnitu!C4</f>
        <v>69997786.876035303</v>
      </c>
      <c r="HD4" s="6">
        <f t="shared" si="57"/>
        <v>1.1945464478789429E-2</v>
      </c>
      <c r="HE4" s="5">
        <f t="shared" si="58"/>
        <v>1.0420998537478712E-2</v>
      </c>
      <c r="HL4" s="3">
        <f t="shared" si="59"/>
        <v>2013</v>
      </c>
      <c r="HM4" s="3">
        <v>1763</v>
      </c>
      <c r="HN4" s="4">
        <f>Zhanshe!C4 + Volver!C4 + Finae!C4 + Myla!C4 + 'Nheyes Si'!C4 + Onphello!C4 + Hyelen!C4</f>
        <v>120367756.94785029</v>
      </c>
      <c r="HO4" s="6">
        <f t="shared" si="60"/>
        <v>1.2758943304305005E-2</v>
      </c>
      <c r="HP4" s="5">
        <f t="shared" si="61"/>
        <v>1.7919883971968625E-2</v>
      </c>
      <c r="HW4" s="3">
        <f t="shared" si="62"/>
        <v>2013</v>
      </c>
      <c r="HX4" s="3">
        <v>1763</v>
      </c>
      <c r="HY4" s="4">
        <f>Yihnurda!C4 + Ztesh!C4 + Wundry!C4 + Anymna!C4 + Shomjind!C4 + Baluyde!C4 + Letan!C4</f>
        <v>582951936.77963614</v>
      </c>
      <c r="HZ4" s="6">
        <f t="shared" si="63"/>
        <v>1.579231386333128E-2</v>
      </c>
      <c r="IA4" s="5">
        <f t="shared" si="64"/>
        <v>8.6787619319444648E-2</v>
      </c>
      <c r="IH4" s="3">
        <f t="shared" si="65"/>
        <v>2013</v>
      </c>
      <c r="II4" s="3">
        <v>1763</v>
      </c>
      <c r="IJ4" s="4">
        <f>Iareva!C4 + 'United Mihili'!C4 + 'Mesjan Hyaa'!C4 + Desaki!C4 + 'Far Lands'!C4</f>
        <v>72501866.025408641</v>
      </c>
      <c r="IK4" s="6">
        <f t="shared" si="66"/>
        <v>1.2549954596165567E-2</v>
      </c>
      <c r="IL4" s="5">
        <f t="shared" si="67"/>
        <v>1.0793796111772943E-2</v>
      </c>
      <c r="IS4" s="3">
        <f t="shared" si="68"/>
        <v>2013</v>
      </c>
      <c r="IT4" s="3">
        <v>1763</v>
      </c>
      <c r="IU4" s="4">
        <f>Verste!C4 + Quidic!C4 + Erkizil!C4 + Ashain!C4 + Ahokini!C4</f>
        <v>365045127.05415887</v>
      </c>
      <c r="IV4" s="6">
        <f t="shared" si="69"/>
        <v>8.9089329502902211E-3</v>
      </c>
      <c r="IW4" s="5">
        <f t="shared" si="70"/>
        <v>5.4346500152671506E-2</v>
      </c>
    </row>
    <row r="5" spans="1:257" ht="22.5" customHeight="1">
      <c r="A5" s="3">
        <f t="shared" si="0"/>
        <v>2012</v>
      </c>
      <c r="B5" s="3">
        <v>1762</v>
      </c>
      <c r="C5" s="4">
        <f>Acetoa!C5 + Acrana!C5 + Aetintio!C5 + Ahokini!C5 + Amcha!C5 + Andsaudare!C5 + Anymna!C5 + Aplasia!C5 + Arbiya!C5 + 'Areoix Lie'!C5 + Ashain!C5 + Astye!C5 + Baluyde!C5 + Byllu!C5 + 'Candenat'!C5 + 'Canldives'!C5 + 'Chaenia'!C5 + 'Cloja'!C5 + 'Crila Republic'!C5 + 'Cruthi Anoso'!C5 + 'Curata'!C5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'Raledria'!C5 + 'Reerica'!C5 + 'Rethern'!C5 + 'Rijan bu'!C5 + 'Rinew'!C5 + 'Rkmepuia'!C5 + 'Rtesania'!C5 + 'Ruylku'!C5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6651372086.7446842</v>
      </c>
      <c r="D5" s="5">
        <f t="shared" si="1"/>
        <v>1.0079867476510036E-2</v>
      </c>
      <c r="K5" s="3">
        <f t="shared" si="2"/>
        <v>2012</v>
      </c>
      <c r="L5" s="3">
        <v>1762</v>
      </c>
      <c r="M5" s="4">
        <f>Eldavpir!C5 + Iquir!C5 + Viussi!C5 + Umendel!C5 + 'Reerica'!C5 + Saa!C5 + Sattle!C5</f>
        <v>103841958.66500789</v>
      </c>
      <c r="N5" s="5">
        <f t="shared" si="3"/>
        <v>2.5298396857156832E-2</v>
      </c>
      <c r="O5" s="5">
        <f t="shared" si="4"/>
        <v>1.5612110901441125E-2</v>
      </c>
      <c r="V5" s="3">
        <f t="shared" si="5"/>
        <v>2012</v>
      </c>
      <c r="W5" s="3">
        <v>1762</v>
      </c>
      <c r="X5" s="4">
        <f>'Areoix Lie'!C5 + Jau!C5 + Terressin!C5 + Acetoa!C5 + 'Feio Lie'!C5</f>
        <v>686115932.70480871</v>
      </c>
      <c r="Y5" s="5">
        <f t="shared" si="6"/>
        <v>3.028627604294174E-3</v>
      </c>
      <c r="Z5" s="5">
        <f t="shared" si="7"/>
        <v>0.10315404457256995</v>
      </c>
      <c r="AG5" s="3">
        <f t="shared" si="8"/>
        <v>2012</v>
      </c>
      <c r="AH5" s="3">
        <v>1762</v>
      </c>
      <c r="AI5" s="4">
        <f>Taniduna!C5 + Jathua!C5 + Deschon!C5 + Pelines!C5 + 'Candenat'!C5 + Othya!C5 + Yoprioq!C5 + Jshain!C5 + 'Fire Coast'!C5 + 'Rijan bu'!C5 + 'Rinew'!C5 + Enina!C5 + Trevilla!C5</f>
        <v>242739438.73014033</v>
      </c>
      <c r="AJ5" s="5">
        <f t="shared" si="9"/>
        <v>2.8157980366118444E-2</v>
      </c>
      <c r="AK5" s="5">
        <f t="shared" si="10"/>
        <v>3.6494641340827756E-2</v>
      </c>
      <c r="AR5" s="3">
        <f t="shared" si="11"/>
        <v>2012</v>
      </c>
      <c r="AS5" s="3">
        <v>1762</v>
      </c>
      <c r="AT5" s="4">
        <f>Gaeiya!C5 + 'Raledria'!C5 + Arbiya!C5 + Fincen!C5 + 'Curata'!C5</f>
        <v>312387052.84402841</v>
      </c>
      <c r="AU5" s="5">
        <f t="shared" si="12"/>
        <v>1.6593312696444987E-2</v>
      </c>
      <c r="AV5" s="5">
        <f t="shared" si="13"/>
        <v>4.6965806268239756E-2</v>
      </c>
      <c r="BC5" s="3">
        <f t="shared" si="14"/>
        <v>2012</v>
      </c>
      <c r="BD5" s="3">
        <v>1762</v>
      </c>
      <c r="BE5" s="4">
        <f>Etirha!C5 + Laselteh!C5 + Grazail!C5 + 'Disal Nila'!C5 + Pelan!C5 + Peka!C5 + Guise!C5</f>
        <v>105844136.73187371</v>
      </c>
      <c r="BF5" s="5">
        <f t="shared" si="15"/>
        <v>4.6965741159271162E-3</v>
      </c>
      <c r="BG5" s="5">
        <f t="shared" si="16"/>
        <v>1.5913128201443916E-2</v>
      </c>
      <c r="BN5" s="3">
        <f t="shared" si="17"/>
        <v>2012</v>
      </c>
      <c r="BO5" s="3">
        <v>1762</v>
      </c>
      <c r="BP5" s="4">
        <f>Genaire!C5 + 'New Misos'!C5 + Phuris!C5 + Lasri!C5 + Slyiaduun!C5 + Aetintio!C5 + Metndria!C5 + Tomscilus!C5</f>
        <v>100627283.09837952</v>
      </c>
      <c r="BQ5" s="5">
        <f t="shared" si="18"/>
        <v>1.1109090703179262E-2</v>
      </c>
      <c r="BR5" s="5">
        <f t="shared" si="19"/>
        <v>1.5128800762615063E-2</v>
      </c>
      <c r="BY5" s="3">
        <f t="shared" si="20"/>
        <v>2012</v>
      </c>
      <c r="BZ5" s="3">
        <v>1762</v>
      </c>
      <c r="CA5" s="4">
        <f>Ealdorii!C5 + Ukhdari!C5 + Hkuqo!C5 + Acrana!C5 + Zenashan!C5</f>
        <v>265841044.23216397</v>
      </c>
      <c r="CB5" s="7">
        <f t="shared" si="21"/>
        <v>7.4572442075483535E-3</v>
      </c>
      <c r="CC5" s="5">
        <f t="shared" si="22"/>
        <v>3.9967850357063989E-2</v>
      </c>
      <c r="CJ5" s="3">
        <f t="shared" si="23"/>
        <v>2012</v>
      </c>
      <c r="CK5" s="3">
        <v>1762</v>
      </c>
      <c r="CL5" s="4">
        <f>Estijan!C5 + Ikzen!C5 + Urbiqu!C5 + Danocia!C5 + Koruch!C5 + 'New Kizura'!C5 + Lydroa!C5 + Fermori!C5 + Uularin!C5 + 'Niul Spijan'!C5</f>
        <v>296783994.96050775</v>
      </c>
      <c r="CM5" s="7">
        <f t="shared" si="24"/>
        <v>1.0009225409707402E-2</v>
      </c>
      <c r="CN5" s="5">
        <f t="shared" si="25"/>
        <v>4.4619965789007579E-2</v>
      </c>
      <c r="CU5" s="3">
        <f t="shared" si="26"/>
        <v>2012</v>
      </c>
      <c r="CV5" s="3">
        <v>1762</v>
      </c>
      <c r="CW5" s="4">
        <f>Praesyu!C5 + Lycroa!C5 + Emara!C5 + Eldjo!C5 + Easuhura!C5 + Ilicuhe!C5 + Tonder!C5</f>
        <v>245586355.90746608</v>
      </c>
      <c r="CX5" s="7">
        <f t="shared" si="27"/>
        <v>4.8031023921481075E-3</v>
      </c>
      <c r="CY5" s="5">
        <f t="shared" si="28"/>
        <v>3.6922660874270978E-2</v>
      </c>
      <c r="DF5" s="3">
        <f t="shared" si="29"/>
        <v>2012</v>
      </c>
      <c r="DG5" s="3">
        <v>1762</v>
      </c>
      <c r="DH5" s="4">
        <f>Verusa!C5 + Darewa!C5 + Siana!C5 + Yaxuto!C5 + 'Merela Sta'!C5 + Palina!C5</f>
        <v>171260344.30569106</v>
      </c>
      <c r="DI5" s="7">
        <f t="shared" si="30"/>
        <v>3.0275942715009968E-3</v>
      </c>
      <c r="DJ5" s="5">
        <f t="shared" si="31"/>
        <v>2.5748122653819136E-2</v>
      </c>
      <c r="DQ5" s="3">
        <f t="shared" si="32"/>
        <v>2012</v>
      </c>
      <c r="DR5" s="3">
        <v>1762</v>
      </c>
      <c r="DS5" s="4">
        <f>Sunsokua!C5 + Vayvele!C5 + Selaja!C5 + Sadain!C5</f>
        <v>196788303.905368</v>
      </c>
      <c r="DT5" s="7">
        <f t="shared" si="33"/>
        <v>1.2495884902980538E-2</v>
      </c>
      <c r="DU5" s="5">
        <f t="shared" si="34"/>
        <v>2.9586121681200391E-2</v>
      </c>
      <c r="EB5" s="3">
        <f t="shared" si="35"/>
        <v>2012</v>
      </c>
      <c r="EC5" s="3">
        <v>1762</v>
      </c>
      <c r="ED5" s="4">
        <f>Pelugrotoa!C5 + Lieri!C5 + 'Rtesania'!C5 + Ozinia!C5</f>
        <v>395213131.01985151</v>
      </c>
      <c r="EE5" s="7">
        <f t="shared" si="36"/>
        <v>6.2491880930918339E-3</v>
      </c>
      <c r="EF5" s="5">
        <f t="shared" si="37"/>
        <v>5.9418286312302337E-2</v>
      </c>
      <c r="EM5" s="3">
        <f t="shared" si="38"/>
        <v>2012</v>
      </c>
      <c r="EN5" s="3">
        <v>1762</v>
      </c>
      <c r="EO5" s="4">
        <f>Ocaun!C5 + 'Dual Cenryia'!C5 + Byllu!C5 + Exilium!C5 + Inrea!C5 + Amcha!C5 + Isnti!C5 + Galca!C5 + Otiiric!C5 + Taing!C5 + 'Cruthi Anoso'!C5</f>
        <v>282567789.48977345</v>
      </c>
      <c r="EP5" s="7">
        <f t="shared" si="39"/>
        <v>1.760639092310964E-2</v>
      </c>
      <c r="EQ5" s="5">
        <f t="shared" si="40"/>
        <v>4.2482631523936866E-2</v>
      </c>
      <c r="EX5" s="3">
        <f t="shared" si="41"/>
        <v>2012</v>
      </c>
      <c r="EY5" s="3">
        <v>1762</v>
      </c>
      <c r="EZ5" s="4">
        <f>Sivoso!C5 + Taoisia!C5 + Seytinemas!C5 + Trian!C5 + 'Chaenia'!C5</f>
        <v>143850182.97950062</v>
      </c>
      <c r="FA5" s="7">
        <f t="shared" si="42"/>
        <v>7.6190763937687761E-3</v>
      </c>
      <c r="FB5" s="5">
        <f t="shared" si="43"/>
        <v>2.1627144159650193E-2</v>
      </c>
      <c r="FI5" s="3">
        <f t="shared" si="44"/>
        <v>2012</v>
      </c>
      <c r="FJ5" s="3">
        <v>1762</v>
      </c>
      <c r="FK5" s="4">
        <f>Migoku!C5 + 'Welenu Fana'!C5 + Haiza!C5 + Ucrua!C5 + Ihner!C5 + Oscairia!C5 + Shinam!C5 + 'Ruylku'!C5 + Taval!C5 + 'Western Migoku'!C5 + 'Pruim Fijan'!C5 + 'Canldives'!C5</f>
        <v>190178408.54611754</v>
      </c>
      <c r="FL5" s="7">
        <f t="shared" si="45"/>
        <v>1.5776834168327463E-2</v>
      </c>
      <c r="FM5" s="5">
        <f t="shared" si="46"/>
        <v>2.8592357496450737E-2</v>
      </c>
      <c r="FT5" s="3">
        <f t="shared" si="47"/>
        <v>2012</v>
      </c>
      <c r="FU5" s="3">
        <v>1762</v>
      </c>
      <c r="FV5" s="4">
        <f>Vesozata!C5 + Etretes!C5 + Kusierna!C5 + Eparia!C5</f>
        <v>145193657.2144292</v>
      </c>
      <c r="FW5" s="7">
        <f t="shared" si="48"/>
        <v>2.3709831473032822E-2</v>
      </c>
      <c r="FX5" s="5">
        <f t="shared" si="49"/>
        <v>2.1829128685159741E-2</v>
      </c>
      <c r="GE5" s="3">
        <f t="shared" si="50"/>
        <v>2012</v>
      </c>
      <c r="GF5" s="3">
        <v>1762</v>
      </c>
      <c r="GG5" s="4">
        <f>Dahe!C5 + Kaastini!C5 + Suenan!C5 + Oyreain!C5 + Sanagara!C5 + 'North Ayre'!C5 + Stinebar!C5 + 'Cloja'!C5 + 'Pha Hii'!C5 + 'Prystr Hii'!C5</f>
        <v>1025111975.2896137</v>
      </c>
      <c r="GH5" s="7">
        <f t="shared" si="51"/>
        <v>3.245997234360963E-3</v>
      </c>
      <c r="GI5" s="5">
        <f t="shared" si="52"/>
        <v>0.15412037725757788</v>
      </c>
      <c r="GP5" s="3">
        <f t="shared" si="53"/>
        <v>2012</v>
      </c>
      <c r="GQ5" s="3">
        <v>1762</v>
      </c>
      <c r="GR5" s="4">
        <f>Maalle!C5 + 'United Delet'!C5 + Ohtina!C5 + Astye!C5 + Prstreula!C5 + Veelmit!C5 + Aplasia!C5 + 'Elja and Munusia'!C5 + Walporein!C5 + 'Crila Republic'!C5 + 'Niretui and Anulan'!C5 + 'Rethern'!C5 + Tvecoca!C5</f>
        <v>197594783.43342838</v>
      </c>
      <c r="GS5" s="7">
        <f t="shared" si="54"/>
        <v>1.2690528194042761E-2</v>
      </c>
      <c r="GT5" s="5">
        <f t="shared" si="55"/>
        <v>2.9707371780810305E-2</v>
      </c>
      <c r="HA5" s="3">
        <f t="shared" si="56"/>
        <v>2012</v>
      </c>
      <c r="HB5" s="3">
        <v>1762</v>
      </c>
      <c r="HC5" s="4">
        <f>Andsaudare!C5 + Nia!C5 + Umarcia!C5 + Mendereide!C5 + Iainoa!C5 + Isari!C5 + 'Rkmepuia'!C5 + Hiwush!C5 + Isuibul!C5 + Yutnitu!C5</f>
        <v>69171501.165913343</v>
      </c>
      <c r="HD5" s="7">
        <f t="shared" si="57"/>
        <v>1.205964993676197E-2</v>
      </c>
      <c r="HE5" s="5">
        <f t="shared" si="58"/>
        <v>1.0399583764643556E-2</v>
      </c>
      <c r="HL5" s="3">
        <f t="shared" si="59"/>
        <v>2012</v>
      </c>
      <c r="HM5" s="3">
        <v>1762</v>
      </c>
      <c r="HN5" s="4">
        <f>Zhanshe!C5 + Volver!C5 + Finae!C5 + Myla!C5 + 'Nheyes Si'!C5 + Onphello!C5 + Hyelen!C5</f>
        <v>118851339.44621532</v>
      </c>
      <c r="HO5" s="7">
        <f t="shared" si="60"/>
        <v>1.3514678899839736E-2</v>
      </c>
      <c r="HP5" s="5">
        <f t="shared" si="61"/>
        <v>1.7868695044601476E-2</v>
      </c>
      <c r="HW5" s="3">
        <f t="shared" si="62"/>
        <v>2012</v>
      </c>
      <c r="HX5" s="3">
        <v>1762</v>
      </c>
      <c r="HY5" s="4">
        <f>Yihnurda!C5 + Ztesh!C5 + Wundry!C5 + Anymna!C5 + Shomjind!C5 + Baluyde!C5 + Letan!C5</f>
        <v>573888903.0992105</v>
      </c>
      <c r="HZ5" s="7">
        <f t="shared" si="63"/>
        <v>1.6345300122043736E-2</v>
      </c>
      <c r="IA5" s="5">
        <f t="shared" si="64"/>
        <v>8.6281280856756778E-2</v>
      </c>
      <c r="IH5" s="3">
        <f t="shared" si="65"/>
        <v>2012</v>
      </c>
      <c r="II5" s="3">
        <v>1762</v>
      </c>
      <c r="IJ5" s="4">
        <f>Iareva!C5 + 'United Mihili'!C5 + 'Mesjan Hyaa'!C5 + Desaki!C5 + 'Far Lands'!C5</f>
        <v>71603248.507699057</v>
      </c>
      <c r="IK5" s="7">
        <f t="shared" si="66"/>
        <v>1.3885436036678715E-2</v>
      </c>
      <c r="IL5" s="5">
        <f t="shared" si="67"/>
        <v>1.0765184622642745E-2</v>
      </c>
      <c r="IS5" s="3">
        <f t="shared" si="68"/>
        <v>2012</v>
      </c>
      <c r="IT5" s="3">
        <v>1762</v>
      </c>
      <c r="IU5" s="4">
        <f>Verste!C5 + Quidic!C5 + Erkizil!C5 + Ashain!C5 + Ahokini!C5</f>
        <v>361821681.94970769</v>
      </c>
      <c r="IV5" s="7">
        <f t="shared" si="69"/>
        <v>9.2361295807873445E-3</v>
      </c>
      <c r="IW5" s="5">
        <f t="shared" si="70"/>
        <v>5.4398051594613243E-2</v>
      </c>
    </row>
    <row r="6" spans="1:257" ht="22.5" customHeight="1">
      <c r="A6" s="3">
        <f t="shared" si="0"/>
        <v>2011</v>
      </c>
      <c r="B6" s="3">
        <v>1761</v>
      </c>
      <c r="C6" s="4">
        <f>Acetoa!C6 + Acrana!C6 + Aetintio!C6 + Ahokini!C6 + Amcha!C6 + Andsaudare!C6 + Anymna!C6 + Aplasia!C6 + Arbiya!C6 + 'Areoix Lie'!C6 + Ashain!C6 + Astye!C6 + Baluyde!C6 + Byllu!C6 + 'Candenat'!C6 + 'Canldives'!C6 + 'Chaenia'!C6 + 'Cloja'!C6 + 'Crila Republic'!C6 + 'Cruthi Anoso'!C6 + 'Curata'!C6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'Raledria'!C6 + 'Reerica'!C6 + 'Rethern'!C6 + 'Rijan bu'!C6 + 'Rinew'!C6 + 'Rkmepuia'!C6 + 'Rtesania'!C6 + 'Ruylku'!C6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6584996197.7381611</v>
      </c>
      <c r="D6" s="5">
        <f t="shared" si="1"/>
        <v>1.010931554522404E-2</v>
      </c>
      <c r="K6" s="3">
        <f t="shared" si="2"/>
        <v>2011</v>
      </c>
      <c r="L6" s="3">
        <v>1761</v>
      </c>
      <c r="M6" s="4">
        <f>Eldavpir!C6 + Iquir!C6 + Viussi!C6 + Umendel!C6 + 'Reerica'!C6 + Saa!C6 + Sattle!C6</f>
        <v>101279743.51985162</v>
      </c>
      <c r="N6" s="5">
        <f t="shared" si="3"/>
        <v>2.5979553898442337E-2</v>
      </c>
      <c r="O6" s="5">
        <f t="shared" si="4"/>
        <v>1.5380379954454577E-2</v>
      </c>
      <c r="V6" s="3">
        <f t="shared" si="5"/>
        <v>2011</v>
      </c>
      <c r="W6" s="3">
        <v>1761</v>
      </c>
      <c r="X6" s="4">
        <f>'Areoix Lie'!C6 + Jau!C6 + Terressin!C6 + Acetoa!C6 + 'Feio Lie'!C6</f>
        <v>684044217.50511491</v>
      </c>
      <c r="Y6" s="5">
        <f t="shared" si="6"/>
        <v>4.3564915272326053E-3</v>
      </c>
      <c r="Z6" s="5">
        <f t="shared" si="7"/>
        <v>0.10387921222187994</v>
      </c>
      <c r="AG6" s="3">
        <f t="shared" si="8"/>
        <v>2011</v>
      </c>
      <c r="AH6" s="3">
        <v>1761</v>
      </c>
      <c r="AI6" s="4">
        <f>Taniduna!C6 + Jathua!C6 + Deschon!C6 + Pelines!C6 + 'Candenat'!C6 + Othya!C6 + Yoprioq!C6 + Jshain!C6 + 'Fire Coast'!C6 + 'Rijan bu'!C6 + 'Rinew'!C6 + Enina!C6 + Trevilla!C6</f>
        <v>236091576.74747887</v>
      </c>
      <c r="AJ6" s="5">
        <f t="shared" si="9"/>
        <v>2.8144438567914803E-2</v>
      </c>
      <c r="AK6" s="5">
        <f t="shared" si="10"/>
        <v>3.5852955667396207E-2</v>
      </c>
      <c r="AR6" s="3">
        <f t="shared" si="11"/>
        <v>2011</v>
      </c>
      <c r="AS6" s="3">
        <v>1761</v>
      </c>
      <c r="AT6" s="4">
        <f>Gaeiya!C6 + 'Raledria'!C6 + Arbiya!C6 + Fincen!C6 + 'Curata'!C6</f>
        <v>307288124.89966404</v>
      </c>
      <c r="AU6" s="5">
        <f t="shared" si="12"/>
        <v>1.3364265034012742E-2</v>
      </c>
      <c r="AV6" s="5">
        <f t="shared" si="13"/>
        <v>4.6664890255397946E-2</v>
      </c>
      <c r="BC6" s="3">
        <f t="shared" si="14"/>
        <v>2011</v>
      </c>
      <c r="BD6" s="3">
        <v>1761</v>
      </c>
      <c r="BE6" s="4">
        <f>Etirha!C6 + Laselteh!C6 + Grazail!C6 + 'Disal Nila'!C6 + Pelan!C6 + Peka!C6 + Guise!C6</f>
        <v>105349355.67488146</v>
      </c>
      <c r="BF6" s="5">
        <f t="shared" si="15"/>
        <v>3.7164470860644749E-3</v>
      </c>
      <c r="BG6" s="5">
        <f t="shared" si="16"/>
        <v>1.5998392787389498E-2</v>
      </c>
      <c r="BN6" s="3">
        <f t="shared" si="17"/>
        <v>2011</v>
      </c>
      <c r="BO6" s="3">
        <v>1761</v>
      </c>
      <c r="BP6" s="4">
        <f>Genaire!C6 + 'New Misos'!C6 + Phuris!C6 + Lasri!C6 + Slyiaduun!C6 + Aetintio!C6 + Metndria!C6 + Tomscilus!C6</f>
        <v>99521687.643415347</v>
      </c>
      <c r="BQ6" s="5">
        <f t="shared" si="18"/>
        <v>1.1769997008540709E-2</v>
      </c>
      <c r="BR6" s="5">
        <f t="shared" si="19"/>
        <v>1.5113400927642058E-2</v>
      </c>
      <c r="BY6" s="3">
        <f t="shared" si="20"/>
        <v>2011</v>
      </c>
      <c r="BZ6" s="3">
        <v>1761</v>
      </c>
      <c r="CA6" s="4">
        <f>Ealdorii!C6 + Ukhdari!C6 + Hkuqo!C6 + Acrana!C6 + Zenashan!C6</f>
        <v>263873276.767463</v>
      </c>
      <c r="CB6" s="6">
        <f t="shared" si="21"/>
        <v>7.6478151466691019E-3</v>
      </c>
      <c r="CC6" s="5">
        <f t="shared" si="22"/>
        <v>4.0071895084479954E-2</v>
      </c>
      <c r="CJ6" s="3">
        <f t="shared" si="23"/>
        <v>2011</v>
      </c>
      <c r="CK6" s="3">
        <v>1761</v>
      </c>
      <c r="CL6" s="4">
        <f>Estijan!C6 + Ikzen!C6 + Urbiqu!C6 + Danocia!C6 + Koruch!C6 + 'New Kizura'!C6 + Lydroa!C6 + Fermori!C6 + Uularin!C6 + 'Niul Spijan'!C6</f>
        <v>293842855.58393604</v>
      </c>
      <c r="CM6" s="6">
        <f t="shared" si="24"/>
        <v>1.0142904904381826E-2</v>
      </c>
      <c r="CN6" s="5">
        <f t="shared" si="25"/>
        <v>4.4623086598723667E-2</v>
      </c>
      <c r="CU6" s="3">
        <f t="shared" si="26"/>
        <v>2011</v>
      </c>
      <c r="CV6" s="3">
        <v>1761</v>
      </c>
      <c r="CW6" s="4">
        <f>Praesyu!C6 + Lycroa!C6 + Emara!C6 + Eldjo!C6 + Easuhura!C6 + Ilicuhe!C6 + Tonder!C6</f>
        <v>244412418.03771842</v>
      </c>
      <c r="CX6" s="6">
        <f t="shared" si="27"/>
        <v>4.3686324513475027E-3</v>
      </c>
      <c r="CY6" s="5">
        <f t="shared" si="28"/>
        <v>3.7116561756204217E-2</v>
      </c>
      <c r="DF6" s="3">
        <f t="shared" si="29"/>
        <v>2011</v>
      </c>
      <c r="DG6" s="3">
        <v>1761</v>
      </c>
      <c r="DH6" s="4">
        <f>Verusa!C6 + Darewa!C6 + Siana!C6 + Yaxuto!C6 + 'Merela Sta'!C6 + Palina!C6</f>
        <v>170743402.55820924</v>
      </c>
      <c r="DI6" s="6">
        <f t="shared" si="30"/>
        <v>4.0461907365260345E-3</v>
      </c>
      <c r="DJ6" s="5">
        <f t="shared" si="31"/>
        <v>2.5929157349681813E-2</v>
      </c>
      <c r="DQ6" s="3">
        <f t="shared" si="32"/>
        <v>2011</v>
      </c>
      <c r="DR6" s="3">
        <v>1761</v>
      </c>
      <c r="DS6" s="4">
        <f>Sunsokua!C6 + Vayvele!C6 + Selaja!C6 + Sadain!C6</f>
        <v>194359608.60643366</v>
      </c>
      <c r="DT6" s="6">
        <f t="shared" si="33"/>
        <v>1.2682244353072991E-2</v>
      </c>
      <c r="DU6" s="5">
        <f t="shared" si="34"/>
        <v>2.9515523285069324E-2</v>
      </c>
      <c r="EB6" s="3">
        <f t="shared" si="35"/>
        <v>2011</v>
      </c>
      <c r="EC6" s="3">
        <v>1761</v>
      </c>
      <c r="ED6" s="4">
        <f>Pelugrotoa!C6 + Lieri!C6 + 'Rtesania'!C6 + Ozinia!C6</f>
        <v>392758707.97849417</v>
      </c>
      <c r="EE6" s="6">
        <f t="shared" si="36"/>
        <v>5.3042600666429402E-3</v>
      </c>
      <c r="EF6" s="5">
        <f t="shared" si="37"/>
        <v>5.9644485157546542E-2</v>
      </c>
      <c r="EM6" s="3">
        <f t="shared" si="38"/>
        <v>2011</v>
      </c>
      <c r="EN6" s="3">
        <v>1761</v>
      </c>
      <c r="EO6" s="4">
        <f>Ocaun!C6 + 'Dual Cenryia'!C6 + Byllu!C6 + Exilium!C6 + Inrea!C6 + Amcha!C6 + Isnti!C6 + Galca!C6 + Otiiric!C6 + Taing!C6 + 'Cruthi Anoso'!C6</f>
        <v>277678866.80963689</v>
      </c>
      <c r="EP6" s="6">
        <f t="shared" si="39"/>
        <v>1.7197535528072683E-2</v>
      </c>
      <c r="EQ6" s="5">
        <f t="shared" si="40"/>
        <v>4.2168417182232402E-2</v>
      </c>
      <c r="EX6" s="3">
        <f t="shared" si="41"/>
        <v>2011</v>
      </c>
      <c r="EY6" s="3">
        <v>1761</v>
      </c>
      <c r="EZ6" s="4">
        <f>Sivoso!C6 + Taoisia!C6 + Seytinemas!C6 + Trian!C6 + 'Chaenia'!C6</f>
        <v>142762464.85361817</v>
      </c>
      <c r="FA6" s="6">
        <f t="shared" si="42"/>
        <v>7.9800690391774332E-3</v>
      </c>
      <c r="FB6" s="5">
        <f t="shared" si="43"/>
        <v>2.167996162285633E-2</v>
      </c>
      <c r="FI6" s="3">
        <f t="shared" si="44"/>
        <v>2011</v>
      </c>
      <c r="FJ6" s="3">
        <v>1761</v>
      </c>
      <c r="FK6" s="4">
        <f>Migoku!C6 + 'Welenu Fana'!C6 + Haiza!C6 + Ucrua!C6 + Ihner!C6 + Oscairia!C6 + Shinam!C6 + 'Ruylku'!C6 + Taval!C6 + 'Western Migoku'!C6 + 'Pruim Fijan'!C6 + 'Canldives'!C6</f>
        <v>187224597.12504381</v>
      </c>
      <c r="FL6" s="6">
        <f t="shared" si="45"/>
        <v>1.6159252485799379E-2</v>
      </c>
      <c r="FM6" s="5">
        <f t="shared" si="46"/>
        <v>2.8431997757166878E-2</v>
      </c>
      <c r="FT6" s="3">
        <f t="shared" si="47"/>
        <v>2011</v>
      </c>
      <c r="FU6" s="3">
        <v>1761</v>
      </c>
      <c r="FV6" s="4">
        <f>Vesozata!C6 + Etretes!C6 + Kusierna!C6 + Eparia!C6</f>
        <v>141830871.16151622</v>
      </c>
      <c r="FW6" s="6">
        <f t="shared" si="48"/>
        <v>2.3028458311882022E-2</v>
      </c>
      <c r="FX6" s="5">
        <f t="shared" si="49"/>
        <v>2.1538489454288951E-2</v>
      </c>
      <c r="GE6" s="3">
        <f t="shared" si="50"/>
        <v>2011</v>
      </c>
      <c r="GF6" s="3">
        <v>1761</v>
      </c>
      <c r="GG6" s="4">
        <f>Dahe!C6 + Kaastini!C6 + Suenan!C6 + Oyreain!C6 + Sanagara!C6 + 'North Ayre'!C6 + Stinebar!C6 + 'Cloja'!C6 + 'Pha Hii'!C6 + 'Prystr Hii'!C6</f>
        <v>1021795230.7963655</v>
      </c>
      <c r="GH6" s="6">
        <f t="shared" si="51"/>
        <v>3.2538775093215186E-3</v>
      </c>
      <c r="GI6" s="5">
        <f t="shared" si="52"/>
        <v>0.15517020816919158</v>
      </c>
      <c r="GP6" s="3">
        <f t="shared" si="53"/>
        <v>2011</v>
      </c>
      <c r="GQ6" s="3">
        <v>1761</v>
      </c>
      <c r="GR6" s="4">
        <f>Maalle!C6 + 'United Delet'!C6 + Ohtina!C6 + Astye!C6 + Prstreula!C6 + Veelmit!C6 + Aplasia!C6 + 'Elja and Munusia'!C6 + Walporein!C6 + 'Crila Republic'!C6 + 'Niretui and Anulan'!C6 + 'Rethern'!C6 + Tvecoca!C6</f>
        <v>195118625.0214113</v>
      </c>
      <c r="GS6" s="6">
        <f t="shared" si="54"/>
        <v>1.3883208892160831E-2</v>
      </c>
      <c r="GT6" s="5">
        <f t="shared" si="55"/>
        <v>2.9630787803405469E-2</v>
      </c>
      <c r="HA6" s="3">
        <f t="shared" si="56"/>
        <v>2011</v>
      </c>
      <c r="HB6" s="3">
        <v>1761</v>
      </c>
      <c r="HC6" s="4">
        <f>Andsaudare!C6 + Nia!C6 + Umarcia!C6 + Mendereide!C6 + Iainoa!C6 + Isari!C6 + 'Rkmepuia'!C6 + Hiwush!C6 + Isuibul!C6 + Yutnitu!C6</f>
        <v>68347257.170301661</v>
      </c>
      <c r="HD6" s="6">
        <f t="shared" si="57"/>
        <v>1.292029325547419E-2</v>
      </c>
      <c r="HE6" s="5">
        <f t="shared" si="58"/>
        <v>1.0379240187530834E-2</v>
      </c>
      <c r="HL6" s="3">
        <f t="shared" si="59"/>
        <v>2011</v>
      </c>
      <c r="HM6" s="3">
        <v>1761</v>
      </c>
      <c r="HN6" s="4">
        <f>Zhanshe!C6 + Volver!C6 + Finae!C6 + Myla!C6 + 'Nheyes Si'!C6 + Onphello!C6 + Hyelen!C6</f>
        <v>117266520.08161074</v>
      </c>
      <c r="HO6" s="6">
        <f t="shared" si="60"/>
        <v>1.2586932224858264E-2</v>
      </c>
      <c r="HP6" s="5">
        <f t="shared" si="61"/>
        <v>1.7808137857678624E-2</v>
      </c>
      <c r="HW6" s="3">
        <f t="shared" si="62"/>
        <v>2011</v>
      </c>
      <c r="HX6" s="3">
        <v>1761</v>
      </c>
      <c r="HY6" s="4">
        <f>Yihnurda!C6 + Ztesh!C6 + Wundry!C6 + Anymna!C6 + Shomjind!C6 + Baluyde!C6 + Letan!C6</f>
        <v>564659376.12964547</v>
      </c>
      <c r="HZ6" s="6">
        <f t="shared" si="63"/>
        <v>1.7117541839735548E-2</v>
      </c>
      <c r="IA6" s="5">
        <f t="shared" si="64"/>
        <v>8.5749385295559741E-2</v>
      </c>
      <c r="IH6" s="3">
        <f t="shared" si="65"/>
        <v>2011</v>
      </c>
      <c r="II6" s="3">
        <v>1761</v>
      </c>
      <c r="IJ6" s="4">
        <f>Iareva!C6 + 'United Mihili'!C6 + 'Mesjan Hyaa'!C6 + Desaki!C6 + 'Far Lands'!C6</f>
        <v>70622622.598860085</v>
      </c>
      <c r="IK6" s="6">
        <f t="shared" si="66"/>
        <v>1.4999957285062537E-2</v>
      </c>
      <c r="IL6" s="5">
        <f t="shared" si="67"/>
        <v>1.0724778037551154E-2</v>
      </c>
      <c r="IS6" s="3">
        <f t="shared" si="68"/>
        <v>2011</v>
      </c>
      <c r="IT6" s="3">
        <v>1761</v>
      </c>
      <c r="IU6" s="4">
        <f>Verste!C6 + Quidic!C6 + Erkizil!C6 + Ashain!C6 + Ahokini!C6</f>
        <v>358510433.13322502</v>
      </c>
      <c r="IV6" s="6">
        <f t="shared" si="69"/>
        <v>9.4050681462778431E-3</v>
      </c>
      <c r="IW6" s="5">
        <f t="shared" si="70"/>
        <v>5.4443529254636094E-2</v>
      </c>
    </row>
    <row r="7" spans="1:257" ht="22.5" customHeight="1">
      <c r="A7" s="3">
        <f t="shared" si="0"/>
        <v>2010</v>
      </c>
      <c r="B7" s="3">
        <v>1760</v>
      </c>
      <c r="C7" s="4">
        <f>Acetoa!C7 + Acrana!C7 + Aetintio!C7 + Ahokini!C7 + Amcha!C7 + Andsaudare!C7 + Anymna!C7 + Aplasia!C7 + Arbiya!C7 + 'Areoix Lie'!C7 + Ashain!C7 + Astye!C7 + Baluyde!C7 + Byllu!C7 + 'Candenat'!C7 + 'Canldives'!C7 + 'Chaenia'!C7 + 'Cloja'!C7 + 'Crila Republic'!C7 + 'Cruthi Anoso'!C7 + 'Curata'!C7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'Raledria'!C7 + 'Reerica'!C7 + 'Rethern'!C7 + 'Rijan bu'!C7 + 'Rinew'!C7 + 'Rkmepuia'!C7 + 'Rtesania'!C7 + 'Ruylku'!C7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6519092633.2401905</v>
      </c>
      <c r="D7" s="5">
        <f t="shared" si="1"/>
        <v>1.0442780114571854E-2</v>
      </c>
      <c r="K7" s="3">
        <f t="shared" si="2"/>
        <v>2010</v>
      </c>
      <c r="L7" s="3">
        <v>1760</v>
      </c>
      <c r="M7" s="4">
        <f>Eldavpir!C7 + Iquir!C7 + Viussi!C7 + Umendel!C7 + 'Reerica'!C7 + Saa!C7 + Sattle!C7</f>
        <v>98715167.505060151</v>
      </c>
      <c r="N7" s="5">
        <f t="shared" si="3"/>
        <v>2.670598358568638E-2</v>
      </c>
      <c r="O7" s="5">
        <f t="shared" si="4"/>
        <v>1.514247044162581E-2</v>
      </c>
      <c r="V7" s="3">
        <f t="shared" si="5"/>
        <v>2010</v>
      </c>
      <c r="W7" s="3">
        <v>1760</v>
      </c>
      <c r="X7" s="4">
        <f>'Areoix Lie'!C7 + Jau!C7 + Terressin!C7 + Acetoa!C7 + 'Feio Lie'!C7</f>
        <v>681077110.8423382</v>
      </c>
      <c r="Y7" s="5">
        <f t="shared" si="6"/>
        <v>5.4124607499626944E-3</v>
      </c>
      <c r="Z7" s="5">
        <f t="shared" si="7"/>
        <v>0.10447421890733616</v>
      </c>
      <c r="AG7" s="3">
        <f t="shared" si="8"/>
        <v>2010</v>
      </c>
      <c r="AH7" s="3">
        <v>1760</v>
      </c>
      <c r="AI7" s="4">
        <f>Taniduna!C7 + Jathua!C7 + Deschon!C7 + Pelines!C7 + 'Candenat'!C7 + Othya!C7 + Yoprioq!C7 + Jshain!C7 + 'Fire Coast'!C7 + 'Rijan bu'!C7 + 'Rinew'!C7 + Enina!C7 + Trevilla!C7</f>
        <v>229628803.00780198</v>
      </c>
      <c r="AJ7" s="5">
        <f t="shared" si="9"/>
        <v>2.8260641951310544E-2</v>
      </c>
      <c r="AK7" s="5">
        <f t="shared" si="10"/>
        <v>3.5224043578848389E-2</v>
      </c>
      <c r="AR7" s="3">
        <f t="shared" si="11"/>
        <v>2010</v>
      </c>
      <c r="AS7" s="3">
        <v>1760</v>
      </c>
      <c r="AT7" s="4">
        <f>Gaeiya!C7 + 'Raledria'!C7 + Arbiya!C7 + Fincen!C7 + 'Curata'!C7</f>
        <v>303235603.92111337</v>
      </c>
      <c r="AU7" s="5">
        <f t="shared" si="12"/>
        <v>1.4973855564476946E-2</v>
      </c>
      <c r="AV7" s="5">
        <f t="shared" si="13"/>
        <v>4.6515001547139528E-2</v>
      </c>
      <c r="BC7" s="3">
        <f t="shared" si="14"/>
        <v>2010</v>
      </c>
      <c r="BD7" s="3">
        <v>1760</v>
      </c>
      <c r="BE7" s="4">
        <f>Etirha!C7 + Laselteh!C7 + Grazail!C7 + 'Disal Nila'!C7 + Pelan!C7 + Peka!C7 + Guise!C7</f>
        <v>104959280.06433095</v>
      </c>
      <c r="BF7" s="5">
        <f t="shared" si="15"/>
        <v>5.0655328846563995E-3</v>
      </c>
      <c r="BG7" s="5">
        <f t="shared" si="16"/>
        <v>1.6100289713503111E-2</v>
      </c>
      <c r="BN7" s="3">
        <f t="shared" si="17"/>
        <v>2010</v>
      </c>
      <c r="BO7" s="3">
        <v>1760</v>
      </c>
      <c r="BP7" s="4">
        <f>Genaire!C7 + 'New Misos'!C7 + Phuris!C7 + Lasri!C7 + Slyiaduun!C7 + Aetintio!C7 + Metndria!C7 + Tomscilus!C7</f>
        <v>98363944.313101873</v>
      </c>
      <c r="BQ7" s="5">
        <f t="shared" si="18"/>
        <v>1.2024336855627607E-2</v>
      </c>
      <c r="BR7" s="5">
        <f t="shared" si="19"/>
        <v>1.5088594356146149E-2</v>
      </c>
      <c r="BY7" s="3">
        <f t="shared" si="20"/>
        <v>2010</v>
      </c>
      <c r="BZ7" s="3">
        <v>1760</v>
      </c>
      <c r="CA7" s="4">
        <f>Ealdorii!C7 + Ukhdari!C7 + Hkuqo!C7 + Acrana!C7 + Zenashan!C7</f>
        <v>261870539.29060987</v>
      </c>
      <c r="CB7" s="7">
        <f t="shared" si="21"/>
        <v>8.1496763918205047E-3</v>
      </c>
      <c r="CC7" s="5">
        <f t="shared" si="22"/>
        <v>4.0169783438167239E-2</v>
      </c>
      <c r="CJ7" s="3">
        <f t="shared" si="23"/>
        <v>2010</v>
      </c>
      <c r="CK7" s="3">
        <v>1760</v>
      </c>
      <c r="CL7" s="4">
        <f>Estijan!C7 + Ikzen!C7 + Urbiqu!C7 + Danocia!C7 + Koruch!C7 + 'New Kizura'!C7 + Lydroa!C7 + Fermori!C7 + Uularin!C7 + 'Niul Spijan'!C7</f>
        <v>290892362.01857066</v>
      </c>
      <c r="CM7" s="7">
        <f t="shared" si="24"/>
        <v>1.0162216902366773E-2</v>
      </c>
      <c r="CN7" s="5">
        <f t="shared" si="25"/>
        <v>4.462160278799232E-2</v>
      </c>
      <c r="CU7" s="3">
        <f t="shared" si="26"/>
        <v>2010</v>
      </c>
      <c r="CV7" s="3">
        <v>1760</v>
      </c>
      <c r="CW7" s="4">
        <f>Praesyu!C7 + Lycroa!C7 + Emara!C7 + Eldjo!C7 + Easuhura!C7 + Ilicuhe!C7 + Tonder!C7</f>
        <v>243349314.32614008</v>
      </c>
      <c r="CX7" s="7">
        <f t="shared" si="27"/>
        <v>3.7847272707337686E-3</v>
      </c>
      <c r="CY7" s="5">
        <f t="shared" si="28"/>
        <v>3.7328709379788022E-2</v>
      </c>
      <c r="DF7" s="3">
        <f t="shared" si="29"/>
        <v>2010</v>
      </c>
      <c r="DG7" s="3">
        <v>1760</v>
      </c>
      <c r="DH7" s="4">
        <f>Verusa!C7 + Darewa!C7 + Siana!C7 + Yaxuto!C7 + 'Merela Sta'!C7 + Palina!C7</f>
        <v>170055326.27234915</v>
      </c>
      <c r="DI7" s="7">
        <f t="shared" si="30"/>
        <v>4.4050361488427326E-3</v>
      </c>
      <c r="DJ7" s="5">
        <f t="shared" si="31"/>
        <v>2.6085735521728028E-2</v>
      </c>
      <c r="DQ7" s="3">
        <f t="shared" si="32"/>
        <v>2010</v>
      </c>
      <c r="DR7" s="3">
        <v>1760</v>
      </c>
      <c r="DS7" s="4">
        <f>Sunsokua!C7 + Vayvele!C7 + Selaja!C7 + Sadain!C7</f>
        <v>191925561.73491073</v>
      </c>
      <c r="DT7" s="7">
        <f t="shared" si="33"/>
        <v>1.2553057247019755E-2</v>
      </c>
      <c r="DU7" s="5">
        <f t="shared" si="34"/>
        <v>2.9440532990174399E-2</v>
      </c>
      <c r="EB7" s="3">
        <f t="shared" si="35"/>
        <v>2010</v>
      </c>
      <c r="EC7" s="3">
        <v>1760</v>
      </c>
      <c r="ED7" s="4">
        <f>Pelugrotoa!C7 + Lieri!C7 + 'Rtesania'!C7 + Ozinia!C7</f>
        <v>390686405.67827463</v>
      </c>
      <c r="EE7" s="7">
        <f t="shared" si="36"/>
        <v>4.5647948801499924E-3</v>
      </c>
      <c r="EF7" s="5">
        <f t="shared" si="37"/>
        <v>5.9929568063844404E-2</v>
      </c>
      <c r="EM7" s="3">
        <f t="shared" si="38"/>
        <v>2010</v>
      </c>
      <c r="EN7" s="3">
        <v>1760</v>
      </c>
      <c r="EO7" s="4">
        <f>Ocaun!C7 + 'Dual Cenryia'!C7 + Byllu!C7 + Exilium!C7 + Inrea!C7 + Amcha!C7 + Isnti!C7 + Galca!C7 + Otiiric!C7 + Taing!C7 + 'Cruthi Anoso'!C7</f>
        <v>272984211.13995463</v>
      </c>
      <c r="EP7" s="7">
        <f t="shared" si="39"/>
        <v>1.699095845646002E-2</v>
      </c>
      <c r="EQ7" s="5">
        <f t="shared" si="40"/>
        <v>4.1874571585014134E-2</v>
      </c>
      <c r="EX7" s="3">
        <f t="shared" si="41"/>
        <v>2010</v>
      </c>
      <c r="EY7" s="3">
        <v>1760</v>
      </c>
      <c r="EZ7" s="4">
        <f>Sivoso!C7 + Taoisia!C7 + Seytinemas!C7 + Trian!C7 + 'Chaenia'!C7</f>
        <v>141632229.88099518</v>
      </c>
      <c r="FA7" s="7">
        <f t="shared" si="42"/>
        <v>8.4765571769273955E-3</v>
      </c>
      <c r="FB7" s="5">
        <f t="shared" si="43"/>
        <v>2.1725758145976763E-2</v>
      </c>
      <c r="FI7" s="3">
        <f t="shared" si="44"/>
        <v>2010</v>
      </c>
      <c r="FJ7" s="3">
        <v>1760</v>
      </c>
      <c r="FK7" s="4">
        <f>Migoku!C7 + 'Welenu Fana'!C7 + Haiza!C7 + Ucrua!C7 + Ihner!C7 + Oscairia!C7 + Shinam!C7 + 'Ruylku'!C7 + Taval!C7 + 'Western Migoku'!C7 + 'Pruim Fijan'!C7 + 'Canldives'!C7</f>
        <v>184247298.50861663</v>
      </c>
      <c r="FL7" s="7">
        <f t="shared" si="45"/>
        <v>1.8324880745943559E-2</v>
      </c>
      <c r="FM7" s="5">
        <f t="shared" si="46"/>
        <v>2.8262721343942619E-2</v>
      </c>
      <c r="FT7" s="3">
        <f t="shared" si="47"/>
        <v>2010</v>
      </c>
      <c r="FU7" s="3">
        <v>1760</v>
      </c>
      <c r="FV7" s="4">
        <f>Vesozata!C7 + Etretes!C7 + Kusierna!C7 + Eparia!C7</f>
        <v>138638246.0909777</v>
      </c>
      <c r="FW7" s="7">
        <f t="shared" si="48"/>
        <v>2.2328115653656205E-2</v>
      </c>
      <c r="FX7" s="5">
        <f t="shared" si="49"/>
        <v>2.126649426395253E-2</v>
      </c>
      <c r="GE7" s="3">
        <f t="shared" si="50"/>
        <v>2010</v>
      </c>
      <c r="GF7" s="3">
        <v>1760</v>
      </c>
      <c r="GG7" s="4">
        <f>Dahe!C7 + Kaastini!C7 + Suenan!C7 + Oyreain!C7 + Sanagara!C7 + 'North Ayre'!C7 + Stinebar!C7 + 'Cloja'!C7 + 'Pha Hii'!C7 + 'Prystr Hii'!C7</f>
        <v>1018481217.6685275</v>
      </c>
      <c r="GH7" s="7">
        <f t="shared" si="51"/>
        <v>3.2011242356139672E-3</v>
      </c>
      <c r="GI7" s="5">
        <f t="shared" si="52"/>
        <v>0.15623051779865732</v>
      </c>
      <c r="GP7" s="3">
        <f t="shared" si="53"/>
        <v>2010</v>
      </c>
      <c r="GQ7" s="3">
        <v>1760</v>
      </c>
      <c r="GR7" s="4">
        <f>Maalle!C7 + 'United Delet'!C7 + Ohtina!C7 + Astye!C7 + Prstreula!C7 + Veelmit!C7 + Aplasia!C7 + 'Elja and Munusia'!C7 + Walporein!C7 + 'Crila Republic'!C7 + 'Niretui and Anulan'!C7 + 'Rethern'!C7 + Tvecoca!C7</f>
        <v>192446845.26791942</v>
      </c>
      <c r="GS7" s="7">
        <f t="shared" si="54"/>
        <v>1.5261574566637119E-2</v>
      </c>
      <c r="GT7" s="5">
        <f t="shared" si="55"/>
        <v>2.9520495580420584E-2</v>
      </c>
      <c r="HA7" s="3">
        <f t="shared" si="56"/>
        <v>2010</v>
      </c>
      <c r="HB7" s="3">
        <v>1760</v>
      </c>
      <c r="HC7" s="4">
        <f>Andsaudare!C7 + Nia!C7 + Umarcia!C7 + Mendereide!C7 + Iainoa!C7 + Isari!C7 + 'Rkmepuia'!C7 + Hiwush!C7 + Isuibul!C7 + Yutnitu!C7</f>
        <v>67475454.510479853</v>
      </c>
      <c r="HD7" s="7">
        <f t="shared" si="57"/>
        <v>1.4192734986505581E-2</v>
      </c>
      <c r="HE7" s="5">
        <f t="shared" si="58"/>
        <v>1.0350436526462191E-2</v>
      </c>
      <c r="HL7" s="3">
        <f t="shared" si="59"/>
        <v>2010</v>
      </c>
      <c r="HM7" s="3">
        <v>1760</v>
      </c>
      <c r="HN7" s="4">
        <f>Zhanshe!C7 + Volver!C7 + Finae!C7 + Myla!C7 + 'Nheyes Si'!C7 + Onphello!C7 + Hyelen!C7</f>
        <v>115808842.03586598</v>
      </c>
      <c r="HO7" s="7">
        <f t="shared" si="60"/>
        <v>1.1775414443015098E-2</v>
      </c>
      <c r="HP7" s="5">
        <f t="shared" si="61"/>
        <v>1.7764564572279349E-2</v>
      </c>
      <c r="HW7" s="3">
        <f t="shared" si="62"/>
        <v>2010</v>
      </c>
      <c r="HX7" s="3">
        <v>1760</v>
      </c>
      <c r="HY7" s="4">
        <f>Yihnurda!C7 + Ztesh!C7 + Wundry!C7 + Anymna!C7 + Shomjind!C7 + Baluyde!C7 + Letan!C7</f>
        <v>555156462.1610049</v>
      </c>
      <c r="HZ7" s="7">
        <f t="shared" si="63"/>
        <v>1.8093500443405661E-2</v>
      </c>
      <c r="IA7" s="5">
        <f t="shared" si="64"/>
        <v>8.5158547882924471E-2</v>
      </c>
      <c r="IH7" s="3">
        <f t="shared" si="65"/>
        <v>2010</v>
      </c>
      <c r="II7" s="3">
        <v>1760</v>
      </c>
      <c r="IJ7" s="4">
        <f>Iareva!C7 + 'United Mihili'!C7 + 'Mesjan Hyaa'!C7 + Desaki!C7 + 'Far Lands'!C7</f>
        <v>69578941.449182481</v>
      </c>
      <c r="IK7" s="7">
        <f t="shared" si="66"/>
        <v>1.5564154409828775E-2</v>
      </c>
      <c r="IL7" s="5">
        <f t="shared" si="67"/>
        <v>1.0673102126882893E-2</v>
      </c>
      <c r="IS7" s="3">
        <f t="shared" si="68"/>
        <v>2010</v>
      </c>
      <c r="IT7" s="3">
        <v>1760</v>
      </c>
      <c r="IU7" s="4">
        <f>Verste!C7 + Quidic!C7 + Erkizil!C7 + Ashain!C7 + Ahokini!C7</f>
        <v>355170034.75285852</v>
      </c>
      <c r="IV7" s="7">
        <f t="shared" si="69"/>
        <v>9.5518901873720887E-3</v>
      </c>
      <c r="IW7" s="5">
        <f t="shared" si="70"/>
        <v>5.4481513721999074E-2</v>
      </c>
    </row>
    <row r="8" spans="1:257" ht="22.5" customHeight="1">
      <c r="A8" s="3">
        <f t="shared" si="0"/>
        <v>2009</v>
      </c>
      <c r="B8" s="3">
        <v>1759</v>
      </c>
      <c r="C8" s="4">
        <f>Acetoa!C8 + Acrana!C8 + Aetintio!C8 + Ahokini!C8 + Amcha!C8 + Andsaudare!C8 + Anymna!C8 + Aplasia!C8 + Arbiya!C8 + 'Areoix Lie'!C8 + Ashain!C8 + Astye!C8 + Baluyde!C8 + Byllu!C8 + 'Candenat'!C8 + 'Canldives'!C8 + 'Chaenia'!C8 + 'Cloja'!C8 + 'Crila Republic'!C8 + 'Cruthi Anoso'!C8 + 'Curata'!C8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'Raledria'!C8 + 'Reerica'!C8 + 'Rethern'!C8 + 'Rijan bu'!C8 + 'Rinew'!C8 + 'Rkmepuia'!C8 + 'Rtesania'!C8 + 'Ruylku'!C8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6451718752.9421558</v>
      </c>
      <c r="D8" s="5">
        <f t="shared" si="1"/>
        <v>1.0925379351832801E-2</v>
      </c>
      <c r="K8" s="3">
        <f t="shared" si="2"/>
        <v>2009</v>
      </c>
      <c r="L8" s="3">
        <v>1759</v>
      </c>
      <c r="M8" s="4">
        <f>Eldavpir!C8 + Iquir!C8 + Viussi!C8 + Umendel!C8 + 'Reerica'!C8 + Saa!C8 + Sattle!C8</f>
        <v>96147455.146122292</v>
      </c>
      <c r="N8" s="5">
        <f t="shared" si="3"/>
        <v>2.7304651805842035E-2</v>
      </c>
      <c r="O8" s="5">
        <f t="shared" si="4"/>
        <v>1.49026110448904E-2</v>
      </c>
      <c r="V8" s="3">
        <f t="shared" si="5"/>
        <v>2009</v>
      </c>
      <c r="W8" s="3">
        <v>1759</v>
      </c>
      <c r="X8" s="4">
        <f>'Areoix Lie'!C8 + Jau!C8 + Terressin!C8 + Acetoa!C8 + 'Feio Lie'!C8</f>
        <v>677410652.27529156</v>
      </c>
      <c r="Y8" s="5">
        <f t="shared" si="6"/>
        <v>5.4396485917027103E-3</v>
      </c>
      <c r="Z8" s="5">
        <f t="shared" si="7"/>
        <v>0.10499692844893065</v>
      </c>
      <c r="AG8" s="3">
        <f t="shared" si="8"/>
        <v>2009</v>
      </c>
      <c r="AH8" s="3">
        <v>1759</v>
      </c>
      <c r="AI8" s="4">
        <f>Taniduna!C8 + Jathua!C8 + Deschon!C8 + Pelines!C8 + 'Candenat'!C8 + Othya!C8 + Yoprioq!C8 + Jshain!C8 + 'Fire Coast'!C8 + 'Rijan bu'!C8 + 'Rinew'!C8 + Enina!C8 + Trevilla!C8</f>
        <v>223317701.40695047</v>
      </c>
      <c r="AJ8" s="5">
        <f t="shared" si="9"/>
        <v>2.8112919953159943E-2</v>
      </c>
      <c r="AK8" s="5">
        <f t="shared" si="10"/>
        <v>3.4613675821673358E-2</v>
      </c>
      <c r="AR8" s="3">
        <f t="shared" si="11"/>
        <v>2009</v>
      </c>
      <c r="AS8" s="3">
        <v>1759</v>
      </c>
      <c r="AT8" s="4">
        <f>Gaeiya!C8 + 'Raledria'!C8 + Arbiya!C8 + Fincen!C8 + 'Curata'!C8</f>
        <v>298761985.10795051</v>
      </c>
      <c r="AU8" s="5">
        <f t="shared" si="12"/>
        <v>1.9600187211296218E-2</v>
      </c>
      <c r="AV8" s="5">
        <f t="shared" si="13"/>
        <v>4.6307347940687443E-2</v>
      </c>
      <c r="BC8" s="3">
        <f t="shared" si="14"/>
        <v>2009</v>
      </c>
      <c r="BD8" s="3">
        <v>1759</v>
      </c>
      <c r="BE8" s="4">
        <f>Etirha!C8 + Laselteh!C8 + Grazail!C8 + 'Disal Nila'!C8 + Pelan!C8 + Peka!C8 + Guise!C8</f>
        <v>104430285.021401</v>
      </c>
      <c r="BF8" s="5">
        <f t="shared" si="15"/>
        <v>5.0022570074730694E-3</v>
      </c>
      <c r="BG8" s="5">
        <f t="shared" si="16"/>
        <v>1.618642861234117E-2</v>
      </c>
      <c r="BN8" s="3">
        <f t="shared" si="17"/>
        <v>2009</v>
      </c>
      <c r="BO8" s="3">
        <v>1759</v>
      </c>
      <c r="BP8" s="4">
        <f>Genaire!C8 + 'New Misos'!C8 + Phuris!C8 + Lasri!C8 + Slyiaduun!C8 + Aetintio!C8 + Metndria!C8 + Tomscilus!C8</f>
        <v>97195236.054026023</v>
      </c>
      <c r="BQ8" s="5">
        <f t="shared" si="18"/>
        <v>1.1379157953784495E-2</v>
      </c>
      <c r="BR8" s="5">
        <f t="shared" si="19"/>
        <v>1.5065014421111026E-2</v>
      </c>
      <c r="BY8" s="3">
        <f t="shared" si="20"/>
        <v>2009</v>
      </c>
      <c r="BZ8" s="3">
        <v>1759</v>
      </c>
      <c r="CA8" s="4">
        <f>Ealdorii!C8 + Ukhdari!C8 + Hkuqo!C8 + Acrana!C8 + Zenashan!C8</f>
        <v>259753631.25428715</v>
      </c>
      <c r="CB8" s="6">
        <f t="shared" si="21"/>
        <v>7.4730561184982681E-3</v>
      </c>
      <c r="CC8" s="5">
        <f t="shared" si="22"/>
        <v>4.0261152291524265E-2</v>
      </c>
      <c r="CJ8" s="3">
        <f t="shared" si="23"/>
        <v>2009</v>
      </c>
      <c r="CK8" s="3">
        <v>1759</v>
      </c>
      <c r="CL8" s="4">
        <f>Estijan!C8 + Ikzen!C8 + Urbiqu!C8 + Danocia!C8 + Koruch!C8 + 'New Kizura'!C8 + Lydroa!C8 + Fermori!C8 + Uularin!C8 + 'Niul Spijan'!C8</f>
        <v>287965989.17605895</v>
      </c>
      <c r="CM8" s="6">
        <f t="shared" si="24"/>
        <v>1.0970124006041276E-2</v>
      </c>
      <c r="CN8" s="5">
        <f t="shared" si="25"/>
        <v>4.4633996025437217E-2</v>
      </c>
      <c r="CU8" s="3">
        <f t="shared" si="26"/>
        <v>2009</v>
      </c>
      <c r="CV8" s="3">
        <v>1759</v>
      </c>
      <c r="CW8" s="4">
        <f>Praesyu!C8 + Lycroa!C8 + Emara!C8 + Eldjo!C8 + Easuhura!C8 + Ilicuhe!C8 + Tonder!C8</f>
        <v>242431776.17157111</v>
      </c>
      <c r="CX8" s="6">
        <f t="shared" si="27"/>
        <v>3.8366785462588676E-3</v>
      </c>
      <c r="CY8" s="5">
        <f t="shared" si="28"/>
        <v>3.757630880314114E-2</v>
      </c>
      <c r="DF8" s="3">
        <f t="shared" si="29"/>
        <v>2009</v>
      </c>
      <c r="DG8" s="3">
        <v>1759</v>
      </c>
      <c r="DH8" s="4">
        <f>Verusa!C8 + Darewa!C8 + Siana!C8 + Yaxuto!C8 + 'Merela Sta'!C8 + Palina!C8</f>
        <v>169309511.75273544</v>
      </c>
      <c r="DI8" s="6">
        <f t="shared" si="30"/>
        <v>4.4028701081042206E-3</v>
      </c>
      <c r="DJ8" s="5">
        <f t="shared" si="31"/>
        <v>2.6242543767972804E-2</v>
      </c>
      <c r="DQ8" s="3">
        <f t="shared" si="32"/>
        <v>2009</v>
      </c>
      <c r="DR8" s="3">
        <v>1759</v>
      </c>
      <c r="DS8" s="4">
        <f>Sunsokua!C8 + Vayvele!C8 + Selaja!C8 + Sadain!C8</f>
        <v>189546177.7150993</v>
      </c>
      <c r="DT8" s="6">
        <f t="shared" si="33"/>
        <v>1.2211206999723409E-2</v>
      </c>
      <c r="DU8" s="5">
        <f t="shared" si="34"/>
        <v>2.9379175530343939E-2</v>
      </c>
      <c r="EB8" s="3">
        <f t="shared" si="35"/>
        <v>2009</v>
      </c>
      <c r="EC8" s="3">
        <v>1759</v>
      </c>
      <c r="ED8" s="4">
        <f>Pelugrotoa!C8 + Lieri!C8 + 'Rtesania'!C8 + Ozinia!C8</f>
        <v>388911106.25162375</v>
      </c>
      <c r="EE8" s="6">
        <f t="shared" si="36"/>
        <v>6.1442778359116264E-3</v>
      </c>
      <c r="EF8" s="5">
        <f t="shared" si="37"/>
        <v>6.0280232468947891E-2</v>
      </c>
      <c r="EM8" s="3">
        <f t="shared" si="38"/>
        <v>2009</v>
      </c>
      <c r="EN8" s="3">
        <v>1759</v>
      </c>
      <c r="EO8" s="4">
        <f>Ocaun!C8 + 'Dual Cenryia'!C8 + Byllu!C8 + Exilium!C8 + Inrea!C8 + Amcha!C8 + Isnti!C8 + Galca!C8 + Otiiric!C8 + Taing!C8 + 'Cruthi Anoso'!C8</f>
        <v>268423439.6284869</v>
      </c>
      <c r="EP8" s="6">
        <f t="shared" si="39"/>
        <v>1.6755312625160904E-2</v>
      </c>
      <c r="EQ8" s="5">
        <f t="shared" si="40"/>
        <v>4.1604950542222359E-2</v>
      </c>
      <c r="EX8" s="3">
        <f t="shared" si="41"/>
        <v>2009</v>
      </c>
      <c r="EY8" s="3">
        <v>1759</v>
      </c>
      <c r="EZ8" s="4">
        <f>Sivoso!C8 + Taoisia!C8 + Seytinemas!C8 + Trian!C8 + 'Chaenia'!C8</f>
        <v>140441767.21120071</v>
      </c>
      <c r="FA8" s="6">
        <f t="shared" si="42"/>
        <v>9.050390378632844E-3</v>
      </c>
      <c r="FB8" s="5">
        <f t="shared" si="43"/>
        <v>2.1768116774643274E-2</v>
      </c>
      <c r="FI8" s="3">
        <f t="shared" si="44"/>
        <v>2009</v>
      </c>
      <c r="FJ8" s="3">
        <v>1759</v>
      </c>
      <c r="FK8" s="4">
        <f>Migoku!C8 + 'Welenu Fana'!C8 + Haiza!C8 + Ucrua!C8 + Ihner!C8 + Oscairia!C8 + Shinam!C8 + 'Ruylku'!C8 + Taval!C8 + 'Western Migoku'!C8 + 'Pruim Fijan'!C8 + 'Canldives'!C8</f>
        <v>180931745.84289029</v>
      </c>
      <c r="FL8" s="6">
        <f t="shared" si="45"/>
        <v>1.9363581955875696E-2</v>
      </c>
      <c r="FM8" s="5">
        <f t="shared" si="46"/>
        <v>2.8043960496632093E-2</v>
      </c>
      <c r="FT8" s="3">
        <f t="shared" si="47"/>
        <v>2009</v>
      </c>
      <c r="FU8" s="3">
        <v>1759</v>
      </c>
      <c r="FV8" s="4">
        <f>Vesozata!C8 + Etretes!C8 + Kusierna!C8 + Eparia!C8</f>
        <v>135610323.11268792</v>
      </c>
      <c r="FW8" s="6">
        <f t="shared" si="48"/>
        <v>2.2700081203502909E-2</v>
      </c>
      <c r="FX8" s="5">
        <f t="shared" si="49"/>
        <v>2.1019255225725082E-2</v>
      </c>
      <c r="GE8" s="3">
        <f t="shared" si="50"/>
        <v>2009</v>
      </c>
      <c r="GF8" s="3">
        <v>1759</v>
      </c>
      <c r="GG8" s="4">
        <f>Dahe!C8 + Kaastini!C8 + Suenan!C8 + Oyreain!C8 + Sanagara!C8 + 'North Ayre'!C8 + Stinebar!C8 + 'Cloja'!C8 + 'Pha Hii'!C8 + 'Prystr Hii'!C8</f>
        <v>1015231336.0339943</v>
      </c>
      <c r="GH8" s="6">
        <f t="shared" si="51"/>
        <v>3.4250601620709753E-3</v>
      </c>
      <c r="GI8" s="5">
        <f t="shared" si="52"/>
        <v>0.15735827535430333</v>
      </c>
      <c r="GP8" s="3">
        <f t="shared" si="53"/>
        <v>2009</v>
      </c>
      <c r="GQ8" s="3">
        <v>1759</v>
      </c>
      <c r="GR8" s="4">
        <f>Maalle!C8 + 'United Delet'!C8 + Ohtina!C8 + Astye!C8 + Prstreula!C8 + Veelmit!C8 + Aplasia!C8 + 'Elja and Munusia'!C8 + Walporein!C8 + 'Crila Republic'!C8 + 'Niretui and Anulan'!C8 + 'Rethern'!C8 + Tvecoca!C8</f>
        <v>189553953.47259653</v>
      </c>
      <c r="GS8" s="6">
        <f t="shared" si="54"/>
        <v>1.582974591668946E-2</v>
      </c>
      <c r="GT8" s="5">
        <f t="shared" si="55"/>
        <v>2.9380380752982275E-2</v>
      </c>
      <c r="HA8" s="3">
        <f t="shared" si="56"/>
        <v>2009</v>
      </c>
      <c r="HB8" s="3">
        <v>1759</v>
      </c>
      <c r="HC8" s="4">
        <f>Andsaudare!C8 + Nia!C8 + Umarcia!C8 + Mendereide!C8 + Iainoa!C8 + Isari!C8 + 'Rkmepuia'!C8 + Hiwush!C8 + Isuibul!C8 + Yutnitu!C8</f>
        <v>66531194.893027559</v>
      </c>
      <c r="HD8" s="6">
        <f t="shared" si="57"/>
        <v>1.4659943311923121E-2</v>
      </c>
      <c r="HE8" s="5">
        <f t="shared" si="58"/>
        <v>1.0312166019742811E-2</v>
      </c>
      <c r="HL8" s="3">
        <f t="shared" si="59"/>
        <v>2009</v>
      </c>
      <c r="HM8" s="3">
        <v>1759</v>
      </c>
      <c r="HN8" s="4">
        <f>Zhanshe!C8 + Volver!C8 + Finae!C8 + Myla!C8 + 'Nheyes Si'!C8 + Onphello!C8 + Hyelen!C8</f>
        <v>114461016.13332741</v>
      </c>
      <c r="HO8" s="6">
        <f t="shared" si="60"/>
        <v>1.2037942143487131E-2</v>
      </c>
      <c r="HP8" s="5">
        <f t="shared" si="61"/>
        <v>1.7741166426563485E-2</v>
      </c>
      <c r="HW8" s="3">
        <f t="shared" si="62"/>
        <v>2009</v>
      </c>
      <c r="HX8" s="3">
        <v>1759</v>
      </c>
      <c r="HY8" s="4">
        <f>Yihnurda!C8 + Ztesh!C8 + Wundry!C8 + Anymna!C8 + Shomjind!C8 + Baluyde!C8 + Letan!C8</f>
        <v>545290252.73142409</v>
      </c>
      <c r="HZ8" s="6">
        <f t="shared" si="63"/>
        <v>1.89910239340958E-2</v>
      </c>
      <c r="IA8" s="5">
        <f t="shared" si="64"/>
        <v>8.4518602501505072E-2</v>
      </c>
      <c r="IH8" s="3">
        <f t="shared" si="65"/>
        <v>2009</v>
      </c>
      <c r="II8" s="3">
        <v>1759</v>
      </c>
      <c r="IJ8" s="4">
        <f>Iareva!C8 + 'United Mihili'!C8 + 'Mesjan Hyaa'!C8 + Desaki!C8 + 'Far Lands'!C8</f>
        <v>68512600.752058491</v>
      </c>
      <c r="IK8" s="6">
        <f t="shared" si="66"/>
        <v>1.6655840869994016E-2</v>
      </c>
      <c r="IL8" s="5">
        <f t="shared" si="67"/>
        <v>1.0619278889182036E-2</v>
      </c>
      <c r="IS8" s="3">
        <f t="shared" si="68"/>
        <v>2009</v>
      </c>
      <c r="IT8" s="3">
        <v>1759</v>
      </c>
      <c r="IU8" s="4">
        <f>Verste!C8 + Quidic!C8 + Erkizil!C8 + Ashain!C8 + Ahokini!C8</f>
        <v>351809588.19951218</v>
      </c>
      <c r="IV8" s="6">
        <f t="shared" si="69"/>
        <v>9.8075327560493818E-3</v>
      </c>
      <c r="IW8" s="5">
        <f t="shared" si="70"/>
        <v>5.4529591519946158E-2</v>
      </c>
    </row>
    <row r="9" spans="1:257" ht="22.5" customHeight="1">
      <c r="A9" s="3">
        <f t="shared" si="0"/>
        <v>2008</v>
      </c>
      <c r="B9" s="3">
        <v>1758</v>
      </c>
      <c r="C9" s="4">
        <f>Acetoa!C9 + Acrana!C9 + Aetintio!C9 + Ahokini!C9 + Amcha!C9 + Andsaudare!C9 + Anymna!C9 + Aplasia!C9 + Arbiya!C9 + 'Areoix Lie'!C9 + Ashain!C9 + Astye!C9 + Baluyde!C9 + Byllu!C9 + 'Candenat'!C9 + 'Canldives'!C9 + 'Chaenia'!C9 + 'Cloja'!C9 + 'Crila Republic'!C9 + 'Cruthi Anoso'!C9 + 'Curata'!C9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'Raledria'!C9 + 'Reerica'!C9 + 'Rethern'!C9 + 'Rijan bu'!C9 + 'Rinew'!C9 + 'Rkmepuia'!C9 + 'Rtesania'!C9 + 'Ruylku'!C9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6381993057.7653065</v>
      </c>
      <c r="D9" s="5">
        <f t="shared" si="1"/>
        <v>1.1571793877144805E-2</v>
      </c>
      <c r="K9" s="3">
        <f t="shared" si="2"/>
        <v>2008</v>
      </c>
      <c r="L9" s="3">
        <v>1758</v>
      </c>
      <c r="M9" s="4">
        <f>Eldavpir!C9 + Iquir!C9 + Viussi!C9 + Umendel!C9 + 'Reerica'!C9 + Saa!C9 + Sattle!C9</f>
        <v>93591959.285991743</v>
      </c>
      <c r="N9" s="5">
        <f t="shared" si="3"/>
        <v>2.7573138147448314E-2</v>
      </c>
      <c r="O9" s="5">
        <f t="shared" si="4"/>
        <v>1.4665004872124311E-2</v>
      </c>
      <c r="V9" s="3">
        <f t="shared" si="5"/>
        <v>2008</v>
      </c>
      <c r="W9" s="3">
        <v>1758</v>
      </c>
      <c r="X9" s="4">
        <f>'Areoix Lie'!C9 + Jau!C9 + Terressin!C9 + Acetoa!C9 + 'Feio Lie'!C9</f>
        <v>673745712.35988736</v>
      </c>
      <c r="Y9" s="5">
        <f t="shared" si="6"/>
        <v>1.0526758616971697E-2</v>
      </c>
      <c r="Z9" s="5">
        <f t="shared" si="7"/>
        <v>0.10556979712475643</v>
      </c>
      <c r="AG9" s="3">
        <f t="shared" si="8"/>
        <v>2008</v>
      </c>
      <c r="AH9" s="3">
        <v>1758</v>
      </c>
      <c r="AI9" s="4">
        <f>Taniduna!C9 + Jathua!C9 + Deschon!C9 + Pelines!C9 + 'Candenat'!C9 + Othya!C9 + Yoprioq!C9 + Jshain!C9 + 'Fire Coast'!C9 + 'Rijan bu'!C9 + 'Rinew'!C9 + Enina!C9 + Trevilla!C9</f>
        <v>217211258.67878857</v>
      </c>
      <c r="AJ9" s="5">
        <f t="shared" si="9"/>
        <v>2.8131117240068098E-2</v>
      </c>
      <c r="AK9" s="5">
        <f t="shared" si="10"/>
        <v>3.4035019579737119E-2</v>
      </c>
      <c r="AR9" s="3">
        <f t="shared" si="11"/>
        <v>2008</v>
      </c>
      <c r="AS9" s="3">
        <v>1758</v>
      </c>
      <c r="AT9" s="4">
        <f>Gaeiya!C9 + 'Raledria'!C9 + Arbiya!C9 + Fincen!C9 + 'Curata'!C9</f>
        <v>293018762.50640267</v>
      </c>
      <c r="AU9" s="5">
        <f t="shared" si="12"/>
        <v>1.9088596523993445E-2</v>
      </c>
      <c r="AV9" s="5">
        <f t="shared" si="13"/>
        <v>4.5913362777772269E-2</v>
      </c>
      <c r="BC9" s="3">
        <f t="shared" si="14"/>
        <v>2008</v>
      </c>
      <c r="BD9" s="3">
        <v>1758</v>
      </c>
      <c r="BE9" s="4">
        <f>Etirha!C9 + Laselteh!C9 + Grazail!C9 + 'Disal Nila'!C9 + Pelan!C9 + Peka!C9 + Guise!C9</f>
        <v>103910498.00460744</v>
      </c>
      <c r="BF9" s="5">
        <f t="shared" si="15"/>
        <v>5.4894647490254722E-3</v>
      </c>
      <c r="BG9" s="5">
        <f t="shared" si="16"/>
        <v>1.6281825609035107E-2</v>
      </c>
      <c r="BN9" s="3">
        <f t="shared" si="17"/>
        <v>2008</v>
      </c>
      <c r="BO9" s="3">
        <v>1758</v>
      </c>
      <c r="BP9" s="4">
        <f>Genaire!C9 + 'New Misos'!C9 + Phuris!C9 + Lasri!C9 + Slyiaduun!C9 + Aetintio!C9 + Metndria!C9 + Tomscilus!C9</f>
        <v>96101679.859283209</v>
      </c>
      <c r="BQ9" s="5">
        <f t="shared" si="18"/>
        <v>1.1188655118209124E-2</v>
      </c>
      <c r="BR9" s="5">
        <f t="shared" si="19"/>
        <v>1.5058255154688902E-2</v>
      </c>
      <c r="BY9" s="3">
        <f t="shared" si="20"/>
        <v>2008</v>
      </c>
      <c r="BZ9" s="3">
        <v>1758</v>
      </c>
      <c r="CA9" s="4">
        <f>Ealdorii!C9 + Ukhdari!C9 + Hkuqo!C9 + Acrana!C9 + Zenashan!C9</f>
        <v>257826876.53706852</v>
      </c>
      <c r="CB9" s="7">
        <f t="shared" si="21"/>
        <v>7.1712208449888652E-3</v>
      </c>
      <c r="CC9" s="5">
        <f t="shared" si="22"/>
        <v>4.0399115793984919E-2</v>
      </c>
      <c r="CJ9" s="3">
        <f t="shared" si="23"/>
        <v>2008</v>
      </c>
      <c r="CK9" s="3">
        <v>1758</v>
      </c>
      <c r="CL9" s="4">
        <f>Estijan!C9 + Ikzen!C9 + Urbiqu!C9 + Danocia!C9 + Koruch!C9 + 'New Kizura'!C9 + Lydroa!C9 + Fermori!C9 + Uularin!C9 + 'Niul Spijan'!C9</f>
        <v>284841245.39207268</v>
      </c>
      <c r="CM9" s="7">
        <f t="shared" si="24"/>
        <v>1.1105782987734163E-2</v>
      </c>
      <c r="CN9" s="5">
        <f t="shared" si="25"/>
        <v>4.4632020563778484E-2</v>
      </c>
      <c r="CU9" s="3">
        <f t="shared" si="26"/>
        <v>2008</v>
      </c>
      <c r="CV9" s="3">
        <v>1758</v>
      </c>
      <c r="CW9" s="4">
        <f>Praesyu!C9 + Lycroa!C9 + Emara!C9 + Eldjo!C9 + Easuhura!C9 + Ilicuhe!C9 + Tonder!C9</f>
        <v>241505198.35822013</v>
      </c>
      <c r="CX9" s="7">
        <f t="shared" si="27"/>
        <v>4.8915463729019976E-3</v>
      </c>
      <c r="CY9" s="5">
        <f t="shared" si="28"/>
        <v>3.784165795422921E-2</v>
      </c>
      <c r="DF9" s="3">
        <f t="shared" si="29"/>
        <v>2008</v>
      </c>
      <c r="DG9" s="3">
        <v>1758</v>
      </c>
      <c r="DH9" s="4">
        <f>Verusa!C9 + Darewa!C9 + Siana!C9 + Yaxuto!C9 + 'Merela Sta'!C9 + Palina!C9</f>
        <v>168567331.68684852</v>
      </c>
      <c r="DI9" s="7">
        <f t="shared" si="30"/>
        <v>3.887085196919758E-3</v>
      </c>
      <c r="DJ9" s="5">
        <f t="shared" si="31"/>
        <v>2.6412960678755953E-2</v>
      </c>
      <c r="DQ9" s="3">
        <f t="shared" si="32"/>
        <v>2008</v>
      </c>
      <c r="DR9" s="3">
        <v>1758</v>
      </c>
      <c r="DS9" s="4">
        <f>Sunsokua!C9 + Vayvele!C9 + Selaja!C9 + Sadain!C9</f>
        <v>187259513.03871614</v>
      </c>
      <c r="DT9" s="7">
        <f t="shared" si="33"/>
        <v>1.1779004877400535E-2</v>
      </c>
      <c r="DU9" s="5">
        <f t="shared" si="34"/>
        <v>2.9341854706480392E-2</v>
      </c>
      <c r="EB9" s="3">
        <f t="shared" si="35"/>
        <v>2008</v>
      </c>
      <c r="EC9" s="3">
        <v>1758</v>
      </c>
      <c r="ED9" s="4">
        <f>Pelugrotoa!C9 + Lieri!C9 + 'Rtesania'!C9 + Ozinia!C9</f>
        <v>386536120.9310081</v>
      </c>
      <c r="EE9" s="7">
        <f t="shared" si="36"/>
        <v>5.9996396518262425E-3</v>
      </c>
      <c r="EF9" s="5">
        <f t="shared" si="37"/>
        <v>6.0566678376544031E-2</v>
      </c>
      <c r="EM9" s="3">
        <f t="shared" si="38"/>
        <v>2008</v>
      </c>
      <c r="EN9" s="3">
        <v>1758</v>
      </c>
      <c r="EO9" s="4">
        <f>Ocaun!C9 + 'Dual Cenryia'!C9 + Byllu!C9 + Exilium!C9 + Inrea!C9 + Amcha!C9 + Isnti!C9 + Galca!C9 + Otiiric!C9 + Taing!C9 + 'Cruthi Anoso'!C9</f>
        <v>264000036.48414123</v>
      </c>
      <c r="EP9" s="7">
        <f t="shared" si="39"/>
        <v>1.6413312397429634E-2</v>
      </c>
      <c r="EQ9" s="5">
        <f t="shared" si="40"/>
        <v>4.1366393553643639E-2</v>
      </c>
      <c r="EX9" s="3">
        <f t="shared" si="41"/>
        <v>2008</v>
      </c>
      <c r="EY9" s="3">
        <v>1758</v>
      </c>
      <c r="EZ9" s="4">
        <f>Sivoso!C9 + Taoisia!C9 + Seytinemas!C9 + Trian!C9 + 'Chaenia'!C9</f>
        <v>139182114.7390883</v>
      </c>
      <c r="FA9" s="7">
        <f t="shared" si="42"/>
        <v>9.3277632710456488E-3</v>
      </c>
      <c r="FB9" s="5">
        <f t="shared" si="43"/>
        <v>2.1808565675222429E-2</v>
      </c>
      <c r="FI9" s="3">
        <f t="shared" si="44"/>
        <v>2008</v>
      </c>
      <c r="FJ9" s="3">
        <v>1758</v>
      </c>
      <c r="FK9" s="4">
        <f>Migoku!C9 + 'Welenu Fana'!C9 + Haiza!C9 + Ucrua!C9 + Ihner!C9 + Oscairia!C9 + Shinam!C9 + 'Ruylku'!C9 + Taval!C9 + 'Western Migoku'!C9 + 'Pruim Fijan'!C9 + 'Canldives'!C9</f>
        <v>177494810.53240347</v>
      </c>
      <c r="FL9" s="7">
        <f t="shared" si="45"/>
        <v>2.2375388032503312E-2</v>
      </c>
      <c r="FM9" s="5">
        <f t="shared" si="46"/>
        <v>2.7811815043646312E-2</v>
      </c>
      <c r="FT9" s="3">
        <f t="shared" si="47"/>
        <v>2008</v>
      </c>
      <c r="FU9" s="3">
        <v>1758</v>
      </c>
      <c r="FV9" s="4">
        <f>Vesozata!C9 + Etretes!C9 + Kusierna!C9 + Eparia!C9</f>
        <v>132600285.85614571</v>
      </c>
      <c r="FW9" s="7">
        <f t="shared" si="48"/>
        <v>2.117878442214146E-2</v>
      </c>
      <c r="FX9" s="5">
        <f t="shared" si="49"/>
        <v>2.0777253227313365E-2</v>
      </c>
      <c r="GE9" s="3">
        <f t="shared" si="50"/>
        <v>2008</v>
      </c>
      <c r="GF9" s="3">
        <v>1758</v>
      </c>
      <c r="GG9" s="4">
        <f>Dahe!C9 + Kaastini!C9 + Suenan!C9 + Oyreain!C9 + Sanagara!C9 + 'North Ayre'!C9 + Stinebar!C9 + 'Cloja'!C9 + 'Pha Hii'!C9 + 'Prystr Hii'!C9</f>
        <v>1011765976.6938813</v>
      </c>
      <c r="GH9" s="7">
        <f t="shared" si="51"/>
        <v>3.5532131633202436E-3</v>
      </c>
      <c r="GI9" s="5">
        <f t="shared" si="52"/>
        <v>0.15853448406102735</v>
      </c>
      <c r="GP9" s="3">
        <f t="shared" si="53"/>
        <v>2008</v>
      </c>
      <c r="GQ9" s="3">
        <v>1758</v>
      </c>
      <c r="GR9" s="4">
        <f>Maalle!C9 + 'United Delet'!C9 + Ohtina!C9 + Astye!C9 + Prstreula!C9 + Veelmit!C9 + Aplasia!C9 + 'Elja and Munusia'!C9 + Walporein!C9 + 'Crila Republic'!C9 + 'Niretui and Anulan'!C9 + 'Rethern'!C9 + Tvecoca!C9</f>
        <v>186600120.96962386</v>
      </c>
      <c r="GS9" s="7">
        <f t="shared" si="54"/>
        <v>1.5576415070322674E-2</v>
      </c>
      <c r="GT9" s="5">
        <f t="shared" si="55"/>
        <v>2.9238533994106697E-2</v>
      </c>
      <c r="HA9" s="3">
        <f t="shared" si="56"/>
        <v>2008</v>
      </c>
      <c r="HB9" s="3">
        <v>1758</v>
      </c>
      <c r="HC9" s="4">
        <f>Andsaudare!C9 + Nia!C9 + Umarcia!C9 + Mendereide!C9 + Iainoa!C9 + Isari!C9 + 'Rkmepuia'!C9 + Hiwush!C9 + Isuibul!C9 + Yutnitu!C9</f>
        <v>65569943.242131889</v>
      </c>
      <c r="HD9" s="7">
        <f t="shared" si="57"/>
        <v>1.4209192229070307E-2</v>
      </c>
      <c r="HE9" s="5">
        <f t="shared" si="58"/>
        <v>1.0274210994690678E-2</v>
      </c>
      <c r="HL9" s="3">
        <f t="shared" si="59"/>
        <v>2008</v>
      </c>
      <c r="HM9" s="3">
        <v>1758</v>
      </c>
      <c r="HN9" s="4">
        <f>Zhanshe!C9 + Volver!C9 + Finae!C9 + Myla!C9 + 'Nheyes Si'!C9 + Onphello!C9 + Hyelen!C9</f>
        <v>113099530.52837132</v>
      </c>
      <c r="HO9" s="7">
        <f t="shared" si="60"/>
        <v>1.2104701145521589E-2</v>
      </c>
      <c r="HP9" s="5">
        <f t="shared" si="61"/>
        <v>1.7721663045489711E-2</v>
      </c>
      <c r="HW9" s="3">
        <f t="shared" si="62"/>
        <v>2008</v>
      </c>
      <c r="HX9" s="3">
        <v>1758</v>
      </c>
      <c r="HY9" s="4">
        <f>Yihnurda!C9 + Ztesh!C9 + Wundry!C9 + Anymna!C9 + Shomjind!C9 + Baluyde!C9 + Letan!C9</f>
        <v>535127631.08175451</v>
      </c>
      <c r="HZ9" s="7">
        <f t="shared" si="63"/>
        <v>1.9605299207512611E-2</v>
      </c>
      <c r="IA9" s="5">
        <f t="shared" si="64"/>
        <v>8.384961033930248E-2</v>
      </c>
      <c r="IH9" s="3">
        <f t="shared" si="65"/>
        <v>2008</v>
      </c>
      <c r="II9" s="3">
        <v>1758</v>
      </c>
      <c r="IJ9" s="4">
        <f>Iareva!C9 + 'United Mihili'!C9 + 'Mesjan Hyaa'!C9 + Desaki!C9 + 'Far Lands'!C9</f>
        <v>67390160.954988912</v>
      </c>
      <c r="IK9" s="7">
        <f t="shared" si="66"/>
        <v>1.9023765161734336E-2</v>
      </c>
      <c r="IL9" s="5">
        <f t="shared" si="67"/>
        <v>1.0559422478999998E-2</v>
      </c>
      <c r="IS9" s="3">
        <f t="shared" si="68"/>
        <v>2008</v>
      </c>
      <c r="IT9" s="3">
        <v>1758</v>
      </c>
      <c r="IU9" s="4">
        <f>Verste!C9 + Quidic!C9 + Erkizil!C9 + Ashain!C9 + Ahokini!C9</f>
        <v>348392715.23289657</v>
      </c>
      <c r="IV9" s="7">
        <f t="shared" si="69"/>
        <v>9.9451671417818237E-3</v>
      </c>
      <c r="IW9" s="5">
        <f t="shared" si="70"/>
        <v>5.4589955219238109E-2</v>
      </c>
    </row>
    <row r="10" spans="1:257" ht="22.5" customHeight="1">
      <c r="A10" s="3">
        <f t="shared" si="0"/>
        <v>2007</v>
      </c>
      <c r="B10" s="3">
        <v>1757</v>
      </c>
      <c r="C10" s="4">
        <f>Acetoa!C10 + Acrana!C10 + Aetintio!C10 + Ahokini!C10 + Amcha!C10 + Andsaudare!C10 + Anymna!C10 + Aplasia!C10 + Arbiya!C10 + 'Areoix Lie'!C10 + Ashain!C10 + Astye!C10 + Baluyde!C10 + Byllu!C10 + 'Candenat'!C10 + 'Canldives'!C10 + 'Chaenia'!C10 + 'Cloja'!C10 + 'Crila Republic'!C10 + 'Cruthi Anoso'!C10 + 'Curata'!C10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'Raledria'!C10 + 'Reerica'!C10 + 'Rethern'!C10 + 'Rijan bu'!C10 + 'Rinew'!C10 + 'Rkmepuia'!C10 + 'Rtesania'!C10 + 'Ruylku'!C10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6308986763.3660002</v>
      </c>
      <c r="D10" s="5">
        <f t="shared" si="1"/>
        <v>1.1196510570344943E-2</v>
      </c>
      <c r="K10" s="3">
        <f t="shared" si="2"/>
        <v>2007</v>
      </c>
      <c r="L10" s="3">
        <v>1757</v>
      </c>
      <c r="M10" s="4">
        <f>Eldavpir!C10 + Iquir!C10 + Viussi!C10 + Umendel!C10 + 'Reerica'!C10 + Saa!C10 + Sattle!C10</f>
        <v>91080581.820894256</v>
      </c>
      <c r="N10" s="5">
        <f t="shared" si="3"/>
        <v>2.7098612382475504E-2</v>
      </c>
      <c r="O10" s="5">
        <f t="shared" si="4"/>
        <v>1.4436641767861393E-2</v>
      </c>
      <c r="V10" s="3">
        <f t="shared" si="5"/>
        <v>2007</v>
      </c>
      <c r="W10" s="3">
        <v>1757</v>
      </c>
      <c r="X10" s="4">
        <f>'Areoix Lie'!C10 + Jau!C10 + Terressin!C10 + Acetoa!C10 + 'Feio Lie'!C10</f>
        <v>666727235.68645525</v>
      </c>
      <c r="Y10" s="5">
        <f t="shared" si="6"/>
        <v>7.0756696631870284E-3</v>
      </c>
      <c r="Z10" s="5">
        <f t="shared" si="7"/>
        <v>0.10567897202731485</v>
      </c>
      <c r="AG10" s="3">
        <f t="shared" si="8"/>
        <v>2007</v>
      </c>
      <c r="AH10" s="3">
        <v>1757</v>
      </c>
      <c r="AI10" s="4">
        <f>Taniduna!C10 + Jathua!C10 + Deschon!C10 + Pelines!C10 + 'Candenat'!C10 + Othya!C10 + Yoprioq!C10 + Jshain!C10 + 'Fire Coast'!C10 + 'Rijan bu'!C10 + 'Rinew'!C10 + Enina!C10 + Trevilla!C10</f>
        <v>211268052.3296231</v>
      </c>
      <c r="AJ10" s="5">
        <f t="shared" si="9"/>
        <v>2.7988386367795756E-2</v>
      </c>
      <c r="AK10" s="5">
        <f t="shared" si="10"/>
        <v>3.3486843490682233E-2</v>
      </c>
      <c r="AR10" s="3">
        <f t="shared" si="11"/>
        <v>2007</v>
      </c>
      <c r="AS10" s="3">
        <v>1757</v>
      </c>
      <c r="AT10" s="4">
        <f>Gaeiya!C10 + 'Raledria'!C10 + Arbiya!C10 + Fincen!C10 + 'Curata'!C10</f>
        <v>287530214.2579748</v>
      </c>
      <c r="AU10" s="5">
        <f t="shared" si="12"/>
        <v>1.7411656242929105E-2</v>
      </c>
      <c r="AV10" s="5">
        <f t="shared" si="13"/>
        <v>4.5574705581498218E-2</v>
      </c>
      <c r="BC10" s="3">
        <f t="shared" si="14"/>
        <v>2007</v>
      </c>
      <c r="BD10" s="3">
        <v>1757</v>
      </c>
      <c r="BE10" s="4">
        <f>Etirha!C10 + Laselteh!C10 + Grazail!C10 + 'Disal Nila'!C10 + Pelan!C10 + Peka!C10 + Guise!C10</f>
        <v>103343199.15579021</v>
      </c>
      <c r="BF10" s="5">
        <f t="shared" si="15"/>
        <v>6.2106531364061199E-3</v>
      </c>
      <c r="BG10" s="5">
        <f t="shared" si="16"/>
        <v>1.6380316369637469E-2</v>
      </c>
      <c r="BN10" s="3">
        <f t="shared" si="17"/>
        <v>2007</v>
      </c>
      <c r="BO10" s="3">
        <v>1757</v>
      </c>
      <c r="BP10" s="4">
        <f>Genaire!C10 + 'New Misos'!C10 + Phuris!C10 + Lasri!C10 + Slyiaduun!C10 + Aetintio!C10 + Metndria!C10 + Tomscilus!C10</f>
        <v>95038328.775602028</v>
      </c>
      <c r="BQ10" s="5">
        <f t="shared" si="18"/>
        <v>1.1011001441645541E-2</v>
      </c>
      <c r="BR10" s="5">
        <f t="shared" si="19"/>
        <v>1.5063960718297138E-2</v>
      </c>
      <c r="BY10" s="3">
        <f t="shared" si="20"/>
        <v>2007</v>
      </c>
      <c r="BZ10" s="3">
        <v>1757</v>
      </c>
      <c r="CA10" s="4">
        <f>Ealdorii!C10 + Ukhdari!C10 + Hkuqo!C10 + Acrana!C10 + Zenashan!C10</f>
        <v>255991107.76890436</v>
      </c>
      <c r="CB10" s="6">
        <f t="shared" si="21"/>
        <v>6.9254622636535411E-3</v>
      </c>
      <c r="CC10" s="5">
        <f t="shared" si="22"/>
        <v>4.0575629236591831E-2</v>
      </c>
      <c r="CJ10" s="3">
        <f t="shared" si="23"/>
        <v>2007</v>
      </c>
      <c r="CK10" s="3">
        <v>1757</v>
      </c>
      <c r="CL10" s="4">
        <f>Estijan!C10 + Ikzen!C10 + Urbiqu!C10 + Danocia!C10 + Koruch!C10 + 'New Kizura'!C10 + Lydroa!C10 + Fermori!C10 + Uularin!C10 + 'Niul Spijan'!C10</f>
        <v>281712606.32135868</v>
      </c>
      <c r="CM10" s="6">
        <f t="shared" si="24"/>
        <v>1.104539449099743E-2</v>
      </c>
      <c r="CN10" s="5">
        <f t="shared" si="25"/>
        <v>4.4652591119252572E-2</v>
      </c>
      <c r="CU10" s="3">
        <f t="shared" si="26"/>
        <v>2007</v>
      </c>
      <c r="CV10" s="3">
        <v>1757</v>
      </c>
      <c r="CW10" s="4">
        <f>Praesyu!C10 + Lycroa!C10 + Emara!C10 + Eldjo!C10 + Easuhura!C10 + Ilicuhe!C10 + Tonder!C10</f>
        <v>240329614.90214461</v>
      </c>
      <c r="CX10" s="6">
        <f t="shared" si="27"/>
        <v>4.460001086652521E-3</v>
      </c>
      <c r="CY10" s="5">
        <f t="shared" si="28"/>
        <v>3.8093219072458925E-2</v>
      </c>
      <c r="DF10" s="3">
        <f t="shared" si="29"/>
        <v>2007</v>
      </c>
      <c r="DG10" s="3">
        <v>1757</v>
      </c>
      <c r="DH10" s="4">
        <f>Verusa!C10 + Darewa!C10 + Siana!C10 + Yaxuto!C10 + 'Merela Sta'!C10 + Palina!C10</f>
        <v>167914633.20178366</v>
      </c>
      <c r="DI10" s="6">
        <f t="shared" si="30"/>
        <v>2.5996947195854343E-3</v>
      </c>
      <c r="DJ10" s="5">
        <f t="shared" si="31"/>
        <v>2.6615150657281941E-2</v>
      </c>
      <c r="DQ10" s="3">
        <f t="shared" si="32"/>
        <v>2007</v>
      </c>
      <c r="DR10" s="3">
        <v>1757</v>
      </c>
      <c r="DS10" s="4">
        <f>Sunsokua!C10 + Vayvele!C10 + Selaja!C10 + Sadain!C10</f>
        <v>185079461.16297084</v>
      </c>
      <c r="DT10" s="6">
        <f t="shared" si="33"/>
        <v>1.1254097792499381E-2</v>
      </c>
      <c r="DU10" s="5">
        <f t="shared" si="34"/>
        <v>2.9335845533495206E-2</v>
      </c>
      <c r="EB10" s="3">
        <f t="shared" si="35"/>
        <v>2007</v>
      </c>
      <c r="EC10" s="3">
        <v>1757</v>
      </c>
      <c r="ED10" s="4">
        <f>Pelugrotoa!C10 + Lieri!C10 + 'Rtesania'!C10 + Ozinia!C10</f>
        <v>384230874.14304364</v>
      </c>
      <c r="EE10" s="6">
        <f t="shared" si="36"/>
        <v>6.2630912322298197E-3</v>
      </c>
      <c r="EF10" s="5">
        <f t="shared" si="37"/>
        <v>6.0902152525367952E-2</v>
      </c>
      <c r="EM10" s="3">
        <f t="shared" si="38"/>
        <v>2007</v>
      </c>
      <c r="EN10" s="3">
        <v>1757</v>
      </c>
      <c r="EO10" s="4">
        <f>Ocaun!C10 + 'Dual Cenryia'!C10 + Byllu!C10 + Exilium!C10 + Inrea!C10 + Amcha!C10 + Isnti!C10 + Galca!C10 + Otiiric!C10 + Taing!C10 + 'Cruthi Anoso'!C10</f>
        <v>259736893.70659688</v>
      </c>
      <c r="EP10" s="6">
        <f t="shared" si="39"/>
        <v>1.5747563605610266E-2</v>
      </c>
      <c r="EQ10" s="5">
        <f t="shared" si="40"/>
        <v>4.1169351505822599E-2</v>
      </c>
      <c r="EX10" s="3">
        <f t="shared" si="41"/>
        <v>2007</v>
      </c>
      <c r="EY10" s="3">
        <v>1757</v>
      </c>
      <c r="EZ10" s="4">
        <f>Sivoso!C10 + Taoisia!C10 + Seytinemas!C10 + Trian!C10 + 'Chaenia'!C10</f>
        <v>137895854.84899837</v>
      </c>
      <c r="FA10" s="6">
        <f t="shared" si="42"/>
        <v>9.6209345961908305E-3</v>
      </c>
      <c r="FB10" s="5">
        <f t="shared" si="43"/>
        <v>2.1857052490537723E-2</v>
      </c>
      <c r="FI10" s="3">
        <f t="shared" si="44"/>
        <v>2007</v>
      </c>
      <c r="FJ10" s="3">
        <v>1757</v>
      </c>
      <c r="FK10" s="4">
        <f>Migoku!C10 + 'Welenu Fana'!C10 + Haiza!C10 + Ucrua!C10 + Ihner!C10 + Oscairia!C10 + Shinam!C10 + 'Ruylku'!C10 + Taval!C10 + 'Western Migoku'!C10 + 'Pruim Fijan'!C10 + 'Canldives'!C10</f>
        <v>173610214.61400884</v>
      </c>
      <c r="FL10" s="6">
        <f t="shared" si="45"/>
        <v>2.4023967412012254E-2</v>
      </c>
      <c r="FM10" s="5">
        <f t="shared" si="46"/>
        <v>2.7517923420302678E-2</v>
      </c>
      <c r="FT10" s="3">
        <f t="shared" si="47"/>
        <v>2007</v>
      </c>
      <c r="FU10" s="3">
        <v>1757</v>
      </c>
      <c r="FV10" s="4">
        <f>Vesozata!C10 + Etretes!C10 + Kusierna!C10 + Eparia!C10</f>
        <v>129850216.12173501</v>
      </c>
      <c r="FW10" s="6">
        <f t="shared" si="48"/>
        <v>2.0862542805422619E-2</v>
      </c>
      <c r="FX10" s="5">
        <f t="shared" si="49"/>
        <v>2.0581786107989344E-2</v>
      </c>
      <c r="GE10" s="3">
        <f t="shared" si="50"/>
        <v>2007</v>
      </c>
      <c r="GF10" s="3">
        <v>1757</v>
      </c>
      <c r="GG10" s="4">
        <f>Dahe!C10 + Kaastini!C10 + Suenan!C10 + Oyreain!C10 + Sanagara!C10 + 'North Ayre'!C10 + Stinebar!C10 + 'Cloja'!C10 + 'Pha Hii'!C10 + 'Prystr Hii'!C10</f>
        <v>1008183685.1527518</v>
      </c>
      <c r="GH10" s="6">
        <f t="shared" si="51"/>
        <v>3.8445193020484967E-3</v>
      </c>
      <c r="GI10" s="5">
        <f t="shared" si="52"/>
        <v>0.15980120468898573</v>
      </c>
      <c r="GP10" s="3">
        <f t="shared" si="53"/>
        <v>2007</v>
      </c>
      <c r="GQ10" s="3">
        <v>1757</v>
      </c>
      <c r="GR10" s="4">
        <f>Maalle!C10 + 'United Delet'!C10 + Ohtina!C10 + Astye!C10 + Prstreula!C10 + Veelmit!C10 + Aplasia!C10 + 'Elja and Munusia'!C10 + Walporein!C10 + 'Crila Republic'!C10 + 'Niretui and Anulan'!C10 + 'Rethern'!C10 + Tvecoca!C10</f>
        <v>183738139.44537389</v>
      </c>
      <c r="GS10" s="6">
        <f t="shared" si="54"/>
        <v>1.5601420750485017E-2</v>
      </c>
      <c r="GT10" s="5">
        <f t="shared" si="55"/>
        <v>2.9123240598993596E-2</v>
      </c>
      <c r="HA10" s="3">
        <f t="shared" si="56"/>
        <v>2007</v>
      </c>
      <c r="HB10" s="3">
        <v>1757</v>
      </c>
      <c r="HC10" s="4">
        <f>Andsaudare!C10 + Nia!C10 + Umarcia!C10 + Mendereide!C10 + Iainoa!C10 + Isari!C10 + 'Rkmepuia'!C10 + Hiwush!C10 + Isuibul!C10 + Yutnitu!C10</f>
        <v>64651300.485671595</v>
      </c>
      <c r="HD10" s="6">
        <f t="shared" si="57"/>
        <v>1.4000604810941506E-2</v>
      </c>
      <c r="HE10" s="5">
        <f t="shared" si="58"/>
        <v>1.0247493442382582E-2</v>
      </c>
      <c r="HL10" s="3">
        <f t="shared" si="59"/>
        <v>2007</v>
      </c>
      <c r="HM10" s="3">
        <v>1757</v>
      </c>
      <c r="HN10" s="4">
        <f>Zhanshe!C10 + Volver!C10 + Finae!C10 + Myla!C10 + 'Nheyes Si'!C10 + Onphello!C10 + Hyelen!C10</f>
        <v>111746868.08623937</v>
      </c>
      <c r="HO10" s="6">
        <f t="shared" si="60"/>
        <v>1.260931523273748E-2</v>
      </c>
      <c r="HP10" s="5">
        <f t="shared" si="61"/>
        <v>1.7712331992058208E-2</v>
      </c>
      <c r="HW10" s="3">
        <f t="shared" si="62"/>
        <v>2007</v>
      </c>
      <c r="HX10" s="3">
        <v>1757</v>
      </c>
      <c r="HY10" s="4">
        <f>Yihnurda!C10 + Ztesh!C10 + Wundry!C10 + Anymna!C10 + Shomjind!C10 + Baluyde!C10 + Letan!C10</f>
        <v>524838024.57449174</v>
      </c>
      <c r="HZ10" s="6">
        <f t="shared" si="63"/>
        <v>2.0085124885492613E-2</v>
      </c>
      <c r="IA10" s="5">
        <f t="shared" si="64"/>
        <v>8.3188956366501823E-2</v>
      </c>
      <c r="IH10" s="3">
        <f t="shared" si="65"/>
        <v>2007</v>
      </c>
      <c r="II10" s="3">
        <v>1757</v>
      </c>
      <c r="IJ10" s="4">
        <f>Iareva!C10 + 'United Mihili'!C10 + 'Mesjan Hyaa'!C10 + Desaki!C10 + 'Far Lands'!C10</f>
        <v>66132079.799231261</v>
      </c>
      <c r="IK10" s="6">
        <f t="shared" si="66"/>
        <v>1.9753931931483872E-2</v>
      </c>
      <c r="IL10" s="5">
        <f t="shared" si="67"/>
        <v>1.0482202971677842E-2</v>
      </c>
      <c r="IS10" s="3">
        <f t="shared" si="68"/>
        <v>2007</v>
      </c>
      <c r="IT10" s="3">
        <v>1757</v>
      </c>
      <c r="IU10" s="4">
        <f>Verste!C10 + Quidic!C10 + Erkizil!C10 + Ashain!C10 + Ahokini!C10</f>
        <v>344962010.38208169</v>
      </c>
      <c r="IV10" s="6">
        <f t="shared" si="69"/>
        <v>1.0474482334158909E-2</v>
      </c>
      <c r="IW10" s="5">
        <f t="shared" si="70"/>
        <v>5.4677878290243224E-2</v>
      </c>
    </row>
    <row r="11" spans="1:257" ht="22.5" customHeight="1">
      <c r="A11" s="3">
        <f t="shared" si="0"/>
        <v>2006</v>
      </c>
      <c r="B11" s="3">
        <v>1756</v>
      </c>
      <c r="C11" s="4">
        <f>Acetoa!C11 + Acrana!C11 + Aetintio!C11 + Ahokini!C11 + Amcha!C11 + Andsaudare!C11 + Anymna!C11 + Aplasia!C11 + Arbiya!C11 + 'Areoix Lie'!C11 + Ashain!C11 + Astye!C11 + Baluyde!C11 + Byllu!C11 + 'Candenat'!C11 + 'Canldives'!C11 + 'Chaenia'!C11 + 'Cloja'!C11 + 'Crila Republic'!C11 + 'Cruthi Anoso'!C11 + 'Curata'!C11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'Raledria'!C11 + 'Reerica'!C11 + 'Rethern'!C11 + 'Rijan bu'!C11 + 'Rinew'!C11 + 'Rkmepuia'!C11 + 'Rtesania'!C11 + 'Ruylku'!C11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6239130275.2889681</v>
      </c>
      <c r="D11" s="5">
        <f t="shared" si="1"/>
        <v>1.13506613789531E-2</v>
      </c>
      <c r="K11" s="3">
        <f t="shared" si="2"/>
        <v>2006</v>
      </c>
      <c r="L11" s="3">
        <v>1756</v>
      </c>
      <c r="M11" s="4">
        <f>Eldavpir!C11 + Iquir!C11 + Viussi!C11 + Umendel!C11 + 'Reerica'!C11 + Saa!C11 + Sattle!C11</f>
        <v>88677543.444073185</v>
      </c>
      <c r="N11" s="5">
        <f t="shared" si="3"/>
        <v>2.7023198946829304E-2</v>
      </c>
      <c r="O11" s="5">
        <f t="shared" si="4"/>
        <v>1.4213125793396909E-2</v>
      </c>
      <c r="V11" s="3">
        <f t="shared" si="5"/>
        <v>2006</v>
      </c>
      <c r="W11" s="3">
        <v>1756</v>
      </c>
      <c r="X11" s="4">
        <f>'Areoix Lie'!C11 + Jau!C11 + Terressin!C11 + Acetoa!C11 + 'Feio Lie'!C11</f>
        <v>662042839.25302243</v>
      </c>
      <c r="Y11" s="5">
        <f t="shared" si="6"/>
        <v>8.3671114107939926E-3</v>
      </c>
      <c r="Z11" s="5">
        <f t="shared" si="7"/>
        <v>0.10611139855103596</v>
      </c>
      <c r="AG11" s="3">
        <f t="shared" si="8"/>
        <v>2006</v>
      </c>
      <c r="AH11" s="3">
        <v>1756</v>
      </c>
      <c r="AI11" s="4">
        <f>Taniduna!C11 + Jathua!C11 + Deschon!C11 + Pelines!C11 + 'Candenat'!C11 + Othya!C11 + Yoprioq!C11 + Jshain!C11 + 'Fire Coast'!C11 + 'Rijan bu'!C11 + 'Rinew'!C11 + Enina!C11 + Trevilla!C11</f>
        <v>205515991.35871482</v>
      </c>
      <c r="AJ11" s="5">
        <f t="shared" si="9"/>
        <v>2.7793154254277419E-2</v>
      </c>
      <c r="AK11" s="5">
        <f t="shared" si="10"/>
        <v>3.2939846146936923E-2</v>
      </c>
      <c r="AR11" s="3">
        <f t="shared" si="11"/>
        <v>2006</v>
      </c>
      <c r="AS11" s="3">
        <v>1756</v>
      </c>
      <c r="AT11" s="4">
        <f>Gaeiya!C11 + 'Raledria'!C11 + Arbiya!C11 + Fincen!C11 + 'Curata'!C11</f>
        <v>282609514.53982627</v>
      </c>
      <c r="AU11" s="5">
        <f t="shared" si="12"/>
        <v>1.3061652204767221E-2</v>
      </c>
      <c r="AV11" s="5">
        <f t="shared" si="13"/>
        <v>4.5296299655601772E-2</v>
      </c>
      <c r="BC11" s="3">
        <f t="shared" si="14"/>
        <v>2006</v>
      </c>
      <c r="BD11" s="3">
        <v>1756</v>
      </c>
      <c r="BE11" s="4">
        <f>Etirha!C11 + Laselteh!C11 + Grazail!C11 + 'Disal Nila'!C11 + Pelan!C11 + Peka!C11 + Guise!C11</f>
        <v>102705331.9637042</v>
      </c>
      <c r="BF11" s="5">
        <f t="shared" si="15"/>
        <v>6.4182711380597517E-3</v>
      </c>
      <c r="BG11" s="5">
        <f t="shared" si="16"/>
        <v>1.6461482198966804E-2</v>
      </c>
      <c r="BN11" s="3">
        <f t="shared" si="17"/>
        <v>2006</v>
      </c>
      <c r="BO11" s="3">
        <v>1756</v>
      </c>
      <c r="BP11" s="4">
        <f>Genaire!C11 + 'New Misos'!C11 + Phuris!C11 + Lasri!C11 + Slyiaduun!C11 + Aetintio!C11 + Metndria!C11 + Tomscilus!C11</f>
        <v>94003258.757899418</v>
      </c>
      <c r="BQ11" s="5">
        <f t="shared" si="18"/>
        <v>1.0786241528895506E-2</v>
      </c>
      <c r="BR11" s="5">
        <f t="shared" si="19"/>
        <v>1.5066724785378138E-2</v>
      </c>
      <c r="BY11" s="3">
        <f t="shared" si="20"/>
        <v>2006</v>
      </c>
      <c r="BZ11" s="3">
        <v>1756</v>
      </c>
      <c r="CA11" s="4">
        <f>Ealdorii!C11 + Ukhdari!C11 + Hkuqo!C11 + Acrana!C11 + Zenashan!C11</f>
        <v>254230444.41980314</v>
      </c>
      <c r="CB11" s="7">
        <f t="shared" si="21"/>
        <v>7.086783132126657E-3</v>
      </c>
      <c r="CC11" s="5">
        <f t="shared" si="22"/>
        <v>4.0747737777927444E-2</v>
      </c>
      <c r="CJ11" s="3">
        <f t="shared" si="23"/>
        <v>2006</v>
      </c>
      <c r="CK11" s="3">
        <v>1756</v>
      </c>
      <c r="CL11" s="4">
        <f>Estijan!C11 + Ikzen!C11 + Urbiqu!C11 + Danocia!C11 + Koruch!C11 + 'New Kizura'!C11 + Lydroa!C11 + Fermori!C11 + Uularin!C11 + 'Niul Spijan'!C11</f>
        <v>278634973.12421328</v>
      </c>
      <c r="CM11" s="7">
        <f t="shared" si="24"/>
        <v>1.1931924202864303E-2</v>
      </c>
      <c r="CN11" s="5">
        <f t="shared" si="25"/>
        <v>4.4659265126710014E-2</v>
      </c>
      <c r="CU11" s="3">
        <f t="shared" si="26"/>
        <v>2006</v>
      </c>
      <c r="CV11" s="3">
        <v>1756</v>
      </c>
      <c r="CW11" s="4">
        <f>Praesyu!C11 + Lycroa!C11 + Emara!C11 + Eldjo!C11 + Easuhura!C11 + Ilicuhe!C11 + Tonder!C11</f>
        <v>239262503.8748675</v>
      </c>
      <c r="CX11" s="7">
        <f t="shared" si="27"/>
        <v>4.5694917773052134E-3</v>
      </c>
      <c r="CY11" s="5">
        <f t="shared" si="28"/>
        <v>3.8348694981174429E-2</v>
      </c>
      <c r="DF11" s="3">
        <f t="shared" si="29"/>
        <v>2006</v>
      </c>
      <c r="DG11" s="3">
        <v>1756</v>
      </c>
      <c r="DH11" s="4">
        <f>Verusa!C11 + Darewa!C11 + Siana!C11 + Yaxuto!C11 + 'Merela Sta'!C11 + Palina!C11</f>
        <v>167479238.31030816</v>
      </c>
      <c r="DI11" s="7">
        <f t="shared" si="30"/>
        <v>2.4464727889216844E-3</v>
      </c>
      <c r="DJ11" s="5">
        <f t="shared" si="31"/>
        <v>2.6843362924097829E-2</v>
      </c>
      <c r="DQ11" s="3">
        <f t="shared" si="32"/>
        <v>2006</v>
      </c>
      <c r="DR11" s="3">
        <v>1756</v>
      </c>
      <c r="DS11" s="4">
        <f>Sunsokua!C11 + Vayvele!C11 + Selaja!C11 + Sadain!C11</f>
        <v>183019739.12094599</v>
      </c>
      <c r="DT11" s="7">
        <f t="shared" si="33"/>
        <v>1.0891816647149281E-2</v>
      </c>
      <c r="DU11" s="5">
        <f t="shared" si="34"/>
        <v>2.9334174964389465E-2</v>
      </c>
      <c r="EB11" s="3">
        <f t="shared" si="35"/>
        <v>2006</v>
      </c>
      <c r="EC11" s="3">
        <v>1756</v>
      </c>
      <c r="ED11" s="4">
        <f>Pelugrotoa!C11 + Lieri!C11 + 'Rtesania'!C11 + Ozinia!C11</f>
        <v>381839379.27458888</v>
      </c>
      <c r="EE11" s="7">
        <f t="shared" si="36"/>
        <v>6.9349065175838501E-3</v>
      </c>
      <c r="EF11" s="5">
        <f t="shared" si="37"/>
        <v>6.1200738312344953E-2</v>
      </c>
      <c r="EM11" s="3">
        <f t="shared" si="38"/>
        <v>2006</v>
      </c>
      <c r="EN11" s="3">
        <v>1756</v>
      </c>
      <c r="EO11" s="4">
        <f>Ocaun!C11 + 'Dual Cenryia'!C11 + Byllu!C11 + Exilium!C11 + Inrea!C11 + Amcha!C11 + Isnti!C11 + Galca!C11 + Otiiric!C11 + Taing!C11 + 'Cruthi Anoso'!C11</f>
        <v>255710082.91135445</v>
      </c>
      <c r="EP11" s="7">
        <f t="shared" si="39"/>
        <v>1.8295544194806293E-2</v>
      </c>
      <c r="EQ11" s="5">
        <f t="shared" si="40"/>
        <v>4.0984892385423244E-2</v>
      </c>
      <c r="EX11" s="3">
        <f t="shared" si="41"/>
        <v>2006</v>
      </c>
      <c r="EY11" s="3">
        <v>1756</v>
      </c>
      <c r="EZ11" s="4">
        <f>Sivoso!C11 + Taoisia!C11 + Seytinemas!C11 + Trian!C11 + 'Chaenia'!C11</f>
        <v>136581810.1861679</v>
      </c>
      <c r="FA11" s="7">
        <f t="shared" si="42"/>
        <v>9.9030174964368171E-3</v>
      </c>
      <c r="FB11" s="5">
        <f t="shared" si="43"/>
        <v>2.1891161774121162E-2</v>
      </c>
      <c r="FI11" s="3">
        <f t="shared" si="44"/>
        <v>2006</v>
      </c>
      <c r="FJ11" s="3">
        <v>1756</v>
      </c>
      <c r="FK11" s="4">
        <f>Migoku!C11 + 'Welenu Fana'!C11 + Haiza!C11 + Ucrua!C11 + Ihner!C11 + Oscairia!C11 + Shinam!C11 + 'Ruylku'!C11 + Taval!C11 + 'Western Migoku'!C11 + 'Pruim Fijan'!C11 + 'Canldives'!C11</f>
        <v>169537257.07491904</v>
      </c>
      <c r="FL11" s="7">
        <f t="shared" si="45"/>
        <v>2.5225283745210957E-2</v>
      </c>
      <c r="FM11" s="5">
        <f t="shared" si="46"/>
        <v>2.717321959863498E-2</v>
      </c>
      <c r="FT11" s="3">
        <f t="shared" si="47"/>
        <v>2006</v>
      </c>
      <c r="FU11" s="3">
        <v>1756</v>
      </c>
      <c r="FV11" s="4">
        <f>Vesozata!C11 + Etretes!C11 + Kusierna!C11 + Eparia!C11</f>
        <v>127196572.18972386</v>
      </c>
      <c r="FW11" s="7">
        <f t="shared" si="48"/>
        <v>2.0829154582257255E-2</v>
      </c>
      <c r="FX11" s="5">
        <f t="shared" si="49"/>
        <v>2.0386907562021165E-2</v>
      </c>
      <c r="GE11" s="3">
        <f t="shared" si="50"/>
        <v>2006</v>
      </c>
      <c r="GF11" s="3">
        <v>1756</v>
      </c>
      <c r="GG11" s="4">
        <f>Dahe!C11 + Kaastini!C11 + Suenan!C11 + Oyreain!C11 + Sanagara!C11 + 'North Ayre'!C11 + Stinebar!C11 + 'Cloja'!C11 + 'Pha Hii'!C11 + 'Prystr Hii'!C11</f>
        <v>1004322547.7325116</v>
      </c>
      <c r="GH11" s="7">
        <f t="shared" si="51"/>
        <v>3.8737238947080602E-3</v>
      </c>
      <c r="GI11" s="5">
        <f t="shared" si="52"/>
        <v>0.16097156228814216</v>
      </c>
      <c r="GP11" s="3">
        <f t="shared" si="53"/>
        <v>2006</v>
      </c>
      <c r="GQ11" s="3">
        <v>1756</v>
      </c>
      <c r="GR11" s="4">
        <f>Maalle!C11 + 'United Delet'!C11 + Ohtina!C11 + Astye!C11 + Prstreula!C11 + Veelmit!C11 + Aplasia!C11 + 'Elja and Munusia'!C11 + Walporein!C11 + 'Crila Republic'!C11 + 'Niretui and Anulan'!C11 + 'Rethern'!C11 + Tvecoca!C11</f>
        <v>180915599.0640496</v>
      </c>
      <c r="GS11" s="7">
        <f t="shared" si="54"/>
        <v>1.5437305085197819E-2</v>
      </c>
      <c r="GT11" s="5">
        <f t="shared" si="55"/>
        <v>2.899692602678831E-2</v>
      </c>
      <c r="HA11" s="3">
        <f t="shared" si="56"/>
        <v>2006</v>
      </c>
      <c r="HB11" s="3">
        <v>1756</v>
      </c>
      <c r="HC11" s="4">
        <f>Andsaudare!C11 + Nia!C11 + Umarcia!C11 + Mendereide!C11 + Iainoa!C11 + Isari!C11 + 'Rkmepuia'!C11 + Hiwush!C11 + Isuibul!C11 + Yutnitu!C11</f>
        <v>63758640.950441748</v>
      </c>
      <c r="HD11" s="7">
        <f t="shared" si="57"/>
        <v>1.4049892821618842E-2</v>
      </c>
      <c r="HE11" s="5">
        <f t="shared" si="58"/>
        <v>1.0219155256777955E-2</v>
      </c>
      <c r="HL11" s="3">
        <f t="shared" si="59"/>
        <v>2006</v>
      </c>
      <c r="HM11" s="3">
        <v>1756</v>
      </c>
      <c r="HN11" s="4">
        <f>Zhanshe!C11 + Volver!C11 + Finae!C11 + Myla!C11 + 'Nheyes Si'!C11 + Onphello!C11 + Hyelen!C11</f>
        <v>110355362.53244475</v>
      </c>
      <c r="HO11" s="7">
        <f t="shared" si="60"/>
        <v>1.1280233252965559E-2</v>
      </c>
      <c r="HP11" s="5">
        <f t="shared" si="61"/>
        <v>1.7687619534011666E-2</v>
      </c>
      <c r="HW11" s="3">
        <f t="shared" si="62"/>
        <v>2006</v>
      </c>
      <c r="HX11" s="3">
        <v>1756</v>
      </c>
      <c r="HY11" s="4">
        <f>Yihnurda!C11 + Ztesh!C11 + Wundry!C11 + Anymna!C11 + Shomjind!C11 + Baluyde!C11 + Letan!C11</f>
        <v>514504144.57656783</v>
      </c>
      <c r="HZ11" s="7">
        <f t="shared" si="63"/>
        <v>2.0421748015920067E-2</v>
      </c>
      <c r="IA11" s="5">
        <f t="shared" si="64"/>
        <v>8.2464081029745506E-2</v>
      </c>
      <c r="IH11" s="3">
        <f t="shared" si="65"/>
        <v>2006</v>
      </c>
      <c r="II11" s="3">
        <v>1756</v>
      </c>
      <c r="IJ11" s="4">
        <f>Iareva!C11 + 'United Mihili'!C11 + 'Mesjan Hyaa'!C11 + Desaki!C11 + 'Far Lands'!C11</f>
        <v>64851017.219391905</v>
      </c>
      <c r="IK11" s="7">
        <f t="shared" si="66"/>
        <v>1.8788553723513502E-2</v>
      </c>
      <c r="IL11" s="5">
        <f t="shared" si="67"/>
        <v>1.0394239959412981E-2</v>
      </c>
      <c r="IS11" s="3">
        <f t="shared" si="68"/>
        <v>2006</v>
      </c>
      <c r="IT11" s="3">
        <v>1756</v>
      </c>
      <c r="IU11" s="4">
        <f>Verste!C11 + Quidic!C11 + Erkizil!C11 + Ashain!C11 + Ahokini!C11</f>
        <v>341386167.00664437</v>
      </c>
      <c r="IV11" s="7">
        <f t="shared" si="69"/>
        <v>1.1012626608032955E-2</v>
      </c>
      <c r="IW11" s="5">
        <f t="shared" si="70"/>
        <v>5.4716948026996108E-2</v>
      </c>
    </row>
    <row r="12" spans="1:257" ht="22.5" customHeight="1">
      <c r="A12" s="3">
        <f t="shared" si="0"/>
        <v>2005</v>
      </c>
      <c r="B12" s="3">
        <v>1755</v>
      </c>
      <c r="C12" s="4">
        <f>Acetoa!C12 + Acrana!C12 + Aetintio!C12 + Ahokini!C12 + Amcha!C12 + Andsaudare!C12 + Anymna!C12 + Aplasia!C12 + Arbiya!C12 + 'Areoix Lie'!C12 + Ashain!C12 + Astye!C12 + Baluyde!C12 + Byllu!C12 + 'Candenat'!C12 + 'Canldives'!C12 + 'Chaenia'!C12 + 'Cloja'!C12 + 'Crila Republic'!C12 + 'Cruthi Anoso'!C12 + 'Curata'!C12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'Raledria'!C12 + 'Reerica'!C12 + 'Rethern'!C12 + 'Rijan bu'!C12 + 'Rinew'!C12 + 'Rkmepuia'!C12 + 'Rtesania'!C12 + 'Ruylku'!C12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6169106832.6212978</v>
      </c>
      <c r="D12" s="5">
        <f t="shared" si="1"/>
        <v>1.130973122771284E-2</v>
      </c>
      <c r="K12" s="3">
        <f t="shared" si="2"/>
        <v>2005</v>
      </c>
      <c r="L12" s="3">
        <v>1755</v>
      </c>
      <c r="M12" s="4">
        <f>Eldavpir!C12 + Iquir!C12 + Viussi!C12 + Umendel!C12 + 'Reerica'!C12 + Saa!C12 + Sattle!C12</f>
        <v>86344245.714223802</v>
      </c>
      <c r="N12" s="5">
        <f t="shared" si="3"/>
        <v>2.6662972453466424E-2</v>
      </c>
      <c r="O12" s="5">
        <f t="shared" si="4"/>
        <v>1.3996231230370105E-2</v>
      </c>
      <c r="V12" s="3">
        <f t="shared" si="5"/>
        <v>2005</v>
      </c>
      <c r="W12" s="3">
        <v>1755</v>
      </c>
      <c r="X12" s="4">
        <f>'Areoix Lie'!C12 + Jau!C12 + Terressin!C12 + Acetoa!C12 + 'Feio Lie'!C12</f>
        <v>656549417.13317728</v>
      </c>
      <c r="Y12" s="5">
        <f t="shared" si="6"/>
        <v>8.3968998269812415E-3</v>
      </c>
      <c r="Z12" s="5">
        <f t="shared" si="7"/>
        <v>0.10642536025822148</v>
      </c>
      <c r="AG12" s="3">
        <f t="shared" si="8"/>
        <v>2005</v>
      </c>
      <c r="AH12" s="3">
        <v>1755</v>
      </c>
      <c r="AI12" s="4">
        <f>Taniduna!C12 + Jathua!C12 + Deschon!C12 + Pelines!C12 + 'Candenat'!C12 + Othya!C12 + Yoprioq!C12 + Jshain!C12 + 'Fire Coast'!C12 + 'Rijan bu'!C12 + 'Rinew'!C12 + Enina!C12 + Trevilla!C12</f>
        <v>199958513.54724035</v>
      </c>
      <c r="AJ12" s="5">
        <f t="shared" si="9"/>
        <v>2.7679313531925709E-2</v>
      </c>
      <c r="AK12" s="5">
        <f t="shared" si="10"/>
        <v>3.2412879039456763E-2</v>
      </c>
      <c r="AR12" s="3">
        <f t="shared" si="11"/>
        <v>2005</v>
      </c>
      <c r="AS12" s="3">
        <v>1755</v>
      </c>
      <c r="AT12" s="4">
        <f>Gaeiya!C12 + 'Raledria'!C12 + Arbiya!C12 + Fincen!C12 + 'Curata'!C12</f>
        <v>278965760.79528004</v>
      </c>
      <c r="AU12" s="5">
        <f t="shared" si="12"/>
        <v>1.1812672127005121E-2</v>
      </c>
      <c r="AV12" s="5">
        <f t="shared" si="13"/>
        <v>4.5219797348969797E-2</v>
      </c>
      <c r="BC12" s="3">
        <f t="shared" si="14"/>
        <v>2005</v>
      </c>
      <c r="BD12" s="3">
        <v>1755</v>
      </c>
      <c r="BE12" s="4">
        <f>Etirha!C12 + Laselteh!C12 + Grazail!C12 + 'Disal Nila'!C12 + Pelan!C12 + Peka!C12 + Guise!C12</f>
        <v>102050345.17861526</v>
      </c>
      <c r="BF12" s="5">
        <f t="shared" si="15"/>
        <v>7.2592954919976985E-3</v>
      </c>
      <c r="BG12" s="5">
        <f t="shared" si="16"/>
        <v>1.6542158848504383E-2</v>
      </c>
      <c r="BN12" s="3">
        <f t="shared" si="17"/>
        <v>2005</v>
      </c>
      <c r="BO12" s="3">
        <v>1755</v>
      </c>
      <c r="BP12" s="4">
        <f>Genaire!C12 + 'New Misos'!C12 + Phuris!C12 + Lasri!C12 + Slyiaduun!C12 + Aetintio!C12 + Metndria!C12 + Tomscilus!C12</f>
        <v>93000136.819939226</v>
      </c>
      <c r="BQ12" s="5">
        <f t="shared" si="18"/>
        <v>1.1930116359792553E-2</v>
      </c>
      <c r="BR12" s="5">
        <f t="shared" si="19"/>
        <v>1.5075137996989882E-2</v>
      </c>
      <c r="BY12" s="3">
        <f t="shared" si="20"/>
        <v>2005</v>
      </c>
      <c r="BZ12" s="3">
        <v>1755</v>
      </c>
      <c r="CA12" s="4">
        <f>Ealdorii!C12 + Ukhdari!C12 + Hkuqo!C12 + Acrana!C12 + Zenashan!C12</f>
        <v>252441446.63394803</v>
      </c>
      <c r="CB12" s="6">
        <f t="shared" si="21"/>
        <v>7.300349931905396E-3</v>
      </c>
      <c r="CC12" s="5">
        <f t="shared" si="22"/>
        <v>4.0920258553325109E-2</v>
      </c>
      <c r="CJ12" s="3">
        <f t="shared" si="23"/>
        <v>2005</v>
      </c>
      <c r="CK12" s="3">
        <v>1755</v>
      </c>
      <c r="CL12" s="4">
        <f>Estijan!C12 + Ikzen!C12 + Urbiqu!C12 + Danocia!C12 + Koruch!C12 + 'New Kizura'!C12 + Lydroa!C12 + Fermori!C12 + Uularin!C12 + 'Niul Spijan'!C12</f>
        <v>275349523.48074621</v>
      </c>
      <c r="CM12" s="6">
        <f t="shared" si="24"/>
        <v>1.1005836073953711E-2</v>
      </c>
      <c r="CN12" s="5">
        <f t="shared" si="25"/>
        <v>4.4633612442037778E-2</v>
      </c>
      <c r="CU12" s="3">
        <f t="shared" si="26"/>
        <v>2005</v>
      </c>
      <c r="CV12" s="3">
        <v>1755</v>
      </c>
      <c r="CW12" s="4">
        <f>Praesyu!C12 + Lycroa!C12 + Emara!C12 + Eldjo!C12 + Easuhura!C12 + Ilicuhe!C12 + Tonder!C12</f>
        <v>238174168.9682008</v>
      </c>
      <c r="CX12" s="6">
        <f t="shared" si="27"/>
        <v>5.3790594685591752E-3</v>
      </c>
      <c r="CY12" s="5">
        <f t="shared" si="28"/>
        <v>3.8607561099245687E-2</v>
      </c>
      <c r="DF12" s="3">
        <f t="shared" si="29"/>
        <v>2005</v>
      </c>
      <c r="DG12" s="3">
        <v>1755</v>
      </c>
      <c r="DH12" s="4">
        <f>Verusa!C12 + Darewa!C12 + Siana!C12 + Yaxuto!C12 + 'Merela Sta'!C12 + Palina!C12</f>
        <v>167070504.8663213</v>
      </c>
      <c r="DI12" s="6">
        <f t="shared" si="30"/>
        <v>2.3170878390572436E-3</v>
      </c>
      <c r="DJ12" s="5">
        <f t="shared" si="31"/>
        <v>2.7081797965124853E-2</v>
      </c>
      <c r="DQ12" s="3">
        <f t="shared" si="32"/>
        <v>2005</v>
      </c>
      <c r="DR12" s="3">
        <v>1755</v>
      </c>
      <c r="DS12" s="4">
        <f>Sunsokua!C12 + Vayvele!C12 + Selaja!C12 + Sadain!C12</f>
        <v>181047799.6824351</v>
      </c>
      <c r="DT12" s="6">
        <f t="shared" si="33"/>
        <v>1.0668038531176028E-2</v>
      </c>
      <c r="DU12" s="5">
        <f t="shared" si="34"/>
        <v>2.9347489773573363E-2</v>
      </c>
      <c r="EB12" s="3">
        <f t="shared" si="35"/>
        <v>2005</v>
      </c>
      <c r="EC12" s="3">
        <v>1755</v>
      </c>
      <c r="ED12" s="4">
        <f>Pelugrotoa!C12 + Lieri!C12 + 'Rtesania'!C12 + Ozinia!C12</f>
        <v>379209596.17454767</v>
      </c>
      <c r="EE12" s="6">
        <f t="shared" si="36"/>
        <v>5.9073021319631753E-3</v>
      </c>
      <c r="EF12" s="5">
        <f t="shared" si="37"/>
        <v>6.1469124536690636E-2</v>
      </c>
      <c r="EM12" s="3">
        <f t="shared" si="38"/>
        <v>2005</v>
      </c>
      <c r="EN12" s="3">
        <v>1755</v>
      </c>
      <c r="EO12" s="4">
        <f>Ocaun!C12 + 'Dual Cenryia'!C12 + Byllu!C12 + Exilium!C12 + Inrea!C12 + Amcha!C12 + Isnti!C12 + Galca!C12 + Otiiric!C12 + Taing!C12 + 'Cruthi Anoso'!C12</f>
        <v>251115783.00536638</v>
      </c>
      <c r="EP12" s="6">
        <f t="shared" si="39"/>
        <v>1.8640863125418423E-2</v>
      </c>
      <c r="EQ12" s="5">
        <f t="shared" si="40"/>
        <v>4.0705371104534024E-2</v>
      </c>
      <c r="EX12" s="3">
        <f t="shared" si="41"/>
        <v>2005</v>
      </c>
      <c r="EY12" s="3">
        <v>1755</v>
      </c>
      <c r="EZ12" s="4">
        <f>Sivoso!C12 + Taoisia!C12 + Seytinemas!C12 + Trian!C12 + 'Chaenia'!C12</f>
        <v>135242501.32924253</v>
      </c>
      <c r="FA12" s="6">
        <f t="shared" si="42"/>
        <v>1.007605112058641E-2</v>
      </c>
      <c r="FB12" s="5">
        <f t="shared" si="43"/>
        <v>2.1922541625329094E-2</v>
      </c>
      <c r="FI12" s="3">
        <f t="shared" si="44"/>
        <v>2005</v>
      </c>
      <c r="FJ12" s="3">
        <v>1755</v>
      </c>
      <c r="FK12" s="4">
        <f>Migoku!C12 + 'Welenu Fana'!C12 + Haiza!C12 + Ucrua!C12 + Ihner!C12 + Oscairia!C12 + Shinam!C12 + 'Ruylku'!C12 + Taval!C12 + 'Western Migoku'!C12 + 'Pruim Fijan'!C12 + 'Canldives'!C12</f>
        <v>165365856.42483282</v>
      </c>
      <c r="FL12" s="6">
        <f t="shared" si="45"/>
        <v>2.5853350560201584E-2</v>
      </c>
      <c r="FM12" s="5">
        <f t="shared" si="46"/>
        <v>2.6805477828719605E-2</v>
      </c>
      <c r="FT12" s="3">
        <f t="shared" si="47"/>
        <v>2005</v>
      </c>
      <c r="FU12" s="3">
        <v>1755</v>
      </c>
      <c r="FV12" s="4">
        <f>Vesozata!C12 + Etretes!C12 + Kusierna!C12 + Eparia!C12</f>
        <v>124601233.82915638</v>
      </c>
      <c r="FW12" s="6">
        <f t="shared" si="48"/>
        <v>2.0783033595436481E-2</v>
      </c>
      <c r="FX12" s="5">
        <f t="shared" si="49"/>
        <v>2.0197613237994846E-2</v>
      </c>
      <c r="GE12" s="3">
        <f t="shared" si="50"/>
        <v>2005</v>
      </c>
      <c r="GF12" s="3">
        <v>1755</v>
      </c>
      <c r="GG12" s="4">
        <f>Dahe!C12 + Kaastini!C12 + Suenan!C12 + Oyreain!C12 + Sanagara!C12 + 'North Ayre'!C12 + Stinebar!C12 + 'Cloja'!C12 + 'Pha Hii'!C12 + 'Prystr Hii'!C12</f>
        <v>1000447091.9271224</v>
      </c>
      <c r="GH12" s="6">
        <f t="shared" si="51"/>
        <v>4.03656263525914E-3</v>
      </c>
      <c r="GI12" s="5">
        <f t="shared" si="52"/>
        <v>0.16217049227238381</v>
      </c>
      <c r="GP12" s="3">
        <f t="shared" si="53"/>
        <v>2005</v>
      </c>
      <c r="GQ12" s="3">
        <v>1755</v>
      </c>
      <c r="GR12" s="4">
        <f>Maalle!C12 + 'United Delet'!C12 + Ohtina!C12 + Astye!C12 + Prstreula!C12 + Veelmit!C12 + Aplasia!C12 + 'Elja and Munusia'!C12 + Walporein!C12 + 'Crila Republic'!C12 + 'Niretui and Anulan'!C12 + 'Rethern'!C12 + Tvecoca!C12</f>
        <v>178165208.38661754</v>
      </c>
      <c r="GS12" s="6">
        <f t="shared" si="54"/>
        <v>1.5309964204129559E-2</v>
      </c>
      <c r="GT12" s="5">
        <f t="shared" si="55"/>
        <v>2.8880227433330713E-2</v>
      </c>
      <c r="HA12" s="3">
        <f t="shared" si="56"/>
        <v>2005</v>
      </c>
      <c r="HB12" s="3">
        <v>1755</v>
      </c>
      <c r="HC12" s="4">
        <f>Andsaudare!C12 + Nia!C12 + Umarcia!C12 + Mendereide!C12 + Iainoa!C12 + Isari!C12 + 'Rkmepuia'!C12 + Hiwush!C12 + Isuibul!C12 + Yutnitu!C12</f>
        <v>62875250.420895718</v>
      </c>
      <c r="HD12" s="6">
        <f t="shared" si="57"/>
        <v>1.4825053434345935E-2</v>
      </c>
      <c r="HE12" s="5">
        <f t="shared" si="58"/>
        <v>1.0191953572342266E-2</v>
      </c>
      <c r="HL12" s="3">
        <f t="shared" si="59"/>
        <v>2005</v>
      </c>
      <c r="HM12" s="3">
        <v>1755</v>
      </c>
      <c r="HN12" s="4">
        <f>Zhanshe!C12 + Volver!C12 + Finae!C12 + Myla!C12 + 'Nheyes Si'!C12 + Onphello!C12 + Hyelen!C12</f>
        <v>109124413.69240135</v>
      </c>
      <c r="HO12" s="6">
        <f t="shared" si="60"/>
        <v>1.0400931210903635E-2</v>
      </c>
      <c r="HP12" s="5">
        <f t="shared" si="61"/>
        <v>1.7688851344795663E-2</v>
      </c>
      <c r="HW12" s="3">
        <f t="shared" si="62"/>
        <v>2005</v>
      </c>
      <c r="HX12" s="3">
        <v>1755</v>
      </c>
      <c r="HY12" s="4">
        <f>Yihnurda!C12 + Ztesh!C12 + Wundry!C12 + Anymna!C12 + Shomjind!C12 + Baluyde!C12 + Letan!C12</f>
        <v>504207349.14456254</v>
      </c>
      <c r="HZ12" s="6">
        <f t="shared" si="63"/>
        <v>2.0582277029776237E-2</v>
      </c>
      <c r="IA12" s="5">
        <f t="shared" si="64"/>
        <v>8.1731012742134859E-2</v>
      </c>
      <c r="IH12" s="3">
        <f t="shared" si="65"/>
        <v>2005</v>
      </c>
      <c r="II12" s="3">
        <v>1755</v>
      </c>
      <c r="IJ12" s="4">
        <f>Iareva!C12 + 'United Mihili'!C12 + 'Mesjan Hyaa'!C12 + Desaki!C12 + 'Far Lands'!C12</f>
        <v>63655031.24507194</v>
      </c>
      <c r="IK12" s="6">
        <f t="shared" si="66"/>
        <v>1.8139909901816881E-2</v>
      </c>
      <c r="IL12" s="5">
        <f t="shared" si="67"/>
        <v>1.0318354499629319E-2</v>
      </c>
      <c r="IS12" s="3">
        <f t="shared" si="68"/>
        <v>2005</v>
      </c>
      <c r="IT12" s="3">
        <v>1755</v>
      </c>
      <c r="IU12" s="4">
        <f>Verste!C12 + Quidic!C12 + Erkizil!C12 + Ashain!C12 + Ahokini!C12</f>
        <v>337667560.24798781</v>
      </c>
      <c r="IV12" s="6">
        <f t="shared" si="69"/>
        <v>1.1677659664070958E-2</v>
      </c>
      <c r="IW12" s="5">
        <f t="shared" si="70"/>
        <v>5.4735242784652902E-2</v>
      </c>
    </row>
    <row r="13" spans="1:257" ht="22.5" customHeight="1">
      <c r="A13" s="3">
        <f t="shared" si="0"/>
        <v>2004</v>
      </c>
      <c r="B13" s="3">
        <v>1754</v>
      </c>
      <c r="C13" s="4">
        <f>Acetoa!C13 + Acrana!C13 + Aetintio!C13 + Ahokini!C13 + Amcha!C13 + Andsaudare!C13 + Anymna!C13 + Aplasia!C13 + Arbiya!C13 + 'Areoix Lie'!C13 + Ashain!C13 + Astye!C13 + Baluyde!C13 + Byllu!C13 + 'Candenat'!C13 + 'Canldives'!C13 + 'Chaenia'!C13 + 'Cloja'!C13 + 'Crila Republic'!C13 + 'Cruthi Anoso'!C13 + 'Curata'!C13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'Raledria'!C13 + 'Reerica'!C13 + 'Rethern'!C13 + 'Rijan bu'!C13 + 'Rinew'!C13 + 'Rkmepuia'!C13 + 'Rtesania'!C13 + 'Ruylku'!C13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6100116158.4118319</v>
      </c>
      <c r="D13" s="5">
        <f t="shared" si="1"/>
        <v>1.13886121825709E-2</v>
      </c>
      <c r="K13" s="3">
        <f t="shared" si="2"/>
        <v>2004</v>
      </c>
      <c r="L13" s="3">
        <v>1754</v>
      </c>
      <c r="M13" s="4">
        <f>Eldavpir!C13 + Iquir!C13 + Viussi!C13 + Umendel!C13 + 'Reerica'!C13 + Saa!C13 + Sattle!C13</f>
        <v>84101840.653591275</v>
      </c>
      <c r="N13" s="5">
        <f t="shared" si="3"/>
        <v>2.6939807986953116E-2</v>
      </c>
      <c r="O13" s="5">
        <f t="shared" si="4"/>
        <v>1.3786924456777431E-2</v>
      </c>
      <c r="V13" s="3">
        <f t="shared" si="5"/>
        <v>2004</v>
      </c>
      <c r="W13" s="3">
        <v>1754</v>
      </c>
      <c r="X13" s="4">
        <f>'Areoix Lie'!C13 + Jau!C13 + Terressin!C13 + Acetoa!C13 + 'Feio Lie'!C13</f>
        <v>651082343.91223013</v>
      </c>
      <c r="Y13" s="5">
        <f t="shared" si="6"/>
        <v>8.6707474181360079E-3</v>
      </c>
      <c r="Z13" s="5">
        <f t="shared" si="7"/>
        <v>0.10673277803315466</v>
      </c>
      <c r="AG13" s="3">
        <f t="shared" si="8"/>
        <v>2004</v>
      </c>
      <c r="AH13" s="3">
        <v>1754</v>
      </c>
      <c r="AI13" s="4">
        <f>Taniduna!C13 + Jathua!C13 + Deschon!C13 + Pelines!C13 + 'Candenat'!C13 + Othya!C13 + Yoprioq!C13 + Jshain!C13 + 'Fire Coast'!C13 + 'Rijan bu'!C13 + 'Rinew'!C13 + Enina!C13 + Trevilla!C13</f>
        <v>194572870.0717186</v>
      </c>
      <c r="AJ13" s="5">
        <f t="shared" si="9"/>
        <v>2.7517144489139056E-2</v>
      </c>
      <c r="AK13" s="5">
        <f t="shared" si="10"/>
        <v>3.1896584428709587E-2</v>
      </c>
      <c r="AR13" s="3">
        <f t="shared" si="11"/>
        <v>2004</v>
      </c>
      <c r="AS13" s="3">
        <v>1754</v>
      </c>
      <c r="AT13" s="4">
        <f>Gaeiya!C13 + 'Raledria'!C13 + Arbiya!C13 + Fincen!C13 + 'Curata'!C13</f>
        <v>275708901.93423432</v>
      </c>
      <c r="AU13" s="5">
        <f t="shared" si="12"/>
        <v>1.0480092982656971E-2</v>
      </c>
      <c r="AV13" s="5">
        <f t="shared" si="13"/>
        <v>4.5197319981201023E-2</v>
      </c>
      <c r="BC13" s="3">
        <f t="shared" si="14"/>
        <v>2004</v>
      </c>
      <c r="BD13" s="3">
        <v>1754</v>
      </c>
      <c r="BE13" s="4">
        <f>Etirha!C13 + Laselteh!C13 + Grazail!C13 + 'Disal Nila'!C13 + Pelan!C13 + Peka!C13 + Guise!C13</f>
        <v>101314870.59523097</v>
      </c>
      <c r="BF13" s="5">
        <f t="shared" si="15"/>
        <v>7.8030217787502902E-3</v>
      </c>
      <c r="BG13" s="5">
        <f t="shared" si="16"/>
        <v>1.6608678911060007E-2</v>
      </c>
      <c r="BN13" s="3">
        <f t="shared" si="17"/>
        <v>2004</v>
      </c>
      <c r="BO13" s="3">
        <v>1754</v>
      </c>
      <c r="BP13" s="4">
        <f>Genaire!C13 + 'New Misos'!C13 + Phuris!C13 + Lasri!C13 + Slyiaduun!C13 + Aetintio!C13 + Metndria!C13 + Tomscilus!C13</f>
        <v>91903714.808378085</v>
      </c>
      <c r="BQ13" s="5">
        <f t="shared" si="18"/>
        <v>1.2598743767466824E-2</v>
      </c>
      <c r="BR13" s="5">
        <f t="shared" si="19"/>
        <v>1.5065895865219928E-2</v>
      </c>
      <c r="BY13" s="3">
        <f t="shared" si="20"/>
        <v>2004</v>
      </c>
      <c r="BZ13" s="3">
        <v>1754</v>
      </c>
      <c r="CA13" s="4">
        <f>Ealdorii!C13 + Ukhdari!C13 + Hkuqo!C13 + Acrana!C13 + Zenashan!C13</f>
        <v>250611892.1243434</v>
      </c>
      <c r="CB13" s="7">
        <f t="shared" si="21"/>
        <v>7.6523895457270693E-3</v>
      </c>
      <c r="CC13" s="5">
        <f t="shared" si="22"/>
        <v>4.1083134421753424E-2</v>
      </c>
      <c r="CJ13" s="3">
        <f t="shared" si="23"/>
        <v>2004</v>
      </c>
      <c r="CK13" s="3">
        <v>1754</v>
      </c>
      <c r="CL13" s="4">
        <f>Estijan!C13 + Ikzen!C13 + Urbiqu!C13 + Danocia!C13 + Koruch!C13 + 'New Kizura'!C13 + Lydroa!C13 + Fermori!C13 + Uularin!C13 + 'Niul Spijan'!C13</f>
        <v>272352061.33924311</v>
      </c>
      <c r="CM13" s="7">
        <f t="shared" si="24"/>
        <v>9.9036528941343713E-3</v>
      </c>
      <c r="CN13" s="5">
        <f t="shared" si="25"/>
        <v>4.4647028723162889E-2</v>
      </c>
      <c r="CU13" s="3">
        <f t="shared" si="26"/>
        <v>2004</v>
      </c>
      <c r="CV13" s="3">
        <v>1754</v>
      </c>
      <c r="CW13" s="4">
        <f>Praesyu!C13 + Lycroa!C13 + Emara!C13 + Eldjo!C13 + Easuhura!C13 + Ilicuhe!C13 + Tonder!C13</f>
        <v>236899870.47681206</v>
      </c>
      <c r="CX13" s="7">
        <f t="shared" si="27"/>
        <v>6.2525435344694012E-3</v>
      </c>
      <c r="CY13" s="5">
        <f t="shared" si="28"/>
        <v>3.8835304824505021E-2</v>
      </c>
      <c r="DF13" s="3">
        <f t="shared" si="29"/>
        <v>2004</v>
      </c>
      <c r="DG13" s="3">
        <v>1754</v>
      </c>
      <c r="DH13" s="4">
        <f>Verusa!C13 + Darewa!C13 + Siana!C13 + Yaxuto!C13 + 'Merela Sta'!C13 + Palina!C13</f>
        <v>166684282.74181825</v>
      </c>
      <c r="DI13" s="7">
        <f t="shared" si="30"/>
        <v>2.5623503250397552E-3</v>
      </c>
      <c r="DJ13" s="5">
        <f t="shared" si="31"/>
        <v>2.7324771924542267E-2</v>
      </c>
      <c r="DQ13" s="3">
        <f t="shared" si="32"/>
        <v>2004</v>
      </c>
      <c r="DR13" s="3">
        <v>1754</v>
      </c>
      <c r="DS13" s="4">
        <f>Sunsokua!C13 + Vayvele!C13 + Selaja!C13 + Sadain!C13</f>
        <v>179136761.80514768</v>
      </c>
      <c r="DT13" s="7">
        <f t="shared" si="33"/>
        <v>1.054858450066222E-2</v>
      </c>
      <c r="DU13" s="5">
        <f t="shared" si="34"/>
        <v>2.9366123062775581E-2</v>
      </c>
      <c r="EB13" s="3">
        <f t="shared" si="35"/>
        <v>2004</v>
      </c>
      <c r="EC13" s="3">
        <v>1754</v>
      </c>
      <c r="ED13" s="4">
        <f>Pelugrotoa!C13 + Lieri!C13 + 'Rtesania'!C13 + Ozinia!C13</f>
        <v>376982645.78737479</v>
      </c>
      <c r="EE13" s="7">
        <f t="shared" si="36"/>
        <v>5.9845118709642058E-3</v>
      </c>
      <c r="EF13" s="5">
        <f t="shared" si="37"/>
        <v>6.179925693177659E-2</v>
      </c>
      <c r="EM13" s="3">
        <f t="shared" si="38"/>
        <v>2004</v>
      </c>
      <c r="EN13" s="3">
        <v>1754</v>
      </c>
      <c r="EO13" s="4">
        <f>Ocaun!C13 + 'Dual Cenryia'!C13 + Byllu!C13 + Exilium!C13 + Inrea!C13 + Amcha!C13 + Isnti!C13 + Galca!C13 + Otiiric!C13 + Taing!C13 + 'Cruthi Anoso'!C13</f>
        <v>246520429.4228752</v>
      </c>
      <c r="EP13" s="7">
        <f t="shared" si="39"/>
        <v>1.8512593174941132E-2</v>
      </c>
      <c r="EQ13" s="5">
        <f t="shared" si="40"/>
        <v>4.0412415603419738E-2</v>
      </c>
      <c r="EX13" s="3">
        <f t="shared" si="41"/>
        <v>2004</v>
      </c>
      <c r="EY13" s="3">
        <v>1754</v>
      </c>
      <c r="EZ13" s="4">
        <f>Sivoso!C13 + Taoisia!C13 + Seytinemas!C13 + Trian!C13 + 'Chaenia'!C13</f>
        <v>133893384.739895</v>
      </c>
      <c r="FA13" s="7">
        <f t="shared" si="42"/>
        <v>1.0140795417997115E-2</v>
      </c>
      <c r="FB13" s="5">
        <f t="shared" si="43"/>
        <v>2.1949317236403938E-2</v>
      </c>
      <c r="FI13" s="3">
        <f t="shared" si="44"/>
        <v>2004</v>
      </c>
      <c r="FJ13" s="3">
        <v>1754</v>
      </c>
      <c r="FK13" s="4">
        <f>Migoku!C13 + 'Welenu Fana'!C13 + Haiza!C13 + Ucrua!C13 + Ihner!C13 + Oscairia!C13 + Shinam!C13 + 'Ruylku'!C13 + Taval!C13 + 'Western Migoku'!C13 + 'Pruim Fijan'!C13 + 'Canldives'!C13</f>
        <v>161198339.25046816</v>
      </c>
      <c r="FL13" s="7">
        <f t="shared" si="45"/>
        <v>2.6040252768717742E-2</v>
      </c>
      <c r="FM13" s="5">
        <f t="shared" si="46"/>
        <v>2.6425454051097322E-2</v>
      </c>
      <c r="FT13" s="3">
        <f t="shared" si="47"/>
        <v>2004</v>
      </c>
      <c r="FU13" s="3">
        <v>1754</v>
      </c>
      <c r="FV13" s="4">
        <f>Vesozata!C13 + Etretes!C13 + Kusierna!C13 + Eparia!C13</f>
        <v>122064366.00957376</v>
      </c>
      <c r="FW13" s="7">
        <f t="shared" si="48"/>
        <v>2.1007042740113183E-2</v>
      </c>
      <c r="FX13" s="5">
        <f t="shared" si="49"/>
        <v>2.0010170763920875E-2</v>
      </c>
      <c r="GE13" s="3">
        <f t="shared" si="50"/>
        <v>2004</v>
      </c>
      <c r="GF13" s="3">
        <v>1754</v>
      </c>
      <c r="GG13" s="4">
        <f>Dahe!C13 + Kaastini!C13 + Suenan!C13 + Oyreain!C13 + Sanagara!C13 + 'North Ayre'!C13 + Stinebar!C13 + 'Cloja'!C13 + 'Pha Hii'!C13 + 'Prystr Hii'!C13</f>
        <v>996424960.16408443</v>
      </c>
      <c r="GH13" s="7">
        <f t="shared" si="51"/>
        <v>4.3002336437169891E-3</v>
      </c>
      <c r="GI13" s="5">
        <f t="shared" si="52"/>
        <v>0.163345243645902</v>
      </c>
      <c r="GP13" s="3">
        <f t="shared" si="53"/>
        <v>2004</v>
      </c>
      <c r="GQ13" s="3">
        <v>1754</v>
      </c>
      <c r="GR13" s="4">
        <f>Maalle!C13 + 'United Delet'!C13 + Ohtina!C13 + Astye!C13 + Prstreula!C13 + Veelmit!C13 + Aplasia!C13 + 'Elja and Munusia'!C13 + Walporein!C13 + 'Crila Republic'!C13 + 'Niretui and Anulan'!C13 + 'Rethern'!C13 + Tvecoca!C13</f>
        <v>175478636.73954564</v>
      </c>
      <c r="GS13" s="7">
        <f t="shared" si="54"/>
        <v>1.5475649269928029E-2</v>
      </c>
      <c r="GT13" s="5">
        <f t="shared" si="55"/>
        <v>2.8766441848417455E-2</v>
      </c>
      <c r="HA13" s="3">
        <f t="shared" si="56"/>
        <v>2004</v>
      </c>
      <c r="HB13" s="3">
        <v>1754</v>
      </c>
      <c r="HC13" s="4">
        <f>Andsaudare!C13 + Nia!C13 + Umarcia!C13 + Mendereide!C13 + Iainoa!C13 + Isari!C13 + 'Rkmepuia'!C13 + Hiwush!C13 + Isuibul!C13 + Yutnitu!C13</f>
        <v>61956738.462570317</v>
      </c>
      <c r="HD13" s="7">
        <f t="shared" si="57"/>
        <v>1.5953183227871245E-2</v>
      </c>
      <c r="HE13" s="5">
        <f t="shared" si="58"/>
        <v>1.0156648964320834E-2</v>
      </c>
      <c r="HL13" s="3">
        <f t="shared" si="59"/>
        <v>2004</v>
      </c>
      <c r="HM13" s="3">
        <v>1754</v>
      </c>
      <c r="HN13" s="4">
        <f>Zhanshe!C13 + Volver!C13 + Finae!C13 + Myla!C13 + 'Nheyes Si'!C13 + Onphello!C13 + Hyelen!C13</f>
        <v>108001101.66329956</v>
      </c>
      <c r="HO13" s="7">
        <f t="shared" si="60"/>
        <v>1.0926109660639165E-2</v>
      </c>
      <c r="HP13" s="5">
        <f t="shared" si="61"/>
        <v>1.7704761492839786E-2</v>
      </c>
      <c r="HW13" s="3">
        <f t="shared" si="62"/>
        <v>2004</v>
      </c>
      <c r="HX13" s="3">
        <v>1754</v>
      </c>
      <c r="HY13" s="4">
        <f>Yihnurda!C13 + Ztesh!C13 + Wundry!C13 + Anymna!C13 + Shomjind!C13 + Baluyde!C13 + Letan!C13</f>
        <v>494038903.5678423</v>
      </c>
      <c r="HZ13" s="7">
        <f t="shared" si="63"/>
        <v>2.0786877637218735E-2</v>
      </c>
      <c r="IA13" s="5">
        <f t="shared" si="64"/>
        <v>8.0988441980171341E-2</v>
      </c>
      <c r="IH13" s="3">
        <f t="shared" si="65"/>
        <v>2004</v>
      </c>
      <c r="II13" s="3">
        <v>1754</v>
      </c>
      <c r="IJ13" s="4">
        <f>Iareva!C13 + 'United Mihili'!C13 + 'Mesjan Hyaa'!C13 + Desaki!C13 + 'Far Lands'!C13</f>
        <v>62520907.613974623</v>
      </c>
      <c r="IK13" s="7">
        <f t="shared" si="66"/>
        <v>1.765522952744349E-2</v>
      </c>
      <c r="IL13" s="5">
        <f t="shared" si="67"/>
        <v>1.0249133949320069E-2</v>
      </c>
      <c r="IS13" s="3">
        <f t="shared" si="68"/>
        <v>2004</v>
      </c>
      <c r="IT13" s="3">
        <v>1754</v>
      </c>
      <c r="IU13" s="4">
        <f>Verste!C13 + Quidic!C13 + Erkizil!C13 + Ashain!C13 + Ahokini!C13</f>
        <v>333769908.84637189</v>
      </c>
      <c r="IV13" s="7">
        <f t="shared" si="69"/>
        <v>1.223630170029409E-2</v>
      </c>
      <c r="IW13" s="5">
        <f t="shared" si="70"/>
        <v>5.4715336590126347E-2</v>
      </c>
    </row>
    <row r="14" spans="1:257" ht="22.5" customHeight="1">
      <c r="A14" s="3">
        <f t="shared" si="0"/>
        <v>2003</v>
      </c>
      <c r="B14" s="3">
        <v>1753</v>
      </c>
      <c r="C14" s="4">
        <f>Acetoa!C14 + Acrana!C14 + Aetintio!C14 + Ahokini!C14 + Amcha!C14 + Andsaudare!C14 + Anymna!C14 + Aplasia!C14 + Arbiya!C14 + 'Areoix Lie'!C14 + Ashain!C14 + Astye!C14 + Baluyde!C14 + Byllu!C14 + 'Candenat'!C14 + 'Canldives'!C14 + 'Chaenia'!C14 + 'Cloja'!C14 + 'Crila Republic'!C14 + 'Cruthi Anoso'!C14 + 'Curata'!C14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'Raledria'!C14 + 'Reerica'!C14 + 'Rethern'!C14 + 'Rijan bu'!C14 + 'Rinew'!C14 + 'Rkmepuia'!C14 + 'Rtesania'!C14 + 'Ruylku'!C14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6031426580.1824837</v>
      </c>
      <c r="D14" s="5">
        <f t="shared" si="1"/>
        <v>1.1499973530463054E-2</v>
      </c>
      <c r="K14" s="3">
        <f t="shared" si="2"/>
        <v>2003</v>
      </c>
      <c r="L14" s="3">
        <v>1753</v>
      </c>
      <c r="M14" s="4">
        <f>Eldavpir!C14 + Iquir!C14 + Viussi!C14 + Umendel!C14 + 'Reerica'!C14 + Saa!C14 + Sattle!C14</f>
        <v>81895589.2054189</v>
      </c>
      <c r="N14" s="5">
        <f t="shared" si="3"/>
        <v>2.7044914111406602E-2</v>
      </c>
      <c r="O14" s="5">
        <f t="shared" si="4"/>
        <v>1.3578145753196106E-2</v>
      </c>
      <c r="V14" s="3">
        <f t="shared" si="5"/>
        <v>2003</v>
      </c>
      <c r="W14" s="3">
        <v>1753</v>
      </c>
      <c r="X14" s="4">
        <f>'Areoix Lie'!C14 + Jau!C14 + Terressin!C14 + Acetoa!C14 + 'Feio Lie'!C14</f>
        <v>645485502.16092408</v>
      </c>
      <c r="Y14" s="5">
        <f t="shared" si="6"/>
        <v>9.0418931284245736E-3</v>
      </c>
      <c r="Z14" s="5">
        <f t="shared" si="7"/>
        <v>0.10702036965546459</v>
      </c>
      <c r="AG14" s="3">
        <f t="shared" si="8"/>
        <v>2003</v>
      </c>
      <c r="AH14" s="3">
        <v>1753</v>
      </c>
      <c r="AI14" s="4">
        <f>Taniduna!C14 + Jathua!C14 + Deschon!C14 + Pelines!C14 + 'Candenat'!C14 + Othya!C14 + Yoprioq!C14 + Jshain!C14 + 'Fire Coast'!C14 + 'Rijan bu'!C14 + 'Rinew'!C14 + Enina!C14 + Trevilla!C14</f>
        <v>189362164.04297209</v>
      </c>
      <c r="AJ14" s="5">
        <f t="shared" si="9"/>
        <v>2.714449618365794E-2</v>
      </c>
      <c r="AK14" s="5">
        <f t="shared" si="10"/>
        <v>3.1395916293694294E-2</v>
      </c>
      <c r="AR14" s="3">
        <f t="shared" si="11"/>
        <v>2003</v>
      </c>
      <c r="AS14" s="3">
        <v>1753</v>
      </c>
      <c r="AT14" s="4">
        <f>Gaeiya!C14 + 'Raledria'!C14 + Arbiya!C14 + Fincen!C14 + 'Curata'!C14</f>
        <v>272849414.69793642</v>
      </c>
      <c r="AU14" s="5">
        <f t="shared" si="12"/>
        <v>1.1179129442360908E-2</v>
      </c>
      <c r="AV14" s="5">
        <f t="shared" si="13"/>
        <v>4.5237956737207138E-2</v>
      </c>
      <c r="BC14" s="3">
        <f t="shared" si="14"/>
        <v>2003</v>
      </c>
      <c r="BD14" s="3">
        <v>1753</v>
      </c>
      <c r="BE14" s="4">
        <f>Etirha!C14 + Laselteh!C14 + Grazail!C14 + 'Disal Nila'!C14 + Pelan!C14 + Peka!C14 + Guise!C14</f>
        <v>100530429.46469086</v>
      </c>
      <c r="BF14" s="5">
        <f t="shared" si="15"/>
        <v>8.7693800271460356E-3</v>
      </c>
      <c r="BG14" s="5">
        <f t="shared" si="16"/>
        <v>1.6667769743729396E-2</v>
      </c>
      <c r="BN14" s="3">
        <f t="shared" si="17"/>
        <v>2003</v>
      </c>
      <c r="BO14" s="3">
        <v>1753</v>
      </c>
      <c r="BP14" s="4">
        <f>Genaire!C14 + 'New Misos'!C14 + Phuris!C14 + Lasri!C14 + Slyiaduun!C14 + Aetintio!C14 + Metndria!C14 + Tomscilus!C14</f>
        <v>90760249.678408504</v>
      </c>
      <c r="BQ14" s="5">
        <f t="shared" si="18"/>
        <v>1.2034459759661015E-2</v>
      </c>
      <c r="BR14" s="5">
        <f t="shared" si="19"/>
        <v>1.5047890987618141E-2</v>
      </c>
      <c r="BY14" s="3">
        <f t="shared" si="20"/>
        <v>2003</v>
      </c>
      <c r="BZ14" s="3">
        <v>1753</v>
      </c>
      <c r="CA14" s="4">
        <f>Ealdorii!C14 + Ukhdari!C14 + Hkuqo!C14 + Acrana!C14 + Zenashan!C14</f>
        <v>248708676.44875532</v>
      </c>
      <c r="CB14" s="6">
        <f t="shared" si="21"/>
        <v>7.9629890734725702E-3</v>
      </c>
      <c r="CC14" s="5">
        <f t="shared" si="22"/>
        <v>4.1235464469706024E-2</v>
      </c>
      <c r="CJ14" s="3">
        <f t="shared" si="23"/>
        <v>2003</v>
      </c>
      <c r="CK14" s="3">
        <v>1753</v>
      </c>
      <c r="CL14" s="4">
        <f>Estijan!C14 + Ikzen!C14 + Urbiqu!C14 + Danocia!C14 + Koruch!C14 + 'New Kizura'!C14 + Lydroa!C14 + Fermori!C14 + Uularin!C14 + 'Niul Spijan'!C14</f>
        <v>269681232.02520299</v>
      </c>
      <c r="CM14" s="6">
        <f t="shared" si="24"/>
        <v>9.5624613212610798E-3</v>
      </c>
      <c r="CN14" s="5">
        <f t="shared" si="25"/>
        <v>4.471267757967861E-2</v>
      </c>
      <c r="CU14" s="3">
        <f t="shared" si="26"/>
        <v>2003</v>
      </c>
      <c r="CV14" s="3">
        <v>1753</v>
      </c>
      <c r="CW14" s="4">
        <f>Praesyu!C14 + Lycroa!C14 + Emara!C14 + Eldjo!C14 + Easuhura!C14 + Ilicuhe!C14 + Tonder!C14</f>
        <v>235427847.6104016</v>
      </c>
      <c r="CX14" s="6">
        <f t="shared" si="27"/>
        <v>6.2257251554778074E-3</v>
      </c>
      <c r="CY14" s="5">
        <f t="shared" si="28"/>
        <v>3.9033526228098199E-2</v>
      </c>
      <c r="DF14" s="3">
        <f t="shared" si="29"/>
        <v>2003</v>
      </c>
      <c r="DG14" s="3">
        <v>1753</v>
      </c>
      <c r="DH14" s="4">
        <f>Verusa!C14 + Darewa!C14 + Siana!C14 + Yaxuto!C14 + 'Merela Sta'!C14 + Palina!C14</f>
        <v>166258270.80757391</v>
      </c>
      <c r="DI14" s="6">
        <f t="shared" si="30"/>
        <v>2.8659742822289818E-3</v>
      </c>
      <c r="DJ14" s="5">
        <f t="shared" si="31"/>
        <v>2.7565331119813397E-2</v>
      </c>
      <c r="DQ14" s="3">
        <f t="shared" si="32"/>
        <v>2003</v>
      </c>
      <c r="DR14" s="3">
        <v>1753</v>
      </c>
      <c r="DS14" s="4">
        <f>Sunsokua!C14 + Vayvele!C14 + Selaja!C14 + Sadain!C14</f>
        <v>177266847.48528317</v>
      </c>
      <c r="DT14" s="6">
        <f t="shared" si="33"/>
        <v>1.07417858297631E-2</v>
      </c>
      <c r="DU14" s="5">
        <f t="shared" si="34"/>
        <v>2.9390533919078209E-2</v>
      </c>
      <c r="EB14" s="3">
        <f t="shared" si="35"/>
        <v>2003</v>
      </c>
      <c r="EC14" s="3">
        <v>1753</v>
      </c>
      <c r="ED14" s="4">
        <f>Pelugrotoa!C14 + Lieri!C14 + 'Rtesania'!C14 + Ozinia!C14</f>
        <v>374740009.7504977</v>
      </c>
      <c r="EE14" s="6">
        <f t="shared" si="36"/>
        <v>5.8855096440079977E-3</v>
      </c>
      <c r="EF14" s="5">
        <f t="shared" si="37"/>
        <v>6.2131239561430553E-2</v>
      </c>
      <c r="EM14" s="3">
        <f t="shared" si="38"/>
        <v>2003</v>
      </c>
      <c r="EN14" s="3">
        <v>1753</v>
      </c>
      <c r="EO14" s="4">
        <f>Ocaun!C14 + 'Dual Cenryia'!C14 + Byllu!C14 + Exilium!C14 + Inrea!C14 + Amcha!C14 + Isnti!C14 + Galca!C14 + Otiiric!C14 + Taing!C14 + 'Cruthi Anoso'!C14</f>
        <v>242039647.88929468</v>
      </c>
      <c r="EP14" s="6">
        <f t="shared" si="39"/>
        <v>1.8208764808527789E-2</v>
      </c>
      <c r="EQ14" s="5">
        <f t="shared" si="40"/>
        <v>4.0129751174384956E-2</v>
      </c>
      <c r="EX14" s="3">
        <f t="shared" si="41"/>
        <v>2003</v>
      </c>
      <c r="EY14" s="3">
        <v>1753</v>
      </c>
      <c r="EZ14" s="4">
        <f>Sivoso!C14 + Taoisia!C14 + Seytinemas!C14 + Trian!C14 + 'Chaenia'!C14</f>
        <v>132549230.11449093</v>
      </c>
      <c r="FA14" s="6">
        <f t="shared" si="42"/>
        <v>1.0130218003105417E-2</v>
      </c>
      <c r="FB14" s="5">
        <f t="shared" si="43"/>
        <v>2.1976431007219618E-2</v>
      </c>
      <c r="FI14" s="3">
        <f t="shared" si="44"/>
        <v>2003</v>
      </c>
      <c r="FJ14" s="3">
        <v>1753</v>
      </c>
      <c r="FK14" s="4">
        <f>Migoku!C14 + 'Welenu Fana'!C14 + Haiza!C14 + Ucrua!C14 + Ihner!C14 + Oscairia!C14 + Shinam!C14 + 'Ruylku'!C14 + Taval!C14 + 'Western Migoku'!C14 + 'Pruim Fijan'!C14 + 'Canldives'!C14</f>
        <v>157107227.33877409</v>
      </c>
      <c r="FL14" s="6">
        <f t="shared" si="45"/>
        <v>2.5475516852751214E-2</v>
      </c>
      <c r="FM14" s="5">
        <f t="shared" si="46"/>
        <v>2.6048104084526673E-2</v>
      </c>
      <c r="FT14" s="3">
        <f t="shared" si="47"/>
        <v>2003</v>
      </c>
      <c r="FU14" s="3">
        <v>1753</v>
      </c>
      <c r="FV14" s="4">
        <f>Vesozata!C14 + Etretes!C14 + Kusierna!C14 + Eparia!C14</f>
        <v>119552912.85943067</v>
      </c>
      <c r="FW14" s="6">
        <f t="shared" si="48"/>
        <v>2.1372880531513615E-2</v>
      </c>
      <c r="FX14" s="5">
        <f t="shared" si="49"/>
        <v>1.9821664289547489E-2</v>
      </c>
      <c r="GE14" s="3">
        <f t="shared" si="50"/>
        <v>2003</v>
      </c>
      <c r="GF14" s="3">
        <v>1753</v>
      </c>
      <c r="GG14" s="4">
        <f>Dahe!C14 + Kaastini!C14 + Suenan!C14 + Oyreain!C14 + Sanagara!C14 + 'North Ayre'!C14 + Stinebar!C14 + 'Cloja'!C14 + 'Pha Hii'!C14 + 'Prystr Hii'!C14</f>
        <v>992158447.03026688</v>
      </c>
      <c r="GH14" s="6">
        <f t="shared" si="51"/>
        <v>4.4356830761169046E-3</v>
      </c>
      <c r="GI14" s="5">
        <f t="shared" si="52"/>
        <v>0.16449813884665551</v>
      </c>
      <c r="GP14" s="3">
        <f t="shared" si="53"/>
        <v>2003</v>
      </c>
      <c r="GQ14" s="3">
        <v>1753</v>
      </c>
      <c r="GR14" s="4">
        <f>Maalle!C14 + 'United Delet'!C14 + Ohtina!C14 + Astye!C14 + Prstreula!C14 + Veelmit!C14 + Aplasia!C14 + 'Elja and Munusia'!C14 + Walporein!C14 + 'Crila Republic'!C14 + 'Niretui and Anulan'!C14 + 'Rethern'!C14 + Tvecoca!C14</f>
        <v>172804376.8116993</v>
      </c>
      <c r="GS14" s="6">
        <f t="shared" si="54"/>
        <v>1.5439574563171998E-2</v>
      </c>
      <c r="GT14" s="5">
        <f t="shared" si="55"/>
        <v>2.8650664070003655E-2</v>
      </c>
      <c r="HA14" s="3">
        <f t="shared" si="56"/>
        <v>2003</v>
      </c>
      <c r="HB14" s="3">
        <v>1753</v>
      </c>
      <c r="HC14" s="4">
        <f>Andsaudare!C14 + Nia!C14 + Umarcia!C14 + Mendereide!C14 + Iainoa!C14 + Isari!C14 + 'Rkmepuia'!C14 + Hiwush!C14 + Isuibul!C14 + Yutnitu!C14</f>
        <v>60983851.899279743</v>
      </c>
      <c r="HD14" s="6">
        <f t="shared" si="57"/>
        <v>1.6310966399266068E-2</v>
      </c>
      <c r="HE14" s="5">
        <f t="shared" si="58"/>
        <v>1.0111016206291058E-2</v>
      </c>
      <c r="HL14" s="3">
        <f t="shared" si="59"/>
        <v>2003</v>
      </c>
      <c r="HM14" s="3">
        <v>1753</v>
      </c>
      <c r="HN14" s="4">
        <f>Zhanshe!C14 + Volver!C14 + Finae!C14 + Myla!C14 + 'Nheyes Si'!C14 + Onphello!C14 + Hyelen!C14</f>
        <v>106833823.5912759</v>
      </c>
      <c r="HO14" s="6">
        <f t="shared" si="60"/>
        <v>1.2062163883587234E-2</v>
      </c>
      <c r="HP14" s="5">
        <f t="shared" si="61"/>
        <v>1.7712861488242405E-2</v>
      </c>
      <c r="HW14" s="3">
        <f t="shared" si="62"/>
        <v>2003</v>
      </c>
      <c r="HX14" s="3">
        <v>1753</v>
      </c>
      <c r="HY14" s="4">
        <f>Yihnurda!C14 + Ztesh!C14 + Wundry!C14 + Anymna!C14 + Shomjind!C14 + Baluyde!C14 + Letan!C14</f>
        <v>483978501.67449021</v>
      </c>
      <c r="HZ14" s="6">
        <f t="shared" si="63"/>
        <v>2.1095242208183283E-2</v>
      </c>
      <c r="IA14" s="5">
        <f t="shared" si="64"/>
        <v>8.0242790862232002E-2</v>
      </c>
      <c r="IH14" s="3">
        <f t="shared" si="65"/>
        <v>2003</v>
      </c>
      <c r="II14" s="3">
        <v>1753</v>
      </c>
      <c r="IJ14" s="4">
        <f>Iareva!C14 + 'United Mihili'!C14 + 'Mesjan Hyaa'!C14 + Desaki!C14 + 'Far Lands'!C14</f>
        <v>61436236.752801552</v>
      </c>
      <c r="IK14" s="6">
        <f t="shared" si="66"/>
        <v>1.6044865570649755E-2</v>
      </c>
      <c r="IL14" s="5">
        <f t="shared" si="67"/>
        <v>1.0186020825431779E-2</v>
      </c>
      <c r="IS14" s="3">
        <f t="shared" si="68"/>
        <v>2003</v>
      </c>
      <c r="IT14" s="3">
        <v>1753</v>
      </c>
      <c r="IU14" s="4">
        <f>Verste!C14 + Quidic!C14 + Erkizil!C14 + Ashain!C14 + Ahokini!C14</f>
        <v>329735169.82716894</v>
      </c>
      <c r="IV14" s="6">
        <f t="shared" si="69"/>
        <v>1.281011591819492E-2</v>
      </c>
      <c r="IW14" s="5">
        <f t="shared" si="70"/>
        <v>5.4669515651667382E-2</v>
      </c>
    </row>
    <row r="15" spans="1:257" ht="22.5" customHeight="1">
      <c r="A15" s="3">
        <f t="shared" si="0"/>
        <v>2002</v>
      </c>
      <c r="B15" s="3">
        <v>1752</v>
      </c>
      <c r="C15" s="4">
        <f>Acetoa!C15 + Acrana!C15 + Aetintio!C15 + Ahokini!C15 + Amcha!C15 + Andsaudare!C15 + Anymna!C15 + Aplasia!C15 + Arbiya!C15 + 'Areoix Lie'!C15 + Ashain!C15 + Astye!C15 + Baluyde!C15 + Byllu!C15 + 'Candenat'!C15 + 'Canldives'!C15 + 'Chaenia'!C15 + 'Cloja'!C15 + 'Crila Republic'!C15 + 'Cruthi Anoso'!C15 + 'Curata'!C15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'Raledria'!C15 + 'Reerica'!C15 + 'Rethern'!C15 + 'Rijan bu'!C15 + 'Rinew'!C15 + 'Rkmepuia'!C15 + 'Rtesania'!C15 + 'Ruylku'!C15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5962853917.9599266</v>
      </c>
      <c r="D15" s="5">
        <f t="shared" si="1"/>
        <v>1.171425286774317E-2</v>
      </c>
      <c r="K15" s="3">
        <f t="shared" si="2"/>
        <v>2002</v>
      </c>
      <c r="L15" s="3">
        <v>1752</v>
      </c>
      <c r="M15" s="4">
        <f>Eldavpir!C15 + Iquir!C15 + Viussi!C15 + Umendel!C15 + 'Reerica'!C15 + Saa!C15 + Sattle!C15</f>
        <v>79739053.356078878</v>
      </c>
      <c r="N15" s="5">
        <f t="shared" si="3"/>
        <v>2.7280023030087495E-2</v>
      </c>
      <c r="O15" s="5">
        <f t="shared" si="4"/>
        <v>1.3372632375900972E-2</v>
      </c>
      <c r="V15" s="3">
        <f t="shared" si="5"/>
        <v>2002</v>
      </c>
      <c r="W15" s="3">
        <v>1752</v>
      </c>
      <c r="X15" s="4">
        <f>'Areoix Lie'!C15 + Jau!C15 + Terressin!C15 + Acetoa!C15 + 'Feio Lie'!C15</f>
        <v>639701390.55343533</v>
      </c>
      <c r="Y15" s="5">
        <f t="shared" si="6"/>
        <v>9.4366285084615097E-3</v>
      </c>
      <c r="Z15" s="5">
        <f t="shared" si="7"/>
        <v>0.10728107704042104</v>
      </c>
      <c r="AG15" s="3">
        <f t="shared" si="8"/>
        <v>2002</v>
      </c>
      <c r="AH15" s="3">
        <v>1752</v>
      </c>
      <c r="AI15" s="4">
        <f>Taniduna!C15 + Jathua!C15 + Deschon!C15 + Pelines!C15 + 'Candenat'!C15 + Othya!C15 + Yoprioq!C15 + Jshain!C15 + 'Fire Coast'!C15 + 'Rijan bu'!C15 + 'Rinew'!C15 + Enina!C15 + Trevilla!C15</f>
        <v>184357862.74136186</v>
      </c>
      <c r="AJ15" s="5">
        <f t="shared" si="9"/>
        <v>2.7041365156540167E-2</v>
      </c>
      <c r="AK15" s="5">
        <f t="shared" si="10"/>
        <v>3.0917722499637604E-2</v>
      </c>
      <c r="AR15" s="3">
        <f t="shared" si="11"/>
        <v>2002</v>
      </c>
      <c r="AS15" s="3">
        <v>1752</v>
      </c>
      <c r="AT15" s="4">
        <f>Gaeiya!C15 + 'Raledria'!C15 + Arbiya!C15 + Fincen!C15 + 'Curata'!C15</f>
        <v>269832917.58444995</v>
      </c>
      <c r="AU15" s="5">
        <f t="shared" si="12"/>
        <v>1.1073945935494304E-2</v>
      </c>
      <c r="AV15" s="5">
        <f t="shared" si="13"/>
        <v>4.5252310604444256E-2</v>
      </c>
      <c r="BC15" s="3">
        <f t="shared" si="14"/>
        <v>2002</v>
      </c>
      <c r="BD15" s="3">
        <v>1752</v>
      </c>
      <c r="BE15" s="4">
        <f>Etirha!C15 + Laselteh!C15 + Grazail!C15 + 'Disal Nila'!C15 + Pelan!C15 + Peka!C15 + Guise!C15</f>
        <v>99656503.711468309</v>
      </c>
      <c r="BF15" s="5">
        <f t="shared" si="15"/>
        <v>8.4165537750526126E-3</v>
      </c>
      <c r="BG15" s="5">
        <f t="shared" si="16"/>
        <v>1.6712886997165246E-2</v>
      </c>
      <c r="BN15" s="3">
        <f t="shared" si="17"/>
        <v>2002</v>
      </c>
      <c r="BO15" s="3">
        <v>1752</v>
      </c>
      <c r="BP15" s="4">
        <f>Genaire!C15 + 'New Misos'!C15 + Phuris!C15 + Lasri!C15 + Slyiaduun!C15 + Aetintio!C15 + Metndria!C15 + Tomscilus!C15</f>
        <v>89680987.443809316</v>
      </c>
      <c r="BQ15" s="5">
        <f t="shared" si="18"/>
        <v>1.1970599362340984E-2</v>
      </c>
      <c r="BR15" s="5">
        <f t="shared" si="19"/>
        <v>1.5039943737962963E-2</v>
      </c>
      <c r="BY15" s="3">
        <f t="shared" si="20"/>
        <v>2002</v>
      </c>
      <c r="BZ15" s="3">
        <v>1752</v>
      </c>
      <c r="CA15" s="4">
        <f>Ealdorii!C15 + Ukhdari!C15 + Hkuqo!C15 + Acrana!C15 + Zenashan!C15</f>
        <v>246743857.80510679</v>
      </c>
      <c r="CB15" s="7">
        <f t="shared" si="21"/>
        <v>8.6283046038126854E-3</v>
      </c>
      <c r="CC15" s="5">
        <f t="shared" si="22"/>
        <v>4.1380161446169614E-2</v>
      </c>
      <c r="CJ15" s="3">
        <f t="shared" si="23"/>
        <v>2002</v>
      </c>
      <c r="CK15" s="3">
        <v>1752</v>
      </c>
      <c r="CL15" s="4">
        <f>Estijan!C15 + Ikzen!C15 + Urbiqu!C15 + Danocia!C15 + Koruch!C15 + 'New Kizura'!C15 + Lydroa!C15 + Fermori!C15 + Uularin!C15 + 'Niul Spijan'!C15</f>
        <v>267126841.9313637</v>
      </c>
      <c r="CM15" s="7">
        <f t="shared" si="24"/>
        <v>9.4098159923884164E-3</v>
      </c>
      <c r="CN15" s="5">
        <f t="shared" si="25"/>
        <v>4.4798488375974825E-2</v>
      </c>
      <c r="CU15" s="3">
        <f t="shared" si="26"/>
        <v>2002</v>
      </c>
      <c r="CV15" s="3">
        <v>1752</v>
      </c>
      <c r="CW15" s="4">
        <f>Praesyu!C15 + Lycroa!C15 + Emara!C15 + Eldjo!C15 + Easuhura!C15 + Ilicuhe!C15 + Tonder!C15</f>
        <v>233971207.18020231</v>
      </c>
      <c r="CX15" s="7">
        <f t="shared" si="27"/>
        <v>5.1371943795859723E-3</v>
      </c>
      <c r="CY15" s="5">
        <f t="shared" si="28"/>
        <v>3.923812496487436E-2</v>
      </c>
      <c r="DF15" s="3">
        <f t="shared" si="29"/>
        <v>2002</v>
      </c>
      <c r="DG15" s="3">
        <v>1752</v>
      </c>
      <c r="DH15" s="4">
        <f>Verusa!C15 + Darewa!C15 + Siana!C15 + Yaxuto!C15 + 'Merela Sta'!C15 + Palina!C15</f>
        <v>165783140.59021521</v>
      </c>
      <c r="DI15" s="7">
        <f t="shared" si="30"/>
        <v>3.0430106121260101E-3</v>
      </c>
      <c r="DJ15" s="5">
        <f t="shared" si="31"/>
        <v>2.7802650018119955E-2</v>
      </c>
      <c r="DQ15" s="3">
        <f t="shared" si="32"/>
        <v>2002</v>
      </c>
      <c r="DR15" s="3">
        <v>1752</v>
      </c>
      <c r="DS15" s="4">
        <f>Sunsokua!C15 + Vayvele!C15 + Selaja!C15 + Sadain!C15</f>
        <v>175382921.70216045</v>
      </c>
      <c r="DT15" s="7">
        <f t="shared" si="33"/>
        <v>1.1051947551862453E-2</v>
      </c>
      <c r="DU15" s="5">
        <f t="shared" si="34"/>
        <v>2.9412580639266151E-2</v>
      </c>
      <c r="EB15" s="3">
        <f t="shared" si="35"/>
        <v>2002</v>
      </c>
      <c r="EC15" s="3">
        <v>1752</v>
      </c>
      <c r="ED15" s="4">
        <f>Pelugrotoa!C15 + Lieri!C15 + 'Rtesania'!C15 + Ozinia!C15</f>
        <v>372547378.56112629</v>
      </c>
      <c r="EE15" s="7">
        <f t="shared" si="36"/>
        <v>7.1156738627137957E-3</v>
      </c>
      <c r="EF15" s="5">
        <f t="shared" si="37"/>
        <v>6.2478032111272327E-2</v>
      </c>
      <c r="EM15" s="3">
        <f t="shared" si="38"/>
        <v>2002</v>
      </c>
      <c r="EN15" s="3">
        <v>1752</v>
      </c>
      <c r="EO15" s="4">
        <f>Ocaun!C15 + 'Dual Cenryia'!C15 + Byllu!C15 + Exilium!C15 + Inrea!C15 + Amcha!C15 + Isnti!C15 + Galca!C15 + Otiiric!C15 + Taing!C15 + 'Cruthi Anoso'!C15</f>
        <v>237711220.18853351</v>
      </c>
      <c r="EP15" s="7">
        <f t="shared" si="39"/>
        <v>1.8468317675430782E-2</v>
      </c>
      <c r="EQ15" s="5">
        <f t="shared" si="40"/>
        <v>3.9865343585318243E-2</v>
      </c>
      <c r="EX15" s="3">
        <f t="shared" si="41"/>
        <v>2002</v>
      </c>
      <c r="EY15" s="3">
        <v>1752</v>
      </c>
      <c r="EZ15" s="4">
        <f>Sivoso!C15 + Taoisia!C15 + Seytinemas!C15 + Trian!C15 + 'Chaenia'!C15</f>
        <v>131219943.4806765</v>
      </c>
      <c r="FA15" s="7">
        <f t="shared" si="42"/>
        <v>1.027257898255084E-2</v>
      </c>
      <c r="FB15" s="5">
        <f t="shared" si="43"/>
        <v>2.2006231459980295E-2</v>
      </c>
      <c r="FI15" s="3">
        <f t="shared" si="44"/>
        <v>2002</v>
      </c>
      <c r="FJ15" s="3">
        <v>1752</v>
      </c>
      <c r="FK15" s="4">
        <f>Migoku!C15 + 'Welenu Fana'!C15 + Haiza!C15 + Ucrua!C15 + Ihner!C15 + Oscairia!C15 + Shinam!C15 + 'Ruylku'!C15 + Taval!C15 + 'Western Migoku'!C15 + 'Pruim Fijan'!C15 + 'Canldives'!C15</f>
        <v>153204269.39196563</v>
      </c>
      <c r="FL15" s="7">
        <f t="shared" si="45"/>
        <v>2.4578463197144514E-2</v>
      </c>
      <c r="FM15" s="5">
        <f t="shared" si="46"/>
        <v>2.5693111302042673E-2</v>
      </c>
      <c r="FT15" s="3">
        <f t="shared" si="47"/>
        <v>2002</v>
      </c>
      <c r="FU15" s="3">
        <v>1752</v>
      </c>
      <c r="FV15" s="4">
        <f>Vesozata!C15 + Etretes!C15 + Kusierna!C15 + Eparia!C15</f>
        <v>117051191.72267073</v>
      </c>
      <c r="FW15" s="7">
        <f t="shared" si="48"/>
        <v>2.2327436196397904E-2</v>
      </c>
      <c r="FX15" s="5">
        <f t="shared" si="49"/>
        <v>1.9630061935630563E-2</v>
      </c>
      <c r="GE15" s="3">
        <f t="shared" si="50"/>
        <v>2002</v>
      </c>
      <c r="GF15" s="3">
        <v>1752</v>
      </c>
      <c r="GG15" s="4">
        <f>Dahe!C15 + Kaastini!C15 + Suenan!C15 + Oyreain!C15 + Sanagara!C15 + 'North Ayre'!C15 + Stinebar!C15 + 'Cloja'!C15 + 'Pha Hii'!C15 + 'Prystr Hii'!C15</f>
        <v>987776981.39093328</v>
      </c>
      <c r="GH15" s="7">
        <f t="shared" si="51"/>
        <v>4.670297127297756E-3</v>
      </c>
      <c r="GI15" s="5">
        <f t="shared" si="52"/>
        <v>0.16565506970006097</v>
      </c>
      <c r="GP15" s="3">
        <f t="shared" si="53"/>
        <v>2002</v>
      </c>
      <c r="GQ15" s="3">
        <v>1752</v>
      </c>
      <c r="GR15" s="4">
        <f>Maalle!C15 + 'United Delet'!C15 + Ohtina!C15 + Astye!C15 + Prstreula!C15 + Veelmit!C15 + Aplasia!C15 + 'Elja and Munusia'!C15 + Walporein!C15 + 'Crila Republic'!C15 + 'Niretui and Anulan'!C15 + 'Rethern'!C15 + Tvecoca!C15</f>
        <v>170176917.60343036</v>
      </c>
      <c r="GS15" s="7">
        <f t="shared" si="54"/>
        <v>1.5410246182961227E-2</v>
      </c>
      <c r="GT15" s="5">
        <f t="shared" si="55"/>
        <v>2.8539508085358739E-2</v>
      </c>
      <c r="HA15" s="3">
        <f t="shared" si="56"/>
        <v>2002</v>
      </c>
      <c r="HB15" s="3">
        <v>1752</v>
      </c>
      <c r="HC15" s="4">
        <f>Andsaudare!C15 + Nia!C15 + Umarcia!C15 + Mendereide!C15 + Iainoa!C15 + Isari!C15 + 'Rkmepuia'!C15 + Hiwush!C15 + Isuibul!C15 + Yutnitu!C15</f>
        <v>60005110.557197057</v>
      </c>
      <c r="HD15" s="7">
        <f t="shared" si="57"/>
        <v>1.6592215298603857E-2</v>
      </c>
      <c r="HE15" s="5">
        <f t="shared" si="58"/>
        <v>1.0063152876588771E-2</v>
      </c>
      <c r="HL15" s="3">
        <f t="shared" si="59"/>
        <v>2002</v>
      </c>
      <c r="HM15" s="3">
        <v>1752</v>
      </c>
      <c r="HN15" s="4">
        <f>Zhanshe!C15 + Volver!C15 + Finae!C15 + Myla!C15 + 'Nheyes Si'!C15 + Onphello!C15 + Hyelen!C15</f>
        <v>105560535.11705482</v>
      </c>
      <c r="HO15" s="7">
        <f t="shared" si="60"/>
        <v>1.2632634950524612E-2</v>
      </c>
      <c r="HP15" s="5">
        <f t="shared" si="61"/>
        <v>1.7703022171834504E-2</v>
      </c>
      <c r="HW15" s="3">
        <f t="shared" si="62"/>
        <v>2002</v>
      </c>
      <c r="HX15" s="3">
        <v>1752</v>
      </c>
      <c r="HY15" s="4">
        <f>Yihnurda!C15 + Ztesh!C15 + Wundry!C15 + Anymna!C15 + Shomjind!C15 + Baluyde!C15 + Letan!C15</f>
        <v>473979783.34308559</v>
      </c>
      <c r="HZ15" s="7">
        <f t="shared" si="63"/>
        <v>2.1371431737037771E-2</v>
      </c>
      <c r="IA15" s="5">
        <f t="shared" si="64"/>
        <v>7.9488746473475314E-2</v>
      </c>
      <c r="IH15" s="3">
        <f t="shared" si="65"/>
        <v>2002</v>
      </c>
      <c r="II15" s="3">
        <v>1752</v>
      </c>
      <c r="IJ15" s="4">
        <f>Iareva!C15 + 'United Mihili'!C15 + 'Mesjan Hyaa'!C15 + Desaki!C15 + 'Far Lands'!C15</f>
        <v>60466066.838787287</v>
      </c>
      <c r="IK15" s="7">
        <f t="shared" si="66"/>
        <v>1.6535528966180026E-2</v>
      </c>
      <c r="IL15" s="5">
        <f t="shared" si="67"/>
        <v>1.0140457517610052E-2</v>
      </c>
      <c r="IS15" s="3">
        <f t="shared" si="68"/>
        <v>2002</v>
      </c>
      <c r="IT15" s="3">
        <v>1752</v>
      </c>
      <c r="IU15" s="4">
        <f>Verste!C15 + Quidic!C15 + Erkizil!C15 + Ashain!C15 + Ahokini!C15</f>
        <v>325564648.93543953</v>
      </c>
      <c r="IV15" s="7">
        <f t="shared" si="69"/>
        <v>1.3503621089748371E-2</v>
      </c>
      <c r="IW15" s="5">
        <f t="shared" si="70"/>
        <v>5.459879671961259E-2</v>
      </c>
    </row>
    <row r="16" spans="1:257" ht="22.5" customHeight="1">
      <c r="A16" s="3">
        <f t="shared" si="0"/>
        <v>2001</v>
      </c>
      <c r="B16" s="3">
        <v>1751</v>
      </c>
      <c r="C16" s="4">
        <f>Acetoa!C16 + Acrana!C16 + Aetintio!C16 + Ahokini!C16 + Amcha!C16 + Andsaudare!C16 + Anymna!C16 + Aplasia!C16 + Arbiya!C16 + 'Areoix Lie'!C16 + Ashain!C16 + Astye!C16 + Baluyde!C16 + Byllu!C16 + 'Candenat'!C16 + 'Canldives'!C16 + 'Chaenia'!C16 + 'Cloja'!C16 + 'Crila Republic'!C16 + 'Cruthi Anoso'!C16 + 'Curata'!C16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'Raledria'!C16 + 'Reerica'!C16 + 'Rethern'!C16 + 'Rijan bu'!C16 + 'Rinew'!C16 + 'Rkmepuia'!C16 + 'Rtesania'!C16 + 'Ruylku'!C16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5893812310.2031889</v>
      </c>
      <c r="D16" s="5">
        <f t="shared" si="1"/>
        <v>1.198060454001733E-2</v>
      </c>
      <c r="K16" s="3">
        <f t="shared" si="2"/>
        <v>2001</v>
      </c>
      <c r="L16" s="3">
        <v>1751</v>
      </c>
      <c r="M16" s="4">
        <f>Eldavpir!C16 + Iquir!C16 + Viussi!C16 + Umendel!C16 + 'Reerica'!C16 + Saa!C16 + Sattle!C16</f>
        <v>77621536.064605668</v>
      </c>
      <c r="N16" s="5">
        <f t="shared" si="3"/>
        <v>2.8192418421461137E-2</v>
      </c>
      <c r="O16" s="5">
        <f t="shared" si="4"/>
        <v>1.3170004740434239E-2</v>
      </c>
      <c r="V16" s="3">
        <f t="shared" si="5"/>
        <v>2001</v>
      </c>
      <c r="W16" s="3">
        <v>1751</v>
      </c>
      <c r="X16" s="4">
        <f>'Areoix Lie'!C16 + Jau!C16 + Terressin!C16 + Acetoa!C16 + 'Feio Lie'!C16</f>
        <v>633721199.02034354</v>
      </c>
      <c r="Y16" s="5">
        <f t="shared" si="6"/>
        <v>9.9405457174910391E-3</v>
      </c>
      <c r="Z16" s="5">
        <f t="shared" si="7"/>
        <v>0.10752313878799036</v>
      </c>
      <c r="AG16" s="3">
        <f t="shared" si="8"/>
        <v>2001</v>
      </c>
      <c r="AH16" s="3">
        <v>1751</v>
      </c>
      <c r="AI16" s="4">
        <f>Taniduna!C16 + Jathua!C16 + Deschon!C16 + Pelines!C16 + 'Candenat'!C16 + Othya!C16 + Yoprioq!C16 + Jshain!C16 + 'Fire Coast'!C16 + 'Rijan bu'!C16 + 'Rinew'!C16 + Enina!C16 + Trevilla!C16</f>
        <v>179503834.01866418</v>
      </c>
      <c r="AJ16" s="5">
        <f t="shared" si="9"/>
        <v>2.7074785091764648E-2</v>
      </c>
      <c r="AK16" s="5">
        <f t="shared" si="10"/>
        <v>3.0456320047367744E-2</v>
      </c>
      <c r="AR16" s="3">
        <f t="shared" si="11"/>
        <v>2001</v>
      </c>
      <c r="AS16" s="3">
        <v>1751</v>
      </c>
      <c r="AT16" s="4">
        <f>Gaeiya!C16 + 'Raledria'!C16 + Arbiya!C16 + Fincen!C16 + 'Curata'!C16</f>
        <v>266877530.24313918</v>
      </c>
      <c r="AU16" s="5">
        <f t="shared" si="12"/>
        <v>1.2274388181041021E-2</v>
      </c>
      <c r="AV16" s="5">
        <f t="shared" si="13"/>
        <v>4.5280968615361045E-2</v>
      </c>
      <c r="BC16" s="3">
        <f t="shared" si="14"/>
        <v>2001</v>
      </c>
      <c r="BD16" s="3">
        <v>1751</v>
      </c>
      <c r="BE16" s="4">
        <f>Etirha!C16 + Laselteh!C16 + Grazail!C16 + 'Disal Nila'!C16 + Pelan!C16 + Peka!C16 + Guise!C16</f>
        <v>98824739.973178461</v>
      </c>
      <c r="BF16" s="5">
        <f t="shared" si="15"/>
        <v>8.4459480440549229E-3</v>
      </c>
      <c r="BG16" s="5">
        <f t="shared" si="16"/>
        <v>1.6767541070504752E-2</v>
      </c>
      <c r="BN16" s="3">
        <f t="shared" si="17"/>
        <v>2001</v>
      </c>
      <c r="BO16" s="3">
        <v>1751</v>
      </c>
      <c r="BP16" s="4">
        <f>Genaire!C16 + 'New Misos'!C16 + Phuris!C16 + Lasri!C16 + Slyiaduun!C16 + Aetintio!C16 + Metndria!C16 + Tomscilus!C16</f>
        <v>88620151.119329706</v>
      </c>
      <c r="BQ16" s="5">
        <f t="shared" si="18"/>
        <v>1.2828467907564447E-2</v>
      </c>
      <c r="BR16" s="5">
        <f t="shared" si="19"/>
        <v>1.5036133907066093E-2</v>
      </c>
      <c r="BY16" s="3">
        <f t="shared" si="20"/>
        <v>2001</v>
      </c>
      <c r="BZ16" s="3">
        <v>1751</v>
      </c>
      <c r="CA16" s="4">
        <f>Ealdorii!C16 + Ukhdari!C16 + Hkuqo!C16 + Acrana!C16 + Zenashan!C16</f>
        <v>244633088.99706846</v>
      </c>
      <c r="CB16" s="6">
        <f t="shared" si="21"/>
        <v>9.5069686105620811E-3</v>
      </c>
      <c r="CC16" s="5">
        <f t="shared" si="22"/>
        <v>4.1506766100027834E-2</v>
      </c>
      <c r="CJ16" s="3">
        <f t="shared" si="23"/>
        <v>2001</v>
      </c>
      <c r="CK16" s="3">
        <v>1751</v>
      </c>
      <c r="CL16" s="4">
        <f>Estijan!C16 + Ikzen!C16 + Urbiqu!C16 + Danocia!C16 + Koruch!C16 + 'New Kizura'!C16 + Lydroa!C16 + Fermori!C16 + Uularin!C16 + 'Niul Spijan'!C16</f>
        <v>264636659.65913096</v>
      </c>
      <c r="CM16" s="6">
        <f t="shared" si="24"/>
        <v>9.2714293485402135E-3</v>
      </c>
      <c r="CN16" s="5">
        <f t="shared" si="25"/>
        <v>4.4900761295197676E-2</v>
      </c>
      <c r="CU16" s="3">
        <f t="shared" si="26"/>
        <v>2001</v>
      </c>
      <c r="CV16" s="3">
        <v>1751</v>
      </c>
      <c r="CW16" s="4">
        <f>Praesyu!C16 + Lycroa!C16 + Emara!C16 + Eldjo!C16 + Easuhura!C16 + Ilicuhe!C16 + Tonder!C16</f>
        <v>232775394.73068592</v>
      </c>
      <c r="CX16" s="6">
        <f t="shared" si="27"/>
        <v>5.101515843109845E-3</v>
      </c>
      <c r="CY16" s="5">
        <f t="shared" si="28"/>
        <v>3.949487742046217E-2</v>
      </c>
      <c r="DF16" s="3">
        <f t="shared" si="29"/>
        <v>2001</v>
      </c>
      <c r="DG16" s="3">
        <v>1751</v>
      </c>
      <c r="DH16" s="4">
        <f>Verusa!C16 + Darewa!C16 + Siana!C16 + Yaxuto!C16 + 'Merela Sta'!C16 + Palina!C16</f>
        <v>165280191.21437564</v>
      </c>
      <c r="DI16" s="6">
        <f t="shared" si="30"/>
        <v>2.9107439483587018E-3</v>
      </c>
      <c r="DJ16" s="5">
        <f t="shared" si="31"/>
        <v>2.804300213772461E-2</v>
      </c>
      <c r="DQ16" s="3">
        <f t="shared" si="32"/>
        <v>2001</v>
      </c>
      <c r="DR16" s="3">
        <v>1751</v>
      </c>
      <c r="DS16" s="4">
        <f>Sunsokua!C16 + Vayvele!C16 + Selaja!C16 + Sadain!C16</f>
        <v>173465786.92304441</v>
      </c>
      <c r="DT16" s="6">
        <f t="shared" si="33"/>
        <v>1.1521187420691708E-2</v>
      </c>
      <c r="DU16" s="5">
        <f t="shared" si="34"/>
        <v>2.943184780803856E-2</v>
      </c>
      <c r="EB16" s="3">
        <f t="shared" si="35"/>
        <v>2001</v>
      </c>
      <c r="EC16" s="3">
        <v>1751</v>
      </c>
      <c r="ED16" s="4">
        <f>Pelugrotoa!C16 + Lieri!C16 + 'Rtesania'!C16 + Ozinia!C16</f>
        <v>369915182.76371354</v>
      </c>
      <c r="EE16" s="6">
        <f t="shared" si="36"/>
        <v>7.6643185878969332E-3</v>
      </c>
      <c r="EF16" s="5">
        <f t="shared" si="37"/>
        <v>6.2763312317110548E-2</v>
      </c>
      <c r="EM16" s="3">
        <f t="shared" si="38"/>
        <v>2001</v>
      </c>
      <c r="EN16" s="3">
        <v>1751</v>
      </c>
      <c r="EO16" s="4">
        <f>Ocaun!C16 + 'Dual Cenryia'!C16 + Byllu!C16 + Exilium!C16 + Inrea!C16 + Amcha!C16 + Isnti!C16 + Galca!C16 + Otiiric!C16 + Taing!C16 + 'Cruthi Anoso'!C16</f>
        <v>233400701.88053527</v>
      </c>
      <c r="EP16" s="6">
        <f t="shared" si="39"/>
        <v>1.7112464424276868E-2</v>
      </c>
      <c r="EQ16" s="5">
        <f t="shared" si="40"/>
        <v>3.9600972952002399E-2</v>
      </c>
      <c r="EX16" s="3">
        <f t="shared" si="41"/>
        <v>2001</v>
      </c>
      <c r="EY16" s="3">
        <v>1751</v>
      </c>
      <c r="EZ16" s="4">
        <f>Sivoso!C16 + Taoisia!C16 + Seytinemas!C16 + Trian!C16 + 'Chaenia'!C16</f>
        <v>129885682.54799965</v>
      </c>
      <c r="FA16" s="6">
        <f t="shared" si="42"/>
        <v>1.0660855106662304E-2</v>
      </c>
      <c r="FB16" s="5">
        <f t="shared" si="43"/>
        <v>2.2037634677158875E-2</v>
      </c>
      <c r="FI16" s="3">
        <f t="shared" si="44"/>
        <v>2001</v>
      </c>
      <c r="FJ16" s="3">
        <v>1751</v>
      </c>
      <c r="FK16" s="4">
        <f>Migoku!C16 + 'Welenu Fana'!C16 + Haiza!C16 + Ucrua!C16 + Ihner!C16 + Oscairia!C16 + Shinam!C16 + 'Ruylku'!C16 + Taval!C16 + 'Western Migoku'!C16 + 'Pruim Fijan'!C16 + 'Canldives'!C16</f>
        <v>149529074.53656557</v>
      </c>
      <c r="FL16" s="6">
        <f t="shared" si="45"/>
        <v>2.5327412923814435E-2</v>
      </c>
      <c r="FM16" s="5">
        <f t="shared" si="46"/>
        <v>2.5370518548360522E-2</v>
      </c>
      <c r="FT16" s="3">
        <f t="shared" si="47"/>
        <v>2001</v>
      </c>
      <c r="FU16" s="3">
        <v>1751</v>
      </c>
      <c r="FV16" s="4">
        <f>Vesozata!C16 + Etretes!C16 + Kusierna!C16 + Eparia!C16</f>
        <v>114494816.02309673</v>
      </c>
      <c r="FW16" s="6">
        <f t="shared" si="48"/>
        <v>2.2934810558679682E-2</v>
      </c>
      <c r="FX16" s="5">
        <f t="shared" si="49"/>
        <v>1.9426274539636558E-2</v>
      </c>
      <c r="GE16" s="3">
        <f t="shared" si="50"/>
        <v>2001</v>
      </c>
      <c r="GF16" s="3">
        <v>1751</v>
      </c>
      <c r="GG16" s="4">
        <f>Dahe!C16 + Kaastini!C16 + Suenan!C16 + Oyreain!C16 + Sanagara!C16 + 'North Ayre'!C16 + Stinebar!C16 + 'Cloja'!C16 + 'Pha Hii'!C16 + 'Prystr Hii'!C16</f>
        <v>983185214.30894458</v>
      </c>
      <c r="GH16" s="6">
        <f t="shared" si="51"/>
        <v>4.7876490580796988E-3</v>
      </c>
      <c r="GI16" s="5">
        <f t="shared" si="52"/>
        <v>0.16681651239671888</v>
      </c>
      <c r="GP16" s="3">
        <f t="shared" si="53"/>
        <v>2001</v>
      </c>
      <c r="GQ16" s="3">
        <v>1751</v>
      </c>
      <c r="GR16" s="4">
        <f>Maalle!C16 + 'United Delet'!C16 + Ohtina!C16 + Astye!C16 + Prstreula!C16 + Veelmit!C16 + Aplasia!C16 + 'Elja and Munusia'!C16 + Walporein!C16 + 'Crila Republic'!C16 + 'Niretui and Anulan'!C16 + 'Rethern'!C16 + Tvecoca!C16</f>
        <v>167594248.96798521</v>
      </c>
      <c r="GS16" s="6">
        <f t="shared" si="54"/>
        <v>1.5372162961198027E-2</v>
      </c>
      <c r="GT16" s="5">
        <f t="shared" si="55"/>
        <v>2.8435627086029043E-2</v>
      </c>
      <c r="HA16" s="3">
        <f t="shared" si="56"/>
        <v>2001</v>
      </c>
      <c r="HB16" s="3">
        <v>1751</v>
      </c>
      <c r="HC16" s="4">
        <f>Andsaudare!C16 + Nia!C16 + Umarcia!C16 + Mendereide!C16 + Iainoa!C16 + Isari!C16 + 'Rkmepuia'!C16 + Hiwush!C16 + Isuibul!C16 + Yutnitu!C16</f>
        <v>59025742.725731716</v>
      </c>
      <c r="HD16" s="6">
        <f t="shared" si="57"/>
        <v>1.6726866321648659E-2</v>
      </c>
      <c r="HE16" s="5">
        <f t="shared" si="58"/>
        <v>1.0014866374951938E-2</v>
      </c>
      <c r="HL16" s="3">
        <f t="shared" si="59"/>
        <v>2001</v>
      </c>
      <c r="HM16" s="3">
        <v>1751</v>
      </c>
      <c r="HN16" s="4">
        <f>Zhanshe!C16 + Volver!C16 + Finae!C16 + Myla!C16 + 'Nheyes Si'!C16 + Onphello!C16 + Hyelen!C16</f>
        <v>104243662.97676384</v>
      </c>
      <c r="HO16" s="6">
        <f t="shared" si="60"/>
        <v>1.240717330442247E-2</v>
      </c>
      <c r="HP16" s="5">
        <f t="shared" si="61"/>
        <v>1.7686966854424661E-2</v>
      </c>
      <c r="HW16" s="3">
        <f t="shared" si="62"/>
        <v>2001</v>
      </c>
      <c r="HX16" s="3">
        <v>1751</v>
      </c>
      <c r="HY16" s="4">
        <f>Yihnurda!C16 + Ztesh!C16 + Wundry!C16 + Anymna!C16 + Shomjind!C16 + Baluyde!C16 + Letan!C16</f>
        <v>464062111.60321194</v>
      </c>
      <c r="HZ16" s="6">
        <f t="shared" si="63"/>
        <v>2.1426669159386173E-2</v>
      </c>
      <c r="IA16" s="5">
        <f t="shared" si="64"/>
        <v>7.8737171660495819E-2</v>
      </c>
      <c r="IH16" s="3">
        <f t="shared" si="65"/>
        <v>2001</v>
      </c>
      <c r="II16" s="3">
        <v>1751</v>
      </c>
      <c r="IJ16" s="4">
        <f>Iareva!C16 + 'United Mihili'!C16 + 'Mesjan Hyaa'!C16 + Desaki!C16 + 'Far Lands'!C16</f>
        <v>59482492.363332815</v>
      </c>
      <c r="IK16" s="6">
        <f t="shared" si="66"/>
        <v>1.9405959053275357E-2</v>
      </c>
      <c r="IL16" s="5">
        <f t="shared" si="67"/>
        <v>1.0092362843037694E-2</v>
      </c>
      <c r="IS16" s="3">
        <f t="shared" si="68"/>
        <v>2001</v>
      </c>
      <c r="IT16" s="3">
        <v>1751</v>
      </c>
      <c r="IU16" s="4">
        <f>Verste!C16 + Quidic!C16 + Erkizil!C16 + Ashain!C16 + Ahokini!C16</f>
        <v>321226922.29296923</v>
      </c>
      <c r="IV16" s="6">
        <f t="shared" si="69"/>
        <v>1.4115765416696818E-2</v>
      </c>
      <c r="IW16" s="5">
        <f t="shared" si="70"/>
        <v>5.4502401058288019E-2</v>
      </c>
    </row>
    <row r="17" spans="1:257" ht="22.5" customHeight="1">
      <c r="A17" s="3">
        <f t="shared" si="0"/>
        <v>2000</v>
      </c>
      <c r="B17" s="3">
        <v>1750</v>
      </c>
      <c r="C17" s="4">
        <f>Acetoa!C17 + Acrana!C17 + Aetintio!C17 + Ahokini!C17 + Amcha!C17 + Andsaudare!C17 + Anymna!C17 + Aplasia!C17 + Arbiya!C17 + 'Areoix Lie'!C17 + Ashain!C17 + Astye!C17 + Baluyde!C17 + Byllu!C17 + 'Candenat'!C17 + 'Canldives'!C17 + 'Chaenia'!C17 + 'Cloja'!C17 + 'Crila Republic'!C17 + 'Cruthi Anoso'!C17 + 'Curata'!C17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'Raledria'!C17 + 'Reerica'!C17 + 'Rethern'!C17 + 'Rijan bu'!C17 + 'Rinew'!C17 + 'Rkmepuia'!C17 + 'Rtesania'!C17 + 'Ruylku'!C17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5824036828.1387615</v>
      </c>
      <c r="D17" s="5">
        <f t="shared" si="1"/>
        <v>1.1931496497459997E-2</v>
      </c>
      <c r="K17" s="3">
        <f t="shared" si="2"/>
        <v>2000</v>
      </c>
      <c r="L17" s="3">
        <v>1750</v>
      </c>
      <c r="M17" s="4">
        <f>Eldavpir!C17 + Iquir!C17 + Viussi!C17 + Umendel!C17 + 'Reerica'!C17 + Saa!C17 + Sattle!C17</f>
        <v>75493200.177233964</v>
      </c>
      <c r="N17" s="5">
        <f t="shared" si="3"/>
        <v>2.8023107153851593E-2</v>
      </c>
      <c r="O17" s="5">
        <f t="shared" si="4"/>
        <v>1.2962349381530265E-2</v>
      </c>
      <c r="V17" s="3">
        <f t="shared" si="5"/>
        <v>2000</v>
      </c>
      <c r="W17" s="3">
        <v>1750</v>
      </c>
      <c r="X17" s="4">
        <f>'Areoix Lie'!C17 + Jau!C17 + Terressin!C17 + Acetoa!C17 + 'Feio Lie'!C17</f>
        <v>627483668.92244101</v>
      </c>
      <c r="Y17" s="5">
        <f t="shared" si="6"/>
        <v>1.0424848119452759E-2</v>
      </c>
      <c r="Z17" s="5">
        <f t="shared" si="7"/>
        <v>0.10774033328408252</v>
      </c>
      <c r="AG17" s="3">
        <f t="shared" si="8"/>
        <v>2000</v>
      </c>
      <c r="AH17" s="3">
        <v>1750</v>
      </c>
      <c r="AI17" s="4">
        <f>Taniduna!C17 + Jathua!C17 + Deschon!C17 + Pelines!C17 + 'Candenat'!C17 + Othya!C17 + Yoprioq!C17 + Jshain!C17 + 'Fire Coast'!C17 + 'Rijan bu'!C17 + 'Rinew'!C17 + Enina!C17 + Trevilla!C17</f>
        <v>174771921.79596376</v>
      </c>
      <c r="AJ17" s="5">
        <f t="shared" si="9"/>
        <v>2.732094848747095E-2</v>
      </c>
      <c r="AK17" s="5">
        <f t="shared" si="10"/>
        <v>3.0008725382977559E-2</v>
      </c>
      <c r="AR17" s="3">
        <f t="shared" si="11"/>
        <v>2000</v>
      </c>
      <c r="AS17" s="3">
        <v>1750</v>
      </c>
      <c r="AT17" s="4">
        <f>Gaeiya!C17 + 'Raledria'!C17 + Arbiya!C17 + Fincen!C17 + 'Curata'!C17</f>
        <v>263641492.22691709</v>
      </c>
      <c r="AU17" s="5">
        <f t="shared" si="12"/>
        <v>1.1009535659986219E-2</v>
      </c>
      <c r="AV17" s="5">
        <f t="shared" si="13"/>
        <v>4.5267827111452406E-2</v>
      </c>
      <c r="BC17" s="3">
        <f t="shared" si="14"/>
        <v>2000</v>
      </c>
      <c r="BD17" s="3">
        <v>1750</v>
      </c>
      <c r="BE17" s="4">
        <f>Etirha!C17 + Laselteh!C17 + Grazail!C17 + 'Disal Nila'!C17 + Pelan!C17 + Peka!C17 + Guise!C17</f>
        <v>97997061.88006936</v>
      </c>
      <c r="BF17" s="5">
        <f t="shared" si="15"/>
        <v>9.7988325110972604E-3</v>
      </c>
      <c r="BG17" s="5">
        <f t="shared" si="16"/>
        <v>1.6826312190643743E-2</v>
      </c>
      <c r="BN17" s="3">
        <f t="shared" si="17"/>
        <v>2000</v>
      </c>
      <c r="BO17" s="3">
        <v>1750</v>
      </c>
      <c r="BP17" s="4">
        <f>Genaire!C17 + 'New Misos'!C17 + Phuris!C17 + Lasri!C17 + Slyiaduun!C17 + Aetintio!C17 + Metndria!C17 + Tomscilus!C17</f>
        <v>87497689.813570291</v>
      </c>
      <c r="BQ17" s="5">
        <f t="shared" si="18"/>
        <v>1.3465682134532751E-2</v>
      </c>
      <c r="BR17" s="5">
        <f t="shared" si="19"/>
        <v>1.502354679332148E-2</v>
      </c>
      <c r="BY17" s="3">
        <f t="shared" si="20"/>
        <v>2000</v>
      </c>
      <c r="BZ17" s="3">
        <v>1750</v>
      </c>
      <c r="CA17" s="4">
        <f>Ealdorii!C17 + Ukhdari!C17 + Hkuqo!C17 + Acrana!C17 + Zenashan!C17</f>
        <v>242329272.21272177</v>
      </c>
      <c r="CB17" s="7">
        <f t="shared" si="21"/>
        <v>6.8420320503327992E-3</v>
      </c>
      <c r="CC17" s="5">
        <f t="shared" si="22"/>
        <v>4.1608471814929278E-2</v>
      </c>
      <c r="CJ17" s="3">
        <f t="shared" si="23"/>
        <v>2000</v>
      </c>
      <c r="CK17" s="3">
        <v>1750</v>
      </c>
      <c r="CL17" s="4">
        <f>Estijan!C17 + Ikzen!C17 + Urbiqu!C17 + Danocia!C17 + Koruch!C17 + 'New Kizura'!C17 + Lydroa!C17 + Fermori!C17 + Uularin!C17 + 'Niul Spijan'!C17</f>
        <v>262205638.6060065</v>
      </c>
      <c r="CM17" s="7">
        <f t="shared" si="24"/>
        <v>9.2152107854089546E-3</v>
      </c>
      <c r="CN17" s="5">
        <f t="shared" si="25"/>
        <v>4.5021287870152749E-2</v>
      </c>
      <c r="CU17" s="3">
        <f t="shared" si="26"/>
        <v>2000</v>
      </c>
      <c r="CV17" s="3">
        <v>1750</v>
      </c>
      <c r="CW17" s="4">
        <f>Praesyu!C17 + Lycroa!C17 + Emara!C17 + Eldjo!C17 + Easuhura!C17 + Ilicuhe!C17 + Tonder!C17</f>
        <v>231593914.70564723</v>
      </c>
      <c r="CX17" s="7">
        <f t="shared" si="27"/>
        <v>3.4924904173664656E-3</v>
      </c>
      <c r="CY17" s="5">
        <f t="shared" si="28"/>
        <v>3.9765187195710046E-2</v>
      </c>
      <c r="DF17" s="3">
        <f t="shared" si="29"/>
        <v>2000</v>
      </c>
      <c r="DG17" s="3">
        <v>1750</v>
      </c>
      <c r="DH17" s="4">
        <f>Verusa!C17 + Darewa!C17 + Siana!C17 + Yaxuto!C17 + 'Merela Sta'!C17 + Palina!C17</f>
        <v>164800499.15876278</v>
      </c>
      <c r="DI17" s="7">
        <f t="shared" si="30"/>
        <v>2.518036183040087E-3</v>
      </c>
      <c r="DJ17" s="5">
        <f t="shared" si="31"/>
        <v>2.8296610069931429E-2</v>
      </c>
      <c r="DQ17" s="3">
        <f t="shared" si="32"/>
        <v>2000</v>
      </c>
      <c r="DR17" s="3">
        <v>1750</v>
      </c>
      <c r="DS17" s="4">
        <f>Sunsokua!C17 + Vayvele!C17 + Selaja!C17 + Sadain!C17</f>
        <v>171490018.28164375</v>
      </c>
      <c r="DT17" s="7">
        <f t="shared" si="33"/>
        <v>1.1911971522054457E-2</v>
      </c>
      <c r="DU17" s="5">
        <f t="shared" si="34"/>
        <v>2.944521529346996E-2</v>
      </c>
      <c r="EB17" s="3">
        <f t="shared" si="35"/>
        <v>2000</v>
      </c>
      <c r="EC17" s="3">
        <v>1750</v>
      </c>
      <c r="ED17" s="4">
        <f>Pelugrotoa!C17 + Lieri!C17 + 'Rtesania'!C17 + Ozinia!C17</f>
        <v>367101599.15367335</v>
      </c>
      <c r="EE17" s="7">
        <f t="shared" si="36"/>
        <v>6.409481591889519E-3</v>
      </c>
      <c r="EF17" s="5">
        <f t="shared" si="37"/>
        <v>6.3032156215088911E-2</v>
      </c>
      <c r="EM17" s="3">
        <f t="shared" si="38"/>
        <v>2000</v>
      </c>
      <c r="EN17" s="3">
        <v>1750</v>
      </c>
      <c r="EO17" s="4">
        <f>Ocaun!C17 + 'Dual Cenryia'!C17 + Byllu!C17 + Exilium!C17 + Inrea!C17 + Amcha!C17 + Isnti!C17 + Galca!C17 + Otiiric!C17 + Taing!C17 + 'Cruthi Anoso'!C17</f>
        <v>229473838.97477716</v>
      </c>
      <c r="EP17" s="7">
        <f t="shared" si="39"/>
        <v>1.7540445539191402E-2</v>
      </c>
      <c r="EQ17" s="5">
        <f t="shared" si="40"/>
        <v>3.9401165505354836E-2</v>
      </c>
      <c r="EX17" s="3">
        <f t="shared" si="41"/>
        <v>2000</v>
      </c>
      <c r="EY17" s="3">
        <v>1750</v>
      </c>
      <c r="EZ17" s="4">
        <f>Sivoso!C17 + Taoisia!C17 + Seytinemas!C17 + Trian!C17 + 'Chaenia'!C17</f>
        <v>128515596.39587691</v>
      </c>
      <c r="FA17" s="7">
        <f t="shared" si="42"/>
        <v>1.13690352301191E-2</v>
      </c>
      <c r="FB17" s="5">
        <f t="shared" si="43"/>
        <v>2.2066412041722574E-2</v>
      </c>
      <c r="FI17" s="3">
        <f t="shared" si="44"/>
        <v>2000</v>
      </c>
      <c r="FJ17" s="3">
        <v>1750</v>
      </c>
      <c r="FK17" s="4">
        <f>Migoku!C17 + 'Welenu Fana'!C17 + Haiza!C17 + Ucrua!C17 + Ihner!C17 + Oscairia!C17 + Shinam!C17 + 'Ruylku'!C17 + Taval!C17 + 'Western Migoku'!C17 + 'Pruim Fijan'!C17 + 'Canldives'!C17</f>
        <v>145835440.12557882</v>
      </c>
      <c r="FL17" s="7">
        <f t="shared" si="45"/>
        <v>2.4907156674382331E-2</v>
      </c>
      <c r="FM17" s="5">
        <f t="shared" si="46"/>
        <v>2.5040267503285127E-2</v>
      </c>
      <c r="FT17" s="3">
        <f t="shared" si="47"/>
        <v>2000</v>
      </c>
      <c r="FU17" s="3">
        <v>1750</v>
      </c>
      <c r="FV17" s="4">
        <f>Vesozata!C17 + Etretes!C17 + Kusierna!C17 + Eparia!C17</f>
        <v>111927773.73620217</v>
      </c>
      <c r="FW17" s="7">
        <f t="shared" si="48"/>
        <v>2.3029363152892876E-2</v>
      </c>
      <c r="FX17" s="5">
        <f t="shared" si="49"/>
        <v>1.921824621633993E-2</v>
      </c>
      <c r="GE17" s="3">
        <f t="shared" si="50"/>
        <v>2000</v>
      </c>
      <c r="GF17" s="3">
        <v>1750</v>
      </c>
      <c r="GG17" s="4">
        <f>Dahe!C17 + Kaastini!C17 + Suenan!C17 + Oyreain!C17 + Sanagara!C17 + 'North Ayre'!C17 + Stinebar!C17 + 'Cloja'!C17 + 'Pha Hii'!C17 + 'Prystr Hii'!C17</f>
        <v>978500497.32459795</v>
      </c>
      <c r="GH17" s="7">
        <f t="shared" si="51"/>
        <v>4.9143820956525884E-3</v>
      </c>
      <c r="GI17" s="5">
        <f t="shared" si="52"/>
        <v>0.16801069879863825</v>
      </c>
      <c r="GP17" s="3">
        <f t="shared" si="53"/>
        <v>2000</v>
      </c>
      <c r="GQ17" s="3">
        <v>1750</v>
      </c>
      <c r="GR17" s="4">
        <f>Maalle!C17 + 'United Delet'!C17 + Ohtina!C17 + Astye!C17 + Prstreula!C17 + Veelmit!C17 + Aplasia!C17 + 'Elja and Munusia'!C17 + Walporein!C17 + 'Crila Republic'!C17 + 'Niretui and Anulan'!C17 + 'Rethern'!C17 + Tvecoca!C17</f>
        <v>165056966.3828668</v>
      </c>
      <c r="GS17" s="7">
        <f t="shared" si="54"/>
        <v>1.5604351117569392E-2</v>
      </c>
      <c r="GT17" s="5">
        <f t="shared" si="55"/>
        <v>2.8340646059344287E-2</v>
      </c>
      <c r="HA17" s="3">
        <f t="shared" si="56"/>
        <v>2000</v>
      </c>
      <c r="HB17" s="3">
        <v>1750</v>
      </c>
      <c r="HC17" s="4">
        <f>Andsaudare!C17 + Nia!C17 + Umarcia!C17 + Mendereide!C17 + Iainoa!C17 + Isari!C17 + 'Rkmepuia'!C17 + Hiwush!C17 + Isuibul!C17 + Yutnitu!C17</f>
        <v>58054670.020943962</v>
      </c>
      <c r="HD17" s="7">
        <f t="shared" si="57"/>
        <v>1.7025956636320397E-2</v>
      </c>
      <c r="HE17" s="5">
        <f t="shared" si="58"/>
        <v>9.9681151981137108E-3</v>
      </c>
      <c r="HL17" s="3">
        <f t="shared" si="59"/>
        <v>2000</v>
      </c>
      <c r="HM17" s="3">
        <v>1750</v>
      </c>
      <c r="HN17" s="4">
        <f>Zhanshe!C17 + Volver!C17 + Finae!C17 + Myla!C17 + 'Nheyes Si'!C17 + Onphello!C17 + Hyelen!C17</f>
        <v>102966144.18141685</v>
      </c>
      <c r="HO17" s="7">
        <f t="shared" si="60"/>
        <v>1.5301754739460195E-2</v>
      </c>
      <c r="HP17" s="5">
        <f t="shared" si="61"/>
        <v>1.7679514608138672E-2</v>
      </c>
      <c r="HW17" s="3">
        <f t="shared" si="62"/>
        <v>2000</v>
      </c>
      <c r="HX17" s="3">
        <v>1750</v>
      </c>
      <c r="HY17" s="4">
        <f>Yihnurda!C17 + Ztesh!C17 + Wundry!C17 + Anymna!C17 + Shomjind!C17 + Baluyde!C17 + Letan!C17</f>
        <v>454327388.95012975</v>
      </c>
      <c r="HZ17" s="7">
        <f t="shared" si="63"/>
        <v>2.1601806068254133E-2</v>
      </c>
      <c r="IA17" s="5">
        <f t="shared" si="64"/>
        <v>7.8009017174316728E-2</v>
      </c>
      <c r="IH17" s="3">
        <f t="shared" si="65"/>
        <v>2000</v>
      </c>
      <c r="II17" s="3">
        <v>1750</v>
      </c>
      <c r="IJ17" s="4">
        <f>Iareva!C17 + 'United Mihili'!C17 + 'Mesjan Hyaa'!C17 + Desaki!C17 + 'Far Lands'!C17</f>
        <v>58350151.708524778</v>
      </c>
      <c r="IK17" s="7">
        <f t="shared" si="66"/>
        <v>2.0684435422342405E-2</v>
      </c>
      <c r="IL17" s="5">
        <f t="shared" si="67"/>
        <v>1.0018850057164259E-2</v>
      </c>
      <c r="IS17" s="3">
        <f t="shared" si="68"/>
        <v>2000</v>
      </c>
      <c r="IT17" s="3">
        <v>1750</v>
      </c>
      <c r="IU17" s="4">
        <f>Verste!C17 + Quidic!C17 + Erkizil!C17 + Ashain!C17 + Ahokini!C17</f>
        <v>316755673.51127625</v>
      </c>
      <c r="IV17" s="7">
        <f t="shared" si="69"/>
        <v>1.5041916401357094E-2</v>
      </c>
      <c r="IW17" s="5">
        <f t="shared" si="70"/>
        <v>5.4387649470359657E-2</v>
      </c>
    </row>
    <row r="18" spans="1:257" ht="22.5" customHeight="1">
      <c r="A18" s="3">
        <f t="shared" si="0"/>
        <v>1999</v>
      </c>
      <c r="B18" s="3">
        <v>1749</v>
      </c>
      <c r="C18" s="4">
        <f>Acetoa!C18 + Acrana!C18 + Aetintio!C18 + Ahokini!C18 + Amcha!C18 + Andsaudare!C18 + Anymna!C18 + Aplasia!C18 + Arbiya!C18 + 'Areoix Lie'!C18 + Ashain!C18 + Astye!C18 + Baluyde!C18 + Byllu!C18 + 'Candenat'!C18 + 'Canldives'!C18 + 'Chaenia'!C18 + 'Cloja'!C18 + 'Crila Republic'!C18 + 'Cruthi Anoso'!C18 + 'Curata'!C18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'Raledria'!C18 + 'Reerica'!C18 + 'Rethern'!C18 + 'Rijan bu'!C18 + 'Rinew'!C18 + 'Rkmepuia'!C18 + 'Rtesania'!C18 + 'Ruylku'!C18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5755366690.6279364</v>
      </c>
      <c r="D18" s="5">
        <f t="shared" si="1"/>
        <v>1.2019771949847316E-2</v>
      </c>
      <c r="K18" s="3">
        <f t="shared" si="2"/>
        <v>1999</v>
      </c>
      <c r="L18" s="3">
        <v>1749</v>
      </c>
      <c r="M18" s="4">
        <f>Eldavpir!C18 + Iquir!C18 + Viussi!C18 + Umendel!C18 + 'Reerica'!C18 + Saa!C18 + Sattle!C18</f>
        <v>73435314.490392894</v>
      </c>
      <c r="N18" s="5">
        <f t="shared" si="3"/>
        <v>2.8182679718440327E-2</v>
      </c>
      <c r="O18" s="5">
        <f t="shared" si="4"/>
        <v>1.2759450168479321E-2</v>
      </c>
      <c r="V18" s="3">
        <f t="shared" si="5"/>
        <v>1999</v>
      </c>
      <c r="W18" s="3">
        <v>1749</v>
      </c>
      <c r="X18" s="4">
        <f>'Areoix Lie'!C18 + Jau!C18 + Terressin!C18 + Acetoa!C18 + 'Feio Lie'!C18</f>
        <v>621009736.73626411</v>
      </c>
      <c r="Y18" s="5">
        <f t="shared" si="6"/>
        <v>1.0690620068327864E-2</v>
      </c>
      <c r="Z18" s="5">
        <f t="shared" si="7"/>
        <v>0.10790098530950583</v>
      </c>
      <c r="AG18" s="3">
        <f t="shared" si="8"/>
        <v>1999</v>
      </c>
      <c r="AH18" s="3">
        <v>1749</v>
      </c>
      <c r="AI18" s="4">
        <f>Taniduna!C18 + Jathua!C18 + Deschon!C18 + Pelines!C18 + 'Candenat'!C18 + Othya!C18 + Yoprioq!C18 + Jshain!C18 + 'Fire Coast'!C18 + 'Rijan bu'!C18 + 'Rinew'!C18 + Enina!C18 + Trevilla!C18</f>
        <v>170123973.48003194</v>
      </c>
      <c r="AJ18" s="5">
        <f t="shared" si="9"/>
        <v>2.7032469735385364E-2</v>
      </c>
      <c r="AK18" s="5">
        <f t="shared" si="10"/>
        <v>2.9559189296672016E-2</v>
      </c>
      <c r="AR18" s="3">
        <f t="shared" si="11"/>
        <v>1999</v>
      </c>
      <c r="AS18" s="3">
        <v>1749</v>
      </c>
      <c r="AT18" s="4">
        <f>Gaeiya!C18 + 'Raledria'!C18 + Arbiya!C18 + Fincen!C18 + 'Curata'!C18</f>
        <v>260770529.78022817</v>
      </c>
      <c r="AU18" s="5">
        <f t="shared" si="12"/>
        <v>1.0510146987952594E-2</v>
      </c>
      <c r="AV18" s="5">
        <f t="shared" si="13"/>
        <v>4.5309107794099031E-2</v>
      </c>
      <c r="BC18" s="3">
        <f t="shared" si="14"/>
        <v>1999</v>
      </c>
      <c r="BD18" s="3">
        <v>1749</v>
      </c>
      <c r="BE18" s="4">
        <f>Etirha!C18 + Laselteh!C18 + Grazail!C18 + 'Disal Nila'!C18 + Pelan!C18 + Peka!C18 + Guise!C18</f>
        <v>97046123.173243433</v>
      </c>
      <c r="BF18" s="5">
        <f t="shared" si="15"/>
        <v>1.1804019807023407E-2</v>
      </c>
      <c r="BG18" s="5">
        <f t="shared" si="16"/>
        <v>1.6861848842971858E-2</v>
      </c>
      <c r="BN18" s="3">
        <f t="shared" si="17"/>
        <v>1999</v>
      </c>
      <c r="BO18" s="3">
        <v>1749</v>
      </c>
      <c r="BP18" s="4">
        <f>Genaire!C18 + 'New Misos'!C18 + Phuris!C18 + Lasri!C18 + Slyiaduun!C18 + Aetintio!C18 + Metndria!C18 + Tomscilus!C18</f>
        <v>86335128.41725941</v>
      </c>
      <c r="BQ18" s="5">
        <f t="shared" si="18"/>
        <v>1.3994297075750946E-2</v>
      </c>
      <c r="BR18" s="5">
        <f t="shared" si="19"/>
        <v>1.5000804129100567E-2</v>
      </c>
      <c r="BY18" s="3">
        <f t="shared" si="20"/>
        <v>1999</v>
      </c>
      <c r="BZ18" s="3">
        <v>1749</v>
      </c>
      <c r="CA18" s="4">
        <f>Ealdorii!C18 + Ukhdari!C18 + Hkuqo!C18 + Acrana!C18 + Zenashan!C18</f>
        <v>240682514.73296413</v>
      </c>
      <c r="CB18" s="6">
        <f t="shared" si="21"/>
        <v>3.2689432502889955E-3</v>
      </c>
      <c r="CC18" s="5">
        <f t="shared" si="22"/>
        <v>4.1818797597187429E-2</v>
      </c>
      <c r="CJ18" s="3">
        <f t="shared" si="23"/>
        <v>1999</v>
      </c>
      <c r="CK18" s="3">
        <v>1749</v>
      </c>
      <c r="CL18" s="4">
        <f>Estijan!C18 + Ikzen!C18 + Urbiqu!C18 + Danocia!C18 + Koruch!C18 + 'New Kizura'!C18 + Lydroa!C18 + Fermori!C18 + Uularin!C18 + 'Niul Spijan'!C18</f>
        <v>259811421.59158331</v>
      </c>
      <c r="CM18" s="6">
        <f t="shared" si="24"/>
        <v>9.0964283974564204E-3</v>
      </c>
      <c r="CN18" s="5">
        <f t="shared" si="25"/>
        <v>4.5142461906842762E-2</v>
      </c>
      <c r="CU18" s="3">
        <f t="shared" si="26"/>
        <v>1999</v>
      </c>
      <c r="CV18" s="3">
        <v>1749</v>
      </c>
      <c r="CW18" s="4">
        <f>Praesyu!C18 + Lycroa!C18 + Emara!C18 + Eldjo!C18 + Easuhura!C18 + Ilicuhe!C18 + Tonder!C18</f>
        <v>230787890.21064234</v>
      </c>
      <c r="CX18" s="6">
        <f t="shared" si="27"/>
        <v>2.7624906727703024E-3</v>
      </c>
      <c r="CY18" s="5">
        <f t="shared" si="28"/>
        <v>4.0099597925959837E-2</v>
      </c>
      <c r="DF18" s="3">
        <f t="shared" si="29"/>
        <v>1999</v>
      </c>
      <c r="DG18" s="3">
        <v>1749</v>
      </c>
      <c r="DH18" s="4">
        <f>Verusa!C18 + Darewa!C18 + Siana!C18 + Yaxuto!C18 + 'Merela Sta'!C18 + Palina!C18</f>
        <v>164386567.83295363</v>
      </c>
      <c r="DI18" s="6">
        <f t="shared" si="30"/>
        <v>2.0020320629909986E-3</v>
      </c>
      <c r="DJ18" s="5">
        <f t="shared" si="31"/>
        <v>2.8562310043709536E-2</v>
      </c>
      <c r="DQ18" s="3">
        <f t="shared" si="32"/>
        <v>1999</v>
      </c>
      <c r="DR18" s="3">
        <v>1749</v>
      </c>
      <c r="DS18" s="4">
        <f>Sunsokua!C18 + Vayvele!C18 + Selaja!C18 + Sadain!C18</f>
        <v>169471281.20611048</v>
      </c>
      <c r="DT18" s="6">
        <f t="shared" si="33"/>
        <v>1.2200270107946424E-2</v>
      </c>
      <c r="DU18" s="5">
        <f t="shared" si="34"/>
        <v>2.9445783442795789E-2</v>
      </c>
      <c r="EB18" s="3">
        <f t="shared" si="35"/>
        <v>1999</v>
      </c>
      <c r="EC18" s="3">
        <v>1749</v>
      </c>
      <c r="ED18" s="4">
        <f>Pelugrotoa!C18 + Lieri!C18 + 'Rtesania'!C18 + Ozinia!C18</f>
        <v>364763653.23288679</v>
      </c>
      <c r="EE18" s="6">
        <f t="shared" si="36"/>
        <v>8.867260054150972E-3</v>
      </c>
      <c r="EF18" s="5">
        <f t="shared" si="37"/>
        <v>6.3378004016124548E-2</v>
      </c>
      <c r="EM18" s="3">
        <f t="shared" si="38"/>
        <v>1999</v>
      </c>
      <c r="EN18" s="3">
        <v>1749</v>
      </c>
      <c r="EO18" s="4">
        <f>Ocaun!C18 + 'Dual Cenryia'!C18 + Byllu!C18 + Exilium!C18 + Inrea!C18 + Amcha!C18 + Isnti!C18 + Galca!C18 + Otiiric!C18 + Taing!C18 + 'Cruthi Anoso'!C18</f>
        <v>225518150.14407581</v>
      </c>
      <c r="EP18" s="6">
        <f t="shared" si="39"/>
        <v>1.7454420423939947E-2</v>
      </c>
      <c r="EQ18" s="5">
        <f t="shared" si="40"/>
        <v>3.9183975976945229E-2</v>
      </c>
      <c r="EX18" s="3">
        <f t="shared" si="41"/>
        <v>1999</v>
      </c>
      <c r="EY18" s="3">
        <v>1749</v>
      </c>
      <c r="EZ18" s="4">
        <f>Sivoso!C18 + Taoisia!C18 + Seytinemas!C18 + Trian!C18 + 'Chaenia'!C18</f>
        <v>127070922.6001125</v>
      </c>
      <c r="FA18" s="6">
        <f t="shared" si="42"/>
        <v>1.217711149447624E-2</v>
      </c>
      <c r="FB18" s="5">
        <f t="shared" si="43"/>
        <v>2.2078684023215295E-2</v>
      </c>
      <c r="FI18" s="3">
        <f t="shared" si="44"/>
        <v>1999</v>
      </c>
      <c r="FJ18" s="3">
        <v>1749</v>
      </c>
      <c r="FK18" s="4">
        <f>Migoku!C18 + 'Welenu Fana'!C18 + Haiza!C18 + Ucrua!C18 + Ihner!C18 + Oscairia!C18 + Shinam!C18 + 'Ruylku'!C18 + Taval!C18 + 'Western Migoku'!C18 + 'Pruim Fijan'!C18 + 'Canldives'!C18</f>
        <v>142291366.76026881</v>
      </c>
      <c r="FL18" s="6">
        <f t="shared" si="45"/>
        <v>2.2493482500474286E-2</v>
      </c>
      <c r="FM18" s="5">
        <f t="shared" si="46"/>
        <v>2.4723249518050112E-2</v>
      </c>
      <c r="FT18" s="3">
        <f t="shared" si="47"/>
        <v>1999</v>
      </c>
      <c r="FU18" s="3">
        <v>1749</v>
      </c>
      <c r="FV18" s="4">
        <f>Vesozata!C18 + Etretes!C18 + Kusierna!C18 + Eparia!C18</f>
        <v>109408173.18405204</v>
      </c>
      <c r="FW18" s="6">
        <f t="shared" si="48"/>
        <v>2.3231900117321118E-2</v>
      </c>
      <c r="FX18" s="5">
        <f t="shared" si="49"/>
        <v>1.9009765852489081E-2</v>
      </c>
      <c r="GE18" s="3">
        <f t="shared" si="50"/>
        <v>1999</v>
      </c>
      <c r="GF18" s="3">
        <v>1749</v>
      </c>
      <c r="GG18" s="4">
        <f>Dahe!C18 + Kaastini!C18 + Suenan!C18 + Oyreain!C18 + Sanagara!C18 + 'North Ayre'!C18 + Stinebar!C18 + 'Cloja'!C18 + 'Pha Hii'!C18 + 'Prystr Hii'!C18</f>
        <v>973715288.34529066</v>
      </c>
      <c r="GH18" s="6">
        <f t="shared" si="51"/>
        <v>5.1095955331350263E-3</v>
      </c>
      <c r="GI18" s="5">
        <f t="shared" si="52"/>
        <v>0.16918388361438252</v>
      </c>
      <c r="GP18" s="3">
        <f t="shared" si="53"/>
        <v>1999</v>
      </c>
      <c r="GQ18" s="3">
        <v>1749</v>
      </c>
      <c r="GR18" s="4">
        <f>Maalle!C18 + 'United Delet'!C18 + Ohtina!C18 + Astye!C18 + Prstreula!C18 + Veelmit!C18 + Aplasia!C18 + 'Elja and Munusia'!C18 + Walporein!C18 + 'Crila Republic'!C18 + 'Niretui and Anulan'!C18 + 'Rethern'!C18 + Tvecoca!C18</f>
        <v>162520932.68529066</v>
      </c>
      <c r="GS18" s="6">
        <f t="shared" si="54"/>
        <v>1.6162867268451817E-2</v>
      </c>
      <c r="GT18" s="5">
        <f t="shared" si="55"/>
        <v>2.8238154303867457E-2</v>
      </c>
      <c r="HA18" s="3">
        <f t="shared" si="56"/>
        <v>1999</v>
      </c>
      <c r="HB18" s="3">
        <v>1749</v>
      </c>
      <c r="HC18" s="4">
        <f>Andsaudare!C18 + Nia!C18 + Umarcia!C18 + Mendereide!C18 + Iainoa!C18 + Isari!C18 + 'Rkmepuia'!C18 + Hiwush!C18 + Isuibul!C18 + Yutnitu!C18</f>
        <v>57082781.065836459</v>
      </c>
      <c r="HD18" s="6">
        <f t="shared" si="57"/>
        <v>1.7556744056940292E-2</v>
      </c>
      <c r="HE18" s="5">
        <f t="shared" si="58"/>
        <v>9.9181831730705012E-3</v>
      </c>
      <c r="HL18" s="3">
        <f t="shared" si="59"/>
        <v>1999</v>
      </c>
      <c r="HM18" s="3">
        <v>1749</v>
      </c>
      <c r="HN18" s="4">
        <f>Zhanshe!C18 + Volver!C18 + Finae!C18 + Myla!C18 + 'Nheyes Si'!C18 + Onphello!C18 + Hyelen!C18</f>
        <v>101414327.0222549</v>
      </c>
      <c r="HO18" s="6">
        <f t="shared" si="60"/>
        <v>1.6214106034626963E-2</v>
      </c>
      <c r="HP18" s="5">
        <f t="shared" si="61"/>
        <v>1.7620828085098107E-2</v>
      </c>
      <c r="HW18" s="3">
        <f t="shared" si="62"/>
        <v>1999</v>
      </c>
      <c r="HX18" s="3">
        <v>1749</v>
      </c>
      <c r="HY18" s="4">
        <f>Yihnurda!C18 + Ztesh!C18 + Wundry!C18 + Anymna!C18 + Shomjind!C18 + Baluyde!C18 + Letan!C18</f>
        <v>444720620.3546744</v>
      </c>
      <c r="HZ18" s="6">
        <f t="shared" si="63"/>
        <v>2.1801907168262101E-2</v>
      </c>
      <c r="IA18" s="5">
        <f t="shared" si="64"/>
        <v>7.7270597037519664E-2</v>
      </c>
      <c r="IH18" s="3">
        <f t="shared" si="65"/>
        <v>1999</v>
      </c>
      <c r="II18" s="3">
        <v>1749</v>
      </c>
      <c r="IJ18" s="4">
        <f>Iareva!C18 + 'United Mihili'!C18 + 'Mesjan Hyaa'!C18 + Desaki!C18 + 'Far Lands'!C18</f>
        <v>57167670.715367034</v>
      </c>
      <c r="IK18" s="6">
        <f t="shared" si="66"/>
        <v>2.0231801983744205E-2</v>
      </c>
      <c r="IL18" s="5">
        <f t="shared" si="67"/>
        <v>9.9329328239778549E-3</v>
      </c>
      <c r="IS18" s="3">
        <f t="shared" si="68"/>
        <v>1999</v>
      </c>
      <c r="IT18" s="3">
        <v>1749</v>
      </c>
      <c r="IU18" s="4">
        <f>Verste!C18 + Quidic!C18 + Erkizil!C18 + Ashain!C18 + Ahokini!C18</f>
        <v>312061667.98931295</v>
      </c>
      <c r="IV18" s="6">
        <f t="shared" si="69"/>
        <v>1.5897166699688152E-2</v>
      </c>
      <c r="IW18" s="5">
        <f t="shared" si="70"/>
        <v>5.422098795155407E-2</v>
      </c>
    </row>
    <row r="19" spans="1:257" ht="22.5" customHeight="1">
      <c r="A19" s="3">
        <f t="shared" si="0"/>
        <v>1998</v>
      </c>
      <c r="B19" s="3">
        <v>1748</v>
      </c>
      <c r="C19" s="4">
        <f>Acetoa!C19 + Acrana!C19 + Aetintio!C19 + Ahokini!C19 + Amcha!C19 + Andsaudare!C19 + Anymna!C19 + Aplasia!C19 + Arbiya!C19 + 'Areoix Lie'!C19 + Ashain!C19 + Astye!C19 + Baluyde!C19 + Byllu!C19 + 'Candenat'!C19 + 'Canldives'!C19 + 'Chaenia'!C19 + 'Cloja'!C19 + 'Crila Republic'!C19 + 'Cruthi Anoso'!C19 + 'Curata'!C19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'Raledria'!C19 + 'Reerica'!C19 + 'Rethern'!C19 + 'Rijan bu'!C19 + 'Rinew'!C19 + 'Rkmepuia'!C19 + 'Rtesania'!C19 + 'Ruylku'!C19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5687010125.8388805</v>
      </c>
      <c r="D19" s="5">
        <f t="shared" si="1"/>
        <v>1.2093360639972472E-2</v>
      </c>
      <c r="K19" s="3">
        <f t="shared" si="2"/>
        <v>1998</v>
      </c>
      <c r="L19" s="3">
        <v>1748</v>
      </c>
      <c r="M19" s="4">
        <f>Eldavpir!C19 + Iquir!C19 + Viussi!C19 + Umendel!C19 + 'Reerica'!C19 + Saa!C19 + Sattle!C19</f>
        <v>71422438.77372314</v>
      </c>
      <c r="N19" s="5">
        <f t="shared" si="3"/>
        <v>2.7937304543331872E-2</v>
      </c>
      <c r="O19" s="5">
        <f t="shared" si="4"/>
        <v>1.2558873150096203E-2</v>
      </c>
      <c r="V19" s="3">
        <f t="shared" si="5"/>
        <v>1998</v>
      </c>
      <c r="W19" s="3">
        <v>1748</v>
      </c>
      <c r="X19" s="4">
        <f>'Areoix Lie'!C19 + Jau!C19 + Terressin!C19 + Acetoa!C19 + 'Feio Lie'!C19</f>
        <v>614440981.64706492</v>
      </c>
      <c r="Y19" s="5">
        <f t="shared" si="6"/>
        <v>1.0737046337050296E-2</v>
      </c>
      <c r="Z19" s="5">
        <f t="shared" si="7"/>
        <v>0.1080428851102898</v>
      </c>
      <c r="AG19" s="3">
        <f t="shared" si="8"/>
        <v>1998</v>
      </c>
      <c r="AH19" s="3">
        <v>1748</v>
      </c>
      <c r="AI19" s="4">
        <f>Taniduna!C19 + Jathua!C19 + Deschon!C19 + Pelines!C19 + 'Candenat'!C19 + Othya!C19 + Yoprioq!C19 + Jshain!C19 + 'Fire Coast'!C19 + 'Rijan bu'!C19 + 'Rinew'!C19 + Enina!C19 + Trevilla!C19</f>
        <v>165646148.97118524</v>
      </c>
      <c r="AJ19" s="5">
        <f t="shared" si="9"/>
        <v>2.7182031586662551E-2</v>
      </c>
      <c r="AK19" s="5">
        <f t="shared" si="10"/>
        <v>2.9127106389097747E-2</v>
      </c>
      <c r="AR19" s="3">
        <f t="shared" si="11"/>
        <v>1998</v>
      </c>
      <c r="AS19" s="3">
        <v>1748</v>
      </c>
      <c r="AT19" s="4">
        <f>Gaeiya!C19 + 'Raledria'!C19 + Arbiya!C19 + Fincen!C19 + 'Curata'!C19</f>
        <v>258058299.12496376</v>
      </c>
      <c r="AU19" s="5">
        <f t="shared" si="12"/>
        <v>9.742479348156103E-3</v>
      </c>
      <c r="AV19" s="5">
        <f t="shared" si="13"/>
        <v>4.5376796139763871E-2</v>
      </c>
      <c r="BC19" s="3">
        <f t="shared" si="14"/>
        <v>1998</v>
      </c>
      <c r="BD19" s="3">
        <v>1748</v>
      </c>
      <c r="BE19" s="4">
        <f>Etirha!C19 + Laselteh!C19 + Grazail!C19 + 'Disal Nila'!C19 + Pelan!C19 + Peka!C19 + Guise!C19</f>
        <v>95913952.972585127</v>
      </c>
      <c r="BF19" s="5">
        <f t="shared" si="15"/>
        <v>1.0534488794307264E-2</v>
      </c>
      <c r="BG19" s="5">
        <f t="shared" si="16"/>
        <v>1.6865444381187387E-2</v>
      </c>
      <c r="BN19" s="3">
        <f t="shared" si="17"/>
        <v>1998</v>
      </c>
      <c r="BO19" s="3">
        <v>1748</v>
      </c>
      <c r="BP19" s="4">
        <f>Genaire!C19 + 'New Misos'!C19 + Phuris!C19 + Lasri!C19 + Slyiaduun!C19 + Aetintio!C19 + Metndria!C19 + Tomscilus!C19</f>
        <v>85143603.53528665</v>
      </c>
      <c r="BQ19" s="5">
        <f t="shared" si="18"/>
        <v>1.3834989802771447E-2</v>
      </c>
      <c r="BR19" s="5">
        <f t="shared" si="19"/>
        <v>1.4971593447396452E-2</v>
      </c>
      <c r="BY19" s="3">
        <f t="shared" si="20"/>
        <v>1998</v>
      </c>
      <c r="BZ19" s="3">
        <v>1748</v>
      </c>
      <c r="CA19" s="4">
        <f>Ealdorii!C19 + Ukhdari!C19 + Hkuqo!C19 + Acrana!C19 + Zenashan!C19</f>
        <v>239898300.80180228</v>
      </c>
      <c r="CB19" s="7">
        <f t="shared" si="21"/>
        <v>3.5221292917565249E-3</v>
      </c>
      <c r="CC19" s="5">
        <f t="shared" si="22"/>
        <v>4.218355436221688E-2</v>
      </c>
      <c r="CJ19" s="3">
        <f t="shared" si="23"/>
        <v>1998</v>
      </c>
      <c r="CK19" s="3">
        <v>1748</v>
      </c>
      <c r="CL19" s="4">
        <f>Estijan!C19 + Ikzen!C19 + Urbiqu!C19 + Danocia!C19 + Koruch!C19 + 'New Kizura'!C19 + Lydroa!C19 + Fermori!C19 + Uularin!C19 + 'Niul Spijan'!C19</f>
        <v>257469369.90371594</v>
      </c>
      <c r="CM19" s="7">
        <f t="shared" si="24"/>
        <v>7.9121199264467201E-3</v>
      </c>
      <c r="CN19" s="5">
        <f t="shared" si="25"/>
        <v>4.5273239225283972E-2</v>
      </c>
      <c r="CU19" s="3">
        <f t="shared" si="26"/>
        <v>1998</v>
      </c>
      <c r="CV19" s="3">
        <v>1748</v>
      </c>
      <c r="CW19" s="4">
        <f>Praesyu!C19 + Lycroa!C19 + Emara!C19 + Eldjo!C19 + Easuhura!C19 + Ilicuhe!C19 + Tonder!C19</f>
        <v>230152097.18883964</v>
      </c>
      <c r="CX19" s="7">
        <f t="shared" si="27"/>
        <v>3.2524825650380833E-3</v>
      </c>
      <c r="CY19" s="5">
        <f t="shared" si="28"/>
        <v>4.046978853495365E-2</v>
      </c>
      <c r="DF19" s="3">
        <f t="shared" si="29"/>
        <v>1998</v>
      </c>
      <c r="DG19" s="3">
        <v>1748</v>
      </c>
      <c r="DH19" s="4">
        <f>Verusa!C19 + Darewa!C19 + Siana!C19 + Yaxuto!C19 + 'Merela Sta'!C19 + Palina!C19</f>
        <v>164058118.22008306</v>
      </c>
      <c r="DI19" s="7">
        <f t="shared" si="30"/>
        <v>2.3523610402285894E-3</v>
      </c>
      <c r="DJ19" s="5">
        <f t="shared" si="31"/>
        <v>2.8847868139830882E-2</v>
      </c>
      <c r="DQ19" s="3">
        <f t="shared" si="32"/>
        <v>1998</v>
      </c>
      <c r="DR19" s="3">
        <v>1748</v>
      </c>
      <c r="DS19" s="4">
        <f>Sunsokua!C19 + Vayvele!C19 + Selaja!C19 + Sadain!C19</f>
        <v>167428606.97719154</v>
      </c>
      <c r="DT19" s="7">
        <f t="shared" si="33"/>
        <v>1.2521588422803143E-2</v>
      </c>
      <c r="DU19" s="5">
        <f t="shared" si="34"/>
        <v>2.9440532594883405E-2</v>
      </c>
      <c r="EB19" s="3">
        <f t="shared" si="35"/>
        <v>1998</v>
      </c>
      <c r="EC19" s="3">
        <v>1748</v>
      </c>
      <c r="ED19" s="4">
        <f>Pelugrotoa!C19 + Lieri!C19 + 'Rtesania'!C19 + Ozinia!C19</f>
        <v>361557627.72330236</v>
      </c>
      <c r="EE19" s="7">
        <f t="shared" si="36"/>
        <v>8.3995474037790313E-3</v>
      </c>
      <c r="EF19" s="5">
        <f t="shared" si="37"/>
        <v>6.3576047821783971E-2</v>
      </c>
      <c r="EM19" s="3">
        <f t="shared" si="38"/>
        <v>1998</v>
      </c>
      <c r="EN19" s="3">
        <v>1748</v>
      </c>
      <c r="EO19" s="4">
        <f>Ocaun!C19 + 'Dual Cenryia'!C19 + Byllu!C19 + Exilium!C19 + Inrea!C19 + Amcha!C19 + Isnti!C19 + Galca!C19 + Otiiric!C19 + Taing!C19 + 'Cruthi Anoso'!C19</f>
        <v>221649388.5299646</v>
      </c>
      <c r="EP19" s="7">
        <f t="shared" si="39"/>
        <v>1.7799986930757444E-2</v>
      </c>
      <c r="EQ19" s="5">
        <f t="shared" si="40"/>
        <v>3.8974678016292348E-2</v>
      </c>
      <c r="EX19" s="3">
        <f t="shared" si="41"/>
        <v>1998</v>
      </c>
      <c r="EY19" s="3">
        <v>1748</v>
      </c>
      <c r="EZ19" s="4">
        <f>Sivoso!C19 + Taoisia!C19 + Seytinemas!C19 + Trian!C19 + 'Chaenia'!C19</f>
        <v>125542181.45922376</v>
      </c>
      <c r="FA19" s="7">
        <f t="shared" si="42"/>
        <v>1.3115296824606486E-2</v>
      </c>
      <c r="FB19" s="5">
        <f t="shared" si="43"/>
        <v>2.2075251965672432E-2</v>
      </c>
      <c r="FI19" s="3">
        <f t="shared" si="44"/>
        <v>1998</v>
      </c>
      <c r="FJ19" s="3">
        <v>1748</v>
      </c>
      <c r="FK19" s="4">
        <f>Migoku!C19 + 'Welenu Fana'!C19 + Haiza!C19 + Ucrua!C19 + Ihner!C19 + Oscairia!C19 + Shinam!C19 + 'Ruylku'!C19 + Taval!C19 + 'Western Migoku'!C19 + 'Pruim Fijan'!C19 + 'Canldives'!C19</f>
        <v>139161147.91489911</v>
      </c>
      <c r="FL19" s="7">
        <f t="shared" si="45"/>
        <v>2.1348597156131195E-2</v>
      </c>
      <c r="FM19" s="5">
        <f t="shared" si="46"/>
        <v>2.447000178224084E-2</v>
      </c>
      <c r="FT19" s="3">
        <f t="shared" si="47"/>
        <v>1998</v>
      </c>
      <c r="FU19" s="3">
        <v>1748</v>
      </c>
      <c r="FV19" s="4">
        <f>Vesozata!C19 + Etretes!C19 + Kusierna!C19 + Eparia!C19</f>
        <v>106924122.64659417</v>
      </c>
      <c r="FW19" s="7">
        <f t="shared" si="48"/>
        <v>2.3749074750118861E-2</v>
      </c>
      <c r="FX19" s="5">
        <f t="shared" si="49"/>
        <v>1.8801465142603731E-2</v>
      </c>
      <c r="GE19" s="3">
        <f t="shared" si="50"/>
        <v>1998</v>
      </c>
      <c r="GF19" s="3">
        <v>1748</v>
      </c>
      <c r="GG19" s="4">
        <f>Dahe!C19 + Kaastini!C19 + Suenan!C19 + Oyreain!C19 + Sanagara!C19 + 'North Ayre'!C19 + Stinebar!C19 + 'Cloja'!C19 + 'Pha Hii'!C19 + 'Prystr Hii'!C19</f>
        <v>968765289.54915404</v>
      </c>
      <c r="GH19" s="7">
        <f t="shared" si="51"/>
        <v>5.4164528933408843E-3</v>
      </c>
      <c r="GI19" s="5">
        <f t="shared" si="52"/>
        <v>0.17034703088492448</v>
      </c>
      <c r="GP19" s="3">
        <f t="shared" si="53"/>
        <v>1998</v>
      </c>
      <c r="GQ19" s="3">
        <v>1748</v>
      </c>
      <c r="GR19" s="4">
        <f>Maalle!C19 + 'United Delet'!C19 + Ohtina!C19 + Astye!C19 + Prstreula!C19 + Veelmit!C19 + Aplasia!C19 + 'Elja and Munusia'!C19 + Walporein!C19 + 'Crila Republic'!C19 + 'Niretui and Anulan'!C19 + 'Rethern'!C19 + Tvecoca!C19</f>
        <v>159935909.80367479</v>
      </c>
      <c r="GS19" s="7">
        <f t="shared" si="54"/>
        <v>1.6927232506568971E-2</v>
      </c>
      <c r="GT19" s="5">
        <f t="shared" si="55"/>
        <v>2.8123021810178846E-2</v>
      </c>
      <c r="HA19" s="3">
        <f t="shared" si="56"/>
        <v>1998</v>
      </c>
      <c r="HB19" s="3">
        <v>1748</v>
      </c>
      <c r="HC19" s="4">
        <f>Andsaudare!C19 + Nia!C19 + Umarcia!C19 + Mendereide!C19 + Iainoa!C19 + Isari!C19 + 'Rkmepuia'!C19 + Hiwush!C19 + Isuibul!C19 + Yutnitu!C19</f>
        <v>56097884.8592273</v>
      </c>
      <c r="HD19" s="7">
        <f t="shared" si="57"/>
        <v>1.696614459170288E-2</v>
      </c>
      <c r="HE19" s="5">
        <f t="shared" si="58"/>
        <v>9.8642139925770572E-3</v>
      </c>
      <c r="HL19" s="3">
        <f t="shared" si="59"/>
        <v>1998</v>
      </c>
      <c r="HM19" s="3">
        <v>1748</v>
      </c>
      <c r="HN19" s="4">
        <f>Zhanshe!C19 + Volver!C19 + Finae!C19 + Myla!C19 + 'Nheyes Si'!C19 + Onphello!C19 + Hyelen!C19</f>
        <v>99796220.520874426</v>
      </c>
      <c r="HO19" s="7">
        <f t="shared" si="60"/>
        <v>1.7272749738730199E-2</v>
      </c>
      <c r="HP19" s="5">
        <f t="shared" si="61"/>
        <v>1.7548099671469052E-2</v>
      </c>
      <c r="HW19" s="3">
        <f t="shared" si="62"/>
        <v>1998</v>
      </c>
      <c r="HX19" s="3">
        <v>1748</v>
      </c>
      <c r="HY19" s="4">
        <f>Yihnurda!C19 + Ztesh!C19 + Wundry!C19 + Anymna!C19 + Shomjind!C19 + Baluyde!C19 + Letan!C19</f>
        <v>435231738.39745182</v>
      </c>
      <c r="HZ19" s="7">
        <f t="shared" si="63"/>
        <v>2.2032453847902696E-2</v>
      </c>
      <c r="IA19" s="5">
        <f t="shared" si="64"/>
        <v>7.6530853430342993E-2</v>
      </c>
      <c r="IH19" s="3">
        <f t="shared" si="65"/>
        <v>1998</v>
      </c>
      <c r="II19" s="3">
        <v>1748</v>
      </c>
      <c r="IJ19" s="4">
        <f>Iareva!C19 + 'United Mihili'!C19 + 'Mesjan Hyaa'!C19 + Desaki!C19 + 'Far Lands'!C19</f>
        <v>56034001.884875484</v>
      </c>
      <c r="IK19" s="7">
        <f t="shared" si="66"/>
        <v>2.2751631532259099E-2</v>
      </c>
      <c r="IL19" s="5">
        <f t="shared" si="67"/>
        <v>9.8529808537328768E-3</v>
      </c>
      <c r="IS19" s="3">
        <f t="shared" si="68"/>
        <v>1998</v>
      </c>
      <c r="IT19" s="3">
        <v>1748</v>
      </c>
      <c r="IU19" s="4">
        <f>Verste!C19 + Quidic!C19 + Erkizil!C19 + Ashain!C19 + Ahokini!C19</f>
        <v>307178401.73046005</v>
      </c>
      <c r="IV19" s="7">
        <f t="shared" si="69"/>
        <v>1.6128120776916204E-2</v>
      </c>
      <c r="IW19" s="5">
        <f t="shared" si="70"/>
        <v>5.4014041637590493E-2</v>
      </c>
    </row>
    <row r="20" spans="1:257" ht="22.5" customHeight="1">
      <c r="A20" s="3">
        <f t="shared" si="0"/>
        <v>1997</v>
      </c>
      <c r="B20" s="3">
        <v>1747</v>
      </c>
      <c r="C20" s="4">
        <f>Acetoa!C20 + Acrana!C20 + Aetintio!C20 + Ahokini!C20 + Amcha!C20 + Andsaudare!C20 + Anymna!C20 + Aplasia!C20 + Arbiya!C20 + 'Areoix Lie'!C20 + Ashain!C20 + Astye!C20 + Baluyde!C20 + Byllu!C20 + 'Candenat'!C20 + 'Canldives'!C20 + 'Chaenia'!C20 + 'Cloja'!C20 + 'Crila Republic'!C20 + 'Cruthi Anoso'!C20 + 'Curata'!C20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'Raledria'!C20 + 'Reerica'!C20 + 'Rethern'!C20 + 'Rijan bu'!C20 + 'Rinew'!C20 + 'Rkmepuia'!C20 + 'Rtesania'!C20 + 'Ruylku'!C20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5619056844.9563179</v>
      </c>
      <c r="D20" s="5">
        <f t="shared" si="1"/>
        <v>1.2376514814027696E-2</v>
      </c>
      <c r="K20" s="3">
        <f t="shared" si="2"/>
        <v>1997</v>
      </c>
      <c r="L20" s="3">
        <v>1747</v>
      </c>
      <c r="M20" s="4">
        <f>Eldavpir!C20 + Iquir!C20 + Viussi!C20 + Umendel!C20 + 'Reerica'!C20 + Saa!C20 + Sattle!C20</f>
        <v>69481318.031796739</v>
      </c>
      <c r="N20" s="5">
        <f t="shared" si="3"/>
        <v>2.8307508865868629E-2</v>
      </c>
      <c r="O20" s="5">
        <f t="shared" si="4"/>
        <v>1.236529900817134E-2</v>
      </c>
      <c r="V20" s="3">
        <f t="shared" si="5"/>
        <v>1997</v>
      </c>
      <c r="W20" s="3">
        <v>1747</v>
      </c>
      <c r="X20" s="4">
        <f>'Areoix Lie'!C20 + Jau!C20 + Terressin!C20 + Acetoa!C20 + 'Feio Lie'!C20</f>
        <v>607913783.18804336</v>
      </c>
      <c r="Y20" s="5">
        <f t="shared" si="6"/>
        <v>1.0507358503316494E-2</v>
      </c>
      <c r="Z20" s="5">
        <f t="shared" si="7"/>
        <v>0.10818786852703022</v>
      </c>
      <c r="AG20" s="3">
        <f t="shared" si="8"/>
        <v>1997</v>
      </c>
      <c r="AH20" s="3">
        <v>1747</v>
      </c>
      <c r="AI20" s="4">
        <f>Taniduna!C20 + Jathua!C20 + Deschon!C20 + Pelines!C20 + 'Candenat'!C20 + Othya!C20 + Yoprioq!C20 + Jshain!C20 + 'Fire Coast'!C20 + 'Rijan bu'!C20 + 'Rinew'!C20 + Enina!C20 + Trevilla!C20</f>
        <v>161262701.1351783</v>
      </c>
      <c r="AJ20" s="5">
        <f t="shared" si="9"/>
        <v>2.719935813842872E-2</v>
      </c>
      <c r="AK20" s="5">
        <f t="shared" si="10"/>
        <v>2.869924714855451E-2</v>
      </c>
      <c r="AR20" s="3">
        <f t="shared" si="11"/>
        <v>1997</v>
      </c>
      <c r="AS20" s="3">
        <v>1747</v>
      </c>
      <c r="AT20" s="4">
        <f>Gaeiya!C20 + 'Raledria'!C20 + Arbiya!C20 + Fincen!C20 + 'Curata'!C20</f>
        <v>255568428.98355082</v>
      </c>
      <c r="AU20" s="5">
        <f t="shared" si="12"/>
        <v>1.0494867985990194E-2</v>
      </c>
      <c r="AV20" s="5">
        <f t="shared" si="13"/>
        <v>4.5482442344919466E-2</v>
      </c>
      <c r="BC20" s="3">
        <f t="shared" si="14"/>
        <v>1997</v>
      </c>
      <c r="BD20" s="3">
        <v>1747</v>
      </c>
      <c r="BE20" s="4">
        <f>Etirha!C20 + Laselteh!C20 + Grazail!C20 + 'Disal Nila'!C20 + Pelan!C20 + Peka!C20 + Guise!C20</f>
        <v>94914081.643093988</v>
      </c>
      <c r="BF20" s="5">
        <f t="shared" si="15"/>
        <v>1.2275703687158808E-2</v>
      </c>
      <c r="BG20" s="5">
        <f t="shared" si="16"/>
        <v>1.6891461371900722E-2</v>
      </c>
      <c r="BN20" s="3">
        <f t="shared" si="17"/>
        <v>1997</v>
      </c>
      <c r="BO20" s="3">
        <v>1747</v>
      </c>
      <c r="BP20" s="4">
        <f>Genaire!C20 + 'New Misos'!C20 + Phuris!C20 + Lasri!C20 + Slyiaduun!C20 + Aetintio!C20 + Metndria!C20 + Tomscilus!C20</f>
        <v>83981717.332374021</v>
      </c>
      <c r="BQ20" s="5">
        <f t="shared" si="18"/>
        <v>1.3584173798167842E-2</v>
      </c>
      <c r="BR20" s="5">
        <f t="shared" si="19"/>
        <v>1.4945874307670737E-2</v>
      </c>
      <c r="BY20" s="3">
        <f t="shared" si="20"/>
        <v>1997</v>
      </c>
      <c r="BZ20" s="3">
        <v>1747</v>
      </c>
      <c r="CA20" s="4">
        <f>Ealdorii!C20 + Ukhdari!C20 + Hkuqo!C20 + Acrana!C20 + Zenashan!C20</f>
        <v>239056313.55744228</v>
      </c>
      <c r="CB20" s="6">
        <f t="shared" si="21"/>
        <v>4.5014445476556572E-3</v>
      </c>
      <c r="CC20" s="5">
        <f t="shared" si="22"/>
        <v>4.2543850356669723E-2</v>
      </c>
      <c r="CJ20" s="3">
        <f t="shared" si="23"/>
        <v>1997</v>
      </c>
      <c r="CK20" s="3">
        <v>1747</v>
      </c>
      <c r="CL20" s="4">
        <f>Estijan!C20 + Ikzen!C20 + Urbiqu!C20 + Danocia!C20 + Koruch!C20 + 'New Kizura'!C20 + Lydroa!C20 + Fermori!C20 + Uularin!C20 + 'Niul Spijan'!C20</f>
        <v>255448232.85040465</v>
      </c>
      <c r="CM20" s="6">
        <f t="shared" si="24"/>
        <v>7.2090657614645864E-3</v>
      </c>
      <c r="CN20" s="5">
        <f t="shared" si="25"/>
        <v>4.5461051542786179E-2</v>
      </c>
      <c r="CU20" s="3">
        <f t="shared" si="26"/>
        <v>1997</v>
      </c>
      <c r="CV20" s="3">
        <v>1747</v>
      </c>
      <c r="CW20" s="4">
        <f>Praesyu!C20 + Lycroa!C20 + Emara!C20 + Eldjo!C20 + Easuhura!C20 + Ilicuhe!C20 + Tonder!C20</f>
        <v>229405958.30912337</v>
      </c>
      <c r="CX20" s="6">
        <f t="shared" si="27"/>
        <v>3.2661983935856039E-3</v>
      </c>
      <c r="CY20" s="5">
        <f t="shared" si="28"/>
        <v>4.082641707300734E-2</v>
      </c>
      <c r="DF20" s="3">
        <f t="shared" si="29"/>
        <v>1997</v>
      </c>
      <c r="DG20" s="3">
        <v>1747</v>
      </c>
      <c r="DH20" s="4">
        <f>Verusa!C20 + Darewa!C20 + Siana!C20 + Yaxuto!C20 + 'Merela Sta'!C20 + Palina!C20</f>
        <v>163673099.99631828</v>
      </c>
      <c r="DI20" s="6">
        <f t="shared" si="30"/>
        <v>2.3284568347817177E-3</v>
      </c>
      <c r="DJ20" s="5">
        <f t="shared" si="31"/>
        <v>2.9128215733078361E-2</v>
      </c>
      <c r="DQ20" s="3">
        <f t="shared" si="32"/>
        <v>1997</v>
      </c>
      <c r="DR20" s="3">
        <v>1747</v>
      </c>
      <c r="DS20" s="4">
        <f>Sunsokua!C20 + Vayvele!C20 + Selaja!C20 + Sadain!C20</f>
        <v>165358061.39007244</v>
      </c>
      <c r="DT20" s="6">
        <f t="shared" si="33"/>
        <v>1.3082622780362475E-2</v>
      </c>
      <c r="DU20" s="5">
        <f t="shared" si="34"/>
        <v>2.9428081251482323E-2</v>
      </c>
      <c r="EB20" s="3">
        <f t="shared" si="35"/>
        <v>1997</v>
      </c>
      <c r="EC20" s="3">
        <v>1747</v>
      </c>
      <c r="ED20" s="4">
        <f>Pelugrotoa!C20 + Lieri!C20 + 'Rtesania'!C20 + Ozinia!C20</f>
        <v>358546003.56988162</v>
      </c>
      <c r="EE20" s="6">
        <f t="shared" si="36"/>
        <v>9.397262711386592E-3</v>
      </c>
      <c r="EF20" s="5">
        <f t="shared" si="37"/>
        <v>6.3808929765804656E-2</v>
      </c>
      <c r="EM20" s="3">
        <f t="shared" si="38"/>
        <v>1997</v>
      </c>
      <c r="EN20" s="3">
        <v>1747</v>
      </c>
      <c r="EO20" s="4">
        <f>Ocaun!C20 + 'Dual Cenryia'!C20 + Byllu!C20 + Exilium!C20 + Inrea!C20 + Amcha!C20 + Isnti!C20 + Galca!C20 + Otiiric!C20 + Taing!C20 + 'Cruthi Anoso'!C20</f>
        <v>217773031.41687283</v>
      </c>
      <c r="EP20" s="6">
        <f t="shared" si="39"/>
        <v>1.925934888362122E-2</v>
      </c>
      <c r="EQ20" s="5">
        <f t="shared" si="40"/>
        <v>3.8756153821854739E-2</v>
      </c>
      <c r="EX20" s="3">
        <f t="shared" si="41"/>
        <v>1997</v>
      </c>
      <c r="EY20" s="3">
        <v>1747</v>
      </c>
      <c r="EZ20" s="4">
        <f>Sivoso!C20 + Taoisia!C20 + Seytinemas!C20 + Trian!C20 + 'Chaenia'!C20</f>
        <v>123916973.56925605</v>
      </c>
      <c r="FA20" s="6">
        <f t="shared" si="42"/>
        <v>1.4070028051762919E-2</v>
      </c>
      <c r="FB20" s="5">
        <f t="shared" si="43"/>
        <v>2.2052984511179007E-2</v>
      </c>
      <c r="FI20" s="3">
        <f t="shared" si="44"/>
        <v>1997</v>
      </c>
      <c r="FJ20" s="3">
        <v>1747</v>
      </c>
      <c r="FK20" s="4">
        <f>Migoku!C20 + 'Welenu Fana'!C20 + Haiza!C20 + Ucrua!C20 + Ihner!C20 + Oscairia!C20 + Shinam!C20 + 'Ruylku'!C20 + Taval!C20 + 'Western Migoku'!C20 + 'Pruim Fijan'!C20 + 'Canldives'!C20</f>
        <v>136252351.35426134</v>
      </c>
      <c r="FL20" s="6">
        <f t="shared" si="45"/>
        <v>2.0861480803976363E-2</v>
      </c>
      <c r="FM20" s="5">
        <f t="shared" si="46"/>
        <v>2.4248260004089806E-2</v>
      </c>
      <c r="FT20" s="3">
        <f t="shared" si="47"/>
        <v>1997</v>
      </c>
      <c r="FU20" s="3">
        <v>1747</v>
      </c>
      <c r="FV20" s="4">
        <f>Vesozata!C20 + Etretes!C20 + Kusierna!C20 + Eparia!C20</f>
        <v>104443681.83941233</v>
      </c>
      <c r="FW20" s="6">
        <f t="shared" si="48"/>
        <v>2.504840888952356E-2</v>
      </c>
      <c r="FX20" s="5">
        <f t="shared" si="49"/>
        <v>1.858740438498345E-2</v>
      </c>
      <c r="GE20" s="3">
        <f t="shared" si="50"/>
        <v>1997</v>
      </c>
      <c r="GF20" s="3">
        <v>1747</v>
      </c>
      <c r="GG20" s="4">
        <f>Dahe!C20 + Kaastini!C20 + Suenan!C20 + Oyreain!C20 + Sanagara!C20 + 'North Ayre'!C20 + Stinebar!C20 + 'Cloja'!C20 + 'Pha Hii'!C20 + 'Prystr Hii'!C20</f>
        <v>963546286.47789299</v>
      </c>
      <c r="GH20" s="6">
        <f t="shared" si="51"/>
        <v>5.6753377348825809E-3</v>
      </c>
      <c r="GI20" s="5">
        <f t="shared" si="52"/>
        <v>0.17147829485704083</v>
      </c>
      <c r="GP20" s="3">
        <f t="shared" si="53"/>
        <v>1997</v>
      </c>
      <c r="GQ20" s="3">
        <v>1747</v>
      </c>
      <c r="GR20" s="4">
        <f>Maalle!C20 + 'United Delet'!C20 + Ohtina!C20 + Astye!C20 + Prstreula!C20 + Veelmit!C20 + Aplasia!C20 + 'Elja and Munusia'!C20 + Walporein!C20 + 'Crila Republic'!C20 + 'Niretui and Anulan'!C20 + 'Rethern'!C20 + Tvecoca!C20</f>
        <v>157273701.29469088</v>
      </c>
      <c r="GS20" s="6">
        <f t="shared" si="54"/>
        <v>1.7627779823919075E-2</v>
      </c>
      <c r="GT20" s="5">
        <f t="shared" si="55"/>
        <v>2.7989341562874599E-2</v>
      </c>
      <c r="HA20" s="3">
        <f t="shared" si="56"/>
        <v>1997</v>
      </c>
      <c r="HB20" s="3">
        <v>1747</v>
      </c>
      <c r="HC20" s="4">
        <f>Andsaudare!C20 + Nia!C20 + Umarcia!C20 + Mendereide!C20 + Iainoa!C20 + Isari!C20 + 'Rkmepuia'!C20 + Hiwush!C20 + Isuibul!C20 + Yutnitu!C20</f>
        <v>55161998.418098554</v>
      </c>
      <c r="HD20" s="6">
        <f t="shared" si="57"/>
        <v>1.646794931026771E-2</v>
      </c>
      <c r="HE20" s="5">
        <f t="shared" si="58"/>
        <v>9.8169497017301273E-3</v>
      </c>
      <c r="HL20" s="3">
        <f t="shared" si="59"/>
        <v>1997</v>
      </c>
      <c r="HM20" s="3">
        <v>1747</v>
      </c>
      <c r="HN20" s="4">
        <f>Zhanshe!C20 + Volver!C20 + Finae!C20 + Myla!C20 + 'Nheyes Si'!C20 + Onphello!C20 + Hyelen!C20</f>
        <v>98101733.823603794</v>
      </c>
      <c r="HO20" s="6">
        <f t="shared" si="60"/>
        <v>1.7443410746396788E-2</v>
      </c>
      <c r="HP20" s="5">
        <f t="shared" si="61"/>
        <v>1.7458754472587372E-2</v>
      </c>
      <c r="HW20" s="3">
        <f t="shared" si="62"/>
        <v>1997</v>
      </c>
      <c r="HX20" s="3">
        <v>1747</v>
      </c>
      <c r="HY20" s="4">
        <f>Yihnurda!C20 + Ztesh!C20 + Wundry!C20 + Anymna!C20 + Shomjind!C20 + Baluyde!C20 + Letan!C20</f>
        <v>425849234.78586751</v>
      </c>
      <c r="HZ20" s="6">
        <f t="shared" si="63"/>
        <v>2.2243326027526229E-2</v>
      </c>
      <c r="IA20" s="5">
        <f t="shared" si="64"/>
        <v>7.5786603790654133E-2</v>
      </c>
      <c r="IH20" s="3">
        <f t="shared" si="65"/>
        <v>1997</v>
      </c>
      <c r="II20" s="3">
        <v>1747</v>
      </c>
      <c r="IJ20" s="4">
        <f>Iareva!C20 + 'United Mihili'!C20 + 'Mesjan Hyaa'!C20 + Desaki!C20 + 'Far Lands'!C20</f>
        <v>54787496.941879079</v>
      </c>
      <c r="IK20" s="6">
        <f t="shared" si="66"/>
        <v>2.5966256704514096E-2</v>
      </c>
      <c r="IL20" s="5">
        <f t="shared" si="67"/>
        <v>9.7503012433583936E-3</v>
      </c>
      <c r="IS20" s="3">
        <f t="shared" si="68"/>
        <v>1997</v>
      </c>
      <c r="IT20" s="3">
        <v>1747</v>
      </c>
      <c r="IU20" s="4">
        <f>Verste!C20 + Quidic!C20 + Erkizil!C20 + Ashain!C20 + Ahokini!C20</f>
        <v>302302825.25356752</v>
      </c>
      <c r="IV20" s="6">
        <f t="shared" si="69"/>
        <v>1.6273393851387485E-2</v>
      </c>
      <c r="IW20" s="5">
        <f t="shared" si="70"/>
        <v>5.3799567008281014E-2</v>
      </c>
    </row>
    <row r="21" spans="1:257" ht="22.5" customHeight="1">
      <c r="A21" s="3">
        <f t="shared" si="0"/>
        <v>1996</v>
      </c>
      <c r="B21" s="3">
        <v>1746</v>
      </c>
      <c r="C21" s="4">
        <f>Acetoa!C21 + Acrana!C21 + Aetintio!C21 + Ahokini!C21 + Amcha!C21 + Andsaudare!C21 + Anymna!C21 + Aplasia!C21 + Arbiya!C21 + 'Areoix Lie'!C21 + Ashain!C21 + Astye!C21 + Baluyde!C21 + Byllu!C21 + 'Candenat'!C21 + 'Canldives'!C21 + 'Chaenia'!C21 + 'Cloja'!C21 + 'Crila Republic'!C21 + 'Cruthi Anoso'!C21 + 'Curata'!C21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'Raledria'!C21 + 'Reerica'!C21 + 'Rethern'!C21 + 'Rijan bu'!C21 + 'Rinew'!C21 + 'Rkmepuia'!C21 + 'Rtesania'!C21 + 'Ruylku'!C21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5550362698.7914982</v>
      </c>
      <c r="D21" s="5">
        <f t="shared" si="1"/>
        <v>1.2793772190885287E-2</v>
      </c>
      <c r="K21" s="3">
        <f t="shared" si="2"/>
        <v>1996</v>
      </c>
      <c r="L21" s="3">
        <v>1746</v>
      </c>
      <c r="M21" s="4">
        <f>Eldavpir!C21 + Iquir!C21 + Viussi!C21 + Umendel!C21 + 'Reerica'!C21 + Saa!C21 + Sattle!C21</f>
        <v>67568618.757270798</v>
      </c>
      <c r="N21" s="5">
        <f t="shared" si="3"/>
        <v>2.8898443984913629E-2</v>
      </c>
      <c r="O21" s="5">
        <f t="shared" si="4"/>
        <v>1.2173730335133373E-2</v>
      </c>
      <c r="V21" s="3">
        <f t="shared" si="5"/>
        <v>1996</v>
      </c>
      <c r="W21" s="3">
        <v>1746</v>
      </c>
      <c r="X21" s="4">
        <f>'Areoix Lie'!C21 + Jau!C21 + Terressin!C21 + Acetoa!C21 + 'Feio Lie'!C21</f>
        <v>601592633.71266997</v>
      </c>
      <c r="Y21" s="5">
        <f t="shared" si="6"/>
        <v>1.0206761484304255E-2</v>
      </c>
      <c r="Z21" s="5">
        <f t="shared" si="7"/>
        <v>0.1083879858596731</v>
      </c>
      <c r="AG21" s="3">
        <f t="shared" si="8"/>
        <v>1996</v>
      </c>
      <c r="AH21" s="3">
        <v>1746</v>
      </c>
      <c r="AI21" s="4">
        <f>Taniduna!C21 + Jathua!C21 + Deschon!C21 + Pelines!C21 + 'Candenat'!C21 + Othya!C21 + Yoprioq!C21 + Jshain!C21 + 'Fire Coast'!C21 + 'Rijan bu'!C21 + 'Rinew'!C21 + Enina!C21 + Trevilla!C21</f>
        <v>156992603.09842017</v>
      </c>
      <c r="AJ21" s="5">
        <f t="shared" si="9"/>
        <v>2.7333813817925701E-2</v>
      </c>
      <c r="AK21" s="5">
        <f t="shared" si="10"/>
        <v>2.8285107049419091E-2</v>
      </c>
      <c r="AR21" s="3">
        <f t="shared" si="11"/>
        <v>1996</v>
      </c>
      <c r="AS21" s="3">
        <v>1746</v>
      </c>
      <c r="AT21" s="4">
        <f>Gaeiya!C21 + 'Raledria'!C21 + Arbiya!C21 + Fincen!C21 + 'Curata'!C21</f>
        <v>252914128.5921841</v>
      </c>
      <c r="AU21" s="5">
        <f t="shared" si="12"/>
        <v>1.1703381581234617E-2</v>
      </c>
      <c r="AV21" s="5">
        <f t="shared" si="13"/>
        <v>4.5567135395899815E-2</v>
      </c>
      <c r="BC21" s="3">
        <f t="shared" si="14"/>
        <v>1996</v>
      </c>
      <c r="BD21" s="3">
        <v>1746</v>
      </c>
      <c r="BE21" s="4">
        <f>Etirha!C21 + Laselteh!C21 + Grazail!C21 + 'Disal Nila'!C21 + Pelan!C21 + Peka!C21 + Guise!C21</f>
        <v>93763073.930723265</v>
      </c>
      <c r="BF21" s="5">
        <f t="shared" si="15"/>
        <v>1.0841020453774027E-2</v>
      </c>
      <c r="BG21" s="5">
        <f t="shared" si="16"/>
        <v>1.6893143569002917E-2</v>
      </c>
      <c r="BN21" s="3">
        <f t="shared" si="17"/>
        <v>1996</v>
      </c>
      <c r="BO21" s="3">
        <v>1746</v>
      </c>
      <c r="BP21" s="4">
        <f>Genaire!C21 + 'New Misos'!C21 + Phuris!C21 + Lasri!C21 + Slyiaduun!C21 + Aetintio!C21 + Metndria!C21 + Tomscilus!C21</f>
        <v>82856184.521579817</v>
      </c>
      <c r="BQ21" s="5">
        <f t="shared" si="18"/>
        <v>1.2247988135916781E-2</v>
      </c>
      <c r="BR21" s="5">
        <f t="shared" si="19"/>
        <v>1.4928066690059806E-2</v>
      </c>
      <c r="BY21" s="3">
        <f t="shared" si="20"/>
        <v>1996</v>
      </c>
      <c r="BZ21" s="3">
        <v>1746</v>
      </c>
      <c r="CA21" s="4">
        <f>Ealdorii!C21 + Ukhdari!C21 + Hkuqo!C21 + Acrana!C21 + Zenashan!C21</f>
        <v>237985037.10972109</v>
      </c>
      <c r="CB21" s="7">
        <f t="shared" si="21"/>
        <v>1.0331253594467698E-2</v>
      </c>
      <c r="CC21" s="5">
        <f t="shared" si="22"/>
        <v>4.2877384780915039E-2</v>
      </c>
      <c r="CJ21" s="3">
        <f t="shared" si="23"/>
        <v>1996</v>
      </c>
      <c r="CK21" s="3">
        <v>1746</v>
      </c>
      <c r="CL21" s="4">
        <f>Estijan!C21 + Ikzen!C21 + Urbiqu!C21 + Danocia!C21 + Koruch!C21 + 'New Kizura'!C21 + Lydroa!C21 + Fermori!C21 + Uularin!C21 + 'Niul Spijan'!C21</f>
        <v>253619870.5253731</v>
      </c>
      <c r="CM21" s="7">
        <f t="shared" si="24"/>
        <v>6.0631049039171006E-3</v>
      </c>
      <c r="CN21" s="5">
        <f t="shared" si="25"/>
        <v>4.5694287795029091E-2</v>
      </c>
      <c r="CU21" s="3">
        <f t="shared" si="26"/>
        <v>1996</v>
      </c>
      <c r="CV21" s="3">
        <v>1746</v>
      </c>
      <c r="CW21" s="4">
        <f>Praesyu!C21 + Lycroa!C21 + Emara!C21 + Eldjo!C21 + Easuhura!C21 + Ilicuhe!C21 + Tonder!C21</f>
        <v>228659112.28390297</v>
      </c>
      <c r="CX21" s="7">
        <f t="shared" si="27"/>
        <v>3.2825353999073503E-3</v>
      </c>
      <c r="CY21" s="5">
        <f t="shared" si="28"/>
        <v>4.1197147770845641E-2</v>
      </c>
      <c r="DF21" s="3">
        <f t="shared" si="29"/>
        <v>1996</v>
      </c>
      <c r="DG21" s="3">
        <v>1746</v>
      </c>
      <c r="DH21" s="4">
        <f>Verusa!C21 + Darewa!C21 + Siana!C21 + Yaxuto!C21 + 'Merela Sta'!C21 + Palina!C21</f>
        <v>163292879.57480115</v>
      </c>
      <c r="DI21" s="7">
        <f t="shared" si="30"/>
        <v>1.8734812028764851E-3</v>
      </c>
      <c r="DJ21" s="5">
        <f t="shared" si="31"/>
        <v>2.9420217819342787E-2</v>
      </c>
      <c r="DQ21" s="3">
        <f t="shared" si="32"/>
        <v>1996</v>
      </c>
      <c r="DR21" s="3">
        <v>1746</v>
      </c>
      <c r="DS21" s="4">
        <f>Sunsokua!C21 + Vayvele!C21 + Selaja!C21 + Sadain!C21</f>
        <v>163222680.63018811</v>
      </c>
      <c r="DT21" s="7">
        <f t="shared" si="33"/>
        <v>1.4072467381733893E-2</v>
      </c>
      <c r="DU21" s="5">
        <f t="shared" si="34"/>
        <v>2.9407570187391034E-2</v>
      </c>
      <c r="EB21" s="3">
        <f t="shared" si="35"/>
        <v>1996</v>
      </c>
      <c r="EC21" s="3">
        <v>1746</v>
      </c>
      <c r="ED21" s="4">
        <f>Pelugrotoa!C21 + Lieri!C21 + 'Rtesania'!C21 + Ozinia!C21</f>
        <v>355208020.4842</v>
      </c>
      <c r="EE21" s="7">
        <f t="shared" si="36"/>
        <v>9.1858562059238882E-3</v>
      </c>
      <c r="EF21" s="5">
        <f t="shared" si="37"/>
        <v>6.3997262838614274E-2</v>
      </c>
      <c r="EM21" s="3">
        <f t="shared" si="38"/>
        <v>1996</v>
      </c>
      <c r="EN21" s="3">
        <v>1746</v>
      </c>
      <c r="EO21" s="4">
        <f>Ocaun!C21 + 'Dual Cenryia'!C21 + Byllu!C21 + Exilium!C21 + Inrea!C21 + Amcha!C21 + Isnti!C21 + Galca!C21 + Otiiric!C21 + Taing!C21 + 'Cruthi Anoso'!C21</f>
        <v>213658115.23376873</v>
      </c>
      <c r="EP21" s="7">
        <f t="shared" si="39"/>
        <v>2.0817961675172917E-2</v>
      </c>
      <c r="EQ21" s="5">
        <f t="shared" si="40"/>
        <v>3.8494442044353129E-2</v>
      </c>
      <c r="EX21" s="3">
        <f t="shared" si="41"/>
        <v>1996</v>
      </c>
      <c r="EY21" s="3">
        <v>1746</v>
      </c>
      <c r="EZ21" s="4">
        <f>Sivoso!C21 + Taoisia!C21 + Seytinemas!C21 + Trian!C21 + 'Chaenia'!C21</f>
        <v>122197649.21691458</v>
      </c>
      <c r="FA21" s="7">
        <f t="shared" si="42"/>
        <v>1.500397037550121E-2</v>
      </c>
      <c r="FB21" s="5">
        <f t="shared" si="43"/>
        <v>2.201615567276732E-2</v>
      </c>
      <c r="FI21" s="3">
        <f t="shared" si="44"/>
        <v>1996</v>
      </c>
      <c r="FJ21" s="3">
        <v>1746</v>
      </c>
      <c r="FK21" s="4">
        <f>Migoku!C21 + 'Welenu Fana'!C21 + Haiza!C21 + Ucrua!C21 + Ihner!C21 + Oscairia!C21 + Shinam!C21 + 'Ruylku'!C21 + Taval!C21 + 'Western Migoku'!C21 + 'Pruim Fijan'!C21 + 'Canldives'!C21</f>
        <v>133468011.00474103</v>
      </c>
      <c r="FL21" s="7">
        <f t="shared" si="45"/>
        <v>2.1352299319046839E-2</v>
      </c>
      <c r="FM21" s="5">
        <f t="shared" si="46"/>
        <v>2.4046718790792093E-2</v>
      </c>
      <c r="FT21" s="3">
        <f t="shared" si="47"/>
        <v>1996</v>
      </c>
      <c r="FU21" s="3">
        <v>1746</v>
      </c>
      <c r="FV21" s="4">
        <f>Vesozata!C21 + Etretes!C21 + Kusierna!C21 + Eparia!C21</f>
        <v>101891462.81643459</v>
      </c>
      <c r="FW21" s="7">
        <f t="shared" si="48"/>
        <v>2.5411217377363113E-2</v>
      </c>
      <c r="FX21" s="5">
        <f t="shared" si="49"/>
        <v>1.8357622437650753E-2</v>
      </c>
      <c r="GE21" s="3">
        <f t="shared" si="50"/>
        <v>1996</v>
      </c>
      <c r="GF21" s="3">
        <v>1746</v>
      </c>
      <c r="GG21" s="4">
        <f>Dahe!C21 + Kaastini!C21 + Suenan!C21 + Oyreain!C21 + Sanagara!C21 + 'North Ayre'!C21 + Stinebar!C21 + 'Cloja'!C21 + 'Pha Hii'!C21 + 'Prystr Hii'!C21</f>
        <v>958108696.04113162</v>
      </c>
      <c r="GH21" s="7">
        <f t="shared" si="51"/>
        <v>6.0736385555558246E-3</v>
      </c>
      <c r="GI21" s="5">
        <f t="shared" si="52"/>
        <v>0.17262091651231087</v>
      </c>
      <c r="GP21" s="3">
        <f t="shared" si="53"/>
        <v>1996</v>
      </c>
      <c r="GQ21" s="3">
        <v>1746</v>
      </c>
      <c r="GR21" s="4">
        <f>Maalle!C21 + 'United Delet'!C21 + Ohtina!C21 + Astye!C21 + Prstreula!C21 + Veelmit!C21 + Aplasia!C21 + 'Elja and Munusia'!C21 + Walporein!C21 + 'Crila Republic'!C21 + 'Niretui and Anulan'!C21 + 'Rethern'!C21 + Tvecoca!C21</f>
        <v>154549339.56490856</v>
      </c>
      <c r="GS21" s="7">
        <f t="shared" si="54"/>
        <v>1.845114920005864E-2</v>
      </c>
      <c r="GT21" s="5">
        <f t="shared" si="55"/>
        <v>2.7844908153220181E-2</v>
      </c>
      <c r="HA21" s="3">
        <f t="shared" si="56"/>
        <v>1996</v>
      </c>
      <c r="HB21" s="3">
        <v>1746</v>
      </c>
      <c r="HC21" s="4">
        <f>Andsaudare!C21 + Nia!C21 + Umarcia!C21 + Mendereide!C21 + Iainoa!C21 + Isari!C21 + 'Rkmepuia'!C21 + Hiwush!C21 + Isuibul!C21 + Yutnitu!C21</f>
        <v>54268310.629498117</v>
      </c>
      <c r="HD21" s="7">
        <f t="shared" si="57"/>
        <v>1.7099085036119149E-2</v>
      </c>
      <c r="HE21" s="5">
        <f t="shared" si="58"/>
        <v>9.7774350208346145E-3</v>
      </c>
      <c r="HL21" s="3">
        <f t="shared" si="59"/>
        <v>1996</v>
      </c>
      <c r="HM21" s="3">
        <v>1746</v>
      </c>
      <c r="HN21" s="4">
        <f>Zhanshe!C21 + Volver!C21 + Finae!C21 + Myla!C21 + 'Nheyes Si'!C21 + Onphello!C21 + Hyelen!C21</f>
        <v>96419842.899799541</v>
      </c>
      <c r="HO21" s="7">
        <f t="shared" si="60"/>
        <v>1.9272922822862956E-2</v>
      </c>
      <c r="HP21" s="5">
        <f t="shared" si="61"/>
        <v>1.7371809399193569E-2</v>
      </c>
      <c r="HW21" s="3">
        <f t="shared" si="62"/>
        <v>1996</v>
      </c>
      <c r="HX21" s="3">
        <v>1746</v>
      </c>
      <c r="HY21" s="4">
        <f>Yihnurda!C21 + Ztesh!C21 + Wundry!C21 + Anymna!C21 + Shomjind!C21 + Baluyde!C21 + Letan!C21</f>
        <v>416583042.35717803</v>
      </c>
      <c r="HZ21" s="7">
        <f t="shared" si="63"/>
        <v>2.2553343973399129E-2</v>
      </c>
      <c r="IA21" s="5">
        <f t="shared" si="64"/>
        <v>7.5055102695880088E-2</v>
      </c>
      <c r="IH21" s="3">
        <f t="shared" si="65"/>
        <v>1996</v>
      </c>
      <c r="II21" s="3">
        <v>1746</v>
      </c>
      <c r="IJ21" s="4">
        <f>Iareva!C21 + 'United Mihili'!C21 + 'Mesjan Hyaa'!C21 + Desaki!C21 + 'Far Lands'!C21</f>
        <v>53400876.085204706</v>
      </c>
      <c r="IK21" s="7">
        <f t="shared" si="66"/>
        <v>2.7439083810055137E-2</v>
      </c>
      <c r="IL21" s="5">
        <f t="shared" si="67"/>
        <v>9.6211507217054265E-3</v>
      </c>
      <c r="IS21" s="3">
        <f t="shared" si="68"/>
        <v>1996</v>
      </c>
      <c r="IT21" s="3">
        <v>1746</v>
      </c>
      <c r="IU21" s="4">
        <f>Verste!C21 + Quidic!C21 + Erkizil!C21 + Ashain!C21 + Ahokini!C21</f>
        <v>297462107.22680211</v>
      </c>
      <c r="IV21" s="7">
        <f t="shared" si="69"/>
        <v>1.6153165593384079E-2</v>
      </c>
      <c r="IW21" s="5">
        <f t="shared" si="70"/>
        <v>5.3593273695711756E-2</v>
      </c>
    </row>
    <row r="22" spans="1:257" ht="22.5" customHeight="1">
      <c r="A22" s="3">
        <f t="shared" si="0"/>
        <v>1995</v>
      </c>
      <c r="B22" s="3">
        <v>1745</v>
      </c>
      <c r="C22" s="4">
        <f>Acetoa!C22 + Acrana!C22 + Aetintio!C22 + Ahokini!C22 + Amcha!C22 + Andsaudare!C22 + Anymna!C22 + Aplasia!C22 + Arbiya!C22 + 'Areoix Lie'!C22 + Ashain!C22 + Astye!C22 + Baluyde!C22 + Byllu!C22 + 'Candenat'!C22 + 'Canldives'!C22 + 'Chaenia'!C22 + 'Cloja'!C22 + 'Crila Republic'!C22 + 'Cruthi Anoso'!C22 + 'Curata'!C22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'Raledria'!C22 + 'Reerica'!C22 + 'Rethern'!C22 + 'Rijan bu'!C22 + 'Rinew'!C22 + 'Rkmepuia'!C22 + 'Rtesania'!C22 + 'Ruylku'!C22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5480249633.4321842</v>
      </c>
      <c r="D22" s="5">
        <f t="shared" si="1"/>
        <v>1.3113365140102765E-2</v>
      </c>
      <c r="K22" s="3">
        <f t="shared" si="2"/>
        <v>1995</v>
      </c>
      <c r="L22" s="3">
        <v>1745</v>
      </c>
      <c r="M22" s="4">
        <f>Eldavpir!C22 + Iquir!C22 + Viussi!C22 + Umendel!C22 + 'Reerica'!C22 + Saa!C22 + Sattle!C22</f>
        <v>65670833.843987748</v>
      </c>
      <c r="N22" s="5">
        <f t="shared" si="3"/>
        <v>2.9488643734337357E-2</v>
      </c>
      <c r="O22" s="5">
        <f t="shared" si="4"/>
        <v>1.1983182927172473E-2</v>
      </c>
      <c r="V22" s="3">
        <f t="shared" si="5"/>
        <v>1995</v>
      </c>
      <c r="W22" s="3">
        <v>1745</v>
      </c>
      <c r="X22" s="4">
        <f>'Areoix Lie'!C22 + Jau!C22 + Terressin!C22 + Acetoa!C22 + 'Feio Lie'!C22</f>
        <v>595514360.67280471</v>
      </c>
      <c r="Y22" s="5">
        <f t="shared" si="6"/>
        <v>9.8962667560625189E-3</v>
      </c>
      <c r="Z22" s="5">
        <f t="shared" si="7"/>
        <v>0.10866555367110978</v>
      </c>
      <c r="AG22" s="3">
        <f t="shared" si="8"/>
        <v>1995</v>
      </c>
      <c r="AH22" s="3">
        <v>1745</v>
      </c>
      <c r="AI22" s="4">
        <f>Taniduna!C22 + Jathua!C22 + Deschon!C22 + Pelines!C22 + 'Candenat'!C22 + Othya!C22 + Yoprioq!C22 + Jshain!C22 + 'Fire Coast'!C22 + 'Rijan bu'!C22 + 'Rinew'!C22 + Enina!C22 + Trevilla!C22</f>
        <v>152815570.73935071</v>
      </c>
      <c r="AJ22" s="5">
        <f t="shared" si="9"/>
        <v>2.749564489467583E-2</v>
      </c>
      <c r="AK22" s="5">
        <f t="shared" si="10"/>
        <v>2.7884782803889355E-2</v>
      </c>
      <c r="AR22" s="3">
        <f t="shared" si="11"/>
        <v>1995</v>
      </c>
      <c r="AS22" s="3">
        <v>1745</v>
      </c>
      <c r="AT22" s="4">
        <f>Gaeiya!C22 + 'Raledria'!C22 + Arbiya!C22 + Fincen!C22 + 'Curata'!C22</f>
        <v>249988418.73681766</v>
      </c>
      <c r="AU22" s="5">
        <f t="shared" si="12"/>
        <v>1.0796046987620057E-2</v>
      </c>
      <c r="AV22" s="5">
        <f t="shared" si="13"/>
        <v>4.5616246605221573E-2</v>
      </c>
      <c r="BC22" s="3">
        <f t="shared" si="14"/>
        <v>1995</v>
      </c>
      <c r="BD22" s="3">
        <v>1745</v>
      </c>
      <c r="BE22" s="4">
        <f>Etirha!C22 + Laselteh!C22 + Grazail!C22 + 'Disal Nila'!C22 + Pelan!C22 + Peka!C22 + Guise!C22</f>
        <v>92757488.104936942</v>
      </c>
      <c r="BF22" s="5">
        <f t="shared" si="15"/>
        <v>9.6403514466427837E-3</v>
      </c>
      <c r="BG22" s="5">
        <f t="shared" si="16"/>
        <v>1.6925777895056317E-2</v>
      </c>
      <c r="BN22" s="3">
        <f t="shared" si="17"/>
        <v>1995</v>
      </c>
      <c r="BO22" s="3">
        <v>1745</v>
      </c>
      <c r="BP22" s="4">
        <f>Genaire!C22 + 'New Misos'!C22 + Phuris!C22 + Lasri!C22 + Slyiaduun!C22 + Aetintio!C22 + Metndria!C22 + Tomscilus!C22</f>
        <v>81853642.08444792</v>
      </c>
      <c r="BQ22" s="5">
        <f t="shared" si="18"/>
        <v>1.2430244281072023E-2</v>
      </c>
      <c r="BR22" s="5">
        <f t="shared" si="19"/>
        <v>1.4936115607781979E-2</v>
      </c>
      <c r="BY22" s="3">
        <f t="shared" si="20"/>
        <v>1995</v>
      </c>
      <c r="BZ22" s="3">
        <v>1745</v>
      </c>
      <c r="CA22" s="4">
        <f>Ealdorii!C22 + Ukhdari!C22 + Hkuqo!C22 + Acrana!C22 + Zenashan!C22</f>
        <v>235551494.8815439</v>
      </c>
      <c r="CB22" s="6">
        <f t="shared" si="21"/>
        <v>1.0947576233618212E-2</v>
      </c>
      <c r="CC22" s="5">
        <f t="shared" si="22"/>
        <v>4.2981891453368365E-2</v>
      </c>
      <c r="CJ22" s="3">
        <f t="shared" si="23"/>
        <v>1995</v>
      </c>
      <c r="CK22" s="3">
        <v>1745</v>
      </c>
      <c r="CL22" s="4">
        <f>Estijan!C22 + Ikzen!C22 + Urbiqu!C22 + Danocia!C22 + Koruch!C22 + 'New Kizura'!C22 + Lydroa!C22 + Fermori!C22 + Uularin!C22 + 'Niul Spijan'!C22</f>
        <v>252091413.83789715</v>
      </c>
      <c r="CM22" s="6">
        <f t="shared" si="24"/>
        <v>4.8686543691441831E-3</v>
      </c>
      <c r="CN22" s="5">
        <f t="shared" si="25"/>
        <v>4.5999987354593687E-2</v>
      </c>
      <c r="CU22" s="3">
        <f t="shared" si="26"/>
        <v>1995</v>
      </c>
      <c r="CV22" s="3">
        <v>1745</v>
      </c>
      <c r="CW22" s="4">
        <f>Praesyu!C22 + Lycroa!C22 + Emara!C22 + Eldjo!C22 + Easuhura!C22 + Ilicuhe!C22 + Tonder!C22</f>
        <v>227910986.4030073</v>
      </c>
      <c r="CX22" s="6">
        <f t="shared" si="27"/>
        <v>3.1665724318675616E-3</v>
      </c>
      <c r="CY22" s="5">
        <f t="shared" si="28"/>
        <v>4.1587701591664659E-2</v>
      </c>
      <c r="DF22" s="3">
        <f t="shared" si="29"/>
        <v>1995</v>
      </c>
      <c r="DG22" s="3">
        <v>1745</v>
      </c>
      <c r="DH22" s="4">
        <f>Verusa!C22 + Darewa!C22 + Siana!C22 + Yaxuto!C22 + 'Merela Sta'!C22 + Palina!C22</f>
        <v>162987525.50945583</v>
      </c>
      <c r="DI22" s="6">
        <f t="shared" si="30"/>
        <v>2.3910375785993138E-3</v>
      </c>
      <c r="DJ22" s="5">
        <f t="shared" si="31"/>
        <v>2.9740894377356969E-2</v>
      </c>
      <c r="DQ22" s="3">
        <f t="shared" si="32"/>
        <v>1995</v>
      </c>
      <c r="DR22" s="3">
        <v>1745</v>
      </c>
      <c r="DS22" s="4">
        <f>Sunsokua!C22 + Vayvele!C22 + Selaja!C22 + Sadain!C22</f>
        <v>160957609.91481996</v>
      </c>
      <c r="DT22" s="6">
        <f t="shared" si="33"/>
        <v>1.5315815097719664E-2</v>
      </c>
      <c r="DU22" s="5">
        <f t="shared" si="34"/>
        <v>2.9370488696883509E-2</v>
      </c>
      <c r="EB22" s="3">
        <f t="shared" si="35"/>
        <v>1995</v>
      </c>
      <c r="EC22" s="3">
        <v>1745</v>
      </c>
      <c r="ED22" s="4">
        <f>Pelugrotoa!C22 + Lieri!C22 + 'Rtesania'!C22 + Ozinia!C22</f>
        <v>351974830.30491459</v>
      </c>
      <c r="EE22" s="6">
        <f t="shared" si="36"/>
        <v>9.2584627381022133E-3</v>
      </c>
      <c r="EF22" s="5">
        <f t="shared" si="37"/>
        <v>6.4226057907599166E-2</v>
      </c>
      <c r="EM22" s="3">
        <f t="shared" si="38"/>
        <v>1995</v>
      </c>
      <c r="EN22" s="3">
        <v>1745</v>
      </c>
      <c r="EO22" s="4">
        <f>Ocaun!C22 + 'Dual Cenryia'!C22 + Byllu!C22 + Exilium!C22 + Inrea!C22 + Amcha!C22 + Isnti!C22 + Galca!C22 + Otiiric!C22 + Taing!C22 + 'Cruthi Anoso'!C22</f>
        <v>209300897.17774317</v>
      </c>
      <c r="EP22" s="6">
        <f t="shared" si="39"/>
        <v>2.8145825476154469E-2</v>
      </c>
      <c r="EQ22" s="5">
        <f t="shared" si="40"/>
        <v>3.8191854601094456E-2</v>
      </c>
      <c r="EX22" s="3">
        <f t="shared" si="41"/>
        <v>1995</v>
      </c>
      <c r="EY22" s="3">
        <v>1745</v>
      </c>
      <c r="EZ22" s="4">
        <f>Sivoso!C22 + Taoisia!C22 + Seytinemas!C22 + Trian!C22 + 'Chaenia'!C22</f>
        <v>120391301.69284707</v>
      </c>
      <c r="FA22" s="6">
        <f t="shared" si="42"/>
        <v>1.606949749559046E-2</v>
      </c>
      <c r="FB22" s="5">
        <f t="shared" si="43"/>
        <v>2.1968214907292116E-2</v>
      </c>
      <c r="FI22" s="3">
        <f t="shared" si="44"/>
        <v>1995</v>
      </c>
      <c r="FJ22" s="3">
        <v>1745</v>
      </c>
      <c r="FK22" s="4">
        <f>Migoku!C22 + 'Welenu Fana'!C22 + Haiza!C22 + Ucrua!C22 + Ihner!C22 + Oscairia!C22 + Shinam!C22 + 'Ruylku'!C22 + Taval!C22 + 'Western Migoku'!C22 + 'Pruim Fijan'!C22 + 'Canldives'!C22</f>
        <v>130677740.76949398</v>
      </c>
      <c r="FL22" s="6">
        <f t="shared" si="45"/>
        <v>2.2156175052909555E-2</v>
      </c>
      <c r="FM22" s="5">
        <f t="shared" si="46"/>
        <v>2.3845216825944624E-2</v>
      </c>
      <c r="FT22" s="3">
        <f t="shared" si="47"/>
        <v>1995</v>
      </c>
      <c r="FU22" s="3">
        <v>1745</v>
      </c>
      <c r="FV22" s="4">
        <f>Vesozata!C22 + Etretes!C22 + Kusierna!C22 + Eparia!C22</f>
        <v>99366440.594473585</v>
      </c>
      <c r="FW22" s="6">
        <f t="shared" si="48"/>
        <v>2.5983762390709316E-2</v>
      </c>
      <c r="FX22" s="5">
        <f t="shared" si="49"/>
        <v>1.8131736187397385E-2</v>
      </c>
      <c r="GE22" s="3">
        <f t="shared" si="50"/>
        <v>1995</v>
      </c>
      <c r="GF22" s="3">
        <v>1745</v>
      </c>
      <c r="GG22" s="4">
        <f>Dahe!C22 + Kaastini!C22 + Suenan!C22 + Oyreain!C22 + Sanagara!C22 + 'North Ayre'!C22 + Stinebar!C22 + 'Cloja'!C22 + 'Pha Hii'!C22 + 'Prystr Hii'!C22</f>
        <v>952324620.50860548</v>
      </c>
      <c r="GH22" s="6">
        <f t="shared" si="51"/>
        <v>6.3655889128980576E-3</v>
      </c>
      <c r="GI22" s="5">
        <f t="shared" si="52"/>
        <v>0.17377394903673052</v>
      </c>
      <c r="GP22" s="3">
        <f t="shared" si="53"/>
        <v>1995</v>
      </c>
      <c r="GQ22" s="3">
        <v>1745</v>
      </c>
      <c r="GR22" s="4">
        <f>Maalle!C22 + 'United Delet'!C22 + Ohtina!C22 + Astye!C22 + Prstreula!C22 + Veelmit!C22 + Aplasia!C22 + 'Elja and Munusia'!C22 + Walporein!C22 + 'Crila Republic'!C22 + 'Niretui and Anulan'!C22 + 'Rethern'!C22 + Tvecoca!C22</f>
        <v>151749388.94840384</v>
      </c>
      <c r="GS22" s="6">
        <f t="shared" si="54"/>
        <v>1.9366843445482E-2</v>
      </c>
      <c r="GT22" s="5">
        <f t="shared" si="55"/>
        <v>2.7690232945349582E-2</v>
      </c>
      <c r="HA22" s="3">
        <f t="shared" si="56"/>
        <v>1995</v>
      </c>
      <c r="HB22" s="3">
        <v>1745</v>
      </c>
      <c r="HC22" s="4">
        <f>Andsaudare!C22 + Nia!C22 + Umarcia!C22 + Mendereide!C22 + Iainoa!C22 + Isari!C22 + 'Rkmepuia'!C22 + Hiwush!C22 + Isuibul!C22 + Yutnitu!C22</f>
        <v>53355972.32158649</v>
      </c>
      <c r="HD22" s="6">
        <f t="shared" si="57"/>
        <v>9.6533756288088284E-3</v>
      </c>
      <c r="HE22" s="5">
        <f t="shared" si="58"/>
        <v>9.7360477880586212E-3</v>
      </c>
      <c r="HL22" s="3">
        <f t="shared" si="59"/>
        <v>1995</v>
      </c>
      <c r="HM22" s="3">
        <v>1745</v>
      </c>
      <c r="HN22" s="4">
        <f>Zhanshe!C22 + Volver!C22 + Finae!C22 + Myla!C22 + 'Nheyes Si'!C22 + Onphello!C22 + Hyelen!C22</f>
        <v>94596688.228277519</v>
      </c>
      <c r="HO22" s="6">
        <f t="shared" si="60"/>
        <v>2.0465764502343272E-2</v>
      </c>
      <c r="HP22" s="5">
        <f t="shared" si="61"/>
        <v>1.7261383067514256E-2</v>
      </c>
      <c r="HW22" s="3">
        <f t="shared" si="62"/>
        <v>1995</v>
      </c>
      <c r="HX22" s="3">
        <v>1745</v>
      </c>
      <c r="HY22" s="4">
        <f>Yihnurda!C22 + Ztesh!C22 + Wundry!C22 + Anymna!C22 + Shomjind!C22 + Baluyde!C22 + Letan!C22</f>
        <v>407394924.49209094</v>
      </c>
      <c r="HZ22" s="6">
        <f t="shared" si="63"/>
        <v>2.2957075021294699E-2</v>
      </c>
      <c r="IA22" s="5">
        <f t="shared" si="64"/>
        <v>7.4338753112045131E-2</v>
      </c>
      <c r="IH22" s="3">
        <f t="shared" si="65"/>
        <v>1995</v>
      </c>
      <c r="II22" s="3">
        <v>1745</v>
      </c>
      <c r="IJ22" s="4">
        <f>Iareva!C22 + 'United Mihili'!C22 + 'Mesjan Hyaa'!C22 + Desaki!C22 + 'Far Lands'!C22</f>
        <v>51974736.922775112</v>
      </c>
      <c r="IK22" s="6">
        <f t="shared" si="66"/>
        <v>2.8367810854965654E-2</v>
      </c>
      <c r="IL22" s="5">
        <f t="shared" si="67"/>
        <v>9.4840090140609606E-3</v>
      </c>
      <c r="IS22" s="3">
        <f t="shared" si="68"/>
        <v>1995</v>
      </c>
      <c r="IT22" s="3">
        <v>1745</v>
      </c>
      <c r="IU22" s="4">
        <f>Verste!C22 + Quidic!C22 + Erkizil!C22 + Ashain!C22 + Ahokini!C22</f>
        <v>292733533.97772342</v>
      </c>
      <c r="IV22" s="6">
        <f t="shared" si="69"/>
        <v>1.646127436491409E-2</v>
      </c>
      <c r="IW22" s="5">
        <f t="shared" si="70"/>
        <v>5.3416094805591827E-2</v>
      </c>
    </row>
    <row r="23" spans="1:257" ht="22.5" customHeight="1">
      <c r="A23" s="3">
        <f t="shared" si="0"/>
        <v>1994</v>
      </c>
      <c r="B23" s="3">
        <v>1744</v>
      </c>
      <c r="C23" s="4">
        <f>Acetoa!C23 + Acrana!C23 + Aetintio!C23 + Ahokini!C23 + Amcha!C23 + Andsaudare!C23 + Anymna!C23 + Aplasia!C23 + Arbiya!C23 + 'Areoix Lie'!C23 + Ashain!C23 + Astye!C23 + Baluyde!C23 + Byllu!C23 + 'Candenat'!C23 + 'Canldives'!C23 + 'Chaenia'!C23 + 'Cloja'!C23 + 'Crila Republic'!C23 + 'Cruthi Anoso'!C23 + 'Curata'!C23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'Raledria'!C23 + 'Reerica'!C23 + 'Rethern'!C23 + 'Rijan bu'!C23 + 'Rinew'!C23 + 'Rkmepuia'!C23 + 'Rtesania'!C23 + 'Ruylku'!C23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5409315306.6580305</v>
      </c>
      <c r="D23" s="5">
        <f t="shared" si="1"/>
        <v>1.3184623830067322E-2</v>
      </c>
      <c r="K23" s="3">
        <f t="shared" si="2"/>
        <v>1994</v>
      </c>
      <c r="L23" s="3">
        <v>1744</v>
      </c>
      <c r="M23" s="4">
        <f>Eldavpir!C23 + Iquir!C23 + Viussi!C23 + Umendel!C23 + 'Reerica'!C23 + Saa!C23 + Sattle!C23</f>
        <v>63789760.327782989</v>
      </c>
      <c r="N23" s="5">
        <f t="shared" si="3"/>
        <v>2.6577326381007033E-2</v>
      </c>
      <c r="O23" s="5">
        <f t="shared" si="4"/>
        <v>1.1792575716425268E-2</v>
      </c>
      <c r="V23" s="3">
        <f t="shared" si="5"/>
        <v>1994</v>
      </c>
      <c r="W23" s="3">
        <v>1744</v>
      </c>
      <c r="X23" s="4">
        <f>'Areoix Lie'!C23 + Jau!C23 + Terressin!C23 + Acetoa!C23 + 'Feio Lie'!C23</f>
        <v>589678742.53628612</v>
      </c>
      <c r="Y23" s="5">
        <f t="shared" si="6"/>
        <v>9.7457482774303099E-3</v>
      </c>
      <c r="Z23" s="5">
        <f t="shared" si="7"/>
        <v>0.10901171573609007</v>
      </c>
      <c r="AG23" s="3">
        <f t="shared" si="8"/>
        <v>1994</v>
      </c>
      <c r="AH23" s="3">
        <v>1744</v>
      </c>
      <c r="AI23" s="4">
        <f>Taniduna!C23 + Jathua!C23 + Deschon!C23 + Pelines!C23 + 'Candenat'!C23 + Othya!C23 + Yoprioq!C23 + Jshain!C23 + 'Fire Coast'!C23 + 'Rijan bu'!C23 + 'Rinew'!C23 + Enina!C23 + Trevilla!C23</f>
        <v>148726246.67427683</v>
      </c>
      <c r="AJ23" s="5">
        <f t="shared" si="9"/>
        <v>2.498606289184974E-2</v>
      </c>
      <c r="AK23" s="5">
        <f t="shared" si="10"/>
        <v>2.7494468013579802E-2</v>
      </c>
      <c r="AR23" s="3">
        <f t="shared" si="11"/>
        <v>1994</v>
      </c>
      <c r="AS23" s="3">
        <v>1744</v>
      </c>
      <c r="AT23" s="4">
        <f>Gaeiya!C23 + 'Raledria'!C23 + Arbiya!C23 + Fincen!C23 + 'Curata'!C23</f>
        <v>247318358.12163544</v>
      </c>
      <c r="AU23" s="5">
        <f t="shared" si="12"/>
        <v>9.4681339005213538E-3</v>
      </c>
      <c r="AV23" s="5">
        <f t="shared" si="13"/>
        <v>4.5720824929030256E-2</v>
      </c>
      <c r="BC23" s="3">
        <f t="shared" si="14"/>
        <v>1994</v>
      </c>
      <c r="BD23" s="3">
        <v>1744</v>
      </c>
      <c r="BE23" s="4">
        <f>Etirha!C23 + Laselteh!C23 + Grazail!C23 + 'Disal Nila'!C23 + Pelan!C23 + Peka!C23 + Guise!C23</f>
        <v>91871811.553521261</v>
      </c>
      <c r="BF23" s="5">
        <f t="shared" si="15"/>
        <v>1.3557885803976264E-2</v>
      </c>
      <c r="BG23" s="5">
        <f t="shared" si="16"/>
        <v>1.6984000071218121E-2</v>
      </c>
      <c r="BN23" s="3">
        <f t="shared" si="17"/>
        <v>1994</v>
      </c>
      <c r="BO23" s="3">
        <v>1744</v>
      </c>
      <c r="BP23" s="4">
        <f>Genaire!C23 + 'New Misos'!C23 + Phuris!C23 + Lasri!C23 + Slyiaduun!C23 + Aetintio!C23 + Metndria!C23 + Tomscilus!C23</f>
        <v>80848673.325214908</v>
      </c>
      <c r="BQ23" s="5">
        <f t="shared" si="18"/>
        <v>1.2851897500886993E-2</v>
      </c>
      <c r="BR23" s="5">
        <f t="shared" si="19"/>
        <v>1.4946193509130942E-2</v>
      </c>
      <c r="BY23" s="3">
        <f t="shared" si="20"/>
        <v>1994</v>
      </c>
      <c r="BZ23" s="3">
        <v>1744</v>
      </c>
      <c r="CA23" s="4">
        <f>Ealdorii!C23 + Ukhdari!C23 + Hkuqo!C23 + Acrana!C23 + Zenashan!C23</f>
        <v>233000701.93462801</v>
      </c>
      <c r="CB23" s="7">
        <f t="shared" si="21"/>
        <v>8.715646404730824E-3</v>
      </c>
      <c r="CC23" s="5">
        <f t="shared" si="22"/>
        <v>4.3073973086360892E-2</v>
      </c>
      <c r="CJ23" s="3">
        <f t="shared" si="23"/>
        <v>1994</v>
      </c>
      <c r="CK23" s="3">
        <v>1744</v>
      </c>
      <c r="CL23" s="4">
        <f>Estijan!C23 + Ikzen!C23 + Urbiqu!C23 + Danocia!C23 + Koruch!C23 + 'New Kizura'!C23 + Lydroa!C23 + Fermori!C23 + Uularin!C23 + 'Niul Spijan'!C23</f>
        <v>250870014.44597748</v>
      </c>
      <c r="CM23" s="7">
        <f t="shared" si="24"/>
        <v>2.9042302899390834E-3</v>
      </c>
      <c r="CN23" s="5">
        <f t="shared" si="25"/>
        <v>4.6377406422804621E-2</v>
      </c>
      <c r="CU23" s="3">
        <f t="shared" si="26"/>
        <v>1994</v>
      </c>
      <c r="CV23" s="3">
        <v>1744</v>
      </c>
      <c r="CW23" s="4">
        <f>Praesyu!C23 + Lycroa!C23 + Emara!C23 + Eldjo!C23 + Easuhura!C23 + Ilicuhe!C23 + Tonder!C23</f>
        <v>227191567.84750861</v>
      </c>
      <c r="CX23" s="7">
        <f t="shared" si="27"/>
        <v>4.0868781587980758E-3</v>
      </c>
      <c r="CY23" s="5">
        <f t="shared" si="28"/>
        <v>4.2000060075601607E-2</v>
      </c>
      <c r="DF23" s="3">
        <f t="shared" si="29"/>
        <v>1994</v>
      </c>
      <c r="DG23" s="3">
        <v>1744</v>
      </c>
      <c r="DH23" s="4">
        <f>Verusa!C23 + Darewa!C23 + Siana!C23 + Yaxuto!C23 + 'Merela Sta'!C23 + Palina!C23</f>
        <v>162598745.79801965</v>
      </c>
      <c r="DI23" s="7">
        <f t="shared" si="30"/>
        <v>3.0851281900213688E-3</v>
      </c>
      <c r="DJ23" s="5">
        <f t="shared" si="31"/>
        <v>3.0059025325790446E-2</v>
      </c>
      <c r="DQ23" s="3">
        <f t="shared" si="32"/>
        <v>1994</v>
      </c>
      <c r="DR23" s="3">
        <v>1744</v>
      </c>
      <c r="DS23" s="4">
        <f>Sunsokua!C23 + Vayvele!C23 + Selaja!C23 + Sadain!C23</f>
        <v>158529599.87560964</v>
      </c>
      <c r="DT23" s="7">
        <f t="shared" si="33"/>
        <v>1.6698552856483063E-2</v>
      </c>
      <c r="DU23" s="5">
        <f t="shared" si="34"/>
        <v>2.9306777454899739E-2</v>
      </c>
      <c r="EB23" s="3">
        <f t="shared" si="35"/>
        <v>1994</v>
      </c>
      <c r="EC23" s="3">
        <v>1744</v>
      </c>
      <c r="ED23" s="4">
        <f>Pelugrotoa!C23 + Lieri!C23 + 'Rtesania'!C23 + Ozinia!C23</f>
        <v>348745978.65646076</v>
      </c>
      <c r="EE23" s="7">
        <f t="shared" si="36"/>
        <v>9.5907563663135634E-3</v>
      </c>
      <c r="EF23" s="5">
        <f t="shared" si="37"/>
        <v>6.4471371862388646E-2</v>
      </c>
      <c r="EM23" s="3">
        <f t="shared" si="38"/>
        <v>1994</v>
      </c>
      <c r="EN23" s="3">
        <v>1744</v>
      </c>
      <c r="EO23" s="4">
        <f>Ocaun!C23 + 'Dual Cenryia'!C23 + Byllu!C23 + Exilium!C23 + Inrea!C23 + Amcha!C23 + Isnti!C23 + Galca!C23 + Otiiric!C23 + Taing!C23 + 'Cruthi Anoso'!C23</f>
        <v>203571217.22573918</v>
      </c>
      <c r="EP23" s="7">
        <f t="shared" si="39"/>
        <v>3.0281756713685919E-2</v>
      </c>
      <c r="EQ23" s="5">
        <f t="shared" si="40"/>
        <v>3.7633453715514513E-2</v>
      </c>
      <c r="EX23" s="3">
        <f t="shared" si="41"/>
        <v>1994</v>
      </c>
      <c r="EY23" s="3">
        <v>1744</v>
      </c>
      <c r="EZ23" s="4">
        <f>Sivoso!C23 + Taoisia!C23 + Seytinemas!C23 + Trian!C23 + 'Chaenia'!C23</f>
        <v>118487270.79160208</v>
      </c>
      <c r="FA23" s="7">
        <f t="shared" si="42"/>
        <v>1.8186205471177507E-2</v>
      </c>
      <c r="FB23" s="5">
        <f t="shared" si="43"/>
        <v>2.1904301020456797E-2</v>
      </c>
      <c r="FI23" s="3">
        <f t="shared" si="44"/>
        <v>1994</v>
      </c>
      <c r="FJ23" s="3">
        <v>1744</v>
      </c>
      <c r="FK23" s="4">
        <f>Migoku!C23 + 'Welenu Fana'!C23 + Haiza!C23 + Ucrua!C23 + Ihner!C23 + Oscairia!C23 + Shinam!C23 + 'Ruylku'!C23 + Taval!C23 + 'Western Migoku'!C23 + 'Pruim Fijan'!C23 + 'Canldives'!C23</f>
        <v>127845180.56913343</v>
      </c>
      <c r="FL23" s="7">
        <f t="shared" si="45"/>
        <v>2.0581284193899645E-2</v>
      </c>
      <c r="FM23" s="5">
        <f t="shared" si="46"/>
        <v>2.3634262992910725E-2</v>
      </c>
      <c r="FT23" s="3">
        <f t="shared" si="47"/>
        <v>1994</v>
      </c>
      <c r="FU23" s="3">
        <v>1744</v>
      </c>
      <c r="FV23" s="4">
        <f>Vesozata!C23 + Etretes!C23 + Kusierna!C23 + Eparia!C23</f>
        <v>96849915.405029014</v>
      </c>
      <c r="FW23" s="7">
        <f t="shared" si="48"/>
        <v>2.6433221665729121E-2</v>
      </c>
      <c r="FX23" s="5">
        <f t="shared" si="49"/>
        <v>1.7904283613458759E-2</v>
      </c>
      <c r="GE23" s="3">
        <f t="shared" si="50"/>
        <v>1994</v>
      </c>
      <c r="GF23" s="3">
        <v>1744</v>
      </c>
      <c r="GG23" s="4">
        <f>Dahe!C23 + Kaastini!C23 + Suenan!C23 + Oyreain!C23 + Sanagara!C23 + 'North Ayre'!C23 + Stinebar!C23 + 'Cloja'!C23 + 'Pha Hii'!C23 + 'Prystr Hii'!C23</f>
        <v>946300858.25701869</v>
      </c>
      <c r="GH23" s="7">
        <f t="shared" si="51"/>
        <v>6.9075238570268154E-3</v>
      </c>
      <c r="GI23" s="5">
        <f t="shared" si="52"/>
        <v>0.17493911976110335</v>
      </c>
      <c r="GP23" s="3">
        <f t="shared" si="53"/>
        <v>1994</v>
      </c>
      <c r="GQ23" s="3">
        <v>1744</v>
      </c>
      <c r="GR23" s="4">
        <f>Maalle!C23 + 'United Delet'!C23 + Ohtina!C23 + Astye!C23 + Prstreula!C23 + Veelmit!C23 + Aplasia!C23 + 'Elja and Munusia'!C23 + Walporein!C23 + 'Crila Republic'!C23 + 'Niretui and Anulan'!C23 + 'Rethern'!C23 + Tvecoca!C23</f>
        <v>148866318.26819834</v>
      </c>
      <c r="GS23" s="7">
        <f t="shared" si="54"/>
        <v>2.0273308921313626E-2</v>
      </c>
      <c r="GT23" s="5">
        <f t="shared" si="55"/>
        <v>2.7520362528131226E-2</v>
      </c>
      <c r="HA23" s="3">
        <f t="shared" si="56"/>
        <v>1994</v>
      </c>
      <c r="HB23" s="3">
        <v>1744</v>
      </c>
      <c r="HC23" s="4">
        <f>Andsaudare!C23 + Nia!C23 + Umarcia!C23 + Mendereide!C23 + Iainoa!C23 + Isari!C23 + 'Rkmepuia'!C23 + Hiwush!C23 + Isuibul!C23 + Yutnitu!C23</f>
        <v>52845831.658173345</v>
      </c>
      <c r="HD23" s="7">
        <f t="shared" si="57"/>
        <v>1.1866767803796223E-2</v>
      </c>
      <c r="HE23" s="5">
        <f t="shared" si="58"/>
        <v>9.7694123308227753E-3</v>
      </c>
      <c r="HL23" s="3">
        <f t="shared" si="59"/>
        <v>1994</v>
      </c>
      <c r="HM23" s="3">
        <v>1744</v>
      </c>
      <c r="HN23" s="4">
        <f>Zhanshe!C23 + Volver!C23 + Finae!C23 + Myla!C23 + 'Nheyes Si'!C23 + Onphello!C23 + Hyelen!C23</f>
        <v>92699521.648734644</v>
      </c>
      <c r="HO23" s="7">
        <f t="shared" si="60"/>
        <v>2.0783339092803346E-2</v>
      </c>
      <c r="HP23" s="5">
        <f t="shared" si="61"/>
        <v>1.7137015757731088E-2</v>
      </c>
      <c r="HW23" s="3">
        <f t="shared" si="62"/>
        <v>1994</v>
      </c>
      <c r="HX23" s="3">
        <v>1744</v>
      </c>
      <c r="HY23" s="4">
        <f>Yihnurda!C23 + Ztesh!C23 + Wundry!C23 + Anymna!C23 + Shomjind!C23 + Baluyde!C23 + Letan!C23</f>
        <v>398252218.43605733</v>
      </c>
      <c r="HZ23" s="7">
        <f t="shared" si="63"/>
        <v>2.3416344429549145E-2</v>
      </c>
      <c r="IA23" s="5">
        <f t="shared" si="64"/>
        <v>7.3623406264720873E-2</v>
      </c>
      <c r="IH23" s="3">
        <f t="shared" si="65"/>
        <v>1994</v>
      </c>
      <c r="II23" s="3">
        <v>1744</v>
      </c>
      <c r="IJ23" s="4">
        <f>Iareva!C23 + 'United Mihili'!C23 + 'Mesjan Hyaa'!C23 + Desaki!C23 + 'Far Lands'!C23</f>
        <v>50540999.411061198</v>
      </c>
      <c r="IK23" s="7">
        <f t="shared" si="66"/>
        <v>2.8705864495743381E-2</v>
      </c>
      <c r="IL23" s="5">
        <f t="shared" si="67"/>
        <v>9.3433265664608321E-3</v>
      </c>
      <c r="IS23" s="3">
        <f t="shared" si="68"/>
        <v>1994</v>
      </c>
      <c r="IT23" s="3">
        <v>1744</v>
      </c>
      <c r="IU23" s="4">
        <f>Verste!C23 + Quidic!C23 + Erkizil!C23 + Ashain!C23 + Ahokini!C23</f>
        <v>287992805.39302748</v>
      </c>
      <c r="IV23" s="7">
        <f t="shared" si="69"/>
        <v>1.6647783999271609E-2</v>
      </c>
      <c r="IW23" s="5">
        <f t="shared" si="70"/>
        <v>5.3240158701518638E-2</v>
      </c>
    </row>
    <row r="24" spans="1:257" ht="22.5" customHeight="1">
      <c r="A24" s="3">
        <f t="shared" si="0"/>
        <v>1993</v>
      </c>
      <c r="B24" s="3">
        <v>1743</v>
      </c>
      <c r="C24" s="4">
        <f>Acetoa!C24 + Acrana!C24 + Aetintio!C24 + Ahokini!C24 + Amcha!C24 + Andsaudare!C24 + Anymna!C24 + Aplasia!C24 + Arbiya!C24 + 'Areoix Lie'!C24 + Ashain!C24 + Astye!C24 + Baluyde!C24 + Byllu!C24 + 'Candenat'!C24 + 'Canldives'!C24 + 'Chaenia'!C24 + 'Cloja'!C24 + 'Crila Republic'!C24 + 'Cruthi Anoso'!C24 + 'Curata'!C24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'Raledria'!C24 + 'Reerica'!C24 + 'Rethern'!C24 + 'Rijan bu'!C24 + 'Rinew'!C24 + 'Rkmepuia'!C24 + 'Rtesania'!C24 + 'Ruylku'!C24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5338923607.2391167</v>
      </c>
      <c r="D24" s="5">
        <f t="shared" si="1"/>
        <v>1.3000241726671573E-2</v>
      </c>
      <c r="K24" s="3">
        <f t="shared" si="2"/>
        <v>1993</v>
      </c>
      <c r="L24" s="3">
        <v>1743</v>
      </c>
      <c r="M24" s="4">
        <f>Eldavpir!C24 + Iquir!C24 + Viussi!C24 + Umendel!C24 + 'Reerica'!C24 + Saa!C24 + Sattle!C24</f>
        <v>62138290.69521828</v>
      </c>
      <c r="N24" s="5">
        <f t="shared" si="3"/>
        <v>2.5430092429005138E-2</v>
      </c>
      <c r="O24" s="5">
        <f t="shared" si="4"/>
        <v>1.163873006367129E-2</v>
      </c>
      <c r="V24" s="3">
        <f t="shared" si="5"/>
        <v>1993</v>
      </c>
      <c r="W24" s="3">
        <v>1743</v>
      </c>
      <c r="X24" s="4">
        <f>'Areoix Lie'!C24 + Jau!C24 + Terressin!C24 + Acetoa!C24 + 'Feio Lie'!C24</f>
        <v>583987348.83731377</v>
      </c>
      <c r="Y24" s="5">
        <f t="shared" si="6"/>
        <v>9.8731339444449034E-3</v>
      </c>
      <c r="Z24" s="5">
        <f t="shared" si="7"/>
        <v>0.10938297525843554</v>
      </c>
      <c r="AG24" s="3">
        <f t="shared" si="8"/>
        <v>1993</v>
      </c>
      <c r="AH24" s="3">
        <v>1743</v>
      </c>
      <c r="AI24" s="4">
        <f>Taniduna!C24 + Jathua!C24 + Deschon!C24 + Pelines!C24 + 'Candenat'!C24 + Othya!C24 + Yoprioq!C24 + Jshain!C24 + 'Fire Coast'!C24 + 'Rijan bu'!C24 + 'Rinew'!C24 + Enina!C24 + Trevilla!C24</f>
        <v>145100750.20402449</v>
      </c>
      <c r="AJ24" s="5">
        <f t="shared" si="9"/>
        <v>2.597506151369379E-2</v>
      </c>
      <c r="AK24" s="5">
        <f t="shared" si="10"/>
        <v>2.7177903427440035E-2</v>
      </c>
      <c r="AR24" s="3">
        <f t="shared" si="11"/>
        <v>1993</v>
      </c>
      <c r="AS24" s="3">
        <v>1743</v>
      </c>
      <c r="AT24" s="4">
        <f>Gaeiya!C24 + 'Raledria'!C24 + Arbiya!C24 + Fincen!C24 + 'Curata'!C24</f>
        <v>244998677.83444819</v>
      </c>
      <c r="AU24" s="5">
        <f t="shared" si="12"/>
        <v>8.8626693429299745E-3</v>
      </c>
      <c r="AV24" s="5">
        <f t="shared" si="13"/>
        <v>4.5889152169596742E-2</v>
      </c>
      <c r="BC24" s="3">
        <f t="shared" si="14"/>
        <v>1993</v>
      </c>
      <c r="BD24" s="3">
        <v>1743</v>
      </c>
      <c r="BE24" s="4">
        <f>Etirha!C24 + Laselteh!C24 + Grazail!C24 + 'Disal Nila'!C24 + Pelan!C24 + Peka!C24 + Guise!C24</f>
        <v>90642885.6607894</v>
      </c>
      <c r="BF24" s="5">
        <f t="shared" si="15"/>
        <v>1.1952457754558861E-2</v>
      </c>
      <c r="BG24" s="5">
        <f t="shared" si="16"/>
        <v>1.6977745390079287E-2</v>
      </c>
      <c r="BN24" s="3">
        <f t="shared" si="17"/>
        <v>1993</v>
      </c>
      <c r="BO24" s="3">
        <v>1743</v>
      </c>
      <c r="BP24" s="4">
        <f>Genaire!C24 + 'New Misos'!C24 + Phuris!C24 + Lasri!C24 + Slyiaduun!C24 + Aetintio!C24 + Metndria!C24 + Tomscilus!C24</f>
        <v>79822798.895575061</v>
      </c>
      <c r="BQ24" s="5">
        <f t="shared" si="18"/>
        <v>1.3602746532580321E-2</v>
      </c>
      <c r="BR24" s="5">
        <f t="shared" si="19"/>
        <v>1.4951103399820571E-2</v>
      </c>
      <c r="BY24" s="3">
        <f t="shared" si="20"/>
        <v>1993</v>
      </c>
      <c r="BZ24" s="3">
        <v>1743</v>
      </c>
      <c r="CA24" s="4">
        <f>Ealdorii!C24 + Ukhdari!C24 + Hkuqo!C24 + Acrana!C24 + Zenashan!C24</f>
        <v>230987496.59043184</v>
      </c>
      <c r="CB24" s="6">
        <f t="shared" si="21"/>
        <v>6.7337021620736239E-3</v>
      </c>
      <c r="CC24" s="5">
        <f t="shared" si="22"/>
        <v>4.3264806463466317E-2</v>
      </c>
      <c r="CJ24" s="3">
        <f t="shared" si="23"/>
        <v>1993</v>
      </c>
      <c r="CK24" s="3">
        <v>1743</v>
      </c>
      <c r="CL24" s="4">
        <f>Estijan!C24 + Ikzen!C24 + Urbiqu!C24 + Danocia!C24 + Koruch!C24 + 'New Kizura'!C24 + Lydroa!C24 + Fermori!C24 + Uularin!C24 + 'Niul Spijan'!C24</f>
        <v>250143540.00027609</v>
      </c>
      <c r="CM24" s="6">
        <f t="shared" si="24"/>
        <v>-8.5804806797517902E-4</v>
      </c>
      <c r="CN24" s="5">
        <f t="shared" si="25"/>
        <v>4.6852803748887353E-2</v>
      </c>
      <c r="CU24" s="3">
        <f t="shared" si="26"/>
        <v>1993</v>
      </c>
      <c r="CV24" s="3">
        <v>1743</v>
      </c>
      <c r="CW24" s="4">
        <f>Praesyu!C24 + Lycroa!C24 + Emara!C24 + Eldjo!C24 + Easuhura!C24 + Ilicuhe!C24 + Tonder!C24</f>
        <v>226266842.82948858</v>
      </c>
      <c r="CX24" s="6">
        <f t="shared" si="27"/>
        <v>5.6724589569875153E-3</v>
      </c>
      <c r="CY24" s="5">
        <f t="shared" si="28"/>
        <v>4.2380610676408706E-2</v>
      </c>
      <c r="DF24" s="3">
        <f t="shared" si="29"/>
        <v>1993</v>
      </c>
      <c r="DG24" s="3">
        <v>1743</v>
      </c>
      <c r="DH24" s="4">
        <f>Verusa!C24 + Darewa!C24 + Siana!C24 + Yaxuto!C24 + 'Merela Sta'!C24 + Palina!C24</f>
        <v>162098650.68123853</v>
      </c>
      <c r="DI24" s="6">
        <f t="shared" si="30"/>
        <v>3.6615041918073056E-3</v>
      </c>
      <c r="DJ24" s="5">
        <f t="shared" si="31"/>
        <v>3.0361672615327712E-2</v>
      </c>
      <c r="DQ24" s="3">
        <f t="shared" si="32"/>
        <v>1993</v>
      </c>
      <c r="DR24" s="3">
        <v>1743</v>
      </c>
      <c r="DS24" s="4">
        <f>Sunsokua!C24 + Vayvele!C24 + Selaja!C24 + Sadain!C24</f>
        <v>155925863.60058254</v>
      </c>
      <c r="DT24" s="6">
        <f t="shared" si="33"/>
        <v>1.8056699275421684E-2</v>
      </c>
      <c r="DU24" s="5">
        <f t="shared" si="34"/>
        <v>2.9205486924210829E-2</v>
      </c>
      <c r="EB24" s="3">
        <f t="shared" si="35"/>
        <v>1993</v>
      </c>
      <c r="EC24" s="3">
        <v>1743</v>
      </c>
      <c r="ED24" s="4">
        <f>Pelugrotoa!C24 + Lieri!C24 + 'Rtesania'!C24 + Ozinia!C24</f>
        <v>345433014.77091175</v>
      </c>
      <c r="EE24" s="6">
        <f t="shared" si="36"/>
        <v>9.9384569889145822E-3</v>
      </c>
      <c r="EF24" s="5">
        <f t="shared" si="37"/>
        <v>6.4700872344855165E-2</v>
      </c>
      <c r="EM24" s="3">
        <f t="shared" si="38"/>
        <v>1993</v>
      </c>
      <c r="EN24" s="3">
        <v>1743</v>
      </c>
      <c r="EO24" s="4">
        <f>Ocaun!C24 + 'Dual Cenryia'!C24 + Byllu!C24 + Exilium!C24 + Inrea!C24 + Amcha!C24 + Isnti!C24 + Galca!C24 + Otiiric!C24 + Taing!C24 + 'Cruthi Anoso'!C24</f>
        <v>197587908.25829539</v>
      </c>
      <c r="EP24" s="6">
        <f t="shared" si="39"/>
        <v>2.3270140263212152E-2</v>
      </c>
      <c r="EQ24" s="5">
        <f t="shared" si="40"/>
        <v>3.700894090156738E-2</v>
      </c>
      <c r="EX24" s="3">
        <f t="shared" si="41"/>
        <v>1993</v>
      </c>
      <c r="EY24" s="3">
        <v>1743</v>
      </c>
      <c r="EZ24" s="4">
        <f>Sivoso!C24 + Taoisia!C24 + Seytinemas!C24 + Trian!C24 + 'Chaenia'!C24</f>
        <v>116370925.23441792</v>
      </c>
      <c r="FA24" s="6">
        <f t="shared" si="42"/>
        <v>2.1301694237754354E-2</v>
      </c>
      <c r="FB24" s="5">
        <f t="shared" si="43"/>
        <v>2.1796701694069765E-2</v>
      </c>
      <c r="FI24" s="3">
        <f t="shared" si="44"/>
        <v>1993</v>
      </c>
      <c r="FJ24" s="3">
        <v>1743</v>
      </c>
      <c r="FK24" s="4">
        <f>Migoku!C24 + 'Welenu Fana'!C24 + Haiza!C24 + Ucrua!C24 + Ihner!C24 + Oscairia!C24 + Shinam!C24 + 'Ruylku'!C24 + Taval!C24 + 'Western Migoku'!C24 + 'Pruim Fijan'!C24 + 'Canldives'!C24</f>
        <v>125267024.34104621</v>
      </c>
      <c r="FL24" s="6">
        <f t="shared" si="45"/>
        <v>1.904505674760959E-2</v>
      </c>
      <c r="FM24" s="5">
        <f t="shared" si="46"/>
        <v>2.346297372961003E-2</v>
      </c>
      <c r="FT24" s="3">
        <f t="shared" si="47"/>
        <v>1993</v>
      </c>
      <c r="FU24" s="3">
        <v>1743</v>
      </c>
      <c r="FV24" s="4">
        <f>Vesozata!C24 + Etretes!C24 + Kusierna!C24 + Eparia!C24</f>
        <v>94355787.946787059</v>
      </c>
      <c r="FW24" s="6">
        <f t="shared" si="48"/>
        <v>2.7300749236017361E-2</v>
      </c>
      <c r="FX24" s="5">
        <f t="shared" si="49"/>
        <v>1.767318562469199E-2</v>
      </c>
      <c r="GE24" s="3">
        <f t="shared" si="50"/>
        <v>1993</v>
      </c>
      <c r="GF24" s="3">
        <v>1743</v>
      </c>
      <c r="GG24" s="4">
        <f>Dahe!C24 + Kaastini!C24 + Suenan!C24 + Oyreain!C24 + Sanagara!C24 + 'North Ayre'!C24 + Stinebar!C24 + 'Cloja'!C24 + 'Pha Hii'!C24 + 'Prystr Hii'!C24</f>
        <v>939809104.44700003</v>
      </c>
      <c r="GH24" s="6">
        <f t="shared" si="51"/>
        <v>7.3096702692164927E-3</v>
      </c>
      <c r="GI24" s="5">
        <f t="shared" si="52"/>
        <v>0.17602969691731504</v>
      </c>
      <c r="GP24" s="3">
        <f t="shared" si="53"/>
        <v>1993</v>
      </c>
      <c r="GQ24" s="3">
        <v>1743</v>
      </c>
      <c r="GR24" s="4">
        <f>Maalle!C24 + 'United Delet'!C24 + Ohtina!C24 + Astye!C24 + Prstreula!C24 + Veelmit!C24 + Aplasia!C24 + 'Elja and Munusia'!C24 + Walporein!C24 + 'Crila Republic'!C24 + 'Niretui and Anulan'!C24 + 'Rethern'!C24 + Tvecoca!C24</f>
        <v>145908274.74021408</v>
      </c>
      <c r="GS24" s="6">
        <f t="shared" si="54"/>
        <v>2.1023895457211506E-2</v>
      </c>
      <c r="GT24" s="5">
        <f t="shared" si="55"/>
        <v>2.7329155738878737E-2</v>
      </c>
      <c r="HA24" s="3">
        <f t="shared" si="56"/>
        <v>1993</v>
      </c>
      <c r="HB24" s="3">
        <v>1743</v>
      </c>
      <c r="HC24" s="4">
        <f>Andsaudare!C24 + Nia!C24 + Umarcia!C24 + Mendereide!C24 + Iainoa!C24 + Isari!C24 + 'Rkmepuia'!C24 + Hiwush!C24 + Isuibul!C24 + Yutnitu!C24</f>
        <v>52226076.929942518</v>
      </c>
      <c r="HD24" s="6">
        <f t="shared" si="57"/>
        <v>1.5721834003970491E-2</v>
      </c>
      <c r="HE24" s="5">
        <f t="shared" si="58"/>
        <v>9.7821360206631347E-3</v>
      </c>
      <c r="HL24" s="3">
        <f t="shared" si="59"/>
        <v>1993</v>
      </c>
      <c r="HM24" s="3">
        <v>1743</v>
      </c>
      <c r="HN24" s="4">
        <f>Zhanshe!C24 + Volver!C24 + Finae!C24 + Myla!C24 + 'Nheyes Si'!C24 + Onphello!C24 + Hyelen!C24</f>
        <v>90812142.105609909</v>
      </c>
      <c r="HO24" s="6">
        <f t="shared" si="60"/>
        <v>2.1803592046827549E-2</v>
      </c>
      <c r="HP24" s="5">
        <f t="shared" si="61"/>
        <v>1.7009447743825467E-2</v>
      </c>
      <c r="HW24" s="3">
        <f t="shared" si="62"/>
        <v>1993</v>
      </c>
      <c r="HX24" s="3">
        <v>1743</v>
      </c>
      <c r="HY24" s="4">
        <f>Yihnurda!C24 + Ztesh!C24 + Wundry!C24 + Anymna!C24 + Shomjind!C24 + Baluyde!C24 + Letan!C24</f>
        <v>389139982.57282335</v>
      </c>
      <c r="HZ24" s="6">
        <f t="shared" si="63"/>
        <v>2.3862804860520906E-2</v>
      </c>
      <c r="IA24" s="5">
        <f t="shared" si="64"/>
        <v>7.2887347937547434E-2</v>
      </c>
      <c r="IH24" s="3">
        <f t="shared" si="65"/>
        <v>1993</v>
      </c>
      <c r="II24" s="3">
        <v>1743</v>
      </c>
      <c r="IJ24" s="4">
        <f>Iareva!C24 + 'United Mihili'!C24 + 'Mesjan Hyaa'!C24 + Desaki!C24 + 'Far Lands'!C24</f>
        <v>49130661.305052109</v>
      </c>
      <c r="IK24" s="6">
        <f t="shared" si="66"/>
        <v>2.945573661680238E-2</v>
      </c>
      <c r="IL24" s="5">
        <f t="shared" si="67"/>
        <v>9.2023533055305747E-3</v>
      </c>
      <c r="IS24" s="3">
        <f t="shared" si="68"/>
        <v>1993</v>
      </c>
      <c r="IT24" s="3">
        <v>1743</v>
      </c>
      <c r="IU24" s="4">
        <f>Verste!C24 + Quidic!C24 + Erkizil!C24 + Ashain!C24 + Ahokini!C24</f>
        <v>283276873.19607025</v>
      </c>
      <c r="IV24" s="6">
        <f t="shared" si="69"/>
        <v>1.689294123146352E-2</v>
      </c>
      <c r="IW24" s="5">
        <f t="shared" si="70"/>
        <v>5.305879874586919E-2</v>
      </c>
    </row>
    <row r="25" spans="1:257" ht="22.5" customHeight="1">
      <c r="A25" s="3">
        <f t="shared" si="0"/>
        <v>1992</v>
      </c>
      <c r="B25" s="3">
        <v>1742</v>
      </c>
      <c r="C25" s="4">
        <f>Acetoa!C25 + Acrana!C25 + Aetintio!C25 + Ahokini!C25 + Amcha!C25 + Andsaudare!C25 + Anymna!C25 + Aplasia!C25 + Arbiya!C25 + 'Areoix Lie'!C25 + Ashain!C25 + Astye!C25 + Baluyde!C25 + Byllu!C25 + 'Candenat'!C25 + 'Canldives'!C25 + 'Chaenia'!C25 + 'Cloja'!C25 + 'Crila Republic'!C25 + 'Cruthi Anoso'!C25 + 'Curata'!C25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'Raledria'!C25 + 'Reerica'!C25 + 'Rethern'!C25 + 'Rijan bu'!C25 + 'Rinew'!C25 + 'Rkmepuia'!C25 + 'Rtesania'!C25 + 'Ruylku'!C25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5270407041.6990767</v>
      </c>
      <c r="D25" s="5">
        <f t="shared" si="1"/>
        <v>1.3516458720943966E-2</v>
      </c>
      <c r="K25" s="3">
        <f t="shared" si="2"/>
        <v>1992</v>
      </c>
      <c r="L25" s="3">
        <v>1742</v>
      </c>
      <c r="M25" s="4">
        <f>Eldavpir!C25 + Iquir!C25 + Viussi!C25 + Umendel!C25 + 'Reerica'!C25 + Saa!C25 + Sattle!C25</f>
        <v>60597295.860537052</v>
      </c>
      <c r="N25" s="5">
        <f t="shared" si="3"/>
        <v>2.845727478117346E-2</v>
      </c>
      <c r="O25" s="5">
        <f t="shared" si="4"/>
        <v>1.1497650064045463E-2</v>
      </c>
      <c r="V25" s="3">
        <f t="shared" si="5"/>
        <v>1992</v>
      </c>
      <c r="W25" s="3">
        <v>1742</v>
      </c>
      <c r="X25" s="4">
        <f>'Areoix Lie'!C25 + Jau!C25 + Terressin!C25 + Acetoa!C25 + 'Feio Lie'!C25</f>
        <v>578277933.34428883</v>
      </c>
      <c r="Y25" s="5">
        <f t="shared" si="6"/>
        <v>1.0217999668047657E-2</v>
      </c>
      <c r="Z25" s="5">
        <f t="shared" si="7"/>
        <v>0.10972168349977449</v>
      </c>
      <c r="AG25" s="3">
        <f t="shared" si="8"/>
        <v>1992</v>
      </c>
      <c r="AH25" s="3">
        <v>1742</v>
      </c>
      <c r="AI25" s="4">
        <f>Taniduna!C25 + Jathua!C25 + Deschon!C25 + Pelines!C25 + 'Candenat'!C25 + Othya!C25 + Yoprioq!C25 + Jshain!C25 + 'Fire Coast'!C25 + 'Rijan bu'!C25 + 'Rinew'!C25 + Enina!C25 + Trevilla!C25</f>
        <v>141427170.74423531</v>
      </c>
      <c r="AJ25" s="5">
        <f t="shared" si="9"/>
        <v>2.7472564215982622E-2</v>
      </c>
      <c r="AK25" s="5">
        <f t="shared" si="10"/>
        <v>2.6834202676429702E-2</v>
      </c>
      <c r="AR25" s="3">
        <f t="shared" si="11"/>
        <v>1992</v>
      </c>
      <c r="AS25" s="3">
        <v>1742</v>
      </c>
      <c r="AT25" s="4">
        <f>Gaeiya!C25 + 'Raledria'!C25 + Arbiya!C25 + Fincen!C25 + 'Curata'!C25</f>
        <v>242846410.39797348</v>
      </c>
      <c r="AU25" s="5">
        <f t="shared" si="12"/>
        <v>1.0959181905269236E-2</v>
      </c>
      <c r="AV25" s="5">
        <f t="shared" si="13"/>
        <v>4.6077353888720619E-2</v>
      </c>
      <c r="BC25" s="3">
        <f t="shared" si="14"/>
        <v>1992</v>
      </c>
      <c r="BD25" s="3">
        <v>1742</v>
      </c>
      <c r="BE25" s="4">
        <f>Etirha!C25 + Laselteh!C25 + Grazail!C25 + 'Disal Nila'!C25 + Pelan!C25 + Peka!C25 + Guise!C25</f>
        <v>89572276.806282654</v>
      </c>
      <c r="BF25" s="5">
        <f t="shared" si="15"/>
        <v>1.2859526031812129E-2</v>
      </c>
      <c r="BG25" s="5">
        <f t="shared" si="16"/>
        <v>1.6995324288540396E-2</v>
      </c>
      <c r="BN25" s="3">
        <f t="shared" si="17"/>
        <v>1992</v>
      </c>
      <c r="BO25" s="3">
        <v>1742</v>
      </c>
      <c r="BP25" s="4">
        <f>Genaire!C25 + 'New Misos'!C25 + Phuris!C25 + Lasri!C25 + Slyiaduun!C25 + Aetintio!C25 + Metndria!C25 + Tomscilus!C25</f>
        <v>78751561.367251396</v>
      </c>
      <c r="BQ25" s="5">
        <f t="shared" si="18"/>
        <v>1.3672219442504966E-2</v>
      </c>
      <c r="BR25" s="5">
        <f t="shared" si="19"/>
        <v>1.4942216178783684E-2</v>
      </c>
      <c r="BY25" s="3">
        <f t="shared" si="20"/>
        <v>1992</v>
      </c>
      <c r="BZ25" s="3">
        <v>1742</v>
      </c>
      <c r="CA25" s="4">
        <f>Ealdorii!C25 + Ukhdari!C25 + Hkuqo!C25 + Acrana!C25 + Zenashan!C25</f>
        <v>229442499.13791528</v>
      </c>
      <c r="CB25" s="7">
        <f t="shared" si="21"/>
        <v>9.9399862628277904E-3</v>
      </c>
      <c r="CC25" s="5">
        <f t="shared" si="22"/>
        <v>4.3534113650536464E-2</v>
      </c>
      <c r="CJ25" s="3">
        <f t="shared" si="23"/>
        <v>1992</v>
      </c>
      <c r="CK25" s="3">
        <v>1742</v>
      </c>
      <c r="CL25" s="4">
        <f>Estijan!C25 + Ikzen!C25 + Urbiqu!C25 + Danocia!C25 + Koruch!C25 + 'New Kizura'!C25 + Lydroa!C25 + Fermori!C25 + Uularin!C25 + 'Niul Spijan'!C25</f>
        <v>250358359.50695246</v>
      </c>
      <c r="CM25" s="7">
        <f t="shared" si="24"/>
        <v>-2.9370308694775594E-4</v>
      </c>
      <c r="CN25" s="5">
        <f t="shared" si="25"/>
        <v>4.7502661089766952E-2</v>
      </c>
      <c r="CU25" s="3">
        <f t="shared" si="26"/>
        <v>1992</v>
      </c>
      <c r="CV25" s="3">
        <v>1742</v>
      </c>
      <c r="CW25" s="4">
        <f>Praesyu!C25 + Lycroa!C25 + Emara!C25 + Eldjo!C25 + Easuhura!C25 + Ilicuhe!C25 + Tonder!C25</f>
        <v>224990592.9254109</v>
      </c>
      <c r="CX25" s="7">
        <f t="shared" si="27"/>
        <v>6.8750593689708758E-3</v>
      </c>
      <c r="CY25" s="5">
        <f t="shared" si="28"/>
        <v>4.2689414905775151E-2</v>
      </c>
      <c r="DF25" s="3">
        <f t="shared" si="29"/>
        <v>1992</v>
      </c>
      <c r="DG25" s="3">
        <v>1742</v>
      </c>
      <c r="DH25" s="4">
        <f>Verusa!C25 + Darewa!C25 + Siana!C25 + Yaxuto!C25 + 'Merela Sta'!C25 + Palina!C25</f>
        <v>161507291.05802214</v>
      </c>
      <c r="DI25" s="7">
        <f t="shared" si="30"/>
        <v>3.8848025844893746E-3</v>
      </c>
      <c r="DJ25" s="5">
        <f t="shared" si="31"/>
        <v>3.0644177912671301E-2</v>
      </c>
      <c r="DQ25" s="3">
        <f t="shared" si="32"/>
        <v>1992</v>
      </c>
      <c r="DR25" s="3">
        <v>1742</v>
      </c>
      <c r="DS25" s="4">
        <f>Sunsokua!C25 + Vayvele!C25 + Selaja!C25 + Sadain!C25</f>
        <v>153160294.22679421</v>
      </c>
      <c r="DT25" s="7">
        <f t="shared" si="33"/>
        <v>1.9213301431412023E-2</v>
      </c>
      <c r="DU25" s="5">
        <f t="shared" si="34"/>
        <v>2.9060429870976023E-2</v>
      </c>
      <c r="EB25" s="3">
        <f t="shared" si="35"/>
        <v>1992</v>
      </c>
      <c r="EC25" s="3">
        <v>1742</v>
      </c>
      <c r="ED25" s="4">
        <f>Pelugrotoa!C25 + Lieri!C25 + 'Rtesania'!C25 + Ozinia!C25</f>
        <v>342033727.28354609</v>
      </c>
      <c r="EE25" s="7">
        <f t="shared" si="36"/>
        <v>1.0541855774076448E-2</v>
      </c>
      <c r="EF25" s="5">
        <f t="shared" si="37"/>
        <v>6.4897023052944522E-2</v>
      </c>
      <c r="EM25" s="3">
        <f t="shared" si="38"/>
        <v>1992</v>
      </c>
      <c r="EN25" s="3">
        <v>1742</v>
      </c>
      <c r="EO25" s="4">
        <f>Ocaun!C25 + 'Dual Cenryia'!C25 + Byllu!C25 + Exilium!C25 + Inrea!C25 + Amcha!C25 + Isnti!C25 + Galca!C25 + Otiiric!C25 + Taing!C25 + 'Cruthi Anoso'!C25</f>
        <v>193094570.51827052</v>
      </c>
      <c r="EP25" s="7">
        <f t="shared" si="39"/>
        <v>2.128288174077253E-2</v>
      </c>
      <c r="EQ25" s="5">
        <f t="shared" si="40"/>
        <v>3.6637506171823229E-2</v>
      </c>
      <c r="EX25" s="3">
        <f t="shared" si="41"/>
        <v>1992</v>
      </c>
      <c r="EY25" s="3">
        <v>1742</v>
      </c>
      <c r="EZ25" s="4">
        <f>Sivoso!C25 + Taoisia!C25 + Seytinemas!C25 + Trian!C25 + 'Chaenia'!C25</f>
        <v>113943730.72226325</v>
      </c>
      <c r="FA25" s="7">
        <f t="shared" si="42"/>
        <v>2.395901657492713E-2</v>
      </c>
      <c r="FB25" s="5">
        <f t="shared" si="43"/>
        <v>2.1619531436708542E-2</v>
      </c>
      <c r="FI25" s="3">
        <f t="shared" si="44"/>
        <v>1992</v>
      </c>
      <c r="FJ25" s="3">
        <v>1742</v>
      </c>
      <c r="FK25" s="4">
        <f>Migoku!C25 + 'Welenu Fana'!C25 + Haiza!C25 + Ucrua!C25 + Ihner!C25 + Oscairia!C25 + Shinam!C25 + 'Ruylku'!C25 + Taval!C25 + 'Western Migoku'!C25 + 'Pruim Fijan'!C25 + 'Canldives'!C25</f>
        <v>122925893.71940944</v>
      </c>
      <c r="FL25" s="7">
        <f t="shared" si="45"/>
        <v>1.66345788696463E-2</v>
      </c>
      <c r="FM25" s="5">
        <f t="shared" si="46"/>
        <v>2.3323795059248503E-2</v>
      </c>
      <c r="FT25" s="3">
        <f t="shared" si="47"/>
        <v>1992</v>
      </c>
      <c r="FU25" s="3">
        <v>1742</v>
      </c>
      <c r="FV25" s="4">
        <f>Vesozata!C25 + Etretes!C25 + Kusierna!C25 + Eparia!C25</f>
        <v>91848261.589371502</v>
      </c>
      <c r="FW25" s="7">
        <f t="shared" si="48"/>
        <v>2.9060606449285944E-2</v>
      </c>
      <c r="FX25" s="5">
        <f t="shared" si="49"/>
        <v>1.7427166604528786E-2</v>
      </c>
      <c r="GE25" s="3">
        <f t="shared" si="50"/>
        <v>1992</v>
      </c>
      <c r="GF25" s="3">
        <v>1742</v>
      </c>
      <c r="GG25" s="4">
        <f>Dahe!C25 + Kaastini!C25 + Suenan!C25 + Oyreain!C25 + Sanagara!C25 + 'North Ayre'!C25 + Stinebar!C25 + 'Cloja'!C25 + 'Pha Hii'!C25 + 'Prystr Hii'!C25</f>
        <v>932989260.58738613</v>
      </c>
      <c r="GH25" s="7">
        <f t="shared" si="51"/>
        <v>7.5484365236177676E-3</v>
      </c>
      <c r="GI25" s="5">
        <f t="shared" si="52"/>
        <v>0.17702413745383289</v>
      </c>
      <c r="GP25" s="3">
        <f t="shared" si="53"/>
        <v>1992</v>
      </c>
      <c r="GQ25" s="3">
        <v>1742</v>
      </c>
      <c r="GR25" s="4">
        <f>Maalle!C25 + 'United Delet'!C25 + Ohtina!C25 + Astye!C25 + Prstreula!C25 + Veelmit!C25 + Aplasia!C25 + 'Elja and Munusia'!C25 + Walporein!C25 + 'Crila Republic'!C25 + 'Niretui and Anulan'!C25 + 'Rethern'!C25 + Tvecoca!C25</f>
        <v>142903878.53741345</v>
      </c>
      <c r="GS25" s="7">
        <f t="shared" si="54"/>
        <v>2.1849320111367518E-2</v>
      </c>
      <c r="GT25" s="5">
        <f t="shared" si="55"/>
        <v>2.7114391242795549E-2</v>
      </c>
      <c r="HA25" s="3">
        <f t="shared" si="56"/>
        <v>1992</v>
      </c>
      <c r="HB25" s="3">
        <v>1742</v>
      </c>
      <c r="HC25" s="4">
        <f>Andsaudare!C25 + Nia!C25 + Umarcia!C25 + Mendereide!C25 + Iainoa!C25 + Isari!C25 + 'Rkmepuia'!C25 + Hiwush!C25 + Isuibul!C25 + Yutnitu!C25</f>
        <v>51417696.441620812</v>
      </c>
      <c r="HD25" s="7">
        <f t="shared" si="57"/>
        <v>1.0348515392669859E-2</v>
      </c>
      <c r="HE25" s="5">
        <f t="shared" si="58"/>
        <v>9.7559251182703245E-3</v>
      </c>
      <c r="HL25" s="3">
        <f t="shared" si="59"/>
        <v>1992</v>
      </c>
      <c r="HM25" s="3">
        <v>1742</v>
      </c>
      <c r="HN25" s="4">
        <f>Zhanshe!C25 + Volver!C25 + Finae!C25 + Myla!C25 + 'Nheyes Si'!C25 + Onphello!C25 + Hyelen!C25</f>
        <v>88874361.777980655</v>
      </c>
      <c r="HO25" s="7">
        <f t="shared" si="60"/>
        <v>2.1747718781881389E-2</v>
      </c>
      <c r="HP25" s="5">
        <f t="shared" si="61"/>
        <v>1.6862902822270306E-2</v>
      </c>
      <c r="HW25" s="3">
        <f t="shared" si="62"/>
        <v>1992</v>
      </c>
      <c r="HX25" s="3">
        <v>1742</v>
      </c>
      <c r="HY25" s="4">
        <f>Yihnurda!C25 + Ztesh!C25 + Wundry!C25 + Anymna!C25 + Shomjind!C25 + Baluyde!C25 + Letan!C25</f>
        <v>380070435.9270432</v>
      </c>
      <c r="HZ25" s="7">
        <f t="shared" si="63"/>
        <v>2.4287470934289457E-2</v>
      </c>
      <c r="IA25" s="5">
        <f t="shared" si="64"/>
        <v>7.2114057400112286E-2</v>
      </c>
      <c r="IH25" s="3">
        <f t="shared" si="65"/>
        <v>1992</v>
      </c>
      <c r="II25" s="3">
        <v>1742</v>
      </c>
      <c r="IJ25" s="4">
        <f>Iareva!C25 + 'United Mihili'!C25 + 'Mesjan Hyaa'!C25 + Desaki!C25 + 'Far Lands'!C25</f>
        <v>47724889.529019326</v>
      </c>
      <c r="IK25" s="7">
        <f t="shared" si="66"/>
        <v>2.9322611187820518E-2</v>
      </c>
      <c r="IL25" s="5">
        <f t="shared" si="67"/>
        <v>9.0552568618369467E-3</v>
      </c>
      <c r="IS25" s="3">
        <f t="shared" si="68"/>
        <v>1992</v>
      </c>
      <c r="IT25" s="3">
        <v>1742</v>
      </c>
      <c r="IU25" s="4">
        <f>Verste!C25 + Quidic!C25 + Erkizil!C25 + Ashain!C25 + Ahokini!C25</f>
        <v>278570989.83598042</v>
      </c>
      <c r="IV25" s="7">
        <f t="shared" si="69"/>
        <v>1.7106178110597819E-2</v>
      </c>
      <c r="IW25" s="5">
        <f t="shared" si="70"/>
        <v>5.2855687925419621E-2</v>
      </c>
    </row>
    <row r="26" spans="1:257" ht="22.5" customHeight="1">
      <c r="A26" s="3">
        <f t="shared" si="0"/>
        <v>1991</v>
      </c>
      <c r="B26" s="3">
        <v>1741</v>
      </c>
      <c r="C26" s="4">
        <f>Acetoa!C26 + Acrana!C26 + Aetintio!C26 + Ahokini!C26 + Amcha!C26 + Andsaudare!C26 + Anymna!C26 + Aplasia!C26 + Arbiya!C26 + 'Areoix Lie'!C26 + Ashain!C26 + Astye!C26 + Baluyde!C26 + Byllu!C26 + 'Candenat'!C26 + 'Canldives'!C26 + 'Chaenia'!C26 + 'Cloja'!C26 + 'Crila Republic'!C26 + 'Cruthi Anoso'!C26 + 'Curata'!C26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'Raledria'!C26 + 'Reerica'!C26 + 'Rethern'!C26 + 'Rijan bu'!C26 + 'Rinew'!C26 + 'Rkmepuia'!C26 + 'Rtesania'!C26 + 'Ruylku'!C26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5200119836.5839281</v>
      </c>
      <c r="D26" s="5">
        <f t="shared" si="1"/>
        <v>1.4115518612981855E-2</v>
      </c>
      <c r="K26" s="3">
        <f t="shared" si="2"/>
        <v>1991</v>
      </c>
      <c r="L26" s="3">
        <v>1741</v>
      </c>
      <c r="M26" s="4">
        <f>Eldavpir!C26 + Iquir!C26 + Viussi!C26 + Umendel!C26 + 'Reerica'!C26 + Saa!C26 + Sattle!C26</f>
        <v>58920576.815823913</v>
      </c>
      <c r="N26" s="5">
        <f t="shared" si="3"/>
        <v>2.8625587412882129E-2</v>
      </c>
      <c r="O26" s="5">
        <f t="shared" si="4"/>
        <v>1.1330619037143214E-2</v>
      </c>
      <c r="V26" s="3">
        <f t="shared" si="5"/>
        <v>1991</v>
      </c>
      <c r="W26" s="3">
        <v>1741</v>
      </c>
      <c r="X26" s="4">
        <f>'Areoix Lie'!C26 + Jau!C26 + Terressin!C26 + Acetoa!C26 + 'Feio Lie'!C26</f>
        <v>572428855.48892212</v>
      </c>
      <c r="Y26" s="5">
        <f t="shared" si="6"/>
        <v>1.0578796868944884E-2</v>
      </c>
      <c r="Z26" s="5">
        <f t="shared" si="7"/>
        <v>0.11007993536259793</v>
      </c>
      <c r="AG26" s="3">
        <f t="shared" si="8"/>
        <v>1991</v>
      </c>
      <c r="AH26" s="3">
        <v>1741</v>
      </c>
      <c r="AI26" s="4">
        <f>Taniduna!C26 + Jathua!C26 + Deschon!C26 + Pelines!C26 + 'Candenat'!C26 + Othya!C26 + Yoprioq!C26 + Jshain!C26 + 'Fire Coast'!C26 + 'Rijan bu'!C26 + 'Rinew'!C26 + Enina!C26 + Trevilla!C26</f>
        <v>137645690.66829723</v>
      </c>
      <c r="AJ26" s="5">
        <f t="shared" si="9"/>
        <v>2.7093763097670032E-2</v>
      </c>
      <c r="AK26" s="5">
        <f t="shared" si="10"/>
        <v>2.6469715120780692E-2</v>
      </c>
      <c r="AR26" s="3">
        <f t="shared" si="11"/>
        <v>1991</v>
      </c>
      <c r="AS26" s="3">
        <v>1741</v>
      </c>
      <c r="AT26" s="4">
        <f>Gaeiya!C26 + 'Raledria'!C26 + Arbiya!C26 + Fincen!C26 + 'Curata'!C26</f>
        <v>240213862.97743633</v>
      </c>
      <c r="AU26" s="5">
        <f t="shared" si="12"/>
        <v>1.2406356539571948E-2</v>
      </c>
      <c r="AV26" s="5">
        <f t="shared" si="13"/>
        <v>4.6193909087917873E-2</v>
      </c>
      <c r="BC26" s="3">
        <f t="shared" si="14"/>
        <v>1991</v>
      </c>
      <c r="BD26" s="3">
        <v>1741</v>
      </c>
      <c r="BE26" s="4">
        <f>Etirha!C26 + Laselteh!C26 + Grazail!C26 + 'Disal Nila'!C26 + Pelan!C26 + Peka!C26 + Guise!C26</f>
        <v>88435044.055131242</v>
      </c>
      <c r="BF26" s="5">
        <f t="shared" si="15"/>
        <v>1.1137855912647888E-2</v>
      </c>
      <c r="BG26" s="5">
        <f t="shared" si="16"/>
        <v>1.7006347321646752E-2</v>
      </c>
      <c r="BN26" s="3">
        <f t="shared" si="17"/>
        <v>1991</v>
      </c>
      <c r="BO26" s="3">
        <v>1741</v>
      </c>
      <c r="BP26" s="4">
        <f>Genaire!C26 + 'New Misos'!C26 + Phuris!C26 + Lasri!C26 + Slyiaduun!C26 + Aetintio!C26 + Metndria!C26 + Tomscilus!C26</f>
        <v>77689375.181419924</v>
      </c>
      <c r="BQ26" s="5">
        <f t="shared" si="18"/>
        <v>1.3910194485963685E-2</v>
      </c>
      <c r="BR26" s="5">
        <f t="shared" si="19"/>
        <v>1.4939920160081496E-2</v>
      </c>
      <c r="BY26" s="3">
        <f t="shared" si="20"/>
        <v>1991</v>
      </c>
      <c r="BZ26" s="3">
        <v>1741</v>
      </c>
      <c r="CA26" s="4">
        <f>Ealdorii!C26 + Ukhdari!C26 + Hkuqo!C26 + Acrana!C26 + Zenashan!C26</f>
        <v>227184290.41208884</v>
      </c>
      <c r="CB26" s="6">
        <f t="shared" si="21"/>
        <v>1.2600887666842682E-2</v>
      </c>
      <c r="CC26" s="5">
        <f t="shared" si="22"/>
        <v>4.3688279799592299E-2</v>
      </c>
      <c r="CJ26" s="3">
        <f t="shared" si="23"/>
        <v>1991</v>
      </c>
      <c r="CK26" s="3">
        <v>1741</v>
      </c>
      <c r="CL26" s="4">
        <f>Estijan!C26 + Ikzen!C26 + Urbiqu!C26 + Danocia!C26 + Koruch!C26 + 'New Kizura'!C26 + Lydroa!C26 + Fermori!C26 + Uularin!C26 + 'Niul Spijan'!C26</f>
        <v>250431912.13261604</v>
      </c>
      <c r="CM26" s="6">
        <f t="shared" si="24"/>
        <v>2.9056572026407144E-3</v>
      </c>
      <c r="CN26" s="5">
        <f t="shared" si="25"/>
        <v>4.8158873257261356E-2</v>
      </c>
      <c r="CU26" s="3">
        <f t="shared" si="26"/>
        <v>1991</v>
      </c>
      <c r="CV26" s="3">
        <v>1741</v>
      </c>
      <c r="CW26" s="4">
        <f>Praesyu!C26 + Lycroa!C26 + Emara!C26 + Eldjo!C26 + Easuhura!C26 + Ilicuhe!C26 + Tonder!C26</f>
        <v>223454331.13262045</v>
      </c>
      <c r="CX26" s="6">
        <f t="shared" si="27"/>
        <v>6.1553702739538581E-3</v>
      </c>
      <c r="CY26" s="5">
        <f t="shared" si="28"/>
        <v>4.2970996468306863E-2</v>
      </c>
      <c r="DF26" s="3">
        <f t="shared" si="29"/>
        <v>1991</v>
      </c>
      <c r="DG26" s="3">
        <v>1741</v>
      </c>
      <c r="DH26" s="4">
        <f>Verusa!C26 + Darewa!C26 + Siana!C26 + Yaxuto!C26 + 'Merela Sta'!C26 + Palina!C26</f>
        <v>160882295.10221049</v>
      </c>
      <c r="DI26" s="6">
        <f t="shared" si="30"/>
        <v>3.975917472508278E-3</v>
      </c>
      <c r="DJ26" s="5">
        <f t="shared" si="31"/>
        <v>3.0938189918311109E-2</v>
      </c>
      <c r="DQ26" s="3">
        <f t="shared" si="32"/>
        <v>1991</v>
      </c>
      <c r="DR26" s="3">
        <v>1741</v>
      </c>
      <c r="DS26" s="4">
        <f>Sunsokua!C26 + Vayvele!C26 + Selaja!C26 + Sadain!C26</f>
        <v>150273052.76696405</v>
      </c>
      <c r="DT26" s="6">
        <f t="shared" si="33"/>
        <v>2.0217675512511801E-2</v>
      </c>
      <c r="DU26" s="5">
        <f t="shared" si="34"/>
        <v>2.8897998024922766E-2</v>
      </c>
      <c r="EB26" s="3">
        <f t="shared" si="35"/>
        <v>1991</v>
      </c>
      <c r="EC26" s="3">
        <v>1741</v>
      </c>
      <c r="ED26" s="4">
        <f>Pelugrotoa!C26 + Lieri!C26 + 'Rtesania'!C26 + Ozinia!C26</f>
        <v>338465670.99543619</v>
      </c>
      <c r="EE26" s="6">
        <f t="shared" si="36"/>
        <v>1.0670167845353991E-2</v>
      </c>
      <c r="EF26" s="5">
        <f t="shared" si="37"/>
        <v>6.508805212800281E-2</v>
      </c>
      <c r="EM26" s="3">
        <f t="shared" si="38"/>
        <v>1991</v>
      </c>
      <c r="EN26" s="3">
        <v>1741</v>
      </c>
      <c r="EO26" s="4">
        <f>Ocaun!C26 + 'Dual Cenryia'!C26 + Byllu!C26 + Exilium!C26 + Inrea!C26 + Amcha!C26 + Isnti!C26 + Galca!C26 + Otiiric!C26 + Taing!C26 + 'Cruthi Anoso'!C26</f>
        <v>189070603.22908929</v>
      </c>
      <c r="EP26" s="6">
        <f t="shared" si="39"/>
        <v>2.499109381629273E-2</v>
      </c>
      <c r="EQ26" s="5">
        <f t="shared" si="40"/>
        <v>3.6358893481442126E-2</v>
      </c>
      <c r="EX26" s="3">
        <f t="shared" si="41"/>
        <v>1991</v>
      </c>
      <c r="EY26" s="3">
        <v>1741</v>
      </c>
      <c r="EZ26" s="4">
        <f>Sivoso!C26 + Taoisia!C26 + Seytinemas!C26 + Trian!C26 + 'Chaenia'!C26</f>
        <v>111277628.1841799</v>
      </c>
      <c r="FA26" s="6">
        <f t="shared" si="42"/>
        <v>1.9666710819364178E-2</v>
      </c>
      <c r="FB26" s="5">
        <f t="shared" si="43"/>
        <v>2.1399050729815603E-2</v>
      </c>
      <c r="FI26" s="3">
        <f t="shared" si="44"/>
        <v>1991</v>
      </c>
      <c r="FJ26" s="3">
        <v>1741</v>
      </c>
      <c r="FK26" s="4">
        <f>Migoku!C26 + 'Welenu Fana'!C26 + Haiza!C26 + Ucrua!C26 + Ihner!C26 + Oscairia!C26 + Shinam!C26 + 'Ruylku'!C26 + Taval!C26 + 'Western Migoku'!C26 + 'Pruim Fijan'!C26 + 'Canldives'!C26</f>
        <v>120914531.41018046</v>
      </c>
      <c r="FL26" s="6">
        <f t="shared" si="45"/>
        <v>1.6925975325979625E-2</v>
      </c>
      <c r="FM26" s="5">
        <f t="shared" si="46"/>
        <v>2.3252258642103112E-2</v>
      </c>
      <c r="FT26" s="3">
        <f t="shared" si="47"/>
        <v>1991</v>
      </c>
      <c r="FU26" s="3">
        <v>1741</v>
      </c>
      <c r="FV26" s="4">
        <f>Vesozata!C26 + Etretes!C26 + Kusierna!C26 + Eparia!C26</f>
        <v>89254472.490486845</v>
      </c>
      <c r="FW26" s="6">
        <f t="shared" si="48"/>
        <v>3.3211241143032574E-2</v>
      </c>
      <c r="FX26" s="5">
        <f t="shared" si="49"/>
        <v>1.7163926081580468E-2</v>
      </c>
      <c r="GE26" s="3">
        <f t="shared" si="50"/>
        <v>1991</v>
      </c>
      <c r="GF26" s="3">
        <v>1741</v>
      </c>
      <c r="GG26" s="4">
        <f>Dahe!C26 + Kaastini!C26 + Suenan!C26 + Oyreain!C26 + Sanagara!C26 + 'North Ayre'!C26 + Stinebar!C26 + 'Cloja'!C26 + 'Pha Hii'!C26 + 'Prystr Hii'!C26</f>
        <v>925999412.79896581</v>
      </c>
      <c r="GH26" s="6">
        <f t="shared" si="51"/>
        <v>8.005095816750225E-3</v>
      </c>
      <c r="GI26" s="5">
        <f t="shared" si="52"/>
        <v>0.17807270637964279</v>
      </c>
      <c r="GP26" s="3">
        <f t="shared" si="53"/>
        <v>1991</v>
      </c>
      <c r="GQ26" s="3">
        <v>1741</v>
      </c>
      <c r="GR26" s="4">
        <f>Maalle!C26 + 'United Delet'!C26 + Ohtina!C26 + Astye!C26 + Prstreula!C26 + Veelmit!C26 + Aplasia!C26 + 'Elja and Munusia'!C26 + Walporein!C26 + 'Crila Republic'!C26 + 'Niretui and Anulan'!C26 + 'Rethern'!C26 + Tvecoca!C26</f>
        <v>139848288.51463041</v>
      </c>
      <c r="GS26" s="6">
        <f t="shared" si="54"/>
        <v>2.2378865346986469E-2</v>
      </c>
      <c r="GT26" s="5">
        <f t="shared" si="55"/>
        <v>2.6893281868384748E-2</v>
      </c>
      <c r="HA26" s="3">
        <f t="shared" si="56"/>
        <v>1991</v>
      </c>
      <c r="HB26" s="3">
        <v>1741</v>
      </c>
      <c r="HC26" s="4">
        <f>Andsaudare!C26 + Nia!C26 + Umarcia!C26 + Mendereide!C26 + Iainoa!C26 + Isari!C26 + 'Rkmepuia'!C26 + Hiwush!C26 + Isuibul!C26 + Yutnitu!C26</f>
        <v>50891049.63116359</v>
      </c>
      <c r="HD26" s="6">
        <f t="shared" si="57"/>
        <v>1.7827049328420403E-2</v>
      </c>
      <c r="HE26" s="5">
        <f t="shared" si="58"/>
        <v>9.786514778589224E-3</v>
      </c>
      <c r="HL26" s="3">
        <f t="shared" si="59"/>
        <v>1991</v>
      </c>
      <c r="HM26" s="3">
        <v>1741</v>
      </c>
      <c r="HN26" s="4">
        <f>Zhanshe!C26 + Volver!C26 + Finae!C26 + Myla!C26 + 'Nheyes Si'!C26 + Onphello!C26 + Hyelen!C26</f>
        <v>86982686.767273515</v>
      </c>
      <c r="HO26" s="6">
        <f t="shared" si="60"/>
        <v>2.1288707973547396E-2</v>
      </c>
      <c r="HP26" s="5">
        <f t="shared" si="61"/>
        <v>1.6727054279659512E-2</v>
      </c>
      <c r="HW26" s="3">
        <f t="shared" si="62"/>
        <v>1991</v>
      </c>
      <c r="HX26" s="3">
        <v>1741</v>
      </c>
      <c r="HY26" s="4">
        <f>Yihnurda!C26 + Ztesh!C26 + Wundry!C26 + Anymna!C26 + Shomjind!C26 + Baluyde!C26 + Letan!C26</f>
        <v>371058366.63253069</v>
      </c>
      <c r="HZ26" s="6">
        <f t="shared" si="63"/>
        <v>2.4535404467022653E-2</v>
      </c>
      <c r="IA26" s="5">
        <f t="shared" si="64"/>
        <v>7.135573377022153E-2</v>
      </c>
      <c r="IH26" s="3">
        <f t="shared" si="65"/>
        <v>1991</v>
      </c>
      <c r="II26" s="3">
        <v>1741</v>
      </c>
      <c r="IJ26" s="4">
        <f>Iareva!C26 + 'United Mihili'!C26 + 'Mesjan Hyaa'!C26 + Desaki!C26 + 'Far Lands'!C26</f>
        <v>46365336.785855338</v>
      </c>
      <c r="IK26" s="6">
        <f t="shared" si="66"/>
        <v>2.8738871809207953E-2</v>
      </c>
      <c r="IL26" s="5">
        <f t="shared" si="67"/>
        <v>8.916205441971841E-3</v>
      </c>
      <c r="IS26" s="3">
        <f t="shared" si="68"/>
        <v>1991</v>
      </c>
      <c r="IT26" s="3">
        <v>1741</v>
      </c>
      <c r="IU26" s="4">
        <f>Verste!C26 + Quidic!C26 + Erkizil!C26 + Ashain!C26 + Ahokini!C26</f>
        <v>273885849.70888776</v>
      </c>
      <c r="IV26" s="6">
        <f t="shared" si="69"/>
        <v>1.7142713380694039E-2</v>
      </c>
      <c r="IW26" s="5">
        <f t="shared" si="70"/>
        <v>5.2669141926700164E-2</v>
      </c>
    </row>
    <row r="27" spans="1:257" ht="22.5" customHeight="1">
      <c r="A27" s="3">
        <f t="shared" si="0"/>
        <v>1990</v>
      </c>
      <c r="B27" s="3">
        <v>1740</v>
      </c>
      <c r="C27" s="4">
        <f>Acetoa!C27 + Acrana!C27 + Aetintio!C27 + Ahokini!C27 + Amcha!C27 + Andsaudare!C27 + Anymna!C27 + Aplasia!C27 + Arbiya!C27 + 'Areoix Lie'!C27 + Ashain!C27 + Astye!C27 + Baluyde!C27 + Byllu!C27 + 'Candenat'!C27 + 'Canldives'!C27 + 'Chaenia'!C27 + 'Cloja'!C27 + 'Crila Republic'!C27 + 'Cruthi Anoso'!C27 + 'Curata'!C27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'Raledria'!C27 + 'Reerica'!C27 + 'Rethern'!C27 + 'Rijan bu'!C27 + 'Rinew'!C27 + 'Rkmepuia'!C27 + 'Rtesania'!C27 + 'Ruylku'!C27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5127739139.3203363</v>
      </c>
      <c r="D27" s="5">
        <f t="shared" si="1"/>
        <v>1.4247153081831122E-2</v>
      </c>
      <c r="K27" s="3">
        <f t="shared" si="2"/>
        <v>1990</v>
      </c>
      <c r="L27" s="3">
        <v>1740</v>
      </c>
      <c r="M27" s="4">
        <f>Eldavpir!C27 + Iquir!C27 + Viussi!C27 + Umendel!C27 + 'Reerica'!C27 + Saa!C27 + Sattle!C27</f>
        <v>57280878.034559004</v>
      </c>
      <c r="N27" s="5">
        <f t="shared" si="3"/>
        <v>2.9954425674871051E-2</v>
      </c>
      <c r="O27" s="5">
        <f t="shared" si="4"/>
        <v>1.1170786281876144E-2</v>
      </c>
      <c r="V27" s="3">
        <f t="shared" si="5"/>
        <v>1990</v>
      </c>
      <c r="W27" s="3">
        <v>1740</v>
      </c>
      <c r="X27" s="4">
        <f>'Areoix Lie'!C27 + Jau!C27 + Terressin!C27 + Acetoa!C27 + 'Feio Lie'!C27</f>
        <v>566436637.36312938</v>
      </c>
      <c r="Y27" s="5">
        <f t="shared" si="6"/>
        <v>1.1160968549788998E-2</v>
      </c>
      <c r="Z27" s="5">
        <f t="shared" si="7"/>
        <v>0.11046518201747067</v>
      </c>
      <c r="AG27" s="3">
        <f t="shared" si="8"/>
        <v>1990</v>
      </c>
      <c r="AH27" s="3">
        <v>1740</v>
      </c>
      <c r="AI27" s="4">
        <f>Taniduna!C27 + Jathua!C27 + Deschon!C27 + Pelines!C27 + 'Candenat'!C27 + Othya!C27 + Yoprioq!C27 + Jshain!C27 + 'Fire Coast'!C27 + 'Rijan bu'!C27 + 'Rinew'!C27 + Enina!C27 + Trevilla!C27</f>
        <v>134014727.39272004</v>
      </c>
      <c r="AJ27" s="5">
        <f t="shared" si="9"/>
        <v>2.7438507223956708E-2</v>
      </c>
      <c r="AK27" s="5">
        <f t="shared" si="10"/>
        <v>2.6135246694800319E-2</v>
      </c>
      <c r="AR27" s="3">
        <f t="shared" si="11"/>
        <v>1990</v>
      </c>
      <c r="AS27" s="3">
        <v>1740</v>
      </c>
      <c r="AT27" s="4">
        <f>Gaeiya!C27 + 'Raledria'!C27 + Arbiya!C27 + Fincen!C27 + 'Curata'!C27</f>
        <v>237270204.22757202</v>
      </c>
      <c r="AU27" s="5">
        <f t="shared" si="12"/>
        <v>1.4221887681420058E-2</v>
      </c>
      <c r="AV27" s="5">
        <f t="shared" si="13"/>
        <v>4.6271894451132584E-2</v>
      </c>
      <c r="BC27" s="3">
        <f t="shared" si="14"/>
        <v>1990</v>
      </c>
      <c r="BD27" s="3">
        <v>1740</v>
      </c>
      <c r="BE27" s="4">
        <f>Etirha!C27 + Laselteh!C27 + Grazail!C27 + 'Disal Nila'!C27 + Pelan!C27 + Peka!C27 + Guise!C27</f>
        <v>87460916.963998169</v>
      </c>
      <c r="BF27" s="5">
        <f t="shared" si="15"/>
        <v>8.4972185446274048E-3</v>
      </c>
      <c r="BG27" s="5">
        <f t="shared" si="16"/>
        <v>1.7056428688685361E-2</v>
      </c>
      <c r="BN27" s="3">
        <f t="shared" si="17"/>
        <v>1990</v>
      </c>
      <c r="BO27" s="3">
        <v>1740</v>
      </c>
      <c r="BP27" s="4">
        <f>Genaire!C27 + 'New Misos'!C27 + Phuris!C27 + Lasri!C27 + Slyiaduun!C27 + Aetintio!C27 + Metndria!C27 + Tomscilus!C27</f>
        <v>76623527.018393576</v>
      </c>
      <c r="BQ27" s="5">
        <f t="shared" si="18"/>
        <v>1.442274043001493E-2</v>
      </c>
      <c r="BR27" s="5">
        <f t="shared" si="19"/>
        <v>1.494294560166525E-2</v>
      </c>
      <c r="BY27" s="3">
        <f t="shared" si="20"/>
        <v>1990</v>
      </c>
      <c r="BZ27" s="3">
        <v>1740</v>
      </c>
      <c r="CA27" s="4">
        <f>Ealdorii!C27 + Ukhdari!C27 + Hkuqo!C27 + Acrana!C27 + Zenashan!C27</f>
        <v>224357190.65539184</v>
      </c>
      <c r="CB27" s="7">
        <f t="shared" si="21"/>
        <v>1.1417294056733505E-2</v>
      </c>
      <c r="CC27" s="5">
        <f t="shared" si="22"/>
        <v>4.3753627975141027E-2</v>
      </c>
      <c r="CJ27" s="3">
        <f t="shared" si="23"/>
        <v>1990</v>
      </c>
      <c r="CK27" s="3">
        <v>1740</v>
      </c>
      <c r="CL27" s="4">
        <f>Estijan!C27 + Ikzen!C27 + Urbiqu!C27 + Danocia!C27 + Koruch!C27 + 'New Kizura'!C27 + Lydroa!C27 + Fermori!C27 + Uularin!C27 + 'Niul Spijan'!C27</f>
        <v>249706351.07506964</v>
      </c>
      <c r="CM27" s="7">
        <f t="shared" si="24"/>
        <v>5.8467014577781619E-3</v>
      </c>
      <c r="CN27" s="5">
        <f t="shared" si="25"/>
        <v>4.8697163465333246E-2</v>
      </c>
      <c r="CU27" s="3">
        <f t="shared" si="26"/>
        <v>1990</v>
      </c>
      <c r="CV27" s="3">
        <v>1740</v>
      </c>
      <c r="CW27" s="4">
        <f>Praesyu!C27 + Lycroa!C27 + Emara!C27 + Eldjo!C27 + Easuhura!C27 + Ilicuhe!C27 + Tonder!C27</f>
        <v>222087301.55838534</v>
      </c>
      <c r="CX27" s="7">
        <f t="shared" si="27"/>
        <v>5.280193171005523E-3</v>
      </c>
      <c r="CY27" s="5">
        <f t="shared" si="28"/>
        <v>4.3310959376888704E-2</v>
      </c>
      <c r="DF27" s="3">
        <f t="shared" si="29"/>
        <v>1990</v>
      </c>
      <c r="DG27" s="3">
        <v>1740</v>
      </c>
      <c r="DH27" s="4">
        <f>Verusa!C27 + Darewa!C27 + Siana!C27 + Yaxuto!C27 + 'Merela Sta'!C27 + Palina!C27</f>
        <v>160245173.51693937</v>
      </c>
      <c r="DI27" s="7">
        <f t="shared" si="30"/>
        <v>2.5977998994800478E-3</v>
      </c>
      <c r="DJ27" s="5">
        <f t="shared" si="31"/>
        <v>3.1250648514498984E-2</v>
      </c>
      <c r="DQ27" s="3">
        <f t="shared" si="32"/>
        <v>1990</v>
      </c>
      <c r="DR27" s="3">
        <v>1740</v>
      </c>
      <c r="DS27" s="4">
        <f>Sunsokua!C27 + Vayvele!C27 + Selaja!C27 + Sadain!C27</f>
        <v>147295088.4638159</v>
      </c>
      <c r="DT27" s="7">
        <f t="shared" si="33"/>
        <v>2.1349402054499891E-2</v>
      </c>
      <c r="DU27" s="5">
        <f t="shared" si="34"/>
        <v>2.8725152442785798E-2</v>
      </c>
      <c r="EB27" s="3">
        <f t="shared" si="35"/>
        <v>1990</v>
      </c>
      <c r="EC27" s="3">
        <v>1740</v>
      </c>
      <c r="ED27" s="4">
        <f>Pelugrotoa!C27 + Lieri!C27 + 'Rtesania'!C27 + Ozinia!C27</f>
        <v>334892313.79710215</v>
      </c>
      <c r="EE27" s="7">
        <f t="shared" si="36"/>
        <v>9.5135838146256386E-3</v>
      </c>
      <c r="EF27" s="5">
        <f t="shared" si="37"/>
        <v>6.5309935762740648E-2</v>
      </c>
      <c r="EM27" s="3">
        <f t="shared" si="38"/>
        <v>1990</v>
      </c>
      <c r="EN27" s="3">
        <v>1740</v>
      </c>
      <c r="EO27" s="4">
        <f>Ocaun!C27 + 'Dual Cenryia'!C27 + Byllu!C27 + Exilium!C27 + Inrea!C27 + Amcha!C27 + Isnti!C27 + Galca!C27 + Otiiric!C27 + Taing!C27 + 'Cruthi Anoso'!C27</f>
        <v>184460727.87338391</v>
      </c>
      <c r="EP27" s="7">
        <f t="shared" si="39"/>
        <v>2.530416112275595E-2</v>
      </c>
      <c r="EQ27" s="5">
        <f t="shared" si="40"/>
        <v>3.5973110733911774E-2</v>
      </c>
      <c r="EX27" s="3">
        <f t="shared" si="41"/>
        <v>1990</v>
      </c>
      <c r="EY27" s="3">
        <v>1740</v>
      </c>
      <c r="EZ27" s="4">
        <f>Sivoso!C27 + Taoisia!C27 + Seytinemas!C27 + Trian!C27 + 'Chaenia'!C27</f>
        <v>109131373.02948879</v>
      </c>
      <c r="FA27" s="7">
        <f t="shared" si="42"/>
        <v>1.9407779124567193E-2</v>
      </c>
      <c r="FB27" s="5">
        <f t="shared" si="43"/>
        <v>2.1282551640088649E-2</v>
      </c>
      <c r="FI27" s="3">
        <f t="shared" si="44"/>
        <v>1990</v>
      </c>
      <c r="FJ27" s="3">
        <v>1740</v>
      </c>
      <c r="FK27" s="4">
        <f>Migoku!C27 + 'Welenu Fana'!C27 + Haiza!C27 + Ucrua!C27 + Ihner!C27 + Oscairia!C27 + Shinam!C27 + 'Ruylku'!C27 + Taval!C27 + 'Western Migoku'!C27 + 'Pruim Fijan'!C27 + 'Canldives'!C27</f>
        <v>118901999.1070843</v>
      </c>
      <c r="FL27" s="7">
        <f t="shared" si="45"/>
        <v>1.9628368796481676E-2</v>
      </c>
      <c r="FM27" s="5">
        <f t="shared" si="46"/>
        <v>2.318799686889773E-2</v>
      </c>
      <c r="FT27" s="3">
        <f t="shared" si="47"/>
        <v>1990</v>
      </c>
      <c r="FU27" s="3">
        <v>1740</v>
      </c>
      <c r="FV27" s="4">
        <f>Vesozata!C27 + Etretes!C27 + Kusierna!C27 + Eparia!C27</f>
        <v>86385502.728121117</v>
      </c>
      <c r="FW27" s="7">
        <f t="shared" si="48"/>
        <v>2.7827936824660317E-2</v>
      </c>
      <c r="FX27" s="5">
        <f t="shared" si="49"/>
        <v>1.684670385544831E-2</v>
      </c>
      <c r="GE27" s="3">
        <f t="shared" si="50"/>
        <v>1990</v>
      </c>
      <c r="GF27" s="3">
        <v>1740</v>
      </c>
      <c r="GG27" s="4">
        <f>Dahe!C27 + Kaastini!C27 + Suenan!C27 + Oyreain!C27 + Sanagara!C27 + 'North Ayre'!C27 + Stinebar!C27 + 'Cloja'!C27 + 'Pha Hii'!C27 + 'Prystr Hii'!C27</f>
        <v>918645567.01339078</v>
      </c>
      <c r="GH27" s="7">
        <f t="shared" si="51"/>
        <v>8.5033430728800111E-3</v>
      </c>
      <c r="GI27" s="5">
        <f t="shared" si="52"/>
        <v>0.17915216473651466</v>
      </c>
      <c r="GP27" s="3">
        <f t="shared" si="53"/>
        <v>1990</v>
      </c>
      <c r="GQ27" s="3">
        <v>1740</v>
      </c>
      <c r="GR27" s="4">
        <f>Maalle!C27 + 'United Delet'!C27 + Ohtina!C27 + Astye!C27 + Prstreula!C27 + Veelmit!C27 + Aplasia!C27 + 'Elja and Munusia'!C27 + Walporein!C27 + 'Crila Republic'!C27 + 'Niretui and Anulan'!C27 + 'Rethern'!C27 + Tvecoca!C27</f>
        <v>136787147.36260429</v>
      </c>
      <c r="GS27" s="7">
        <f t="shared" si="54"/>
        <v>2.3022128213681669E-2</v>
      </c>
      <c r="GT27" s="5">
        <f t="shared" si="55"/>
        <v>2.6675917718531787E-2</v>
      </c>
      <c r="HA27" s="3">
        <f t="shared" si="56"/>
        <v>1990</v>
      </c>
      <c r="HB27" s="3">
        <v>1740</v>
      </c>
      <c r="HC27" s="4">
        <f>Andsaudare!C27 + Nia!C27 + Umarcia!C27 + Mendereide!C27 + Iainoa!C27 + Isari!C27 + 'Rkmepuia'!C27 + Hiwush!C27 + Isuibul!C27 + Yutnitu!C27</f>
        <v>49999702.468845144</v>
      </c>
      <c r="HD27" s="7">
        <f t="shared" si="57"/>
        <v>2.2118356881855445E-2</v>
      </c>
      <c r="HE27" s="5">
        <f t="shared" si="58"/>
        <v>9.7508280180322177E-3</v>
      </c>
      <c r="HL27" s="3">
        <f t="shared" si="59"/>
        <v>1990</v>
      </c>
      <c r="HM27" s="3">
        <v>1740</v>
      </c>
      <c r="HN27" s="4">
        <f>Zhanshe!C27 + Volver!C27 + Finae!C27 + Myla!C27 + 'Nheyes Si'!C27 + Onphello!C27 + Hyelen!C27</f>
        <v>85169537.358212397</v>
      </c>
      <c r="HO27" s="7">
        <f t="shared" si="60"/>
        <v>1.4900599338839554E-2</v>
      </c>
      <c r="HP27" s="5">
        <f t="shared" si="61"/>
        <v>1.6609569060391266E-2</v>
      </c>
      <c r="HW27" s="3">
        <f t="shared" si="62"/>
        <v>1990</v>
      </c>
      <c r="HX27" s="3">
        <v>1740</v>
      </c>
      <c r="HY27" s="4">
        <f>Yihnurda!C27 + Ztesh!C27 + Wundry!C27 + Anymna!C27 + Shomjind!C27 + Baluyde!C27 + Letan!C27</f>
        <v>362172322.22009969</v>
      </c>
      <c r="HZ27" s="7">
        <f t="shared" si="63"/>
        <v>2.4773420853011253E-2</v>
      </c>
      <c r="IA27" s="5">
        <f t="shared" si="64"/>
        <v>7.06300208298241E-2</v>
      </c>
      <c r="IH27" s="3">
        <f t="shared" si="65"/>
        <v>1990</v>
      </c>
      <c r="II27" s="3">
        <v>1740</v>
      </c>
      <c r="IJ27" s="4">
        <f>Iareva!C27 + 'United Mihili'!C27 + 'Mesjan Hyaa'!C27 + Desaki!C27 + 'Far Lands'!C27</f>
        <v>45070073.7149304</v>
      </c>
      <c r="IK27" s="7">
        <f t="shared" si="66"/>
        <v>2.8770325325054281E-2</v>
      </c>
      <c r="IL27" s="5">
        <f t="shared" si="67"/>
        <v>8.7894630538682735E-3</v>
      </c>
      <c r="IS27" s="3">
        <f t="shared" si="68"/>
        <v>1990</v>
      </c>
      <c r="IT27" s="3">
        <v>1740</v>
      </c>
      <c r="IU27" s="4">
        <f>Verste!C27 + Quidic!C27 + Erkizil!C27 + Ashain!C27 + Ahokini!C27</f>
        <v>269269834.12049311</v>
      </c>
      <c r="IV27" s="7">
        <f t="shared" si="69"/>
        <v>1.7184601790904096E-2</v>
      </c>
      <c r="IW27" s="5">
        <f t="shared" si="70"/>
        <v>5.2512389340496735E-2</v>
      </c>
    </row>
    <row r="28" spans="1:257" ht="22.5" customHeight="1">
      <c r="A28" s="3">
        <f t="shared" si="0"/>
        <v>1989</v>
      </c>
      <c r="B28" s="3">
        <v>1739</v>
      </c>
      <c r="C28" s="4">
        <f>Acetoa!C28 + Acrana!C28 + Aetintio!C28 + Ahokini!C28 + Amcha!C28 + Andsaudare!C28 + Anymna!C28 + Aplasia!C28 + Arbiya!C28 + 'Areoix Lie'!C28 + Ashain!C28 + Astye!C28 + Baluyde!C28 + Byllu!C28 + 'Candenat'!C28 + 'Canldives'!C28 + 'Chaenia'!C28 + 'Cloja'!C28 + 'Crila Republic'!C28 + 'Cruthi Anoso'!C28 + 'Curata'!C28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'Raledria'!C28 + 'Reerica'!C28 + 'Rethern'!C28 + 'Rijan bu'!C28 + 'Rinew'!C28 + 'Rkmepuia'!C28 + 'Rtesania'!C28 + 'Ruylku'!C28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5055709669.7185621</v>
      </c>
      <c r="D28" s="5">
        <f t="shared" si="1"/>
        <v>1.4806541582128298E-2</v>
      </c>
      <c r="K28" s="3">
        <f t="shared" si="2"/>
        <v>1989</v>
      </c>
      <c r="L28" s="3">
        <v>1739</v>
      </c>
      <c r="M28" s="4">
        <f>Eldavpir!C28 + Iquir!C28 + Viussi!C28 + Umendel!C28 + 'Reerica'!C28 + Saa!C28 + Sattle!C28</f>
        <v>55614963.736891635</v>
      </c>
      <c r="N28" s="5">
        <f t="shared" si="3"/>
        <v>3.0503191025261826E-2</v>
      </c>
      <c r="O28" s="5">
        <f t="shared" si="4"/>
        <v>1.1000426719516822E-2</v>
      </c>
      <c r="V28" s="3">
        <f t="shared" si="5"/>
        <v>1989</v>
      </c>
      <c r="W28" s="3">
        <v>1739</v>
      </c>
      <c r="X28" s="4">
        <f>'Areoix Lie'!C28 + Jau!C28 + Terressin!C28 + Acetoa!C28 + 'Feio Lie'!C28</f>
        <v>560184436.48543417</v>
      </c>
      <c r="Y28" s="5">
        <f t="shared" si="6"/>
        <v>1.142788491909873E-2</v>
      </c>
      <c r="Z28" s="5">
        <f t="shared" si="7"/>
        <v>0.11080233499971096</v>
      </c>
      <c r="AG28" s="3">
        <f t="shared" si="8"/>
        <v>1989</v>
      </c>
      <c r="AH28" s="3">
        <v>1739</v>
      </c>
      <c r="AI28" s="4">
        <f>Taniduna!C28 + Jathua!C28 + Deschon!C28 + Pelines!C28 + 'Candenat'!C28 + Othya!C28 + Yoprioq!C28 + Jshain!C28 + 'Fire Coast'!C28 + 'Rijan bu'!C28 + 'Rinew'!C28 + Enina!C28 + Trevilla!C28</f>
        <v>130435764.72018299</v>
      </c>
      <c r="AJ28" s="5">
        <f t="shared" si="9"/>
        <v>2.756651714080233E-2</v>
      </c>
      <c r="AK28" s="5">
        <f t="shared" si="10"/>
        <v>2.5799694452676908E-2</v>
      </c>
      <c r="AR28" s="3">
        <f t="shared" si="11"/>
        <v>1989</v>
      </c>
      <c r="AS28" s="3">
        <v>1739</v>
      </c>
      <c r="AT28" s="4">
        <f>Gaeiya!C28 + 'Raledria'!C28 + Arbiya!C28 + Fincen!C28 + 'Curata'!C28</f>
        <v>233943091.85141703</v>
      </c>
      <c r="AU28" s="5">
        <f t="shared" si="12"/>
        <v>1.6122671766430778E-2</v>
      </c>
      <c r="AV28" s="5">
        <f t="shared" si="13"/>
        <v>4.6273047135722889E-2</v>
      </c>
      <c r="BC28" s="3">
        <f t="shared" si="14"/>
        <v>1989</v>
      </c>
      <c r="BD28" s="3">
        <v>1739</v>
      </c>
      <c r="BE28" s="4">
        <f>Etirha!C28 + Laselteh!C28 + Grazail!C28 + 'Disal Nila'!C28 + Pelan!C28 + Peka!C28 + Guise!C28</f>
        <v>86724004.147690073</v>
      </c>
      <c r="BF28" s="5">
        <f t="shared" si="15"/>
        <v>8.7181870229802276E-3</v>
      </c>
      <c r="BG28" s="5">
        <f t="shared" si="16"/>
        <v>1.7153675707908631E-2</v>
      </c>
      <c r="BN28" s="3">
        <f t="shared" si="17"/>
        <v>1989</v>
      </c>
      <c r="BO28" s="3">
        <v>1739</v>
      </c>
      <c r="BP28" s="4">
        <f>Genaire!C28 + 'New Misos'!C28 + Phuris!C28 + Lasri!C28 + Slyiaduun!C28 + Aetintio!C28 + Metndria!C28 + Tomscilus!C28</f>
        <v>75534118.040288389</v>
      </c>
      <c r="BQ28" s="5">
        <f t="shared" si="18"/>
        <v>1.4670425548172451E-2</v>
      </c>
      <c r="BR28" s="5">
        <f t="shared" si="19"/>
        <v>1.4940359113717298E-2</v>
      </c>
      <c r="BY28" s="3">
        <f t="shared" si="20"/>
        <v>1989</v>
      </c>
      <c r="BZ28" s="3">
        <v>1739</v>
      </c>
      <c r="CA28" s="4">
        <f>Ealdorii!C28 + Ukhdari!C28 + Hkuqo!C28 + Acrana!C28 + Zenashan!C28</f>
        <v>221824554.48780072</v>
      </c>
      <c r="CB28" s="6">
        <f t="shared" si="21"/>
        <v>1.4690380657564728E-2</v>
      </c>
      <c r="CC28" s="5">
        <f t="shared" si="22"/>
        <v>4.3876046881495295E-2</v>
      </c>
      <c r="CJ28" s="3">
        <f t="shared" si="23"/>
        <v>1989</v>
      </c>
      <c r="CK28" s="3">
        <v>1739</v>
      </c>
      <c r="CL28" s="4">
        <f>Estijan!C28 + Ikzen!C28 + Urbiqu!C28 + Danocia!C28 + Koruch!C28 + 'New Kizura'!C28 + Lydroa!C28 + Fermori!C28 + Uularin!C28 + 'Niul Spijan'!C28</f>
        <v>248254878.91263062</v>
      </c>
      <c r="CM28" s="6">
        <f t="shared" si="24"/>
        <v>1.0254435643676665E-2</v>
      </c>
      <c r="CN28" s="5">
        <f t="shared" si="25"/>
        <v>4.9103863775953396E-2</v>
      </c>
      <c r="CU28" s="3">
        <f t="shared" si="26"/>
        <v>1989</v>
      </c>
      <c r="CV28" s="3">
        <v>1739</v>
      </c>
      <c r="CW28" s="4">
        <f>Praesyu!C28 + Lycroa!C28 + Emara!C28 + Eldjo!C28 + Easuhura!C28 + Ilicuhe!C28 + Tonder!C28</f>
        <v>220920797.07434031</v>
      </c>
      <c r="CX28" s="6">
        <f t="shared" si="27"/>
        <v>3.9455206054649699E-3</v>
      </c>
      <c r="CY28" s="5">
        <f t="shared" si="28"/>
        <v>4.3697287128166597E-2</v>
      </c>
      <c r="DF28" s="3">
        <f t="shared" si="29"/>
        <v>1989</v>
      </c>
      <c r="DG28" s="3">
        <v>1739</v>
      </c>
      <c r="DH28" s="4">
        <f>Verusa!C28 + Darewa!C28 + Siana!C28 + Yaxuto!C28 + 'Merela Sta'!C28 + Palina!C28</f>
        <v>159829967.24409875</v>
      </c>
      <c r="DI28" s="6">
        <f t="shared" si="30"/>
        <v>2.535667714362231E-3</v>
      </c>
      <c r="DJ28" s="5">
        <f t="shared" si="31"/>
        <v>3.1613755078027661E-2</v>
      </c>
      <c r="DQ28" s="3">
        <f t="shared" si="32"/>
        <v>1989</v>
      </c>
      <c r="DR28" s="3">
        <v>1739</v>
      </c>
      <c r="DS28" s="4">
        <f>Sunsokua!C28 + Vayvele!C28 + Selaja!C28 + Sadain!C28</f>
        <v>144216159.68788332</v>
      </c>
      <c r="DT28" s="6">
        <f t="shared" si="33"/>
        <v>2.2406938355441573E-2</v>
      </c>
      <c r="DU28" s="5">
        <f t="shared" si="34"/>
        <v>2.8525403773019951E-2</v>
      </c>
      <c r="EB28" s="3">
        <f t="shared" si="35"/>
        <v>1989</v>
      </c>
      <c r="EC28" s="3">
        <v>1739</v>
      </c>
      <c r="ED28" s="4">
        <f>Pelugrotoa!C28 + Lieri!C28 + 'Rtesania'!C28 + Ozinia!C28</f>
        <v>331736312.58298904</v>
      </c>
      <c r="EE28" s="6">
        <f t="shared" si="36"/>
        <v>9.8466123463335758E-3</v>
      </c>
      <c r="EF28" s="5">
        <f t="shared" si="37"/>
        <v>6.5616171468456955E-2</v>
      </c>
      <c r="EM28" s="3">
        <f t="shared" si="38"/>
        <v>1989</v>
      </c>
      <c r="EN28" s="3">
        <v>1739</v>
      </c>
      <c r="EO28" s="4">
        <f>Ocaun!C28 + 'Dual Cenryia'!C28 + Byllu!C28 + Exilium!C28 + Inrea!C28 + Amcha!C28 + Isnti!C28 + Galca!C28 + Otiiric!C28 + Taing!C28 + 'Cruthi Anoso'!C28</f>
        <v>179908299.28105509</v>
      </c>
      <c r="EP28" s="6">
        <f t="shared" si="39"/>
        <v>2.5358949840655769E-2</v>
      </c>
      <c r="EQ28" s="5">
        <f t="shared" si="40"/>
        <v>3.5585172217982623E-2</v>
      </c>
      <c r="EX28" s="3">
        <f t="shared" si="41"/>
        <v>1989</v>
      </c>
      <c r="EY28" s="3">
        <v>1739</v>
      </c>
      <c r="EZ28" s="4">
        <f>Sivoso!C28 + Taoisia!C28 + Seytinemas!C28 + Trian!C28 + 'Chaenia'!C28</f>
        <v>107053698.49463686</v>
      </c>
      <c r="FA28" s="6">
        <f t="shared" si="42"/>
        <v>2.0831466853976219E-2</v>
      </c>
      <c r="FB28" s="5">
        <f t="shared" si="43"/>
        <v>2.1174811349599563E-2</v>
      </c>
      <c r="FI28" s="3">
        <f t="shared" si="44"/>
        <v>1989</v>
      </c>
      <c r="FJ28" s="3">
        <v>1739</v>
      </c>
      <c r="FK28" s="4">
        <f>Migoku!C28 + 'Welenu Fana'!C28 + Haiza!C28 + Ucrua!C28 + Ihner!C28 + Oscairia!C28 + Shinam!C28 + 'Ruylku'!C28 + Taval!C28 + 'Western Migoku'!C28 + 'Pruim Fijan'!C28 + 'Canldives'!C28</f>
        <v>116613074.67095122</v>
      </c>
      <c r="FL28" s="6">
        <f t="shared" si="45"/>
        <v>2.0118805823039994E-2</v>
      </c>
      <c r="FM28" s="5">
        <f t="shared" si="46"/>
        <v>2.3065619327274928E-2</v>
      </c>
      <c r="FT28" s="3">
        <f t="shared" si="47"/>
        <v>1989</v>
      </c>
      <c r="FU28" s="3">
        <v>1739</v>
      </c>
      <c r="FV28" s="4">
        <f>Vesozata!C28 + Etretes!C28 + Kusierna!C28 + Eparia!C28</f>
        <v>84046657.648747906</v>
      </c>
      <c r="FW28" s="6">
        <f t="shared" si="48"/>
        <v>2.5010423358067815E-2</v>
      </c>
      <c r="FX28" s="5">
        <f t="shared" si="49"/>
        <v>1.6624106829581171E-2</v>
      </c>
      <c r="GE28" s="3">
        <f t="shared" si="50"/>
        <v>1989</v>
      </c>
      <c r="GF28" s="3">
        <v>1739</v>
      </c>
      <c r="GG28" s="4">
        <f>Dahe!C28 + Kaastini!C28 + Suenan!C28 + Oyreain!C28 + Sanagara!C28 + 'North Ayre'!C28 + Stinebar!C28 + 'Cloja'!C28 + 'Pha Hii'!C28 + 'Prystr Hii'!C28</f>
        <v>910899872.88917136</v>
      </c>
      <c r="GH28" s="6">
        <f t="shared" si="51"/>
        <v>8.9031749359141047E-3</v>
      </c>
      <c r="GI28" s="5">
        <f t="shared" si="52"/>
        <v>0.18017250443494687</v>
      </c>
      <c r="GP28" s="3">
        <f t="shared" si="53"/>
        <v>1989</v>
      </c>
      <c r="GQ28" s="3">
        <v>1739</v>
      </c>
      <c r="GR28" s="4">
        <f>Maalle!C28 + 'United Delet'!C28 + Ohtina!C28 + Astye!C28 + Prstreula!C28 + Veelmit!C28 + Aplasia!C28 + 'Elja and Munusia'!C28 + Walporein!C28 + 'Crila Republic'!C28 + 'Niretui and Anulan'!C28 + 'Rethern'!C28 + Tvecoca!C28</f>
        <v>133708884.28528024</v>
      </c>
      <c r="GS28" s="6">
        <f t="shared" si="54"/>
        <v>2.31104356071372E-2</v>
      </c>
      <c r="GT28" s="5">
        <f t="shared" si="55"/>
        <v>2.6447104960582807E-2</v>
      </c>
      <c r="HA28" s="3">
        <f t="shared" si="56"/>
        <v>1989</v>
      </c>
      <c r="HB28" s="3">
        <v>1739</v>
      </c>
      <c r="HC28" s="4">
        <f>Andsaudare!C28 + Nia!C28 + Umarcia!C28 + Mendereide!C28 + Iainoa!C28 + Isari!C28 + 'Rkmepuia'!C28 + Hiwush!C28 + Isuibul!C28 + Yutnitu!C28</f>
        <v>48917722.817715235</v>
      </c>
      <c r="HD28" s="6">
        <f t="shared" si="57"/>
        <v>2.353511027195453E-2</v>
      </c>
      <c r="HE28" s="5">
        <f t="shared" si="58"/>
        <v>9.6757381284590955E-3</v>
      </c>
      <c r="HL28" s="3">
        <f t="shared" si="59"/>
        <v>1989</v>
      </c>
      <c r="HM28" s="3">
        <v>1739</v>
      </c>
      <c r="HN28" s="4">
        <f>Zhanshe!C28 + Volver!C28 + Finae!C28 + Myla!C28 + 'Nheyes Si'!C28 + Onphello!C28 + Hyelen!C28</f>
        <v>83919092.582757741</v>
      </c>
      <c r="HO28" s="6">
        <f t="shared" si="60"/>
        <v>1.4277065704534381E-2</v>
      </c>
      <c r="HP28" s="5">
        <f t="shared" si="61"/>
        <v>1.6598874948337231E-2</v>
      </c>
      <c r="HW28" s="3">
        <f t="shared" si="62"/>
        <v>1989</v>
      </c>
      <c r="HX28" s="3">
        <v>1739</v>
      </c>
      <c r="HY28" s="4">
        <f>Yihnurda!C28 + Ztesh!C28 + Wundry!C28 + Anymna!C28 + Shomjind!C28 + Baluyde!C28 + Letan!C28</f>
        <v>353416974.76758426</v>
      </c>
      <c r="HZ28" s="6">
        <f t="shared" si="63"/>
        <v>2.4964254883610065E-2</v>
      </c>
      <c r="IA28" s="5">
        <f t="shared" si="64"/>
        <v>6.9904523371742203E-2</v>
      </c>
      <c r="IH28" s="3">
        <f t="shared" si="65"/>
        <v>1989</v>
      </c>
      <c r="II28" s="3">
        <v>1739</v>
      </c>
      <c r="IJ28" s="4">
        <f>Iareva!C28 + 'United Mihili'!C28 + 'Mesjan Hyaa'!C28 + Desaki!C28 + 'Far Lands'!C28</f>
        <v>43809655.66895593</v>
      </c>
      <c r="IK28" s="6">
        <f t="shared" si="66"/>
        <v>2.8870274916108645E-2</v>
      </c>
      <c r="IL28" s="5">
        <f t="shared" si="67"/>
        <v>8.6653820197303173E-3</v>
      </c>
      <c r="IS28" s="3">
        <f t="shared" si="68"/>
        <v>1989</v>
      </c>
      <c r="IT28" s="3">
        <v>1739</v>
      </c>
      <c r="IU28" s="4">
        <f>Verste!C28 + Quidic!C28 + Erkizil!C28 + Ashain!C28 + Ahokini!C28</f>
        <v>264720714.06350794</v>
      </c>
      <c r="IV28" s="6">
        <f t="shared" si="69"/>
        <v>1.7295732602435269E-2</v>
      </c>
      <c r="IW28" s="5">
        <f t="shared" si="70"/>
        <v>5.236074287435185E-2</v>
      </c>
    </row>
    <row r="29" spans="1:257" ht="22.5" customHeight="1">
      <c r="A29" s="3">
        <f t="shared" si="0"/>
        <v>1988</v>
      </c>
      <c r="B29" s="3">
        <v>1738</v>
      </c>
      <c r="C29" s="4">
        <f>Acetoa!C29 + Acrana!C29 + Aetintio!C29 + Ahokini!C29 + Amcha!C29 + Andsaudare!C29 + Anymna!C29 + Aplasia!C29 + Arbiya!C29 + 'Areoix Lie'!C29 + Ashain!C29 + Astye!C29 + Baluyde!C29 + Byllu!C29 + 'Candenat'!C29 + 'Canldives'!C29 + 'Chaenia'!C29 + 'Cloja'!C29 + 'Crila Republic'!C29 + 'Cruthi Anoso'!C29 + 'Curata'!C29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'Raledria'!C29 + 'Reerica'!C29 + 'Rethern'!C29 + 'Rijan bu'!C29 + 'Rinew'!C29 + 'Rkmepuia'!C29 + 'Rtesania'!C29 + 'Ruylku'!C29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4981944304.2183065</v>
      </c>
      <c r="D29" s="5">
        <f t="shared" si="1"/>
        <v>1.5182327510343929E-2</v>
      </c>
      <c r="K29" s="3">
        <f t="shared" si="2"/>
        <v>1988</v>
      </c>
      <c r="L29" s="3">
        <v>1738</v>
      </c>
      <c r="M29" s="4">
        <f>Eldavpir!C29 + Iquir!C29 + Viussi!C29 + Umendel!C29 + 'Reerica'!C29 + Saa!C29 + Sattle!C29</f>
        <v>53968744.804719664</v>
      </c>
      <c r="N29" s="5">
        <f t="shared" si="3"/>
        <v>3.0941050251172515E-2</v>
      </c>
      <c r="O29" s="5">
        <f t="shared" si="4"/>
        <v>1.08328679545902E-2</v>
      </c>
      <c r="V29" s="3">
        <f t="shared" si="5"/>
        <v>1988</v>
      </c>
      <c r="W29" s="3">
        <v>1738</v>
      </c>
      <c r="X29" s="4">
        <f>'Areoix Lie'!C29 + Jau!C29 + Terressin!C29 + Acetoa!C29 + 'Feio Lie'!C29</f>
        <v>553855044.77191842</v>
      </c>
      <c r="Y29" s="5">
        <f t="shared" si="6"/>
        <v>1.1832408737547583E-2</v>
      </c>
      <c r="Z29" s="5">
        <f t="shared" si="7"/>
        <v>0.11117246820743437</v>
      </c>
      <c r="AG29" s="3">
        <f t="shared" si="8"/>
        <v>1988</v>
      </c>
      <c r="AH29" s="3">
        <v>1738</v>
      </c>
      <c r="AI29" s="4">
        <f>Taniduna!C29 + Jathua!C29 + Deschon!C29 + Pelines!C29 + 'Candenat'!C29 + Othya!C29 + Yoprioq!C29 + Jshain!C29 + 'Fire Coast'!C29 + 'Rijan bu'!C29 + 'Rinew'!C29 + Enina!C29 + Trevilla!C29</f>
        <v>126936565.70585787</v>
      </c>
      <c r="AJ29" s="5">
        <f t="shared" si="9"/>
        <v>2.8239122345000419E-2</v>
      </c>
      <c r="AK29" s="5">
        <f t="shared" si="10"/>
        <v>2.5479322520401981E-2</v>
      </c>
      <c r="AR29" s="3">
        <f t="shared" si="11"/>
        <v>1988</v>
      </c>
      <c r="AS29" s="3">
        <v>1738</v>
      </c>
      <c r="AT29" s="4">
        <f>Gaeiya!C29 + 'Raledria'!C29 + Arbiya!C29 + Fincen!C29 + 'Curata'!C29</f>
        <v>230231150.5802047</v>
      </c>
      <c r="AU29" s="5">
        <f t="shared" si="12"/>
        <v>1.567493940942739E-2</v>
      </c>
      <c r="AV29" s="5">
        <f t="shared" si="13"/>
        <v>4.6213112094662244E-2</v>
      </c>
      <c r="BC29" s="3">
        <f t="shared" si="14"/>
        <v>1988</v>
      </c>
      <c r="BD29" s="3">
        <v>1738</v>
      </c>
      <c r="BE29" s="4">
        <f>Etirha!C29 + Laselteh!C29 + Grazail!C29 + 'Disal Nila'!C29 + Pelan!C29 + Peka!C29 + Guise!C29</f>
        <v>85974462.702648148</v>
      </c>
      <c r="BF29" s="5">
        <f t="shared" si="15"/>
        <v>7.9971390424619215E-3</v>
      </c>
      <c r="BG29" s="5">
        <f t="shared" si="16"/>
        <v>1.7257210729925653E-2</v>
      </c>
      <c r="BN29" s="3">
        <f t="shared" si="17"/>
        <v>1988</v>
      </c>
      <c r="BO29" s="3">
        <v>1738</v>
      </c>
      <c r="BP29" s="4">
        <f>Genaire!C29 + 'New Misos'!C29 + Phuris!C29 + Lasri!C29 + Slyiaduun!C29 + Aetintio!C29 + Metndria!C29 + Tomscilus!C29</f>
        <v>74442021.900343969</v>
      </c>
      <c r="BQ29" s="5">
        <f t="shared" si="18"/>
        <v>1.54963404159052E-2</v>
      </c>
      <c r="BR29" s="5">
        <f t="shared" si="19"/>
        <v>1.4942363333390239E-2</v>
      </c>
      <c r="BY29" s="3">
        <f t="shared" si="20"/>
        <v>1988</v>
      </c>
      <c r="BZ29" s="3">
        <v>1738</v>
      </c>
      <c r="CA29" s="4">
        <f>Ealdorii!C29 + Ukhdari!C29 + Hkuqo!C29 + Acrana!C29 + Zenashan!C29</f>
        <v>218613045.63077506</v>
      </c>
      <c r="CB29" s="7">
        <f t="shared" si="21"/>
        <v>1.4729875625962332E-2</v>
      </c>
      <c r="CC29" s="5">
        <f t="shared" si="22"/>
        <v>4.3881069775443149E-2</v>
      </c>
      <c r="CJ29" s="3">
        <f t="shared" si="23"/>
        <v>1988</v>
      </c>
      <c r="CK29" s="3">
        <v>1738</v>
      </c>
      <c r="CL29" s="4">
        <f>Estijan!C29 + Ikzen!C29 + Urbiqu!C29 + Danocia!C29 + Koruch!C29 + 'New Kizura'!C29 + Lydroa!C29 + Fermori!C29 + Uularin!C29 + 'Niul Spijan'!C29</f>
        <v>245735005.11725715</v>
      </c>
      <c r="CM29" s="7">
        <f t="shared" si="24"/>
        <v>1.1081913331218598E-2</v>
      </c>
      <c r="CN29" s="5">
        <f t="shared" si="25"/>
        <v>4.932512089892066E-2</v>
      </c>
      <c r="CU29" s="3">
        <f t="shared" si="26"/>
        <v>1988</v>
      </c>
      <c r="CV29" s="3">
        <v>1738</v>
      </c>
      <c r="CW29" s="4">
        <f>Praesyu!C29 + Lycroa!C29 + Emara!C29 + Eldjo!C29 + Easuhura!C29 + Ilicuhe!C29 + Tonder!C29</f>
        <v>220052575.104978</v>
      </c>
      <c r="CX29" s="7">
        <f t="shared" si="27"/>
        <v>2.4021922693253477E-3</v>
      </c>
      <c r="CY29" s="5">
        <f t="shared" si="28"/>
        <v>4.417001910652741E-2</v>
      </c>
      <c r="DF29" s="3">
        <f t="shared" si="29"/>
        <v>1988</v>
      </c>
      <c r="DG29" s="3">
        <v>1738</v>
      </c>
      <c r="DH29" s="4">
        <f>Verusa!C29 + Darewa!C29 + Siana!C29 + Yaxuto!C29 + 'Merela Sta'!C29 + Palina!C29</f>
        <v>159425716.60167283</v>
      </c>
      <c r="DI29" s="7">
        <f t="shared" si="30"/>
        <v>3.2598615138231791E-3</v>
      </c>
      <c r="DJ29" s="5">
        <f t="shared" si="31"/>
        <v>3.2000702309474646E-2</v>
      </c>
      <c r="DQ29" s="3">
        <f t="shared" si="32"/>
        <v>1988</v>
      </c>
      <c r="DR29" s="3">
        <v>1738</v>
      </c>
      <c r="DS29" s="4">
        <f>Sunsokua!C29 + Vayvele!C29 + Selaja!C29 + Sadain!C29</f>
        <v>141055536.96638384</v>
      </c>
      <c r="DT29" s="7">
        <f t="shared" si="33"/>
        <v>2.3422618245039953E-2</v>
      </c>
      <c r="DU29" s="5">
        <f t="shared" si="34"/>
        <v>2.8313350843153635E-2</v>
      </c>
      <c r="EB29" s="3">
        <f t="shared" si="35"/>
        <v>1988</v>
      </c>
      <c r="EC29" s="3">
        <v>1738</v>
      </c>
      <c r="ED29" s="4">
        <f>Pelugrotoa!C29 + Lieri!C29 + 'Rtesania'!C29 + Ozinia!C29</f>
        <v>328501683.84702951</v>
      </c>
      <c r="EE29" s="7">
        <f t="shared" si="36"/>
        <v>1.131238293431228E-2</v>
      </c>
      <c r="EF29" s="5">
        <f t="shared" si="37"/>
        <v>6.5938449686978817E-2</v>
      </c>
      <c r="EM29" s="3">
        <f t="shared" si="38"/>
        <v>1988</v>
      </c>
      <c r="EN29" s="3">
        <v>1738</v>
      </c>
      <c r="EO29" s="4">
        <f>Ocaun!C29 + 'Dual Cenryia'!C29 + Byllu!C29 + Exilium!C29 + Inrea!C29 + Amcha!C29 + Isnti!C29 + Galca!C29 + Otiiric!C29 + Taing!C29 + 'Cruthi Anoso'!C29</f>
        <v>175458847.17640924</v>
      </c>
      <c r="EP29" s="7">
        <f t="shared" si="39"/>
        <v>2.7873686822130019E-2</v>
      </c>
      <c r="EQ29" s="5">
        <f t="shared" si="40"/>
        <v>3.5218949964543944E-2</v>
      </c>
      <c r="EX29" s="3">
        <f t="shared" si="41"/>
        <v>1988</v>
      </c>
      <c r="EY29" s="3">
        <v>1738</v>
      </c>
      <c r="EZ29" s="4">
        <f>Sivoso!C29 + Taoisia!C29 + Seytinemas!C29 + Trian!C29 + 'Chaenia'!C29</f>
        <v>104869120.87903953</v>
      </c>
      <c r="FA29" s="7">
        <f t="shared" si="42"/>
        <v>2.1394228336839228E-2</v>
      </c>
      <c r="FB29" s="5">
        <f t="shared" si="43"/>
        <v>2.1049838070298147E-2</v>
      </c>
      <c r="FI29" s="3">
        <f t="shared" si="44"/>
        <v>1988</v>
      </c>
      <c r="FJ29" s="3">
        <v>1738</v>
      </c>
      <c r="FK29" s="4">
        <f>Migoku!C29 + 'Welenu Fana'!C29 + Haiza!C29 + Ucrua!C29 + Ihner!C29 + Oscairia!C29 + Shinam!C29 + 'Ruylku'!C29 + Taval!C29 + 'Western Migoku'!C29 + 'Pruim Fijan'!C29 + 'Canldives'!C29</f>
        <v>114313229.01342541</v>
      </c>
      <c r="FL29" s="7">
        <f t="shared" si="45"/>
        <v>2.06393305481361E-2</v>
      </c>
      <c r="FM29" s="5">
        <f t="shared" si="46"/>
        <v>2.2945505215029048E-2</v>
      </c>
      <c r="FT29" s="3">
        <f t="shared" si="47"/>
        <v>1988</v>
      </c>
      <c r="FU29" s="3">
        <v>1738</v>
      </c>
      <c r="FV29" s="4">
        <f>Vesozata!C29 + Etretes!C29 + Kusierna!C29 + Eparia!C29</f>
        <v>81995905.342503831</v>
      </c>
      <c r="FW29" s="7">
        <f t="shared" si="48"/>
        <v>2.516882032428187E-2</v>
      </c>
      <c r="FX29" s="5">
        <f t="shared" si="49"/>
        <v>1.6458615419099796E-2</v>
      </c>
      <c r="GE29" s="3">
        <f t="shared" si="50"/>
        <v>1988</v>
      </c>
      <c r="GF29" s="3">
        <v>1738</v>
      </c>
      <c r="GG29" s="4">
        <f>Dahe!C29 + Kaastini!C29 + Suenan!C29 + Oyreain!C29 + Sanagara!C29 + 'North Ayre'!C29 + Stinebar!C29 + 'Cloja'!C29 + 'Pha Hii'!C29 + 'Prystr Hii'!C29</f>
        <v>902861538.66750598</v>
      </c>
      <c r="GH29" s="7">
        <f t="shared" si="51"/>
        <v>9.3513574826745056E-3</v>
      </c>
      <c r="GI29" s="5">
        <f t="shared" si="52"/>
        <v>0.18122674272031425</v>
      </c>
      <c r="GP29" s="3">
        <f t="shared" si="53"/>
        <v>1988</v>
      </c>
      <c r="GQ29" s="3">
        <v>1738</v>
      </c>
      <c r="GR29" s="4">
        <f>Maalle!C29 + 'United Delet'!C29 + Ohtina!C29 + Astye!C29 + Prstreula!C29 + Veelmit!C29 + Aplasia!C29 + 'Elja and Munusia'!C29 + Walporein!C29 + 'Crila Republic'!C29 + 'Niretui and Anulan'!C29 + 'Rethern'!C29 + Tvecoca!C29</f>
        <v>130688613.49843854</v>
      </c>
      <c r="GS29" s="7">
        <f t="shared" si="54"/>
        <v>2.307267415504094E-2</v>
      </c>
      <c r="GT29" s="5">
        <f t="shared" si="55"/>
        <v>2.6232451733308623E-2</v>
      </c>
      <c r="HA29" s="3">
        <f t="shared" si="56"/>
        <v>1988</v>
      </c>
      <c r="HB29" s="3">
        <v>1738</v>
      </c>
      <c r="HC29" s="4">
        <f>Andsaudare!C29 + Nia!C29 + Umarcia!C29 + Mendereide!C29 + Iainoa!C29 + Isari!C29 + 'Rkmepuia'!C29 + Hiwush!C29 + Isuibul!C29 + Yutnitu!C29</f>
        <v>47792911.378211282</v>
      </c>
      <c r="HD29" s="7">
        <f t="shared" si="57"/>
        <v>2.3891920642398892E-2</v>
      </c>
      <c r="HE29" s="5">
        <f t="shared" si="58"/>
        <v>9.5932247451550427E-3</v>
      </c>
      <c r="HL29" s="3">
        <f t="shared" si="59"/>
        <v>1988</v>
      </c>
      <c r="HM29" s="3">
        <v>1738</v>
      </c>
      <c r="HN29" s="4">
        <f>Zhanshe!C29 + Volver!C29 + Finae!C29 + Myla!C29 + 'Nheyes Si'!C29 + Onphello!C29 + Hyelen!C29</f>
        <v>82737839.018834651</v>
      </c>
      <c r="HO29" s="7">
        <f t="shared" si="60"/>
        <v>1.4795437918058716E-2</v>
      </c>
      <c r="HP29" s="5">
        <f t="shared" si="61"/>
        <v>1.6607539941540284E-2</v>
      </c>
      <c r="HW29" s="3">
        <f t="shared" si="62"/>
        <v>1988</v>
      </c>
      <c r="HX29" s="3">
        <v>1738</v>
      </c>
      <c r="HY29" s="4">
        <f>Yihnurda!C29 + Ztesh!C29 + Wundry!C29 + Anymna!C29 + Shomjind!C29 + Baluyde!C29 + Letan!C29</f>
        <v>344809073.17857301</v>
      </c>
      <c r="HZ29" s="7">
        <f t="shared" si="63"/>
        <v>2.5001155322515834E-2</v>
      </c>
      <c r="IA29" s="5">
        <f t="shared" si="64"/>
        <v>6.9211747888593744E-2</v>
      </c>
      <c r="IH29" s="3">
        <f t="shared" si="65"/>
        <v>1988</v>
      </c>
      <c r="II29" s="3">
        <v>1738</v>
      </c>
      <c r="IJ29" s="4">
        <f>Iareva!C29 + 'United Mihili'!C29 + 'Mesjan Hyaa'!C29 + Desaki!C29 + 'Far Lands'!C29</f>
        <v>42580349.279240333</v>
      </c>
      <c r="IK29" s="7">
        <f t="shared" si="66"/>
        <v>2.8150391653041902E-2</v>
      </c>
      <c r="IL29" s="5">
        <f t="shared" si="67"/>
        <v>8.5469340239686629E-3</v>
      </c>
      <c r="IS29" s="3">
        <f t="shared" si="68"/>
        <v>1988</v>
      </c>
      <c r="IT29" s="3">
        <v>1738</v>
      </c>
      <c r="IU29" s="4">
        <f>Verste!C29 + Quidic!C29 + Erkizil!C29 + Ashain!C29 + Ahokini!C29</f>
        <v>260220018.21073425</v>
      </c>
      <c r="IV29" s="7">
        <f t="shared" si="69"/>
        <v>1.7761181143901E-2</v>
      </c>
      <c r="IW29" s="5">
        <f t="shared" si="70"/>
        <v>5.2232622911982586E-2</v>
      </c>
    </row>
    <row r="30" spans="1:257" ht="22.5" customHeight="1">
      <c r="A30" s="3">
        <f t="shared" si="0"/>
        <v>1987</v>
      </c>
      <c r="B30" s="3">
        <v>1737</v>
      </c>
      <c r="C30" s="4">
        <f>Acetoa!C30 + Acrana!C30 + Aetintio!C30 + Ahokini!C30 + Amcha!C30 + Andsaudare!C30 + Anymna!C30 + Aplasia!C30 + Arbiya!C30 + 'Areoix Lie'!C30 + Ashain!C30 + Astye!C30 + Baluyde!C30 + Byllu!C30 + 'Candenat'!C30 + 'Canldives'!C30 + 'Chaenia'!C30 + 'Cloja'!C30 + 'Crila Republic'!C30 + 'Cruthi Anoso'!C30 + 'Curata'!C30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'Raledria'!C30 + 'Reerica'!C30 + 'Rethern'!C30 + 'Rijan bu'!C30 + 'Rinew'!C30 + 'Rkmepuia'!C30 + 'Rtesania'!C30 + 'Ruylku'!C30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4907437973.6654196</v>
      </c>
      <c r="D30" s="5">
        <f t="shared" si="1"/>
        <v>1.525923380401862E-2</v>
      </c>
      <c r="K30" s="3">
        <f t="shared" si="2"/>
        <v>1987</v>
      </c>
      <c r="L30" s="3">
        <v>1737</v>
      </c>
      <c r="M30" s="4">
        <f>Eldavpir!C30 + Iquir!C30 + Viussi!C30 + Umendel!C30 + 'Reerica'!C30 + Saa!C30 + Sattle!C30</f>
        <v>52349011.412021115</v>
      </c>
      <c r="N30" s="5">
        <f t="shared" si="3"/>
        <v>3.1181192777345813E-2</v>
      </c>
      <c r="O30" s="5">
        <f t="shared" si="4"/>
        <v>1.0667279279522114E-2</v>
      </c>
      <c r="V30" s="3">
        <f t="shared" si="5"/>
        <v>1987</v>
      </c>
      <c r="W30" s="3">
        <v>1737</v>
      </c>
      <c r="X30" s="4">
        <f>'Areoix Lie'!C30 + Jau!C30 + Terressin!C30 + Acetoa!C30 + 'Feio Lie'!C30</f>
        <v>547378241.68229342</v>
      </c>
      <c r="Y30" s="5">
        <f t="shared" si="6"/>
        <v>1.2302853040077008E-2</v>
      </c>
      <c r="Z30" s="5">
        <f t="shared" si="7"/>
        <v>0.11154053186605037</v>
      </c>
      <c r="AG30" s="3">
        <f t="shared" si="8"/>
        <v>1987</v>
      </c>
      <c r="AH30" s="3">
        <v>1737</v>
      </c>
      <c r="AI30" s="4">
        <f>Taniduna!C30 + Jathua!C30 + Deschon!C30 + Pelines!C30 + 'Candenat'!C30 + Othya!C30 + Yoprioq!C30 + Jshain!C30 + 'Fire Coast'!C30 + 'Rijan bu'!C30 + 'Rinew'!C30 + Enina!C30 + Trevilla!C30</f>
        <v>123450433.80217488</v>
      </c>
      <c r="AJ30" s="5">
        <f t="shared" si="9"/>
        <v>2.8135696930284358E-2</v>
      </c>
      <c r="AK30" s="5">
        <f t="shared" si="10"/>
        <v>2.5155780768833312E-2</v>
      </c>
      <c r="AR30" s="3">
        <f t="shared" si="11"/>
        <v>1987</v>
      </c>
      <c r="AS30" s="3">
        <v>1737</v>
      </c>
      <c r="AT30" s="4">
        <f>Gaeiya!C30 + 'Raledria'!C30 + Arbiya!C30 + Fincen!C30 + 'Curata'!C30</f>
        <v>226677986.87055773</v>
      </c>
      <c r="AU30" s="5">
        <f t="shared" si="12"/>
        <v>1.4498497147858485E-2</v>
      </c>
      <c r="AV30" s="5">
        <f t="shared" si="13"/>
        <v>4.6190698300614369E-2</v>
      </c>
      <c r="BC30" s="3">
        <f t="shared" si="14"/>
        <v>1987</v>
      </c>
      <c r="BD30" s="3">
        <v>1737</v>
      </c>
      <c r="BE30" s="4">
        <f>Etirha!C30 + Laselteh!C30 + Grazail!C30 + 'Disal Nila'!C30 + Pelan!C30 + Peka!C30 + Guise!C30</f>
        <v>85292367.778264567</v>
      </c>
      <c r="BF30" s="5">
        <f t="shared" si="15"/>
        <v>9.0024178476623574E-3</v>
      </c>
      <c r="BG30" s="5">
        <f t="shared" si="16"/>
        <v>1.7380223292880206E-2</v>
      </c>
      <c r="BN30" s="3">
        <f t="shared" si="17"/>
        <v>1987</v>
      </c>
      <c r="BO30" s="3">
        <v>1737</v>
      </c>
      <c r="BP30" s="4">
        <f>Genaire!C30 + 'New Misos'!C30 + Phuris!C30 + Lasri!C30 + Slyiaduun!C30 + Aetintio!C30 + Metndria!C30 + Tomscilus!C30</f>
        <v>73306046.450010449</v>
      </c>
      <c r="BQ30" s="5">
        <f t="shared" si="18"/>
        <v>1.5987208140702286E-2</v>
      </c>
      <c r="BR30" s="5">
        <f t="shared" si="19"/>
        <v>1.4937742839214604E-2</v>
      </c>
      <c r="BY30" s="3">
        <f t="shared" si="20"/>
        <v>1987</v>
      </c>
      <c r="BZ30" s="3">
        <v>1737</v>
      </c>
      <c r="CA30" s="4">
        <f>Ealdorii!C30 + Ukhdari!C30 + Hkuqo!C30 + Acrana!C30 + Zenashan!C30</f>
        <v>215439646.43390238</v>
      </c>
      <c r="CB30" s="6">
        <f t="shared" si="21"/>
        <v>1.3409003479883583E-2</v>
      </c>
      <c r="CC30" s="5">
        <f t="shared" si="22"/>
        <v>4.39006356453219E-2</v>
      </c>
      <c r="CJ30" s="3">
        <f t="shared" si="23"/>
        <v>1987</v>
      </c>
      <c r="CK30" s="3">
        <v>1737</v>
      </c>
      <c r="CL30" s="4">
        <f>Estijan!C30 + Ikzen!C30 + Urbiqu!C30 + Danocia!C30 + Koruch!C30 + 'New Kizura'!C30 + Lydroa!C30 + Fermori!C30 + Uularin!C30 + 'Niul Spijan'!C30</f>
        <v>243041638.74085367</v>
      </c>
      <c r="CM30" s="6">
        <f t="shared" si="24"/>
        <v>1.115854169788841E-2</v>
      </c>
      <c r="CN30" s="5">
        <f t="shared" si="25"/>
        <v>4.9525157535373426E-2</v>
      </c>
      <c r="CU30" s="3">
        <f t="shared" si="26"/>
        <v>1987</v>
      </c>
      <c r="CV30" s="3">
        <v>1737</v>
      </c>
      <c r="CW30" s="4">
        <f>Praesyu!C30 + Lycroa!C30 + Emara!C30 + Eldjo!C30 + Easuhura!C30 + Ilicuhe!C30 + Tonder!C30</f>
        <v>219525233.28665495</v>
      </c>
      <c r="CX30" s="6">
        <f t="shared" si="27"/>
        <v>2.4386173884672056E-3</v>
      </c>
      <c r="CY30" s="5">
        <f t="shared" si="28"/>
        <v>4.4733165139260872E-2</v>
      </c>
      <c r="DF30" s="3">
        <f t="shared" si="29"/>
        <v>1987</v>
      </c>
      <c r="DG30" s="3">
        <v>1737</v>
      </c>
      <c r="DH30" s="4">
        <f>Verusa!C30 + Darewa!C30 + Siana!C30 + Yaxuto!C30 + 'Merela Sta'!C30 + Palina!C30</f>
        <v>158907699.50779718</v>
      </c>
      <c r="DI30" s="6">
        <f t="shared" si="30"/>
        <v>3.233808741105587E-3</v>
      </c>
      <c r="DJ30" s="5">
        <f t="shared" si="31"/>
        <v>3.2380989909711944E-2</v>
      </c>
      <c r="DQ30" s="3">
        <f t="shared" si="32"/>
        <v>1987</v>
      </c>
      <c r="DR30" s="3">
        <v>1737</v>
      </c>
      <c r="DS30" s="4">
        <f>Sunsokua!C30 + Vayvele!C30 + Selaja!C30 + Sadain!C30</f>
        <v>137827261.63338581</v>
      </c>
      <c r="DT30" s="6">
        <f t="shared" si="33"/>
        <v>2.4340670946787397E-2</v>
      </c>
      <c r="DU30" s="5">
        <f t="shared" si="34"/>
        <v>2.8085380268278989E-2</v>
      </c>
      <c r="EB30" s="3">
        <f t="shared" si="35"/>
        <v>1987</v>
      </c>
      <c r="EC30" s="3">
        <v>1737</v>
      </c>
      <c r="ED30" s="4">
        <f>Pelugrotoa!C30 + Lieri!C30 + 'Rtesania'!C30 + Ozinia!C30</f>
        <v>324827115.13319486</v>
      </c>
      <c r="EE30" s="6">
        <f t="shared" si="36"/>
        <v>1.1089217670801569E-2</v>
      </c>
      <c r="EF30" s="5">
        <f t="shared" si="37"/>
        <v>6.6190773449669893E-2</v>
      </c>
      <c r="EM30" s="3">
        <f t="shared" si="38"/>
        <v>1987</v>
      </c>
      <c r="EN30" s="3">
        <v>1737</v>
      </c>
      <c r="EO30" s="4">
        <f>Ocaun!C30 + 'Dual Cenryia'!C30 + Byllu!C30 + Exilium!C30 + Inrea!C30 + Amcha!C30 + Isnti!C30 + Galca!C30 + Otiiric!C30 + Taing!C30 + 'Cruthi Anoso'!C30</f>
        <v>170700786.90201142</v>
      </c>
      <c r="EP30" s="6">
        <f t="shared" si="39"/>
        <v>2.6488107856251237E-2</v>
      </c>
      <c r="EQ30" s="5">
        <f t="shared" si="40"/>
        <v>3.4784094637168306E-2</v>
      </c>
      <c r="EX30" s="3">
        <f t="shared" si="41"/>
        <v>1987</v>
      </c>
      <c r="EY30" s="3">
        <v>1737</v>
      </c>
      <c r="EZ30" s="4">
        <f>Sivoso!C30 + Taoisia!C30 + Seytinemas!C30 + Trian!C30 + 'Chaenia'!C30</f>
        <v>102672521.5099369</v>
      </c>
      <c r="FA30" s="6">
        <f t="shared" si="42"/>
        <v>2.1782517281082017E-2</v>
      </c>
      <c r="FB30" s="5">
        <f t="shared" si="43"/>
        <v>2.0921817465835369E-2</v>
      </c>
      <c r="FI30" s="3">
        <f t="shared" si="44"/>
        <v>1987</v>
      </c>
      <c r="FJ30" s="3">
        <v>1737</v>
      </c>
      <c r="FK30" s="4">
        <f>Migoku!C30 + 'Welenu Fana'!C30 + Haiza!C30 + Ucrua!C30 + Ihner!C30 + Oscairia!C30 + Shinam!C30 + 'Ruylku'!C30 + Taval!C30 + 'Western Migoku'!C30 + 'Pruim Fijan'!C30 + 'Canldives'!C30</f>
        <v>112001591.15172771</v>
      </c>
      <c r="FL30" s="6">
        <f t="shared" si="45"/>
        <v>2.1070139075661218E-2</v>
      </c>
      <c r="FM30" s="5">
        <f t="shared" si="46"/>
        <v>2.2822823589978558E-2</v>
      </c>
      <c r="FT30" s="3">
        <f t="shared" si="47"/>
        <v>1987</v>
      </c>
      <c r="FU30" s="3">
        <v>1737</v>
      </c>
      <c r="FV30" s="4">
        <f>Vesozata!C30 + Etretes!C30 + Kusierna!C30 + Eparia!C30</f>
        <v>79982831.819413751</v>
      </c>
      <c r="FW30" s="6">
        <f t="shared" si="48"/>
        <v>2.5733770629339115E-2</v>
      </c>
      <c r="FX30" s="5">
        <f t="shared" si="49"/>
        <v>1.62982868553046E-2</v>
      </c>
      <c r="GE30" s="3">
        <f t="shared" si="50"/>
        <v>1987</v>
      </c>
      <c r="GF30" s="3">
        <v>1737</v>
      </c>
      <c r="GG30" s="4">
        <f>Dahe!C30 + Kaastini!C30 + Suenan!C30 + Oyreain!C30 + Sanagara!C30 + 'North Ayre'!C30 + Stinebar!C30 + 'Cloja'!C30 + 'Pha Hii'!C30 + 'Prystr Hii'!C30</f>
        <v>894496779.51515865</v>
      </c>
      <c r="GH30" s="6">
        <f t="shared" si="51"/>
        <v>9.8625495208614876E-3</v>
      </c>
      <c r="GI30" s="5">
        <f t="shared" si="52"/>
        <v>0.18227368013926198</v>
      </c>
      <c r="GP30" s="3">
        <f t="shared" si="53"/>
        <v>1987</v>
      </c>
      <c r="GQ30" s="3">
        <v>1737</v>
      </c>
      <c r="GR30" s="4">
        <f>Maalle!C30 + 'United Delet'!C30 + Ohtina!C30 + Astye!C30 + Prstreula!C30 + Veelmit!C30 + Aplasia!C30 + 'Elja and Munusia'!C30 + Walporein!C30 + 'Crila Republic'!C30 + 'Niretui and Anulan'!C30 + 'Rethern'!C30 + Tvecoca!C30</f>
        <v>127741280.55602178</v>
      </c>
      <c r="GS30" s="6">
        <f t="shared" si="54"/>
        <v>2.2983307319333526E-2</v>
      </c>
      <c r="GT30" s="5">
        <f t="shared" si="55"/>
        <v>2.6030136548136625E-2</v>
      </c>
      <c r="HA30" s="3">
        <f t="shared" si="56"/>
        <v>1987</v>
      </c>
      <c r="HB30" s="3">
        <v>1737</v>
      </c>
      <c r="HC30" s="4">
        <f>Andsaudare!C30 + Nia!C30 + Umarcia!C30 + Mendereide!C30 + Iainoa!C30 + Isari!C30 + 'Rkmepuia'!C30 + Hiwush!C30 + Isuibul!C30 + Yutnitu!C30</f>
        <v>46677691.672989845</v>
      </c>
      <c r="HD30" s="6">
        <f t="shared" si="57"/>
        <v>2.4269603721621465E-2</v>
      </c>
      <c r="HE30" s="5">
        <f t="shared" si="58"/>
        <v>9.5116213232799684E-3</v>
      </c>
      <c r="HL30" s="3">
        <f t="shared" si="59"/>
        <v>1987</v>
      </c>
      <c r="HM30" s="3">
        <v>1737</v>
      </c>
      <c r="HN30" s="4">
        <f>Zhanshe!C30 + Volver!C30 + Finae!C30 + Myla!C30 + 'Nheyes Si'!C30 + Onphello!C30 + Hyelen!C30</f>
        <v>81531544.119451836</v>
      </c>
      <c r="HO30" s="6">
        <f t="shared" si="60"/>
        <v>1.5001249137173994E-2</v>
      </c>
      <c r="HP30" s="5">
        <f t="shared" si="61"/>
        <v>1.6613871547021312E-2</v>
      </c>
      <c r="HW30" s="3">
        <f t="shared" si="62"/>
        <v>1987</v>
      </c>
      <c r="HX30" s="3">
        <v>1737</v>
      </c>
      <c r="HY30" s="4">
        <f>Yihnurda!C30 + Ztesh!C30 + Wundry!C30 + Anymna!C30 + Shomjind!C30 + Baluyde!C30 + Letan!C30</f>
        <v>336398716.61420625</v>
      </c>
      <c r="HZ30" s="6">
        <f t="shared" si="63"/>
        <v>2.5054631536096706E-2</v>
      </c>
      <c r="IA30" s="5">
        <f t="shared" si="64"/>
        <v>6.8548745479700149E-2</v>
      </c>
      <c r="IH30" s="3">
        <f t="shared" si="65"/>
        <v>1987</v>
      </c>
      <c r="II30" s="3">
        <v>1737</v>
      </c>
      <c r="IJ30" s="4">
        <f>Iareva!C30 + 'United Mihili'!C30 + 'Mesjan Hyaa'!C30 + Desaki!C30 + 'Far Lands'!C30</f>
        <v>41414514.476603374</v>
      </c>
      <c r="IK30" s="6">
        <f t="shared" si="66"/>
        <v>2.7786423816140628E-2</v>
      </c>
      <c r="IL30" s="5">
        <f t="shared" si="67"/>
        <v>8.4391315180842551E-3</v>
      </c>
      <c r="IS30" s="3">
        <f t="shared" si="68"/>
        <v>1987</v>
      </c>
      <c r="IT30" s="3">
        <v>1737</v>
      </c>
      <c r="IU30" s="4">
        <f>Verste!C30 + Quidic!C30 + Erkizil!C30 + Ashain!C30 + Ahokini!C30</f>
        <v>255678859.6694786</v>
      </c>
      <c r="IV30" s="6">
        <f t="shared" si="69"/>
        <v>1.837849574936861E-2</v>
      </c>
      <c r="IW30" s="5">
        <f t="shared" si="70"/>
        <v>5.2100273307888439E-2</v>
      </c>
    </row>
    <row r="31" spans="1:257" ht="22.5" customHeight="1">
      <c r="A31" s="3">
        <f t="shared" si="0"/>
        <v>1986</v>
      </c>
      <c r="B31" s="3">
        <v>1736</v>
      </c>
      <c r="C31" s="4">
        <f>Acetoa!C31 + Acrana!C31 + Aetintio!C31 + Ahokini!C31 + Amcha!C31 + Andsaudare!C31 + Anymna!C31 + Aplasia!C31 + Arbiya!C31 + 'Areoix Lie'!C31 + Ashain!C31 + Astye!C31 + Baluyde!C31 + Byllu!C31 + 'Candenat'!C31 + 'Canldives'!C31 + 'Chaenia'!C31 + 'Cloja'!C31 + 'Crila Republic'!C31 + 'Cruthi Anoso'!C31 + 'Curata'!C31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'Raledria'!C31 + 'Reerica'!C31 + 'Rethern'!C31 + 'Rijan bu'!C31 + 'Rinew'!C31 + 'Rkmepuia'!C31 + 'Rtesania'!C31 + 'Ruylku'!C31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4833679724.6137934</v>
      </c>
      <c r="D31" s="5">
        <f t="shared" si="1"/>
        <v>1.5570387223278583E-2</v>
      </c>
      <c r="K31" s="3">
        <f t="shared" si="2"/>
        <v>1986</v>
      </c>
      <c r="L31" s="3">
        <v>1736</v>
      </c>
      <c r="M31" s="4">
        <f>Eldavpir!C31 + Iquir!C31 + Viussi!C31 + Umendel!C31 + 'Reerica'!C31 + Saa!C31 + Sattle!C31</f>
        <v>50766064.954138853</v>
      </c>
      <c r="N31" s="5">
        <f t="shared" si="3"/>
        <v>3.1586833593909909E-2</v>
      </c>
      <c r="O31" s="5">
        <f t="shared" si="4"/>
        <v>1.0502571094156433E-2</v>
      </c>
      <c r="V31" s="3">
        <f t="shared" si="5"/>
        <v>1986</v>
      </c>
      <c r="W31" s="3">
        <v>1736</v>
      </c>
      <c r="X31" s="4">
        <f>'Areoix Lie'!C31 + Jau!C31 + Terressin!C31 + Acetoa!C31 + 'Feio Lie'!C31</f>
        <v>540725771.97470641</v>
      </c>
      <c r="Y31" s="5">
        <f t="shared" si="6"/>
        <v>1.2763996282569684E-2</v>
      </c>
      <c r="Z31" s="5">
        <f t="shared" si="7"/>
        <v>0.11186628051115032</v>
      </c>
      <c r="AG31" s="3">
        <f t="shared" si="8"/>
        <v>1986</v>
      </c>
      <c r="AH31" s="3">
        <v>1736</v>
      </c>
      <c r="AI31" s="4">
        <f>Taniduna!C31 + Jathua!C31 + Deschon!C31 + Pelines!C31 + 'Candenat'!C31 + Othya!C31 + Yoprioq!C31 + Jshain!C31 + 'Fire Coast'!C31 + 'Rijan bu'!C31 + 'Rinew'!C31 + Enina!C31 + Trevilla!C31</f>
        <v>120072120.99605349</v>
      </c>
      <c r="AJ31" s="5">
        <f t="shared" si="9"/>
        <v>2.7143506520327765E-2</v>
      </c>
      <c r="AK31" s="5">
        <f t="shared" si="10"/>
        <v>2.4840727527856047E-2</v>
      </c>
      <c r="AR31" s="3">
        <f t="shared" si="11"/>
        <v>1986</v>
      </c>
      <c r="AS31" s="3">
        <v>1736</v>
      </c>
      <c r="AT31" s="4">
        <f>Gaeiya!C31 + 'Raledria'!C31 + Arbiya!C31 + Fincen!C31 + 'Curata'!C31</f>
        <v>223438464.9241333</v>
      </c>
      <c r="AU31" s="5">
        <f t="shared" si="12"/>
        <v>1.3798644797273522E-2</v>
      </c>
      <c r="AV31" s="5">
        <f t="shared" si="13"/>
        <v>4.6225335076784765E-2</v>
      </c>
      <c r="BC31" s="3">
        <f t="shared" si="14"/>
        <v>1986</v>
      </c>
      <c r="BD31" s="3">
        <v>1736</v>
      </c>
      <c r="BE31" s="4">
        <f>Etirha!C31 + Laselteh!C31 + Grazail!C31 + 'Disal Nila'!C31 + Pelan!C31 + Peka!C31 + Guise!C31</f>
        <v>84531380.965572551</v>
      </c>
      <c r="BF31" s="5">
        <f t="shared" si="15"/>
        <v>8.6038026329030882E-3</v>
      </c>
      <c r="BG31" s="5">
        <f t="shared" si="16"/>
        <v>1.7487997919085656E-2</v>
      </c>
      <c r="BN31" s="3">
        <f t="shared" si="17"/>
        <v>1986</v>
      </c>
      <c r="BO31" s="3">
        <v>1736</v>
      </c>
      <c r="BP31" s="4">
        <f>Genaire!C31 + 'New Misos'!C31 + Phuris!C31 + Lasri!C31 + Slyiaduun!C31 + Aetintio!C31 + Metndria!C31 + Tomscilus!C31</f>
        <v>72152528.951780289</v>
      </c>
      <c r="BQ31" s="5">
        <f t="shared" si="18"/>
        <v>1.6674167476230413E-2</v>
      </c>
      <c r="BR31" s="5">
        <f t="shared" si="19"/>
        <v>1.492703965973774E-2</v>
      </c>
      <c r="BY31" s="3">
        <f t="shared" si="20"/>
        <v>1986</v>
      </c>
      <c r="BZ31" s="3">
        <v>1736</v>
      </c>
      <c r="CA31" s="4">
        <f>Ealdorii!C31 + Ukhdari!C31 + Hkuqo!C31 + Acrana!C31 + Zenashan!C31</f>
        <v>212589039.26659155</v>
      </c>
      <c r="CB31" s="7">
        <f t="shared" si="21"/>
        <v>9.3383537323886556E-3</v>
      </c>
      <c r="CC31" s="5">
        <f t="shared" si="22"/>
        <v>4.3980787180428513E-2</v>
      </c>
      <c r="CJ31" s="3">
        <f t="shared" si="23"/>
        <v>1986</v>
      </c>
      <c r="CK31" s="3">
        <v>1736</v>
      </c>
      <c r="CL31" s="4">
        <f>Estijan!C31 + Ikzen!C31 + Urbiqu!C31 + Danocia!C31 + Koruch!C31 + 'New Kizura'!C31 + Lydroa!C31 + Fermori!C31 + Uularin!C31 + 'Niul Spijan'!C31</f>
        <v>240359576.38527182</v>
      </c>
      <c r="CM31" s="7">
        <f t="shared" si="24"/>
        <v>1.2608712672626983E-2</v>
      </c>
      <c r="CN31" s="5">
        <f t="shared" si="25"/>
        <v>4.9726003806442994E-2</v>
      </c>
      <c r="CU31" s="3">
        <f t="shared" si="26"/>
        <v>1986</v>
      </c>
      <c r="CV31" s="3">
        <v>1736</v>
      </c>
      <c r="CW31" s="4">
        <f>Praesyu!C31 + Lycroa!C31 + Emara!C31 + Eldjo!C31 + Easuhura!C31 + Ilicuhe!C31 + Tonder!C31</f>
        <v>218991197.54440191</v>
      </c>
      <c r="CX31" s="7">
        <f t="shared" si="27"/>
        <v>2.1541717066335497E-3</v>
      </c>
      <c r="CY31" s="5">
        <f t="shared" si="28"/>
        <v>4.5305276729293256E-2</v>
      </c>
      <c r="DF31" s="3">
        <f t="shared" si="29"/>
        <v>1986</v>
      </c>
      <c r="DG31" s="3">
        <v>1736</v>
      </c>
      <c r="DH31" s="4">
        <f>Verusa!C31 + Darewa!C31 + Siana!C31 + Yaxuto!C31 + 'Merela Sta'!C31 + Palina!C31</f>
        <v>158395478.82382509</v>
      </c>
      <c r="DI31" s="7">
        <f t="shared" si="30"/>
        <v>3.69280625549143E-3</v>
      </c>
      <c r="DJ31" s="5">
        <f t="shared" si="31"/>
        <v>3.2769129906818711E-2</v>
      </c>
      <c r="DQ31" s="3">
        <f t="shared" si="32"/>
        <v>1986</v>
      </c>
      <c r="DR31" s="3">
        <v>1736</v>
      </c>
      <c r="DS31" s="4">
        <f>Sunsokua!C31 + Vayvele!C31 + Selaja!C31 + Sadain!C31</f>
        <v>134552171.50168753</v>
      </c>
      <c r="DT31" s="7">
        <f t="shared" si="33"/>
        <v>2.5066759193940011E-2</v>
      </c>
      <c r="DU31" s="5">
        <f t="shared" si="34"/>
        <v>2.7836385355969797E-2</v>
      </c>
      <c r="EB31" s="3">
        <f t="shared" si="35"/>
        <v>1986</v>
      </c>
      <c r="EC31" s="3">
        <v>1736</v>
      </c>
      <c r="ED31" s="4">
        <f>Pelugrotoa!C31 + Lieri!C31 + 'Rtesania'!C31 + Ozinia!C31</f>
        <v>321264542.68940157</v>
      </c>
      <c r="EE31" s="7">
        <f t="shared" si="36"/>
        <v>1.3530135670661395E-2</v>
      </c>
      <c r="EF31" s="5">
        <f t="shared" si="37"/>
        <v>6.6463762804448184E-2</v>
      </c>
      <c r="EM31" s="3">
        <f t="shared" si="38"/>
        <v>1986</v>
      </c>
      <c r="EN31" s="3">
        <v>1736</v>
      </c>
      <c r="EO31" s="4">
        <f>Ocaun!C31 + 'Dual Cenryia'!C31 + Byllu!C31 + Exilium!C31 + Inrea!C31 + Amcha!C31 + Isnti!C31 + Galca!C31 + Otiiric!C31 + Taing!C31 + 'Cruthi Anoso'!C31</f>
        <v>166295922.56895027</v>
      </c>
      <c r="EP31" s="7">
        <f t="shared" si="39"/>
        <v>2.8110569587734606E-2</v>
      </c>
      <c r="EQ31" s="5">
        <f t="shared" si="40"/>
        <v>3.440358733785101E-2</v>
      </c>
      <c r="EX31" s="3">
        <f t="shared" si="41"/>
        <v>1986</v>
      </c>
      <c r="EY31" s="3">
        <v>1736</v>
      </c>
      <c r="EZ31" s="4">
        <f>Sivoso!C31 + Taoisia!C31 + Seytinemas!C31 + Trian!C31 + 'Chaenia'!C31</f>
        <v>100483732.86239417</v>
      </c>
      <c r="FA31" s="7">
        <f t="shared" si="42"/>
        <v>2.221294972501052E-2</v>
      </c>
      <c r="FB31" s="5">
        <f t="shared" si="43"/>
        <v>2.0788247998872685E-2</v>
      </c>
      <c r="FI31" s="3">
        <f t="shared" si="44"/>
        <v>1986</v>
      </c>
      <c r="FJ31" s="3">
        <v>1736</v>
      </c>
      <c r="FK31" s="4">
        <f>Migoku!C31 + 'Welenu Fana'!C31 + Haiza!C31 + Ucrua!C31 + Ihner!C31 + Oscairia!C31 + Shinam!C31 + 'Ruylku'!C31 + Taval!C31 + 'Western Migoku'!C31 + 'Pruim Fijan'!C31 + 'Canldives'!C31</f>
        <v>109690399.18562186</v>
      </c>
      <c r="FL31" s="7">
        <f t="shared" si="45"/>
        <v>2.1691251326077621E-2</v>
      </c>
      <c r="FM31" s="5">
        <f t="shared" si="46"/>
        <v>2.2692939010224972E-2</v>
      </c>
      <c r="FT31" s="3">
        <f t="shared" si="47"/>
        <v>1986</v>
      </c>
      <c r="FU31" s="3">
        <v>1736</v>
      </c>
      <c r="FV31" s="4">
        <f>Vesozata!C31 + Etretes!C31 + Kusierna!C31 + Eparia!C31</f>
        <v>77976209.918817699</v>
      </c>
      <c r="FW31" s="7">
        <f t="shared" si="48"/>
        <v>2.5970663875321737E-2</v>
      </c>
      <c r="FX31" s="5">
        <f t="shared" si="49"/>
        <v>1.6131852824619639E-2</v>
      </c>
      <c r="GE31" s="3">
        <f t="shared" si="50"/>
        <v>1986</v>
      </c>
      <c r="GF31" s="3">
        <v>1736</v>
      </c>
      <c r="GG31" s="4">
        <f>Dahe!C31 + Kaastini!C31 + Suenan!C31 + Oyreain!C31 + Sanagara!C31 + 'North Ayre'!C31 + Stinebar!C31 + 'Cloja'!C31 + 'Pha Hii'!C31 + 'Prystr Hii'!C31</f>
        <v>885760918.59190226</v>
      </c>
      <c r="GH31" s="7">
        <f t="shared" si="51"/>
        <v>1.0423927407243053E-2</v>
      </c>
      <c r="GI31" s="5">
        <f t="shared" si="52"/>
        <v>0.18324774686280518</v>
      </c>
      <c r="GP31" s="3">
        <f t="shared" si="53"/>
        <v>1986</v>
      </c>
      <c r="GQ31" s="3">
        <v>1736</v>
      </c>
      <c r="GR31" s="4">
        <f>Maalle!C31 + 'United Delet'!C31 + Ohtina!C31 + Astye!C31 + Prstreula!C31 + Veelmit!C31 + Aplasia!C31 + 'Elja and Munusia'!C31 + Walporein!C31 + 'Crila Republic'!C31 + 'Niretui and Anulan'!C31 + 'Rethern'!C31 + Tvecoca!C31</f>
        <v>124871324.52899955</v>
      </c>
      <c r="GS31" s="7">
        <f t="shared" si="54"/>
        <v>2.2927766795462778E-2</v>
      </c>
      <c r="GT31" s="5">
        <f t="shared" si="55"/>
        <v>2.5833595033849011E-2</v>
      </c>
      <c r="HA31" s="3">
        <f t="shared" si="56"/>
        <v>1986</v>
      </c>
      <c r="HB31" s="3">
        <v>1736</v>
      </c>
      <c r="HC31" s="4">
        <f>Andsaudare!C31 + Nia!C31 + Umarcia!C31 + Mendereide!C31 + Iainoa!C31 + Isari!C31 + 'Rkmepuia'!C31 + Hiwush!C31 + Isuibul!C31 + Yutnitu!C31</f>
        <v>45571684.938603356</v>
      </c>
      <c r="HD31" s="7">
        <f t="shared" si="57"/>
        <v>2.4635992067249198E-2</v>
      </c>
      <c r="HE31" s="5">
        <f t="shared" si="58"/>
        <v>9.4279487957271511E-3</v>
      </c>
      <c r="HL31" s="3">
        <f t="shared" si="59"/>
        <v>1986</v>
      </c>
      <c r="HM31" s="3">
        <v>1736</v>
      </c>
      <c r="HN31" s="4">
        <f>Zhanshe!C31 + Volver!C31 + Finae!C31 + Myla!C31 + 'Nheyes Si'!C31 + Onphello!C31 + Hyelen!C31</f>
        <v>80326545.596628249</v>
      </c>
      <c r="HO31" s="7">
        <f t="shared" si="60"/>
        <v>1.5877123172432544E-2</v>
      </c>
      <c r="HP31" s="5">
        <f t="shared" si="61"/>
        <v>1.6618094324204788E-2</v>
      </c>
      <c r="HW31" s="3">
        <f t="shared" si="62"/>
        <v>1986</v>
      </c>
      <c r="HX31" s="3">
        <v>1736</v>
      </c>
      <c r="HY31" s="4">
        <f>Yihnurda!C31 + Ztesh!C31 + Wundry!C31 + Anymna!C31 + Shomjind!C31 + Baluyde!C31 + Letan!C31</f>
        <v>328176378.37516582</v>
      </c>
      <c r="HZ31" s="7">
        <f t="shared" si="63"/>
        <v>2.5140012145071711E-2</v>
      </c>
      <c r="IA31" s="5">
        <f t="shared" si="64"/>
        <v>6.7893695294713965E-2</v>
      </c>
      <c r="IH31" s="3">
        <f t="shared" si="65"/>
        <v>1986</v>
      </c>
      <c r="II31" s="3">
        <v>1736</v>
      </c>
      <c r="IJ31" s="4">
        <f>Iareva!C31 + 'United Mihili'!C31 + 'Mesjan Hyaa'!C31 + Desaki!C31 + 'Far Lands'!C31</f>
        <v>40294864.299561873</v>
      </c>
      <c r="IK31" s="7">
        <f t="shared" si="66"/>
        <v>2.7280803159350147E-2</v>
      </c>
      <c r="IL31" s="5">
        <f t="shared" si="67"/>
        <v>8.3362710388887821E-3</v>
      </c>
      <c r="IS31" s="3">
        <f t="shared" si="68"/>
        <v>1986</v>
      </c>
      <c r="IT31" s="3">
        <v>1736</v>
      </c>
      <c r="IU31" s="4">
        <f>Verste!C31 + Quidic!C31 + Erkizil!C31 + Ashain!C31 + Ahokini!C31</f>
        <v>251064668.72254467</v>
      </c>
      <c r="IV31" s="7">
        <f t="shared" si="69"/>
        <v>1.9206183663931394E-2</v>
      </c>
      <c r="IW31" s="5">
        <f t="shared" si="70"/>
        <v>5.1940691776512872E-2</v>
      </c>
    </row>
    <row r="32" spans="1:257" ht="22.5" customHeight="1">
      <c r="A32" s="3">
        <f t="shared" si="0"/>
        <v>1985</v>
      </c>
      <c r="B32" s="3">
        <v>1735</v>
      </c>
      <c r="C32" s="4">
        <f>Acetoa!C32 + Acrana!C32 + Aetintio!C32 + Ahokini!C32 + Amcha!C32 + Andsaudare!C32 + Anymna!C32 + Aplasia!C32 + Arbiya!C32 + 'Areoix Lie'!C32 + Ashain!C32 + Astye!C32 + Baluyde!C32 + Byllu!C32 + 'Candenat'!C32 + 'Canldives'!C32 + 'Chaenia'!C32 + 'Cloja'!C32 + 'Crila Republic'!C32 + 'Cruthi Anoso'!C32 + 'Curata'!C32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'Raledria'!C32 + 'Reerica'!C32 + 'Rethern'!C32 + 'Rijan bu'!C32 + 'Rinew'!C32 + 'Rkmepuia'!C32 + 'Rtesania'!C32 + 'Ruylku'!C32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4759571355.5904255</v>
      </c>
      <c r="D32" s="5">
        <f t="shared" si="1"/>
        <v>1.5860834168742448E-2</v>
      </c>
      <c r="K32" s="3">
        <f t="shared" si="2"/>
        <v>1985</v>
      </c>
      <c r="L32" s="3">
        <v>1735</v>
      </c>
      <c r="M32" s="4">
        <f>Eldavpir!C32 + Iquir!C32 + Viussi!C32 + Umendel!C32 + 'Reerica'!C32 + Saa!C32 + Sattle!C32</f>
        <v>49211625.52770929</v>
      </c>
      <c r="N32" s="5">
        <f t="shared" si="3"/>
        <v>3.2416220751892003E-2</v>
      </c>
      <c r="O32" s="5">
        <f t="shared" si="4"/>
        <v>1.0339507878142648E-2</v>
      </c>
      <c r="V32" s="3">
        <f t="shared" si="5"/>
        <v>1985</v>
      </c>
      <c r="W32" s="3">
        <v>1735</v>
      </c>
      <c r="X32" s="4">
        <f>'Areoix Lie'!C32 + Jau!C32 + Terressin!C32 + Acetoa!C32 + 'Feio Lie'!C32</f>
        <v>533910934.78785098</v>
      </c>
      <c r="Y32" s="5">
        <f t="shared" si="6"/>
        <v>1.3367461419655544E-2</v>
      </c>
      <c r="Z32" s="5">
        <f t="shared" si="7"/>
        <v>0.11217626439421649</v>
      </c>
      <c r="AG32" s="3">
        <f t="shared" si="8"/>
        <v>1985</v>
      </c>
      <c r="AH32" s="3">
        <v>1735</v>
      </c>
      <c r="AI32" s="4">
        <f>Taniduna!C32 + Jathua!C32 + Deschon!C32 + Pelines!C32 + 'Candenat'!C32 + Othya!C32 + Yoprioq!C32 + Jshain!C32 + 'Fire Coast'!C32 + 'Rijan bu'!C32 + 'Rinew'!C32 + Enina!C32 + Trevilla!C32</f>
        <v>116899070.31863925</v>
      </c>
      <c r="AJ32" s="5">
        <f t="shared" si="9"/>
        <v>2.7575887844084018E-2</v>
      </c>
      <c r="AK32" s="5">
        <f t="shared" si="10"/>
        <v>2.4560839954911845E-2</v>
      </c>
      <c r="AR32" s="3">
        <f t="shared" si="11"/>
        <v>1985</v>
      </c>
      <c r="AS32" s="3">
        <v>1735</v>
      </c>
      <c r="AT32" s="4">
        <f>Gaeiya!C32 + 'Raledria'!C32 + Arbiya!C32 + Fincen!C32 + 'Curata'!C32</f>
        <v>220397281.12756914</v>
      </c>
      <c r="AU32" s="5">
        <f t="shared" si="12"/>
        <v>1.2643355258694386E-2</v>
      </c>
      <c r="AV32" s="5">
        <f t="shared" si="13"/>
        <v>4.6306119745152731E-2</v>
      </c>
      <c r="BC32" s="3">
        <f t="shared" si="14"/>
        <v>1985</v>
      </c>
      <c r="BD32" s="3">
        <v>1735</v>
      </c>
      <c r="BE32" s="4">
        <f>Etirha!C32 + Laselteh!C32 + Grazail!C32 + 'Disal Nila'!C32 + Pelan!C32 + Peka!C32 + Guise!C32</f>
        <v>83810293.739631131</v>
      </c>
      <c r="BF32" s="5">
        <f t="shared" si="15"/>
        <v>9.5898896091440537E-3</v>
      </c>
      <c r="BG32" s="5">
        <f t="shared" si="16"/>
        <v>1.7608790262423631E-2</v>
      </c>
      <c r="BN32" s="3">
        <f t="shared" si="17"/>
        <v>1985</v>
      </c>
      <c r="BO32" s="3">
        <v>1735</v>
      </c>
      <c r="BP32" s="4">
        <f>Genaire!C32 + 'New Misos'!C32 + Phuris!C32 + Lasri!C32 + Slyiaduun!C32 + Aetintio!C32 + Metndria!C32 + Tomscilus!C32</f>
        <v>70969177.008687198</v>
      </c>
      <c r="BQ32" s="5">
        <f t="shared" si="18"/>
        <v>1.850933845783892E-2</v>
      </c>
      <c r="BR32" s="5">
        <f t="shared" si="19"/>
        <v>1.4910833708865251E-2</v>
      </c>
      <c r="BY32" s="3">
        <f t="shared" si="20"/>
        <v>1985</v>
      </c>
      <c r="BZ32" s="3">
        <v>1735</v>
      </c>
      <c r="CA32" s="4">
        <f>Ealdorii!C32 + Ukhdari!C32 + Hkuqo!C32 + Acrana!C32 + Zenashan!C32</f>
        <v>210622174.89355054</v>
      </c>
      <c r="CB32" s="6">
        <f t="shared" si="21"/>
        <v>8.8701009520616853E-3</v>
      </c>
      <c r="CC32" s="5">
        <f t="shared" si="22"/>
        <v>4.4252341052973425E-2</v>
      </c>
      <c r="CJ32" s="3">
        <f t="shared" si="23"/>
        <v>1985</v>
      </c>
      <c r="CK32" s="3">
        <v>1735</v>
      </c>
      <c r="CL32" s="4">
        <f>Estijan!C32 + Ikzen!C32 + Urbiqu!C32 + Danocia!C32 + Koruch!C32 + 'New Kizura'!C32 + Lydroa!C32 + Fermori!C32 + Uularin!C32 + 'Niul Spijan'!C32</f>
        <v>237366688.01799977</v>
      </c>
      <c r="CM32" s="6">
        <f t="shared" si="24"/>
        <v>1.151377380200861E-2</v>
      </c>
      <c r="CN32" s="5">
        <f t="shared" si="25"/>
        <v>4.9871442254815067E-2</v>
      </c>
      <c r="CU32" s="3">
        <f t="shared" si="26"/>
        <v>1985</v>
      </c>
      <c r="CV32" s="3">
        <v>1735</v>
      </c>
      <c r="CW32" s="4">
        <f>Praesyu!C32 + Lycroa!C32 + Emara!C32 + Eldjo!C32 + Easuhura!C32 + Ilicuhe!C32 + Tonder!C32</f>
        <v>218520466.93720543</v>
      </c>
      <c r="CX32" s="6">
        <f t="shared" si="27"/>
        <v>2.4591531865143074E-3</v>
      </c>
      <c r="CY32" s="5">
        <f t="shared" si="28"/>
        <v>4.591179554027254E-2</v>
      </c>
      <c r="DF32" s="3">
        <f t="shared" si="29"/>
        <v>1985</v>
      </c>
      <c r="DG32" s="3">
        <v>1735</v>
      </c>
      <c r="DH32" s="4">
        <f>Verusa!C32 + Darewa!C32 + Siana!C32 + Yaxuto!C32 + 'Merela Sta'!C32 + Palina!C32</f>
        <v>157812707.07195374</v>
      </c>
      <c r="DI32" s="6">
        <f t="shared" si="30"/>
        <v>4.3687507482717356E-3</v>
      </c>
      <c r="DJ32" s="5">
        <f t="shared" si="31"/>
        <v>3.3156915882055736E-2</v>
      </c>
      <c r="DQ32" s="3">
        <f t="shared" si="32"/>
        <v>1985</v>
      </c>
      <c r="DR32" s="3">
        <v>1735</v>
      </c>
      <c r="DS32" s="4">
        <f>Sunsokua!C32 + Vayvele!C32 + Selaja!C32 + Sadain!C32</f>
        <v>131261862.01520422</v>
      </c>
      <c r="DT32" s="6">
        <f t="shared" si="33"/>
        <v>2.5389454886867151E-2</v>
      </c>
      <c r="DU32" s="5">
        <f t="shared" si="34"/>
        <v>2.757850491326885E-2</v>
      </c>
      <c r="EB32" s="3">
        <f t="shared" si="35"/>
        <v>1985</v>
      </c>
      <c r="EC32" s="3">
        <v>1735</v>
      </c>
      <c r="ED32" s="4">
        <f>Pelugrotoa!C32 + Lieri!C32 + 'Rtesania'!C32 + Ozinia!C32</f>
        <v>316975816.88266045</v>
      </c>
      <c r="EE32" s="6">
        <f t="shared" si="36"/>
        <v>1.3677275153145124E-2</v>
      </c>
      <c r="EF32" s="5">
        <f t="shared" si="37"/>
        <v>6.6597555368163933E-2</v>
      </c>
      <c r="EM32" s="3">
        <f t="shared" si="38"/>
        <v>1985</v>
      </c>
      <c r="EN32" s="3">
        <v>1735</v>
      </c>
      <c r="EO32" s="4">
        <f>Ocaun!C32 + 'Dual Cenryia'!C32 + Byllu!C32 + Exilium!C32 + Inrea!C32 + Amcha!C32 + Isnti!C32 + Galca!C32 + Otiiric!C32 + Taing!C32 + 'Cruthi Anoso'!C32</f>
        <v>161749064.24280202</v>
      </c>
      <c r="EP32" s="6">
        <f t="shared" si="39"/>
        <v>2.864728975152046E-2</v>
      </c>
      <c r="EQ32" s="5">
        <f t="shared" si="40"/>
        <v>3.3983956150340569E-2</v>
      </c>
      <c r="EX32" s="3">
        <f t="shared" si="41"/>
        <v>1985</v>
      </c>
      <c r="EY32" s="3">
        <v>1735</v>
      </c>
      <c r="EZ32" s="4">
        <f>Sivoso!C32 + Taoisia!C32 + Seytinemas!C32 + Trian!C32 + 'Chaenia'!C32</f>
        <v>98300195.560451165</v>
      </c>
      <c r="FA32" s="6">
        <f t="shared" si="42"/>
        <v>2.2709751757701981E-2</v>
      </c>
      <c r="FB32" s="5">
        <f t="shared" si="43"/>
        <v>2.0653161433327648E-2</v>
      </c>
      <c r="FI32" s="3">
        <f t="shared" si="44"/>
        <v>1985</v>
      </c>
      <c r="FJ32" s="3">
        <v>1735</v>
      </c>
      <c r="FK32" s="4">
        <f>Migoku!C32 + 'Welenu Fana'!C32 + Haiza!C32 + Ucrua!C32 + Ihner!C32 + Oscairia!C32 + Shinam!C32 + 'Ruylku'!C32 + Taval!C32 + 'Western Migoku'!C32 + 'Pruim Fijan'!C32 + 'Canldives'!C32</f>
        <v>107361591.91267622</v>
      </c>
      <c r="FL32" s="6">
        <f t="shared" si="45"/>
        <v>2.2114370823645983E-2</v>
      </c>
      <c r="FM32" s="5">
        <f t="shared" si="46"/>
        <v>2.2556987571280565E-2</v>
      </c>
      <c r="FT32" s="3">
        <f t="shared" si="47"/>
        <v>1985</v>
      </c>
      <c r="FU32" s="3">
        <v>1735</v>
      </c>
      <c r="FV32" s="4">
        <f>Vesozata!C32 + Etretes!C32 + Kusierna!C32 + Eparia!C32</f>
        <v>76002377.713495269</v>
      </c>
      <c r="FW32" s="6">
        <f t="shared" si="48"/>
        <v>2.6381430828955998E-2</v>
      </c>
      <c r="FX32" s="5">
        <f t="shared" si="49"/>
        <v>1.5968324043345951E-2</v>
      </c>
      <c r="GE32" s="3">
        <f t="shared" si="50"/>
        <v>1985</v>
      </c>
      <c r="GF32" s="3">
        <v>1735</v>
      </c>
      <c r="GG32" s="4">
        <f>Dahe!C32 + Kaastini!C32 + Suenan!C32 + Oyreain!C32 + Sanagara!C32 + 'North Ayre'!C32 + Stinebar!C32 + 'Cloja'!C32 + 'Pha Hii'!C32 + 'Prystr Hii'!C32</f>
        <v>876623063.41534567</v>
      </c>
      <c r="GH32" s="6">
        <f t="shared" si="51"/>
        <v>1.1006902002645926E-2</v>
      </c>
      <c r="GI32" s="5">
        <f t="shared" si="52"/>
        <v>0.18418109487647349</v>
      </c>
      <c r="GP32" s="3">
        <f t="shared" si="53"/>
        <v>1985</v>
      </c>
      <c r="GQ32" s="3">
        <v>1735</v>
      </c>
      <c r="GR32" s="4">
        <f>Maalle!C32 + 'United Delet'!C32 + Ohtina!C32 + Astye!C32 + Prstreula!C32 + Veelmit!C32 + Aplasia!C32 + 'Elja and Munusia'!C32 + Walporein!C32 + 'Crila Republic'!C32 + 'Niretui and Anulan'!C32 + 'Rethern'!C32 + Tvecoca!C32</f>
        <v>122072475.28355335</v>
      </c>
      <c r="GS32" s="6">
        <f t="shared" si="54"/>
        <v>2.2564004528523862E-2</v>
      </c>
      <c r="GT32" s="5">
        <f t="shared" si="55"/>
        <v>2.5647787618557561E-2</v>
      </c>
      <c r="HA32" s="3">
        <f t="shared" si="56"/>
        <v>1985</v>
      </c>
      <c r="HB32" s="3">
        <v>1735</v>
      </c>
      <c r="HC32" s="4">
        <f>Andsaudare!C32 + Nia!C32 + Umarcia!C32 + Mendereide!C32 + Iainoa!C32 + Isari!C32 + 'Rkmepuia'!C32 + Hiwush!C32 + Isuibul!C32 + Yutnitu!C32</f>
        <v>44475975.16720102</v>
      </c>
      <c r="HD32" s="6">
        <f t="shared" si="57"/>
        <v>2.4952940595004691E-2</v>
      </c>
      <c r="HE32" s="5">
        <f t="shared" si="58"/>
        <v>9.3445337498640705E-3</v>
      </c>
      <c r="HL32" s="3">
        <f t="shared" si="59"/>
        <v>1985</v>
      </c>
      <c r="HM32" s="3">
        <v>1735</v>
      </c>
      <c r="HN32" s="4">
        <f>Zhanshe!C32 + Volver!C32 + Finae!C32 + Myla!C32 + 'Nheyes Si'!C32 + Onphello!C32 + Hyelen!C32</f>
        <v>79071123.627413169</v>
      </c>
      <c r="HO32" s="6">
        <f t="shared" si="60"/>
        <v>1.8748473910658654E-2</v>
      </c>
      <c r="HP32" s="5">
        <f t="shared" si="61"/>
        <v>1.6613076623914674E-2</v>
      </c>
      <c r="HW32" s="3">
        <f t="shared" si="62"/>
        <v>1985</v>
      </c>
      <c r="HX32" s="3">
        <v>1735</v>
      </c>
      <c r="HY32" s="4">
        <f>Yihnurda!C32 + Ztesh!C32 + Wundry!C32 + Anymna!C32 + Shomjind!C32 + Baluyde!C32 + Letan!C32</f>
        <v>320128347.82291597</v>
      </c>
      <c r="HZ32" s="6">
        <f t="shared" si="63"/>
        <v>2.5178416740082352E-2</v>
      </c>
      <c r="IA32" s="5">
        <f t="shared" si="64"/>
        <v>6.7259911430239294E-2</v>
      </c>
      <c r="IH32" s="3">
        <f t="shared" si="65"/>
        <v>1985</v>
      </c>
      <c r="II32" s="3">
        <v>1735</v>
      </c>
      <c r="IJ32" s="4">
        <f>Iareva!C32 + 'United Mihili'!C32 + 'Mesjan Hyaa'!C32 + Desaki!C32 + 'Far Lands'!C32</f>
        <v>39224780.776236698</v>
      </c>
      <c r="IK32" s="6">
        <f t="shared" si="66"/>
        <v>2.7261931606797823E-2</v>
      </c>
      <c r="IL32" s="5">
        <f t="shared" si="67"/>
        <v>8.2412422980411137E-3</v>
      </c>
      <c r="IS32" s="3">
        <f t="shared" si="68"/>
        <v>1985</v>
      </c>
      <c r="IT32" s="3">
        <v>1735</v>
      </c>
      <c r="IU32" s="4">
        <f>Verste!C32 + Quidic!C32 + Erkizil!C32 + Ashain!C32 + Ahokini!C32</f>
        <v>246333541.48224992</v>
      </c>
      <c r="IV32" s="6">
        <f t="shared" si="69"/>
        <v>2.0064811262365468E-2</v>
      </c>
      <c r="IW32" s="5">
        <f t="shared" si="70"/>
        <v>5.1755404652756215E-2</v>
      </c>
    </row>
    <row r="33" spans="1:257" ht="22.5" customHeight="1">
      <c r="A33" s="3">
        <f t="shared" si="0"/>
        <v>1984</v>
      </c>
      <c r="B33" s="3">
        <v>1734</v>
      </c>
      <c r="C33" s="4">
        <f>Acetoa!C33 + Acrana!C33 + Aetintio!C33 + Ahokini!C33 + Amcha!C33 + Andsaudare!C33 + Anymna!C33 + Aplasia!C33 + Arbiya!C33 + 'Areoix Lie'!C33 + Ashain!C33 + Astye!C33 + Baluyde!C33 + Byllu!C33 + 'Candenat'!C33 + 'Canldives'!C33 + 'Chaenia'!C33 + 'Cloja'!C33 + 'Crila Republic'!C33 + 'Cruthi Anoso'!C33 + 'Curata'!C33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'Raledria'!C33 + 'Reerica'!C33 + 'Rethern'!C33 + 'Rijan bu'!C33 + 'Rinew'!C33 + 'Rkmepuia'!C33 + 'Rtesania'!C33 + 'Ruylku'!C33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4685259235.8136168</v>
      </c>
      <c r="D33" s="5">
        <f t="shared" si="1"/>
        <v>1.603192579839224E-2</v>
      </c>
      <c r="K33" s="3">
        <f t="shared" si="2"/>
        <v>1984</v>
      </c>
      <c r="L33" s="3">
        <v>1734</v>
      </c>
      <c r="M33" s="4">
        <f>Eldavpir!C33 + Iquir!C33 + Viussi!C33 + Umendel!C33 + 'Reerica'!C33 + Saa!C33 + Sattle!C33</f>
        <v>47666459.068096839</v>
      </c>
      <c r="N33" s="5">
        <f t="shared" si="3"/>
        <v>3.1893323904131209E-2</v>
      </c>
      <c r="O33" s="5">
        <f t="shared" si="4"/>
        <v>1.0173707935676122E-2</v>
      </c>
      <c r="V33" s="3">
        <f t="shared" si="5"/>
        <v>1984</v>
      </c>
      <c r="W33" s="3">
        <v>1734</v>
      </c>
      <c r="X33" s="4">
        <f>'Areoix Lie'!C33 + Jau!C33 + Terressin!C33 + Acetoa!C33 + 'Feio Lie'!C33</f>
        <v>526868046.5029732</v>
      </c>
      <c r="Y33" s="5">
        <f t="shared" si="6"/>
        <v>1.3856432975416279E-2</v>
      </c>
      <c r="Z33" s="5">
        <f t="shared" si="7"/>
        <v>0.1124522721124267</v>
      </c>
      <c r="AG33" s="3">
        <f t="shared" si="8"/>
        <v>1984</v>
      </c>
      <c r="AH33" s="3">
        <v>1734</v>
      </c>
      <c r="AI33" s="4">
        <f>Taniduna!C33 + Jathua!C33 + Deschon!C33 + Pelines!C33 + 'Candenat'!C33 + Othya!C33 + Yoprioq!C33 + Jshain!C33 + 'Fire Coast'!C33 + 'Rijan bu'!C33 + 'Rinew'!C33 + Enina!C33 + Trevilla!C33</f>
        <v>113761982.64431888</v>
      </c>
      <c r="AJ33" s="5">
        <f t="shared" si="9"/>
        <v>2.6737450973833177E-2</v>
      </c>
      <c r="AK33" s="5">
        <f t="shared" si="10"/>
        <v>2.4280829921796972E-2</v>
      </c>
      <c r="AR33" s="3">
        <f t="shared" si="11"/>
        <v>1984</v>
      </c>
      <c r="AS33" s="3">
        <v>1734</v>
      </c>
      <c r="AT33" s="4">
        <f>Gaeiya!C33 + 'Raledria'!C33 + Arbiya!C33 + Fincen!C33 + 'Curata'!C33</f>
        <v>217645511.60390073</v>
      </c>
      <c r="AU33" s="5">
        <f t="shared" si="12"/>
        <v>1.1405916104581165E-2</v>
      </c>
      <c r="AV33" s="5">
        <f t="shared" si="13"/>
        <v>4.6453248507626194E-2</v>
      </c>
      <c r="BC33" s="3">
        <f t="shared" si="14"/>
        <v>1984</v>
      </c>
      <c r="BD33" s="3">
        <v>1734</v>
      </c>
      <c r="BE33" s="4">
        <f>Etirha!C33 + Laselteh!C33 + Grazail!C33 + 'Disal Nila'!C33 + Pelan!C33 + Peka!C33 + Guise!C33</f>
        <v>83014196.756742209</v>
      </c>
      <c r="BF33" s="5">
        <f t="shared" si="15"/>
        <v>1.1552369409130542E-2</v>
      </c>
      <c r="BG33" s="5">
        <f t="shared" si="16"/>
        <v>1.7718165117138158E-2</v>
      </c>
      <c r="BN33" s="3">
        <f t="shared" si="17"/>
        <v>1984</v>
      </c>
      <c r="BO33" s="3">
        <v>1734</v>
      </c>
      <c r="BP33" s="4">
        <f>Genaire!C33 + 'New Misos'!C33 + Phuris!C33 + Lasri!C33 + Slyiaduun!C33 + Aetintio!C33 + Metndria!C33 + Tomscilus!C33</f>
        <v>69679456.367227957</v>
      </c>
      <c r="BQ33" s="5">
        <f t="shared" si="18"/>
        <v>1.8930456527519627E-2</v>
      </c>
      <c r="BR33" s="5">
        <f t="shared" si="19"/>
        <v>1.4872059977942245E-2</v>
      </c>
      <c r="BY33" s="3">
        <f t="shared" si="20"/>
        <v>1984</v>
      </c>
      <c r="BZ33" s="3">
        <v>1734</v>
      </c>
      <c r="CA33" s="4">
        <f>Ealdorii!C33 + Ukhdari!C33 + Hkuqo!C33 + Acrana!C33 + Zenashan!C33</f>
        <v>208770360.71818194</v>
      </c>
      <c r="CB33" s="7">
        <f t="shared" si="21"/>
        <v>9.4754654921824586E-3</v>
      </c>
      <c r="CC33" s="5">
        <f t="shared" si="22"/>
        <v>4.4558977467535586E-2</v>
      </c>
      <c r="CJ33" s="3">
        <f t="shared" si="23"/>
        <v>1984</v>
      </c>
      <c r="CK33" s="3">
        <v>1734</v>
      </c>
      <c r="CL33" s="4">
        <f>Estijan!C33 + Ikzen!C33 + Urbiqu!C33 + Danocia!C33 + Koruch!C33 + 'New Kizura'!C33 + Lydroa!C33 + Fermori!C33 + Uularin!C33 + 'Niul Spijan'!C33</f>
        <v>234664810.47094607</v>
      </c>
      <c r="CM33" s="7">
        <f t="shared" si="24"/>
        <v>1.1376592936519724E-2</v>
      </c>
      <c r="CN33" s="5">
        <f t="shared" si="25"/>
        <v>5.0085768718450739E-2</v>
      </c>
      <c r="CU33" s="3">
        <f t="shared" si="26"/>
        <v>1984</v>
      </c>
      <c r="CV33" s="3">
        <v>1734</v>
      </c>
      <c r="CW33" s="4">
        <f>Praesyu!C33 + Lycroa!C33 + Emara!C33 + Eldjo!C33 + Easuhura!C33 + Ilicuhe!C33 + Tonder!C33</f>
        <v>217984409.88103604</v>
      </c>
      <c r="CX33" s="7">
        <f t="shared" si="27"/>
        <v>1.5165001485357703E-3</v>
      </c>
      <c r="CY33" s="5">
        <f t="shared" si="28"/>
        <v>4.652558138401109E-2</v>
      </c>
      <c r="DF33" s="3">
        <f t="shared" si="29"/>
        <v>1984</v>
      </c>
      <c r="DG33" s="3">
        <v>1734</v>
      </c>
      <c r="DH33" s="4">
        <f>Verusa!C33 + Darewa!C33 + Siana!C33 + Yaxuto!C33 + 'Merela Sta'!C33 + Palina!C33</f>
        <v>157126261.59901989</v>
      </c>
      <c r="DI33" s="7">
        <f t="shared" si="30"/>
        <v>4.4755089170675751E-3</v>
      </c>
      <c r="DJ33" s="5">
        <f t="shared" si="31"/>
        <v>3.3536300488554334E-2</v>
      </c>
      <c r="DQ33" s="3">
        <f t="shared" si="32"/>
        <v>1984</v>
      </c>
      <c r="DR33" s="3">
        <v>1734</v>
      </c>
      <c r="DS33" s="4">
        <f>Sunsokua!C33 + Vayvele!C33 + Selaja!C33 + Sadain!C33</f>
        <v>128011714.36826074</v>
      </c>
      <c r="DT33" s="7">
        <f t="shared" si="33"/>
        <v>2.5629929652296261E-2</v>
      </c>
      <c r="DU33" s="5">
        <f t="shared" si="34"/>
        <v>2.7322226567476349E-2</v>
      </c>
      <c r="EB33" s="3">
        <f t="shared" si="35"/>
        <v>1984</v>
      </c>
      <c r="EC33" s="3">
        <v>1734</v>
      </c>
      <c r="ED33" s="4">
        <f>Pelugrotoa!C33 + Lieri!C33 + 'Rtesania'!C33 + Ozinia!C33</f>
        <v>312698947.33979523</v>
      </c>
      <c r="EE33" s="7">
        <f t="shared" si="36"/>
        <v>1.4869327780689603E-2</v>
      </c>
      <c r="EF33" s="5">
        <f t="shared" si="37"/>
        <v>6.6741012951761172E-2</v>
      </c>
      <c r="EM33" s="3">
        <f t="shared" si="38"/>
        <v>1984</v>
      </c>
      <c r="EN33" s="3">
        <v>1734</v>
      </c>
      <c r="EO33" s="4">
        <f>Ocaun!C33 + 'Dual Cenryia'!C33 + Byllu!C33 + Exilium!C33 + Inrea!C33 + Amcha!C33 + Isnti!C33 + Galca!C33 + Otiiric!C33 + Taing!C33 + 'Cruthi Anoso'!C33</f>
        <v>157244437.28605366</v>
      </c>
      <c r="EP33" s="7">
        <f t="shared" si="39"/>
        <v>2.7860835176230104E-2</v>
      </c>
      <c r="EQ33" s="5">
        <f t="shared" si="40"/>
        <v>3.3561523359069256E-2</v>
      </c>
      <c r="EX33" s="3">
        <f t="shared" si="41"/>
        <v>1984</v>
      </c>
      <c r="EY33" s="3">
        <v>1734</v>
      </c>
      <c r="EZ33" s="4">
        <f>Sivoso!C33 + Taoisia!C33 + Seytinemas!C33 + Trian!C33 + 'Chaenia'!C33</f>
        <v>96117393.416368067</v>
      </c>
      <c r="FA33" s="7">
        <f t="shared" si="42"/>
        <v>2.3101811977675982E-2</v>
      </c>
      <c r="FB33" s="5">
        <f t="shared" si="43"/>
        <v>2.0514850636578884E-2</v>
      </c>
      <c r="FI33" s="3">
        <f t="shared" si="44"/>
        <v>1984</v>
      </c>
      <c r="FJ33" s="3">
        <v>1734</v>
      </c>
      <c r="FK33" s="4">
        <f>Migoku!C33 + 'Welenu Fana'!C33 + Haiza!C33 + Ucrua!C33 + Ihner!C33 + Oscairia!C33 + Shinam!C33 + 'Ruylku'!C33 + Taval!C33 + 'Western Migoku'!C33 + 'Pruim Fijan'!C33 + 'Canldives'!C33</f>
        <v>105038726.56262673</v>
      </c>
      <c r="FL33" s="7">
        <f t="shared" si="45"/>
        <v>2.190635415839479E-2</v>
      </c>
      <c r="FM33" s="5">
        <f t="shared" si="46"/>
        <v>2.2418978604155353E-2</v>
      </c>
      <c r="FT33" s="3">
        <f t="shared" si="47"/>
        <v>1984</v>
      </c>
      <c r="FU33" s="3">
        <v>1734</v>
      </c>
      <c r="FV33" s="4">
        <f>Vesozata!C33 + Etretes!C33 + Kusierna!C33 + Eparia!C33</f>
        <v>74048862.762561888</v>
      </c>
      <c r="FW33" s="7">
        <f t="shared" si="48"/>
        <v>2.5147227637700682E-2</v>
      </c>
      <c r="FX33" s="5">
        <f t="shared" si="49"/>
        <v>1.5804645812667176E-2</v>
      </c>
      <c r="GE33" s="3">
        <f t="shared" si="50"/>
        <v>1984</v>
      </c>
      <c r="GF33" s="3">
        <v>1734</v>
      </c>
      <c r="GG33" s="4">
        <f>Dahe!C33 + Kaastini!C33 + Suenan!C33 + Oyreain!C33 + Sanagara!C33 + 'North Ayre'!C33 + Stinebar!C33 + 'Cloja'!C33 + 'Pha Hii'!C33 + 'Prystr Hii'!C33</f>
        <v>867079207.54931843</v>
      </c>
      <c r="GH33" s="7">
        <f t="shared" si="51"/>
        <v>1.1549988773267308E-2</v>
      </c>
      <c r="GI33" s="5">
        <f t="shared" si="52"/>
        <v>0.18506536434984394</v>
      </c>
      <c r="GP33" s="3">
        <f t="shared" si="53"/>
        <v>1984</v>
      </c>
      <c r="GQ33" s="3">
        <v>1734</v>
      </c>
      <c r="GR33" s="4">
        <f>Maalle!C33 + 'United Delet'!C33 + Ohtina!C33 + Astye!C33 + Prstreula!C33 + Veelmit!C33 + Aplasia!C33 + 'Elja and Munusia'!C33 + Walporein!C33 + 'Crila Republic'!C33 + 'Niretui and Anulan'!C33 + 'Rethern'!C33 + Tvecoca!C33</f>
        <v>119378811.24598905</v>
      </c>
      <c r="GS33" s="7">
        <f t="shared" si="54"/>
        <v>2.2375913253503289E-2</v>
      </c>
      <c r="GT33" s="5">
        <f t="shared" si="55"/>
        <v>2.5479659766415971E-2</v>
      </c>
      <c r="HA33" s="3">
        <f t="shared" si="56"/>
        <v>1984</v>
      </c>
      <c r="HB33" s="3">
        <v>1734</v>
      </c>
      <c r="HC33" s="4">
        <f>Andsaudare!C33 + Nia!C33 + Umarcia!C33 + Mendereide!C33 + Iainoa!C33 + Isari!C33 + 'Rkmepuia'!C33 + Hiwush!C33 + Isuibul!C33 + Yutnitu!C33</f>
        <v>43393187.536377884</v>
      </c>
      <c r="HD33" s="7">
        <f t="shared" si="57"/>
        <v>2.5267226978821018E-2</v>
      </c>
      <c r="HE33" s="5">
        <f t="shared" si="58"/>
        <v>9.2616406803459322E-3</v>
      </c>
      <c r="HL33" s="3">
        <f t="shared" si="59"/>
        <v>1984</v>
      </c>
      <c r="HM33" s="3">
        <v>1734</v>
      </c>
      <c r="HN33" s="4">
        <f>Zhanshe!C33 + Volver!C33 + Finae!C33 + Myla!C33 + 'Nheyes Si'!C33 + Onphello!C33 + Hyelen!C33</f>
        <v>77615943.142357513</v>
      </c>
      <c r="HO33" s="7">
        <f t="shared" si="60"/>
        <v>1.9260590469190885E-2</v>
      </c>
      <c r="HP33" s="5">
        <f t="shared" si="61"/>
        <v>1.6565986904005143E-2</v>
      </c>
      <c r="HW33" s="3">
        <f t="shared" si="62"/>
        <v>1984</v>
      </c>
      <c r="HX33" s="3">
        <v>1734</v>
      </c>
      <c r="HY33" s="4">
        <f>Yihnurda!C33 + Ztesh!C33 + Wundry!C33 + Anymna!C33 + Shomjind!C33 + Baluyde!C33 + Letan!C33</f>
        <v>312265984.72573912</v>
      </c>
      <c r="HZ33" s="7">
        <f t="shared" si="63"/>
        <v>2.5128019137833774E-2</v>
      </c>
      <c r="IA33" s="5">
        <f t="shared" si="64"/>
        <v>6.6648603419595567E-2</v>
      </c>
      <c r="IH33" s="3">
        <f t="shared" si="65"/>
        <v>1984</v>
      </c>
      <c r="II33" s="3">
        <v>1734</v>
      </c>
      <c r="IJ33" s="4">
        <f>Iareva!C33 + 'United Mihili'!C33 + 'Mesjan Hyaa'!C33 + Desaki!C33 + 'Far Lands'!C33</f>
        <v>38183816.190757722</v>
      </c>
      <c r="IK33" s="7">
        <f t="shared" si="66"/>
        <v>2.9176151881140866E-2</v>
      </c>
      <c r="IL33" s="5">
        <f t="shared" si="67"/>
        <v>8.1497766225793328E-3</v>
      </c>
      <c r="IS33" s="3">
        <f t="shared" si="68"/>
        <v>1984</v>
      </c>
      <c r="IT33" s="3">
        <v>1734</v>
      </c>
      <c r="IU33" s="4">
        <f>Verste!C33 + Quidic!C33 + Erkizil!C33 + Ashain!C33 + Ahokini!C33</f>
        <v>241488127.77631614</v>
      </c>
      <c r="IV33" s="7">
        <f t="shared" si="69"/>
        <v>2.0830149229487026E-2</v>
      </c>
      <c r="IW33" s="5">
        <f t="shared" si="70"/>
        <v>5.1542105916019952E-2</v>
      </c>
    </row>
    <row r="34" spans="1:257" ht="22.5" customHeight="1">
      <c r="A34" s="3">
        <f t="shared" si="0"/>
        <v>1983</v>
      </c>
      <c r="B34" s="3">
        <v>1733</v>
      </c>
      <c r="C34" s="4">
        <f>Acetoa!C34 + Acrana!C34 + Aetintio!C34 + Ahokini!C34 + Amcha!C34 + Andsaudare!C34 + Anymna!C34 + Aplasia!C34 + Arbiya!C34 + 'Areoix Lie'!C34 + Ashain!C34 + Astye!C34 + Baluyde!C34 + Byllu!C34 + 'Candenat'!C34 + 'Canldives'!C34 + 'Chaenia'!C34 + 'Cloja'!C34 + 'Crila Republic'!C34 + 'Cruthi Anoso'!C34 + 'Curata'!C34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'Raledria'!C34 + 'Reerica'!C34 + 'Rethern'!C34 + 'Rijan bu'!C34 + 'Rinew'!C34 + 'Rkmepuia'!C34 + 'Rtesania'!C34 + 'Ruylku'!C34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4611330723.8175278</v>
      </c>
      <c r="D34" s="5">
        <f t="shared" si="1"/>
        <v>1.639089727345952E-2</v>
      </c>
      <c r="K34" s="3">
        <f t="shared" si="2"/>
        <v>1983</v>
      </c>
      <c r="L34" s="3">
        <v>1733</v>
      </c>
      <c r="M34" s="4">
        <f>Eldavpir!C34 + Iquir!C34 + Viussi!C34 + Umendel!C34 + 'Reerica'!C34 + Saa!C34 + Sattle!C34</f>
        <v>46193204.243004993</v>
      </c>
      <c r="N34" s="5">
        <f t="shared" si="3"/>
        <v>3.2133444263332069E-2</v>
      </c>
      <c r="O34" s="5">
        <f t="shared" si="4"/>
        <v>1.001732623609429E-2</v>
      </c>
      <c r="V34" s="3">
        <f t="shared" si="5"/>
        <v>1983</v>
      </c>
      <c r="W34" s="3">
        <v>1733</v>
      </c>
      <c r="X34" s="4">
        <f>'Areoix Lie'!C34 + Jau!C34 + Terressin!C34 + Acetoa!C34 + 'Feio Lie'!C34</f>
        <v>519667311.23532611</v>
      </c>
      <c r="Y34" s="5">
        <f t="shared" si="6"/>
        <v>1.4367783297046877E-2</v>
      </c>
      <c r="Z34" s="5">
        <f t="shared" si="7"/>
        <v>0.11269356772682643</v>
      </c>
      <c r="AG34" s="3">
        <f t="shared" si="8"/>
        <v>1983</v>
      </c>
      <c r="AH34" s="3">
        <v>1733</v>
      </c>
      <c r="AI34" s="4">
        <f>Taniduna!C34 + Jathua!C34 + Deschon!C34 + Pelines!C34 + 'Candenat'!C34 + Othya!C34 + Yoprioq!C34 + Jshain!C34 + 'Fire Coast'!C34 + 'Rijan bu'!C34 + 'Rinew'!C34 + Enina!C34 + Trevilla!C34</f>
        <v>110799486.79812805</v>
      </c>
      <c r="AJ34" s="5">
        <f t="shared" si="9"/>
        <v>2.7434957158850897E-2</v>
      </c>
      <c r="AK34" s="5">
        <f t="shared" si="10"/>
        <v>2.402766000405232E-2</v>
      </c>
      <c r="AR34" s="3">
        <f t="shared" si="11"/>
        <v>1983</v>
      </c>
      <c r="AS34" s="3">
        <v>1733</v>
      </c>
      <c r="AT34" s="4">
        <f>Gaeiya!C34 + 'Raledria'!C34 + Arbiya!C34 + Fincen!C34 + 'Curata'!C34</f>
        <v>215191060.42226848</v>
      </c>
      <c r="AU34" s="5">
        <f t="shared" si="12"/>
        <v>1.2972676940178104E-2</v>
      </c>
      <c r="AV34" s="5">
        <f t="shared" si="13"/>
        <v>4.666571827321047E-2</v>
      </c>
      <c r="BC34" s="3">
        <f t="shared" si="14"/>
        <v>1983</v>
      </c>
      <c r="BD34" s="3">
        <v>1733</v>
      </c>
      <c r="BE34" s="4">
        <f>Etirha!C34 + Laselteh!C34 + Grazail!C34 + 'Disal Nila'!C34 + Pelan!C34 + Peka!C34 + Guise!C34</f>
        <v>82066138.409850776</v>
      </c>
      <c r="BF34" s="5">
        <f t="shared" si="15"/>
        <v>1.100091351714225E-2</v>
      </c>
      <c r="BG34" s="5">
        <f t="shared" si="16"/>
        <v>1.7796628202349288E-2</v>
      </c>
      <c r="BN34" s="3">
        <f t="shared" si="17"/>
        <v>1983</v>
      </c>
      <c r="BO34" s="3">
        <v>1733</v>
      </c>
      <c r="BP34" s="4">
        <f>Genaire!C34 + 'New Misos'!C34 + Phuris!C34 + Lasri!C34 + Slyiaduun!C34 + Aetintio!C34 + Metndria!C34 + Tomscilus!C34</f>
        <v>68384899.009391844</v>
      </c>
      <c r="BQ34" s="5">
        <f t="shared" si="18"/>
        <v>1.923743014486097E-2</v>
      </c>
      <c r="BR34" s="5">
        <f t="shared" si="19"/>
        <v>1.4829753731647086E-2</v>
      </c>
      <c r="BY34" s="3">
        <f t="shared" si="20"/>
        <v>1983</v>
      </c>
      <c r="BZ34" s="3">
        <v>1733</v>
      </c>
      <c r="CA34" s="4">
        <f>Ealdorii!C34 + Ukhdari!C34 + Hkuqo!C34 + Acrana!C34 + Zenashan!C34</f>
        <v>206810732.75653443</v>
      </c>
      <c r="CB34" s="6">
        <f t="shared" si="21"/>
        <v>9.9543391120944756E-3</v>
      </c>
      <c r="CC34" s="5">
        <f t="shared" si="22"/>
        <v>4.4848384369474255E-2</v>
      </c>
      <c r="CJ34" s="3">
        <f t="shared" si="23"/>
        <v>1983</v>
      </c>
      <c r="CK34" s="3">
        <v>1733</v>
      </c>
      <c r="CL34" s="4">
        <f>Estijan!C34 + Ikzen!C34 + Urbiqu!C34 + Danocia!C34 + Koruch!C34 + 'New Kizura'!C34 + Lydroa!C34 + Fermori!C34 + Uularin!C34 + 'Niul Spijan'!C34</f>
        <v>232025154.73449868</v>
      </c>
      <c r="CM34" s="6">
        <f t="shared" si="24"/>
        <v>1.138138239667193E-2</v>
      </c>
      <c r="CN34" s="5">
        <f t="shared" si="25"/>
        <v>5.0316311848137139E-2</v>
      </c>
      <c r="CU34" s="3">
        <f t="shared" si="26"/>
        <v>1983</v>
      </c>
      <c r="CV34" s="3">
        <v>1733</v>
      </c>
      <c r="CW34" s="4">
        <f>Praesyu!C34 + Lycroa!C34 + Emara!C34 + Eldjo!C34 + Easuhura!C34 + Ilicuhe!C34 + Tonder!C34</f>
        <v>217654337.04657546</v>
      </c>
      <c r="CX34" s="6">
        <f t="shared" si="27"/>
        <v>1.0020966674865251E-3</v>
      </c>
      <c r="CY34" s="5">
        <f t="shared" si="28"/>
        <v>4.7199897401067024E-2</v>
      </c>
      <c r="DF34" s="3">
        <f t="shared" si="29"/>
        <v>1983</v>
      </c>
      <c r="DG34" s="3">
        <v>1733</v>
      </c>
      <c r="DH34" s="4">
        <f>Verusa!C34 + Darewa!C34 + Siana!C34 + Yaxuto!C34 + 'Merela Sta'!C34 + Palina!C34</f>
        <v>156426174.85857755</v>
      </c>
      <c r="DI34" s="6">
        <f t="shared" si="30"/>
        <v>4.976591220754569E-3</v>
      </c>
      <c r="DJ34" s="5">
        <f t="shared" si="31"/>
        <v>3.3922133160095458E-2</v>
      </c>
      <c r="DQ34" s="3">
        <f t="shared" si="32"/>
        <v>1983</v>
      </c>
      <c r="DR34" s="3">
        <v>1733</v>
      </c>
      <c r="DS34" s="4">
        <f>Sunsokua!C34 + Vayvele!C34 + Selaja!C34 + Sadain!C34</f>
        <v>124812771.80713575</v>
      </c>
      <c r="DT34" s="6">
        <f t="shared" si="33"/>
        <v>2.5722798838524241E-2</v>
      </c>
      <c r="DU34" s="5">
        <f t="shared" si="34"/>
        <v>2.7066540936324011E-2</v>
      </c>
      <c r="EB34" s="3">
        <f t="shared" si="35"/>
        <v>1983</v>
      </c>
      <c r="EC34" s="3">
        <v>1733</v>
      </c>
      <c r="ED34" s="4">
        <f>Pelugrotoa!C34 + Lieri!C34 + 'Rtesania'!C34 + Ozinia!C34</f>
        <v>308117448.01037931</v>
      </c>
      <c r="EE34" s="6">
        <f t="shared" si="36"/>
        <v>1.5878022914996955E-2</v>
      </c>
      <c r="EF34" s="5">
        <f t="shared" si="37"/>
        <v>6.6817469070034899E-2</v>
      </c>
      <c r="EM34" s="3">
        <f t="shared" si="38"/>
        <v>1983</v>
      </c>
      <c r="EN34" s="3">
        <v>1733</v>
      </c>
      <c r="EO34" s="4">
        <f>Ocaun!C34 + 'Dual Cenryia'!C34 + Byllu!C34 + Exilium!C34 + Inrea!C34 + Amcha!C34 + Isnti!C34 + Galca!C34 + Otiiric!C34 + Taing!C34 + 'Cruthi Anoso'!C34</f>
        <v>152982224.73774242</v>
      </c>
      <c r="EP34" s="6">
        <f t="shared" si="39"/>
        <v>2.877946670521549E-2</v>
      </c>
      <c r="EQ34" s="5">
        <f t="shared" si="40"/>
        <v>3.3175287980883497E-2</v>
      </c>
      <c r="EX34" s="3">
        <f t="shared" si="41"/>
        <v>1983</v>
      </c>
      <c r="EY34" s="3">
        <v>1733</v>
      </c>
      <c r="EZ34" s="4">
        <f>Sivoso!C34 + Taoisia!C34 + Seytinemas!C34 + Trian!C34 + 'Chaenia'!C34</f>
        <v>93947046.414248109</v>
      </c>
      <c r="FA34" s="6">
        <f t="shared" si="42"/>
        <v>2.3606087291146598E-2</v>
      </c>
      <c r="FB34" s="5">
        <f t="shared" si="43"/>
        <v>2.0373087952467065E-2</v>
      </c>
      <c r="FI34" s="3">
        <f t="shared" si="44"/>
        <v>1983</v>
      </c>
      <c r="FJ34" s="3">
        <v>1733</v>
      </c>
      <c r="FK34" s="4">
        <f>Migoku!C34 + 'Welenu Fana'!C34 + Haiza!C34 + Ucrua!C34 + Ihner!C34 + Oscairia!C34 + Shinam!C34 + 'Ruylku'!C34 + Taval!C34 + 'Western Migoku'!C34 + 'Pruim Fijan'!C34 + 'Canldives'!C34</f>
        <v>102787037.32019833</v>
      </c>
      <c r="FL34" s="6">
        <f t="shared" si="45"/>
        <v>2.1811345520022271E-2</v>
      </c>
      <c r="FM34" s="5">
        <f t="shared" si="46"/>
        <v>2.2290103112601135E-2</v>
      </c>
      <c r="FT34" s="3">
        <f t="shared" si="47"/>
        <v>1983</v>
      </c>
      <c r="FU34" s="3">
        <v>1733</v>
      </c>
      <c r="FV34" s="4">
        <f>Vesozata!C34 + Etretes!C34 + Kusierna!C34 + Eparia!C34</f>
        <v>72232417.711548105</v>
      </c>
      <c r="FW34" s="6">
        <f t="shared" si="48"/>
        <v>2.5124837376844126E-2</v>
      </c>
      <c r="FX34" s="5">
        <f t="shared" si="49"/>
        <v>1.5664115639866728E-2</v>
      </c>
      <c r="GE34" s="3">
        <f t="shared" si="50"/>
        <v>1983</v>
      </c>
      <c r="GF34" s="3">
        <v>1733</v>
      </c>
      <c r="GG34" s="4">
        <f>Dahe!C34 + Kaastini!C34 + Suenan!C34 + Oyreain!C34 + Sanagara!C34 + 'North Ayre'!C34 + Stinebar!C34 + 'Cloja'!C34 + 'Pha Hii'!C34 + 'Prystr Hii'!C34</f>
        <v>857178802.00942683</v>
      </c>
      <c r="GH34" s="6">
        <f t="shared" si="51"/>
        <v>1.199648471865219E-2</v>
      </c>
      <c r="GI34" s="5">
        <f t="shared" si="52"/>
        <v>0.18588534489233172</v>
      </c>
      <c r="GP34" s="3">
        <f t="shared" si="53"/>
        <v>1983</v>
      </c>
      <c r="GQ34" s="3">
        <v>1733</v>
      </c>
      <c r="GR34" s="4">
        <f>Maalle!C34 + 'United Delet'!C34 + Ohtina!C34 + Astye!C34 + Prstreula!C34 + Veelmit!C34 + Aplasia!C34 + 'Elja and Munusia'!C34 + Walporein!C34 + 'Crila Republic'!C34 + 'Niretui and Anulan'!C34 + 'Rethern'!C34 + Tvecoca!C34</f>
        <v>116766063.92857035</v>
      </c>
      <c r="GS34" s="6">
        <f t="shared" si="54"/>
        <v>2.2144687172085259E-2</v>
      </c>
      <c r="GT34" s="5">
        <f t="shared" si="55"/>
        <v>2.5321554866033248E-2</v>
      </c>
      <c r="HA34" s="3">
        <f t="shared" si="56"/>
        <v>1983</v>
      </c>
      <c r="HB34" s="3">
        <v>1733</v>
      </c>
      <c r="HC34" s="4">
        <f>Andsaudare!C34 + Nia!C34 + Umarcia!C34 + Mendereide!C34 + Iainoa!C34 + Isari!C34 + 'Rkmepuia'!C34 + Hiwush!C34 + Isuibul!C34 + Yutnitu!C34</f>
        <v>42323782.907062784</v>
      </c>
      <c r="HD34" s="6">
        <f t="shared" si="57"/>
        <v>2.5491427186143438E-2</v>
      </c>
      <c r="HE34" s="5">
        <f t="shared" si="58"/>
        <v>9.1782145853170766E-3</v>
      </c>
      <c r="HL34" s="3">
        <f t="shared" si="59"/>
        <v>1983</v>
      </c>
      <c r="HM34" s="3">
        <v>1733</v>
      </c>
      <c r="HN34" s="4">
        <f>Zhanshe!C34 + Volver!C34 + Finae!C34 + Myla!C34 + 'Nheyes Si'!C34 + Onphello!C34 + Hyelen!C34</f>
        <v>76149263.366131887</v>
      </c>
      <c r="HO34" s="6">
        <f t="shared" si="60"/>
        <v>1.9830900920174598E-2</v>
      </c>
      <c r="HP34" s="5">
        <f t="shared" si="61"/>
        <v>1.6513511592829565E-2</v>
      </c>
      <c r="HW34" s="3">
        <f t="shared" si="62"/>
        <v>1983</v>
      </c>
      <c r="HX34" s="3">
        <v>1733</v>
      </c>
      <c r="HY34" s="4">
        <f>Yihnurda!C34 + Ztesh!C34 + Wundry!C34 + Anymna!C34 + Shomjind!C34 + Baluyde!C34 + Letan!C34</f>
        <v>304611696.19416416</v>
      </c>
      <c r="HZ34" s="6">
        <f t="shared" si="63"/>
        <v>2.4926149985128512E-2</v>
      </c>
      <c r="IA34" s="5">
        <f t="shared" si="64"/>
        <v>6.6057221751813291E-2</v>
      </c>
      <c r="IH34" s="3">
        <f t="shared" si="65"/>
        <v>1983</v>
      </c>
      <c r="II34" s="3">
        <v>1733</v>
      </c>
      <c r="IJ34" s="4">
        <f>Iareva!C34 + 'United Mihili'!C34 + 'Mesjan Hyaa'!C34 + Desaki!C34 + 'Far Lands'!C34</f>
        <v>37101341.807196826</v>
      </c>
      <c r="IK34" s="6">
        <f t="shared" si="66"/>
        <v>3.0583036283651256E-2</v>
      </c>
      <c r="IL34" s="5">
        <f t="shared" si="67"/>
        <v>8.0456909359305669E-3</v>
      </c>
      <c r="IS34" s="3">
        <f t="shared" si="68"/>
        <v>1983</v>
      </c>
      <c r="IT34" s="3">
        <v>1733</v>
      </c>
      <c r="IU34" s="4">
        <f>Verste!C34 + Quidic!C34 + Erkizil!C34 + Ashain!C34 + Ahokini!C34</f>
        <v>236560536.49922967</v>
      </c>
      <c r="IV34" s="6">
        <f t="shared" si="69"/>
        <v>2.1354600109497641E-2</v>
      </c>
      <c r="IW34" s="5">
        <f t="shared" si="70"/>
        <v>5.1299841773957841E-2</v>
      </c>
    </row>
    <row r="35" spans="1:257" ht="22.5" customHeight="1">
      <c r="A35" s="3">
        <f t="shared" si="0"/>
        <v>1982</v>
      </c>
      <c r="B35" s="3">
        <v>1732</v>
      </c>
      <c r="C35" s="4">
        <f>Acetoa!C35 + Acrana!C35 + Aetintio!C35 + Ahokini!C35 + Amcha!C35 + Andsaudare!C35 + Anymna!C35 + Aplasia!C35 + Arbiya!C35 + 'Areoix Lie'!C35 + Ashain!C35 + Astye!C35 + Baluyde!C35 + Byllu!C35 + 'Candenat'!C35 + 'Canldives'!C35 + 'Chaenia'!C35 + 'Cloja'!C35 + 'Crila Republic'!C35 + 'Cruthi Anoso'!C35 + 'Curata'!C35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'Raledria'!C35 + 'Reerica'!C35 + 'Rethern'!C35 + 'Rijan bu'!C35 + 'Rinew'!C35 + 'Rkmepuia'!C35 + 'Rtesania'!C35 + 'Ruylku'!C35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4536965783.7233181</v>
      </c>
      <c r="D35" s="5">
        <f t="shared" si="1"/>
        <v>1.6895613834827971E-2</v>
      </c>
      <c r="K35" s="3">
        <f t="shared" si="2"/>
        <v>1982</v>
      </c>
      <c r="L35" s="3">
        <v>1732</v>
      </c>
      <c r="M35" s="4">
        <f>Eldavpir!C35 + Iquir!C35 + Viussi!C35 + Umendel!C35 + 'Reerica'!C35 + Saa!C35 + Sattle!C35</f>
        <v>44755069.705133542</v>
      </c>
      <c r="N35" s="5">
        <f t="shared" si="3"/>
        <v>3.2763009075584743E-2</v>
      </c>
      <c r="O35" s="5">
        <f t="shared" si="4"/>
        <v>9.864537631228229E-3</v>
      </c>
      <c r="V35" s="3">
        <f t="shared" si="5"/>
        <v>1982</v>
      </c>
      <c r="W35" s="3">
        <v>1732</v>
      </c>
      <c r="X35" s="4">
        <f>'Areoix Lie'!C35 + Jau!C35 + Terressin!C35 + Acetoa!C35 + 'Feio Lie'!C35</f>
        <v>512306601.01036257</v>
      </c>
      <c r="Y35" s="5">
        <f t="shared" si="6"/>
        <v>1.4768199913371697E-2</v>
      </c>
      <c r="Z35" s="5">
        <f t="shared" si="7"/>
        <v>0.11291833031853542</v>
      </c>
      <c r="AG35" s="3">
        <f t="shared" si="8"/>
        <v>1982</v>
      </c>
      <c r="AH35" s="3">
        <v>1732</v>
      </c>
      <c r="AI35" s="4">
        <f>Taniduna!C35 + Jathua!C35 + Deschon!C35 + Pelines!C35 + 'Candenat'!C35 + Othya!C35 + Yoprioq!C35 + Jshain!C35 + 'Fire Coast'!C35 + 'Rijan bu'!C35 + 'Rinew'!C35 + Enina!C35 + Trevilla!C35</f>
        <v>107840876.95879072</v>
      </c>
      <c r="AJ35" s="5">
        <f t="shared" si="9"/>
        <v>2.9289207443040751E-2</v>
      </c>
      <c r="AK35" s="5">
        <f t="shared" si="10"/>
        <v>2.3769382909096956E-2</v>
      </c>
      <c r="AR35" s="3">
        <f t="shared" si="11"/>
        <v>1982</v>
      </c>
      <c r="AS35" s="3">
        <v>1732</v>
      </c>
      <c r="AT35" s="4">
        <f>Gaeiya!C35 + 'Raledria'!C35 + Arbiya!C35 + Fincen!C35 + 'Curata'!C35</f>
        <v>212435207.10971433</v>
      </c>
      <c r="AU35" s="5">
        <f t="shared" si="12"/>
        <v>1.6160614945521404E-2</v>
      </c>
      <c r="AV35" s="5">
        <f t="shared" si="13"/>
        <v>4.6823189161320215E-2</v>
      </c>
      <c r="BC35" s="3">
        <f t="shared" si="14"/>
        <v>1982</v>
      </c>
      <c r="BD35" s="3">
        <v>1732</v>
      </c>
      <c r="BE35" s="4">
        <f>Etirha!C35 + Laselteh!C35 + Grazail!C35 + 'Disal Nila'!C35 + Pelan!C35 + Peka!C35 + Guise!C35</f>
        <v>81173159.502253294</v>
      </c>
      <c r="BF35" s="5">
        <f t="shared" si="15"/>
        <v>1.2877423613402121E-2</v>
      </c>
      <c r="BG35" s="5">
        <f t="shared" si="16"/>
        <v>1.7891507975102583E-2</v>
      </c>
      <c r="BN35" s="3">
        <f t="shared" si="17"/>
        <v>1982</v>
      </c>
      <c r="BO35" s="3">
        <v>1732</v>
      </c>
      <c r="BP35" s="4">
        <f>Genaire!C35 + 'New Misos'!C35 + Phuris!C35 + Lasri!C35 + Slyiaduun!C35 + Aetintio!C35 + Metndria!C35 + Tomscilus!C35</f>
        <v>67094179.419679001</v>
      </c>
      <c r="BQ35" s="5">
        <f t="shared" si="18"/>
        <v>1.9290261153846536E-2</v>
      </c>
      <c r="BR35" s="5">
        <f t="shared" si="19"/>
        <v>1.4788337099738345E-2</v>
      </c>
      <c r="BY35" s="3">
        <f t="shared" si="20"/>
        <v>1982</v>
      </c>
      <c r="BZ35" s="3">
        <v>1732</v>
      </c>
      <c r="CA35" s="4">
        <f>Ealdorii!C35 + Ukhdari!C35 + Hkuqo!C35 + Acrana!C35 + Zenashan!C35</f>
        <v>204772359.25175878</v>
      </c>
      <c r="CB35" s="7">
        <f t="shared" si="21"/>
        <v>1.1341568545527909E-2</v>
      </c>
      <c r="CC35" s="5">
        <f t="shared" si="22"/>
        <v>4.5134208414441636E-2</v>
      </c>
      <c r="CJ35" s="3">
        <f t="shared" si="23"/>
        <v>1982</v>
      </c>
      <c r="CK35" s="3">
        <v>1732</v>
      </c>
      <c r="CL35" s="4">
        <f>Estijan!C35 + Ikzen!C35 + Urbiqu!C35 + Danocia!C35 + Koruch!C35 + 'New Kizura'!C35 + Lydroa!C35 + Fermori!C35 + Uularin!C35 + 'Niul Spijan'!C35</f>
        <v>229414105.07742226</v>
      </c>
      <c r="CM35" s="7">
        <f t="shared" si="24"/>
        <v>1.075939725751539E-2</v>
      </c>
      <c r="CN35" s="5">
        <f t="shared" si="25"/>
        <v>5.0565535649499803E-2</v>
      </c>
      <c r="CU35" s="3">
        <f t="shared" si="26"/>
        <v>1982</v>
      </c>
      <c r="CV35" s="3">
        <v>1732</v>
      </c>
      <c r="CW35" s="4">
        <f>Praesyu!C35 + Lycroa!C35 + Emara!C35 + Eldjo!C35 + Easuhura!C35 + Ilicuhe!C35 + Tonder!C35</f>
        <v>217436444.70994151</v>
      </c>
      <c r="CX35" s="7">
        <f t="shared" si="27"/>
        <v>2.2629101884174651E-3</v>
      </c>
      <c r="CY35" s="5">
        <f t="shared" si="28"/>
        <v>4.7925520066739308E-2</v>
      </c>
      <c r="DF35" s="3">
        <f t="shared" si="29"/>
        <v>1982</v>
      </c>
      <c r="DG35" s="3">
        <v>1732</v>
      </c>
      <c r="DH35" s="4">
        <f>Verusa!C35 + Darewa!C35 + Siana!C35 + Yaxuto!C35 + 'Merela Sta'!C35 + Palina!C35</f>
        <v>155651560.66825914</v>
      </c>
      <c r="DI35" s="7">
        <f t="shared" si="30"/>
        <v>5.5435581173416985E-3</v>
      </c>
      <c r="DJ35" s="5">
        <f t="shared" si="31"/>
        <v>3.4307413387746941E-2</v>
      </c>
      <c r="DQ35" s="3">
        <f t="shared" si="32"/>
        <v>1982</v>
      </c>
      <c r="DR35" s="3">
        <v>1732</v>
      </c>
      <c r="DS35" s="4">
        <f>Sunsokua!C35 + Vayvele!C35 + Selaja!C35 + Sadain!C35</f>
        <v>121682750.88402764</v>
      </c>
      <c r="DT35" s="7">
        <f t="shared" si="33"/>
        <v>2.5576292999843677E-2</v>
      </c>
      <c r="DU35" s="5">
        <f t="shared" si="34"/>
        <v>2.6820292831075124E-2</v>
      </c>
      <c r="EB35" s="3">
        <f t="shared" si="35"/>
        <v>1982</v>
      </c>
      <c r="EC35" s="3">
        <v>1732</v>
      </c>
      <c r="ED35" s="4">
        <f>Pelugrotoa!C35 + Lieri!C35 + 'Rtesania'!C35 + Ozinia!C35</f>
        <v>303301617.9700945</v>
      </c>
      <c r="EE35" s="7">
        <f t="shared" si="36"/>
        <v>1.6856038863718649E-2</v>
      </c>
      <c r="EF35" s="5">
        <f t="shared" si="37"/>
        <v>6.6851202417750263E-2</v>
      </c>
      <c r="EM35" s="3">
        <f t="shared" si="38"/>
        <v>1982</v>
      </c>
      <c r="EN35" s="3">
        <v>1732</v>
      </c>
      <c r="EO35" s="4">
        <f>Ocaun!C35 + 'Dual Cenryia'!C35 + Byllu!C35 + Exilium!C35 + Inrea!C35 + Amcha!C35 + Isnti!C35 + Galca!C35 + Otiiric!C35 + Taing!C35 + 'Cruthi Anoso'!C35</f>
        <v>148702642.00323281</v>
      </c>
      <c r="EP35" s="7">
        <f t="shared" si="39"/>
        <v>2.9156510835223588E-2</v>
      </c>
      <c r="EQ35" s="5">
        <f t="shared" si="40"/>
        <v>3.2775790934265789E-2</v>
      </c>
      <c r="EX35" s="3">
        <f t="shared" si="41"/>
        <v>1982</v>
      </c>
      <c r="EY35" s="3">
        <v>1732</v>
      </c>
      <c r="EZ35" s="4">
        <f>Sivoso!C35 + Taoisia!C35 + Seytinemas!C35 + Trian!C35 + 'Chaenia'!C35</f>
        <v>91780468.659450769</v>
      </c>
      <c r="FA35" s="7">
        <f t="shared" si="42"/>
        <v>2.4473119314008491E-2</v>
      </c>
      <c r="FB35" s="5">
        <f t="shared" si="43"/>
        <v>2.0229482221073743E-2</v>
      </c>
      <c r="FI35" s="3">
        <f t="shared" si="44"/>
        <v>1982</v>
      </c>
      <c r="FJ35" s="3">
        <v>1732</v>
      </c>
      <c r="FK35" s="4">
        <f>Migoku!C35 + 'Welenu Fana'!C35 + Haiza!C35 + Ucrua!C35 + Ihner!C35 + Oscairia!C35 + Shinam!C35 + 'Ruylku'!C35 + Taval!C35 + 'Western Migoku'!C35 + 'Pruim Fijan'!C35 + 'Canldives'!C35</f>
        <v>100592969.30969948</v>
      </c>
      <c r="FL35" s="7">
        <f t="shared" si="45"/>
        <v>2.1951590404501158E-2</v>
      </c>
      <c r="FM35" s="5">
        <f t="shared" si="46"/>
        <v>2.2171859807844217E-2</v>
      </c>
      <c r="FT35" s="3">
        <f t="shared" si="47"/>
        <v>1982</v>
      </c>
      <c r="FU35" s="3">
        <v>1732</v>
      </c>
      <c r="FV35" s="4">
        <f>Vesozata!C35 + Etretes!C35 + Kusierna!C35 + Eparia!C35</f>
        <v>70462069.669857085</v>
      </c>
      <c r="FW35" s="7">
        <f t="shared" si="48"/>
        <v>2.5141415467858065E-2</v>
      </c>
      <c r="FX35" s="5">
        <f t="shared" si="49"/>
        <v>1.5530659261889231E-2</v>
      </c>
      <c r="GE35" s="3">
        <f t="shared" si="50"/>
        <v>1982</v>
      </c>
      <c r="GF35" s="3">
        <v>1732</v>
      </c>
      <c r="GG35" s="4">
        <f>Dahe!C35 + Kaastini!C35 + Suenan!C35 + Oyreain!C35 + Sanagara!C35 + 'North Ayre'!C35 + Stinebar!C35 + 'Cloja'!C35 + 'Pha Hii'!C35 + 'Prystr Hii'!C35</f>
        <v>847017568.69020486</v>
      </c>
      <c r="GH35" s="7">
        <f t="shared" si="51"/>
        <v>1.2307410121050889E-2</v>
      </c>
      <c r="GI35" s="5">
        <f t="shared" si="52"/>
        <v>0.18669251853935942</v>
      </c>
      <c r="GP35" s="3">
        <f t="shared" si="53"/>
        <v>1982</v>
      </c>
      <c r="GQ35" s="3">
        <v>1732</v>
      </c>
      <c r="GR35" s="4">
        <f>Maalle!C35 + 'United Delet'!C35 + Ohtina!C35 + Astye!C35 + Prstreula!C35 + Veelmit!C35 + Aplasia!C35 + 'Elja and Munusia'!C35 + Walporein!C35 + 'Crila Republic'!C35 + 'Niretui and Anulan'!C35 + 'Rethern'!C35 + Tvecoca!C35</f>
        <v>114236336.00407489</v>
      </c>
      <c r="GS35" s="7">
        <f t="shared" si="54"/>
        <v>2.1883327128720185E-2</v>
      </c>
      <c r="GT35" s="5">
        <f t="shared" si="55"/>
        <v>2.5179016428535945E-2</v>
      </c>
      <c r="HA35" s="3">
        <f t="shared" si="56"/>
        <v>1982</v>
      </c>
      <c r="HB35" s="3">
        <v>1732</v>
      </c>
      <c r="HC35" s="4">
        <f>Andsaudare!C35 + Nia!C35 + Umarcia!C35 + Mendereide!C35 + Iainoa!C35 + Isari!C35 + 'Rkmepuia'!C35 + Hiwush!C35 + Isuibul!C35 + Yutnitu!C35</f>
        <v>41271708.163563542</v>
      </c>
      <c r="HD35" s="7">
        <f t="shared" si="57"/>
        <v>2.5660175559398805E-2</v>
      </c>
      <c r="HE35" s="5">
        <f t="shared" si="58"/>
        <v>9.0967642541252298E-3</v>
      </c>
      <c r="HL35" s="3">
        <f t="shared" si="59"/>
        <v>1982</v>
      </c>
      <c r="HM35" s="3">
        <v>1732</v>
      </c>
      <c r="HN35" s="4">
        <f>Zhanshe!C35 + Volver!C35 + Finae!C35 + Myla!C35 + 'Nheyes Si'!C35 + Onphello!C35 + Hyelen!C35</f>
        <v>74668519.356908888</v>
      </c>
      <c r="HO35" s="7">
        <f t="shared" si="60"/>
        <v>2.0040357431269657E-2</v>
      </c>
      <c r="HP35" s="5">
        <f t="shared" si="61"/>
        <v>1.6457809672003131E-2</v>
      </c>
      <c r="HW35" s="3">
        <f t="shared" si="62"/>
        <v>1982</v>
      </c>
      <c r="HX35" s="3">
        <v>1732</v>
      </c>
      <c r="HY35" s="4">
        <f>Yihnurda!C35 + Ztesh!C35 + Wundry!C35 + Anymna!C35 + Shomjind!C35 + Baluyde!C35 + Letan!C35</f>
        <v>297203555.78651595</v>
      </c>
      <c r="HZ35" s="7">
        <f t="shared" si="63"/>
        <v>2.4473333113716675E-2</v>
      </c>
      <c r="IA35" s="5">
        <f t="shared" si="64"/>
        <v>6.5507118623806787E-2</v>
      </c>
      <c r="IH35" s="3">
        <f t="shared" si="65"/>
        <v>1982</v>
      </c>
      <c r="II35" s="3">
        <v>1732</v>
      </c>
      <c r="IJ35" s="4">
        <f>Iareva!C35 + 'United Mihili'!C35 + 'Mesjan Hyaa'!C35 + Desaki!C35 + 'Far Lands'!C35</f>
        <v>36000342.040352859</v>
      </c>
      <c r="IK35" s="7">
        <f t="shared" si="66"/>
        <v>3.2563028726287822E-2</v>
      </c>
      <c r="IL35" s="5">
        <f t="shared" si="67"/>
        <v>7.9348938820536404E-3</v>
      </c>
      <c r="IS35" s="3">
        <f t="shared" si="68"/>
        <v>1982</v>
      </c>
      <c r="IT35" s="3">
        <v>1732</v>
      </c>
      <c r="IU35" s="4">
        <f>Verste!C35 + Quidic!C35 + Erkizil!C35 + Ashain!C35 + Ahokini!C35</f>
        <v>231614501.44138816</v>
      </c>
      <c r="IV35" s="7">
        <f t="shared" si="69"/>
        <v>2.1517274558362602E-2</v>
      </c>
      <c r="IW35" s="5">
        <f t="shared" si="70"/>
        <v>5.1050528587260099E-2</v>
      </c>
    </row>
    <row r="36" spans="1:257" ht="22.5" customHeight="1">
      <c r="A36" s="3">
        <f t="shared" si="0"/>
        <v>1981</v>
      </c>
      <c r="B36" s="3">
        <v>1731</v>
      </c>
      <c r="C36" s="4">
        <f>Acetoa!C36 + Acrana!C36 + Aetintio!C36 + Ahokini!C36 + Amcha!C36 + Andsaudare!C36 + Anymna!C36 + Aplasia!C36 + Arbiya!C36 + 'Areoix Lie'!C36 + Ashain!C36 + Astye!C36 + Baluyde!C36 + Byllu!C36 + 'Candenat'!C36 + 'Canldives'!C36 + 'Chaenia'!C36 + 'Cloja'!C36 + 'Crila Republic'!C36 + 'Cruthi Anoso'!C36 + 'Curata'!C36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'Raledria'!C36 + 'Reerica'!C36 + 'Rethern'!C36 + 'Rijan bu'!C36 + 'Rinew'!C36 + 'Rkmepuia'!C36 + 'Rtesania'!C36 + 'Ruylku'!C36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4461584573.6750784</v>
      </c>
      <c r="D36" s="5">
        <f t="shared" si="1"/>
        <v>1.7020076783448513E-2</v>
      </c>
      <c r="K36" s="3">
        <f t="shared" si="2"/>
        <v>1981</v>
      </c>
      <c r="L36" s="3">
        <v>1731</v>
      </c>
      <c r="M36" s="4">
        <f>Eldavpir!C36 + Iquir!C36 + Viussi!C36 + Umendel!C36 + 'Reerica'!C36 + Saa!C36 + Sattle!C36</f>
        <v>43335275.674903706</v>
      </c>
      <c r="N36" s="5">
        <f t="shared" si="3"/>
        <v>3.2515325862125827E-2</v>
      </c>
      <c r="O36" s="5">
        <f t="shared" si="4"/>
        <v>9.7129786422960815E-3</v>
      </c>
      <c r="V36" s="3">
        <f t="shared" si="5"/>
        <v>1981</v>
      </c>
      <c r="W36" s="3">
        <v>1731</v>
      </c>
      <c r="X36" s="4">
        <f>'Areoix Lie'!C36 + Jau!C36 + Terressin!C36 + Acetoa!C36 + 'Feio Lie'!C36</f>
        <v>504850862.54584736</v>
      </c>
      <c r="Y36" s="5">
        <f t="shared" si="6"/>
        <v>1.5182974800558644E-2</v>
      </c>
      <c r="Z36" s="5">
        <f t="shared" si="7"/>
        <v>0.11315505830028313</v>
      </c>
      <c r="AG36" s="3">
        <f t="shared" si="8"/>
        <v>1981</v>
      </c>
      <c r="AH36" s="3">
        <v>1731</v>
      </c>
      <c r="AI36" s="4">
        <f>Taniduna!C36 + Jathua!C36 + Deschon!C36 + Pelines!C36 + 'Candenat'!C36 + Othya!C36 + Yoprioq!C36 + Jshain!C36 + 'Fire Coast'!C36 + 'Rijan bu'!C36 + 'Rinew'!C36 + Enina!C36 + Trevilla!C36</f>
        <v>104772182.76356839</v>
      </c>
      <c r="AJ36" s="5">
        <f t="shared" si="9"/>
        <v>3.0022705286009841E-2</v>
      </c>
      <c r="AK36" s="5">
        <f t="shared" si="10"/>
        <v>2.3483177564706761E-2</v>
      </c>
      <c r="AR36" s="3">
        <f t="shared" si="11"/>
        <v>1981</v>
      </c>
      <c r="AS36" s="3">
        <v>1731</v>
      </c>
      <c r="AT36" s="4">
        <f>Gaeiya!C36 + 'Raledria'!C36 + Arbiya!C36 + Fincen!C36 + 'Curata'!C36</f>
        <v>209056721.92491287</v>
      </c>
      <c r="AU36" s="5">
        <f t="shared" si="12"/>
        <v>1.4679109995721173E-2</v>
      </c>
      <c r="AV36" s="5">
        <f t="shared" si="13"/>
        <v>4.6857056830979113E-2</v>
      </c>
      <c r="BC36" s="3">
        <f t="shared" si="14"/>
        <v>1981</v>
      </c>
      <c r="BD36" s="3">
        <v>1731</v>
      </c>
      <c r="BE36" s="4">
        <f>Etirha!C36 + Laselteh!C36 + Grazail!C36 + 'Disal Nila'!C36 + Pelan!C36 + Peka!C36 + Guise!C36</f>
        <v>80141147.990712538</v>
      </c>
      <c r="BF36" s="5">
        <f t="shared" si="15"/>
        <v>1.4281536618793661E-2</v>
      </c>
      <c r="BG36" s="5">
        <f t="shared" si="16"/>
        <v>1.7962485450477295E-2</v>
      </c>
      <c r="BN36" s="3">
        <f t="shared" si="17"/>
        <v>1981</v>
      </c>
      <c r="BO36" s="3">
        <v>1731</v>
      </c>
      <c r="BP36" s="4">
        <f>Genaire!C36 + 'New Misos'!C36 + Phuris!C36 + Lasri!C36 + Slyiaduun!C36 + Aetintio!C36 + Metndria!C36 + Tomscilus!C36</f>
        <v>65824409.372584149</v>
      </c>
      <c r="BQ36" s="5">
        <f t="shared" si="18"/>
        <v>1.9246818326466578E-2</v>
      </c>
      <c r="BR36" s="5">
        <f t="shared" si="19"/>
        <v>1.4753594442873809E-2</v>
      </c>
      <c r="BY36" s="3">
        <f t="shared" si="20"/>
        <v>1981</v>
      </c>
      <c r="BZ36" s="3">
        <v>1731</v>
      </c>
      <c r="CA36" s="4">
        <f>Ealdorii!C36 + Ukhdari!C36 + Hkuqo!C36 + Acrana!C36 + Zenashan!C36</f>
        <v>202475964.22468269</v>
      </c>
      <c r="CB36" s="6">
        <f t="shared" si="21"/>
        <v>1.3070095764552408E-2</v>
      </c>
      <c r="CC36" s="5">
        <f t="shared" si="22"/>
        <v>4.5382074660057378E-2</v>
      </c>
      <c r="CJ36" s="3">
        <f t="shared" si="23"/>
        <v>1981</v>
      </c>
      <c r="CK36" s="3">
        <v>1731</v>
      </c>
      <c r="CL36" s="4">
        <f>Estijan!C36 + Ikzen!C36 + Urbiqu!C36 + Danocia!C36 + Koruch!C36 + 'New Kizura'!C36 + Lydroa!C36 + Fermori!C36 + Uularin!C36 + 'Niul Spijan'!C36</f>
        <v>226972022.91652152</v>
      </c>
      <c r="CM36" s="6">
        <f t="shared" si="24"/>
        <v>1.0196161683878994E-2</v>
      </c>
      <c r="CN36" s="5">
        <f t="shared" si="25"/>
        <v>5.0872513827427246E-2</v>
      </c>
      <c r="CU36" s="3">
        <f t="shared" si="26"/>
        <v>1981</v>
      </c>
      <c r="CV36" s="3">
        <v>1731</v>
      </c>
      <c r="CW36" s="4">
        <f>Praesyu!C36 + Lycroa!C36 + Emara!C36 + Eldjo!C36 + Easuhura!C36 + Ilicuhe!C36 + Tonder!C36</f>
        <v>216945516.49034402</v>
      </c>
      <c r="CX36" s="6">
        <f t="shared" si="27"/>
        <v>3.4843350597072221E-3</v>
      </c>
      <c r="CY36" s="5">
        <f t="shared" si="28"/>
        <v>4.8625216648452443E-2</v>
      </c>
      <c r="DF36" s="3">
        <f t="shared" si="29"/>
        <v>1981</v>
      </c>
      <c r="DG36" s="3">
        <v>1731</v>
      </c>
      <c r="DH36" s="4">
        <f>Verusa!C36 + Darewa!C36 + Siana!C36 + Yaxuto!C36 + 'Merela Sta'!C36 + Palina!C36</f>
        <v>154793454.15894496</v>
      </c>
      <c r="DI36" s="6">
        <f t="shared" si="30"/>
        <v>6.0291351961758053E-3</v>
      </c>
      <c r="DJ36" s="5">
        <f t="shared" si="31"/>
        <v>3.4694725966258916E-2</v>
      </c>
      <c r="DQ36" s="3">
        <f t="shared" si="32"/>
        <v>1981</v>
      </c>
      <c r="DR36" s="3">
        <v>1731</v>
      </c>
      <c r="DS36" s="4">
        <f>Sunsokua!C36 + Vayvele!C36 + Selaja!C36 + Sadain!C36</f>
        <v>118648170.51113933</v>
      </c>
      <c r="DT36" s="6">
        <f t="shared" si="33"/>
        <v>2.5418392479711879E-2</v>
      </c>
      <c r="DU36" s="5">
        <f t="shared" si="34"/>
        <v>2.6593280605102805E-2</v>
      </c>
      <c r="EB36" s="3">
        <f t="shared" si="35"/>
        <v>1981</v>
      </c>
      <c r="EC36" s="3">
        <v>1731</v>
      </c>
      <c r="ED36" s="4">
        <f>Pelugrotoa!C36 + Lieri!C36 + 'Rtesania'!C36 + Ozinia!C36</f>
        <v>298273901.49447072</v>
      </c>
      <c r="EE36" s="6">
        <f t="shared" si="36"/>
        <v>1.7640979643282911E-2</v>
      </c>
      <c r="EF36" s="5">
        <f t="shared" si="37"/>
        <v>6.6853804196471328E-2</v>
      </c>
      <c r="EM36" s="3">
        <f t="shared" si="38"/>
        <v>1981</v>
      </c>
      <c r="EN36" s="3">
        <v>1731</v>
      </c>
      <c r="EO36" s="4">
        <f>Ocaun!C36 + 'Dual Cenryia'!C36 + Byllu!C36 + Exilium!C36 + Inrea!C36 + Amcha!C36 + Isnti!C36 + Galca!C36 + Otiiric!C36 + Taing!C36 + 'Cruthi Anoso'!C36</f>
        <v>144489822.9158085</v>
      </c>
      <c r="EP36" s="6">
        <f t="shared" si="39"/>
        <v>2.7951977480859768E-2</v>
      </c>
      <c r="EQ36" s="5">
        <f t="shared" si="40"/>
        <v>3.2385315246145817E-2</v>
      </c>
      <c r="EX36" s="3">
        <f t="shared" si="41"/>
        <v>1981</v>
      </c>
      <c r="EY36" s="3">
        <v>1731</v>
      </c>
      <c r="EZ36" s="4">
        <f>Sivoso!C36 + Taoisia!C36 + Seytinemas!C36 + Trian!C36 + 'Chaenia'!C36</f>
        <v>89587971.542784214</v>
      </c>
      <c r="FA36" s="6">
        <f t="shared" si="42"/>
        <v>2.4117926339223605E-2</v>
      </c>
      <c r="FB36" s="5">
        <f t="shared" si="43"/>
        <v>2.0079855052257626E-2</v>
      </c>
      <c r="FI36" s="3">
        <f t="shared" si="44"/>
        <v>1981</v>
      </c>
      <c r="FJ36" s="3">
        <v>1731</v>
      </c>
      <c r="FK36" s="4">
        <f>Migoku!C36 + 'Welenu Fana'!C36 + Haiza!C36 + Ucrua!C36 + Ihner!C36 + Oscairia!C36 + Shinam!C36 + 'Ruylku'!C36 + Taval!C36 + 'Western Migoku'!C36 + 'Pruim Fijan'!C36 + 'Canldives'!C36</f>
        <v>98432225.414790466</v>
      </c>
      <c r="FL36" s="6">
        <f t="shared" si="45"/>
        <v>2.1678177730144788E-2</v>
      </c>
      <c r="FM36" s="5">
        <f t="shared" si="46"/>
        <v>2.2062167328526124E-2</v>
      </c>
      <c r="FT36" s="3">
        <f t="shared" si="47"/>
        <v>1981</v>
      </c>
      <c r="FU36" s="3">
        <v>1731</v>
      </c>
      <c r="FV36" s="4">
        <f>Vesozata!C36 + Etretes!C36 + Kusierna!C36 + Eparia!C36</f>
        <v>68733999.628431097</v>
      </c>
      <c r="FW36" s="6">
        <f t="shared" si="48"/>
        <v>2.5483084505277732E-2</v>
      </c>
      <c r="FX36" s="5">
        <f t="shared" si="49"/>
        <v>1.540573724276929E-2</v>
      </c>
      <c r="GE36" s="3">
        <f t="shared" si="50"/>
        <v>1981</v>
      </c>
      <c r="GF36" s="3">
        <v>1731</v>
      </c>
      <c r="GG36" s="4">
        <f>Dahe!C36 + Kaastini!C36 + Suenan!C36 + Oyreain!C36 + Sanagara!C36 + 'North Ayre'!C36 + Stinebar!C36 + 'Cloja'!C36 + 'Pha Hii'!C36 + 'Prystr Hii'!C36</f>
        <v>836719715.98915708</v>
      </c>
      <c r="GH36" s="6">
        <f t="shared" si="51"/>
        <v>1.2492933770392388E-2</v>
      </c>
      <c r="GI36" s="5">
        <f t="shared" si="52"/>
        <v>0.18753868769542067</v>
      </c>
      <c r="GP36" s="3">
        <f t="shared" si="53"/>
        <v>1981</v>
      </c>
      <c r="GQ36" s="3">
        <v>1731</v>
      </c>
      <c r="GR36" s="4">
        <f>Maalle!C36 + 'United Delet'!C36 + Ohtina!C36 + Astye!C36 + Prstreula!C36 + Veelmit!C36 + Aplasia!C36 + 'Elja and Munusia'!C36 + Walporein!C36 + 'Crila Republic'!C36 + 'Niretui and Anulan'!C36 + 'Rethern'!C36 + Tvecoca!C36</f>
        <v>111789998.88867475</v>
      </c>
      <c r="GS36" s="6">
        <f t="shared" si="54"/>
        <v>2.1800938364350951E-2</v>
      </c>
      <c r="GT36" s="5">
        <f t="shared" si="55"/>
        <v>2.5056120094254213E-2</v>
      </c>
      <c r="HA36" s="3">
        <f t="shared" si="56"/>
        <v>1981</v>
      </c>
      <c r="HB36" s="3">
        <v>1731</v>
      </c>
      <c r="HC36" s="4">
        <f>Andsaudare!C36 + Nia!C36 + Umarcia!C36 + Mendereide!C36 + Iainoa!C36 + Isari!C36 + 'Rkmepuia'!C36 + Hiwush!C36 + Isuibul!C36 + Yutnitu!C36</f>
        <v>40239164.147183351</v>
      </c>
      <c r="HD36" s="6">
        <f t="shared" si="57"/>
        <v>2.6053746235977848E-2</v>
      </c>
      <c r="HE36" s="5">
        <f t="shared" si="58"/>
        <v>9.0190297825146256E-3</v>
      </c>
      <c r="HL36" s="3">
        <f t="shared" si="59"/>
        <v>1981</v>
      </c>
      <c r="HM36" s="3">
        <v>1731</v>
      </c>
      <c r="HN36" s="4">
        <f>Zhanshe!C36 + Volver!C36 + Finae!C36 + Myla!C36 + 'Nheyes Si'!C36 + Onphello!C36 + Hyelen!C36</f>
        <v>73201534.442170396</v>
      </c>
      <c r="HO36" s="6">
        <f t="shared" si="60"/>
        <v>2.0544197448527434E-2</v>
      </c>
      <c r="HP36" s="5">
        <f t="shared" si="61"/>
        <v>1.640707090348242E-2</v>
      </c>
      <c r="HW36" s="3">
        <f t="shared" si="62"/>
        <v>1981</v>
      </c>
      <c r="HX36" s="3">
        <v>1731</v>
      </c>
      <c r="HY36" s="4">
        <f>Yihnurda!C36 + Ztesh!C36 + Wundry!C36 + Anymna!C36 + Shomjind!C36 + Baluyde!C36 + Letan!C36</f>
        <v>290103750.07343048</v>
      </c>
      <c r="HZ36" s="6">
        <f t="shared" si="63"/>
        <v>2.4052367359120197E-2</v>
      </c>
      <c r="IA36" s="5">
        <f t="shared" si="64"/>
        <v>6.5022582287276337E-2</v>
      </c>
      <c r="IH36" s="3">
        <f t="shared" si="65"/>
        <v>1981</v>
      </c>
      <c r="II36" s="3">
        <v>1731</v>
      </c>
      <c r="IJ36" s="4">
        <f>Iareva!C36 + 'United Mihili'!C36 + 'Mesjan Hyaa'!C36 + Desaki!C36 + 'Far Lands'!C36</f>
        <v>34865031.033273458</v>
      </c>
      <c r="IK36" s="6">
        <f t="shared" si="66"/>
        <v>3.4717241334208351E-2</v>
      </c>
      <c r="IL36" s="5">
        <f t="shared" si="67"/>
        <v>7.8144951547011871E-3</v>
      </c>
      <c r="IS36" s="3">
        <f t="shared" si="68"/>
        <v>1981</v>
      </c>
      <c r="IT36" s="3">
        <v>1731</v>
      </c>
      <c r="IU36" s="4">
        <f>Verste!C36 + Quidic!C36 + Erkizil!C36 + Ashain!C36 + Ahokini!C36</f>
        <v>226735765.71822846</v>
      </c>
      <c r="IV36" s="6">
        <f t="shared" si="69"/>
        <v>2.0863397860924789E-2</v>
      </c>
      <c r="IW36" s="5">
        <f t="shared" si="70"/>
        <v>5.0819560175111189E-2</v>
      </c>
    </row>
    <row r="37" spans="1:257" ht="22.5" customHeight="1">
      <c r="A37" s="3">
        <f t="shared" si="0"/>
        <v>1980</v>
      </c>
      <c r="B37" s="3">
        <v>1730</v>
      </c>
      <c r="C37" s="4">
        <f>Acetoa!C37 + Acrana!C37 + Aetintio!C37 + Ahokini!C37 + Amcha!C37 + Andsaudare!C37 + Anymna!C37 + Aplasia!C37 + Arbiya!C37 + 'Areoix Lie'!C37 + Ashain!C37 + Astye!C37 + Baluyde!C37 + Byllu!C37 + 'Candenat'!C37 + 'Canldives'!C37 + 'Chaenia'!C37 + 'Cloja'!C37 + 'Crila Republic'!C37 + 'Cruthi Anoso'!C37 + 'Curata'!C37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'Raledria'!C37 + 'Reerica'!C37 + 'Rethern'!C37 + 'Rijan bu'!C37 + 'Rinew'!C37 + 'Rkmepuia'!C37 + 'Rtesania'!C37 + 'Ruylku'!C37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4386918877.5366449</v>
      </c>
      <c r="D37" s="5">
        <f t="shared" si="1"/>
        <v>1.7079054080866567E-2</v>
      </c>
      <c r="K37" s="3">
        <f t="shared" si="2"/>
        <v>1980</v>
      </c>
      <c r="L37" s="3">
        <v>1730</v>
      </c>
      <c r="M37" s="4">
        <f>Eldavpir!C37 + Iquir!C37 + Viussi!C37 + Umendel!C37 + 'Reerica'!C37 + Saa!C37 + Sattle!C37</f>
        <v>41970588.319083571</v>
      </c>
      <c r="N37" s="5">
        <f t="shared" si="3"/>
        <v>3.2354933933794801E-2</v>
      </c>
      <c r="O37" s="5">
        <f t="shared" si="4"/>
        <v>9.5672132288552852E-3</v>
      </c>
      <c r="V37" s="3">
        <f t="shared" si="5"/>
        <v>1980</v>
      </c>
      <c r="W37" s="3">
        <v>1730</v>
      </c>
      <c r="X37" s="4">
        <f>'Areoix Lie'!C37 + Jau!C37 + Terressin!C37 + Acetoa!C37 + 'Feio Lie'!C37</f>
        <v>497300363.65614742</v>
      </c>
      <c r="Y37" s="5">
        <f t="shared" si="6"/>
        <v>1.5610744536659778E-2</v>
      </c>
      <c r="Z37" s="5">
        <f t="shared" si="7"/>
        <v>0.11335982668897514</v>
      </c>
      <c r="AG37" s="3">
        <f t="shared" si="8"/>
        <v>1980</v>
      </c>
      <c r="AH37" s="3">
        <v>1730</v>
      </c>
      <c r="AI37" s="4">
        <f>Taniduna!C37 + Jathua!C37 + Deschon!C37 + Pelines!C37 + 'Candenat'!C37 + Othya!C37 + Yoprioq!C37 + Jshain!C37 + 'Fire Coast'!C37 + 'Rijan bu'!C37 + 'Rinew'!C37 + Enina!C37 + Trevilla!C37</f>
        <v>101718323.51450539</v>
      </c>
      <c r="AJ37" s="5">
        <f t="shared" si="9"/>
        <v>3.0536344773871616E-2</v>
      </c>
      <c r="AK37" s="5">
        <f t="shared" si="10"/>
        <v>2.3186734551978436E-2</v>
      </c>
      <c r="AR37" s="3">
        <f t="shared" si="11"/>
        <v>1980</v>
      </c>
      <c r="AS37" s="3">
        <v>1730</v>
      </c>
      <c r="AT37" s="4">
        <f>Gaeiya!C37 + 'Raledria'!C37 + Arbiya!C37 + Fincen!C37 + 'Curata'!C37</f>
        <v>206032350.39084864</v>
      </c>
      <c r="AU37" s="5">
        <f t="shared" si="12"/>
        <v>1.1666585027092303E-2</v>
      </c>
      <c r="AV37" s="5">
        <f t="shared" si="13"/>
        <v>4.6965160775104306E-2</v>
      </c>
      <c r="BC37" s="3">
        <f t="shared" si="14"/>
        <v>1980</v>
      </c>
      <c r="BD37" s="3">
        <v>1730</v>
      </c>
      <c r="BE37" s="4">
        <f>Etirha!C37 + Laselteh!C37 + Grazail!C37 + 'Disal Nila'!C37 + Pelan!C37 + Peka!C37 + Guise!C37</f>
        <v>79012724.867171362</v>
      </c>
      <c r="BF37" s="5">
        <f t="shared" si="15"/>
        <v>1.5513218562842419E-2</v>
      </c>
      <c r="BG37" s="5">
        <f t="shared" si="16"/>
        <v>1.8010983807281802E-2</v>
      </c>
      <c r="BN37" s="3">
        <f t="shared" si="17"/>
        <v>1980</v>
      </c>
      <c r="BO37" s="3">
        <v>1730</v>
      </c>
      <c r="BP37" s="4">
        <f>Genaire!C37 + 'New Misos'!C37 + Phuris!C37 + Lasri!C37 + Slyiaduun!C37 + Aetintio!C37 + Metndria!C37 + Tomscilus!C37</f>
        <v>64581422.467095181</v>
      </c>
      <c r="BQ37" s="5">
        <f t="shared" si="18"/>
        <v>1.9615122614863617E-2</v>
      </c>
      <c r="BR37" s="5">
        <f t="shared" si="19"/>
        <v>1.4721362366144122E-2</v>
      </c>
      <c r="BY37" s="3">
        <f t="shared" si="20"/>
        <v>1980</v>
      </c>
      <c r="BZ37" s="3">
        <v>1730</v>
      </c>
      <c r="CA37" s="4">
        <f>Ealdorii!C37 + Ukhdari!C37 + Hkuqo!C37 + Acrana!C37 + Zenashan!C37</f>
        <v>199863726.18360272</v>
      </c>
      <c r="CB37" s="7">
        <f t="shared" si="21"/>
        <v>1.2969679441827833E-2</v>
      </c>
      <c r="CC37" s="5">
        <f t="shared" si="22"/>
        <v>4.5559020297140929E-2</v>
      </c>
      <c r="CJ37" s="3">
        <f t="shared" si="23"/>
        <v>1980</v>
      </c>
      <c r="CK37" s="3">
        <v>1730</v>
      </c>
      <c r="CL37" s="4">
        <f>Estijan!C37 + Ikzen!C37 + Urbiqu!C37 + Danocia!C37 + Koruch!C37 + 'New Kizura'!C37 + Lydroa!C37 + Fermori!C37 + Uularin!C37 + 'Niul Spijan'!C37</f>
        <v>224681137.70912144</v>
      </c>
      <c r="CM37" s="7">
        <f t="shared" si="24"/>
        <v>9.758937737260772E-3</v>
      </c>
      <c r="CN37" s="5">
        <f t="shared" si="25"/>
        <v>5.1216159674072892E-2</v>
      </c>
      <c r="CU37" s="3">
        <f t="shared" si="26"/>
        <v>1980</v>
      </c>
      <c r="CV37" s="3">
        <v>1730</v>
      </c>
      <c r="CW37" s="4">
        <f>Praesyu!C37 + Lycroa!C37 + Emara!C37 + Eldjo!C37 + Easuhura!C37 + Ilicuhe!C37 + Tonder!C37</f>
        <v>216192230.3225947</v>
      </c>
      <c r="CX37" s="7">
        <f t="shared" si="27"/>
        <v>4.4040250008296486E-3</v>
      </c>
      <c r="CY37" s="5">
        <f t="shared" si="28"/>
        <v>4.9281109671212242E-2</v>
      </c>
      <c r="DF37" s="3">
        <f t="shared" si="29"/>
        <v>1980</v>
      </c>
      <c r="DG37" s="3">
        <v>1730</v>
      </c>
      <c r="DH37" s="4">
        <f>Verusa!C37 + Darewa!C37 + Siana!C37 + Yaxuto!C37 + 'Merela Sta'!C37 + Palina!C37</f>
        <v>153865776.58982036</v>
      </c>
      <c r="DI37" s="7">
        <f t="shared" si="30"/>
        <v>6.5761641827162768E-3</v>
      </c>
      <c r="DJ37" s="5">
        <f t="shared" si="31"/>
        <v>3.507376837481424E-2</v>
      </c>
      <c r="DQ37" s="3">
        <f t="shared" si="32"/>
        <v>1980</v>
      </c>
      <c r="DR37" s="3">
        <v>1730</v>
      </c>
      <c r="DS37" s="4">
        <f>Sunsokua!C37 + Vayvele!C37 + Selaja!C37 + Sadain!C37</f>
        <v>115707082.47607994</v>
      </c>
      <c r="DT37" s="7">
        <f t="shared" si="33"/>
        <v>2.5511251300514289E-2</v>
      </c>
      <c r="DU37" s="5">
        <f t="shared" si="34"/>
        <v>2.6375478030506029E-2</v>
      </c>
      <c r="EB37" s="3">
        <f t="shared" si="35"/>
        <v>1980</v>
      </c>
      <c r="EC37" s="3">
        <v>1730</v>
      </c>
      <c r="ED37" s="4">
        <f>Pelugrotoa!C37 + Lieri!C37 + 'Rtesania'!C37 + Ozinia!C37</f>
        <v>293103272.62864912</v>
      </c>
      <c r="EE37" s="7">
        <f t="shared" si="36"/>
        <v>1.8902206771434074E-2</v>
      </c>
      <c r="EF37" s="5">
        <f t="shared" si="37"/>
        <v>6.6813014056287562E-2</v>
      </c>
      <c r="EM37" s="3">
        <f t="shared" si="38"/>
        <v>1980</v>
      </c>
      <c r="EN37" s="3">
        <v>1730</v>
      </c>
      <c r="EO37" s="4">
        <f>Ocaun!C37 + 'Dual Cenryia'!C37 + Byllu!C37 + Exilium!C37 + Inrea!C37 + Amcha!C37 + Isnti!C37 + Galca!C37 + Otiiric!C37 + Taing!C37 + 'Cruthi Anoso'!C37</f>
        <v>140560868.67978117</v>
      </c>
      <c r="EP37" s="7">
        <f t="shared" si="39"/>
        <v>2.9756138817613638E-2</v>
      </c>
      <c r="EQ37" s="5">
        <f t="shared" si="40"/>
        <v>3.204090903060175E-2</v>
      </c>
      <c r="EX37" s="3">
        <f t="shared" si="41"/>
        <v>1980</v>
      </c>
      <c r="EY37" s="3">
        <v>1730</v>
      </c>
      <c r="EZ37" s="4">
        <f>Sivoso!C37 + Taoisia!C37 + Seytinemas!C37 + Trian!C37 + 'Chaenia'!C37</f>
        <v>87478179.259123281</v>
      </c>
      <c r="FA37" s="7">
        <f t="shared" si="42"/>
        <v>2.3457514918170514E-2</v>
      </c>
      <c r="FB37" s="5">
        <f t="shared" si="43"/>
        <v>1.9940687690182288E-2</v>
      </c>
      <c r="FI37" s="3">
        <f t="shared" si="44"/>
        <v>1980</v>
      </c>
      <c r="FJ37" s="3">
        <v>1730</v>
      </c>
      <c r="FK37" s="4">
        <f>Migoku!C37 + 'Welenu Fana'!C37 + Haiza!C37 + Ucrua!C37 + Ihner!C37 + Oscairia!C37 + Shinam!C37 + 'Ruylku'!C37 + Taval!C37 + 'Western Migoku'!C37 + 'Pruim Fijan'!C37 + 'Canldives'!C37</f>
        <v>96343670.208829015</v>
      </c>
      <c r="FL37" s="7">
        <f t="shared" si="45"/>
        <v>2.1177630168908276E-2</v>
      </c>
      <c r="FM37" s="5">
        <f t="shared" si="46"/>
        <v>2.1961580074379716E-2</v>
      </c>
      <c r="FT37" s="3">
        <f t="shared" si="47"/>
        <v>1980</v>
      </c>
      <c r="FU37" s="3">
        <v>1730</v>
      </c>
      <c r="FV37" s="4">
        <f>Vesozata!C37 + Etretes!C37 + Kusierna!C37 + Eparia!C37</f>
        <v>67025971.14177689</v>
      </c>
      <c r="FW37" s="7">
        <f t="shared" si="48"/>
        <v>2.6240500452682815E-2</v>
      </c>
      <c r="FX37" s="5">
        <f t="shared" si="49"/>
        <v>1.5278598262891404E-2</v>
      </c>
      <c r="GE37" s="3">
        <f t="shared" si="50"/>
        <v>1980</v>
      </c>
      <c r="GF37" s="3">
        <v>1730</v>
      </c>
      <c r="GG37" s="4">
        <f>Dahe!C37 + Kaastini!C37 + Suenan!C37 + Oyreain!C37 + Sanagara!C37 + 'North Ayre'!C37 + Stinebar!C37 + 'Cloja'!C37 + 'Pha Hii'!C37 + 'Prystr Hii'!C37</f>
        <v>826395610.3607769</v>
      </c>
      <c r="GH37" s="7">
        <f t="shared" si="51"/>
        <v>1.2597326364413255E-2</v>
      </c>
      <c r="GI37" s="5">
        <f t="shared" si="52"/>
        <v>0.1883772263472574</v>
      </c>
      <c r="GP37" s="3">
        <f t="shared" si="53"/>
        <v>1980</v>
      </c>
      <c r="GQ37" s="3">
        <v>1730</v>
      </c>
      <c r="GR37" s="4">
        <f>Maalle!C37 + 'United Delet'!C37 + Ohtina!C37 + Astye!C37 + Prstreula!C37 + Veelmit!C37 + Aplasia!C37 + 'Elja and Munusia'!C37 + Walporein!C37 + 'Crila Republic'!C37 + 'Niretui and Anulan'!C37 + 'Rethern'!C37 + Tvecoca!C37</f>
        <v>109404870.05974248</v>
      </c>
      <c r="GS37" s="7">
        <f t="shared" si="54"/>
        <v>2.1624569891400495E-2</v>
      </c>
      <c r="GT37" s="5">
        <f t="shared" si="55"/>
        <v>2.4938886064192693E-2</v>
      </c>
      <c r="HA37" s="3">
        <f t="shared" si="56"/>
        <v>1980</v>
      </c>
      <c r="HB37" s="3">
        <v>1730</v>
      </c>
      <c r="HC37" s="4">
        <f>Andsaudare!C37 + Nia!C37 + Umarcia!C37 + Mendereide!C37 + Iainoa!C37 + Isari!C37 + 'Rkmepuia'!C37 + Hiwush!C37 + Isuibul!C37 + Yutnitu!C37</f>
        <v>39217403.859006926</v>
      </c>
      <c r="HD37" s="7">
        <f t="shared" si="57"/>
        <v>2.6286821791181504E-2</v>
      </c>
      <c r="HE37" s="5">
        <f t="shared" si="58"/>
        <v>8.9396236752452545E-3</v>
      </c>
      <c r="HL37" s="3">
        <f t="shared" si="59"/>
        <v>1980</v>
      </c>
      <c r="HM37" s="3">
        <v>1730</v>
      </c>
      <c r="HN37" s="4">
        <f>Zhanshe!C37 + Volver!C37 + Finae!C37 + Myla!C37 + 'Nheyes Si'!C37 + Onphello!C37 + Hyelen!C37</f>
        <v>71727941.45043622</v>
      </c>
      <c r="HO37" s="7">
        <f t="shared" si="60"/>
        <v>2.1762069226542519E-2</v>
      </c>
      <c r="HP37" s="5">
        <f t="shared" si="61"/>
        <v>1.6350414368891428E-2</v>
      </c>
      <c r="HW37" s="3">
        <f t="shared" si="62"/>
        <v>1980</v>
      </c>
      <c r="HX37" s="3">
        <v>1730</v>
      </c>
      <c r="HY37" s="4">
        <f>Yihnurda!C37 + Ztesh!C37 + Wundry!C37 + Anymna!C37 + Shomjind!C37 + Baluyde!C37 + Letan!C37</f>
        <v>283289955.98297888</v>
      </c>
      <c r="HZ37" s="7">
        <f t="shared" si="63"/>
        <v>2.3757412429843604E-2</v>
      </c>
      <c r="IA37" s="5">
        <f t="shared" si="64"/>
        <v>6.4576064406746597E-2</v>
      </c>
      <c r="IH37" s="3">
        <f t="shared" si="65"/>
        <v>1980</v>
      </c>
      <c r="II37" s="3">
        <v>1730</v>
      </c>
      <c r="IJ37" s="4">
        <f>Iareva!C37 + 'United Mihili'!C37 + 'Mesjan Hyaa'!C37 + Desaki!C37 + 'Far Lands'!C37</f>
        <v>33695225.749130271</v>
      </c>
      <c r="IK37" s="7">
        <f t="shared" si="66"/>
        <v>3.2505717650052154E-2</v>
      </c>
      <c r="IL37" s="5">
        <f t="shared" si="67"/>
        <v>7.6808408565901976E-3</v>
      </c>
      <c r="IS37" s="3">
        <f t="shared" si="68"/>
        <v>1980</v>
      </c>
      <c r="IT37" s="3">
        <v>1730</v>
      </c>
      <c r="IU37" s="4">
        <f>Verste!C37 + Quidic!C37 + Erkizil!C37 + Ashain!C37 + Ahokini!C37</f>
        <v>222101964.07601768</v>
      </c>
      <c r="IV37" s="7">
        <f t="shared" si="69"/>
        <v>2.0275326037581677E-2</v>
      </c>
      <c r="IW37" s="5">
        <f t="shared" si="70"/>
        <v>5.0628235961530474E-2</v>
      </c>
    </row>
    <row r="38" spans="1:257" ht="22.5" customHeight="1">
      <c r="A38" s="3">
        <f t="shared" si="0"/>
        <v>1979</v>
      </c>
      <c r="B38" s="3">
        <v>1729</v>
      </c>
      <c r="C38" s="4">
        <f>Acetoa!C38 + Acrana!C38 + Aetintio!C38 + Ahokini!C38 + Amcha!C38 + Andsaudare!C38 + Anymna!C38 + Aplasia!C38 + Arbiya!C38 + 'Areoix Lie'!C38 + Ashain!C38 + Astye!C38 + Baluyde!C38 + Byllu!C38 + 'Candenat'!C38 + 'Canldives'!C38 + 'Chaenia'!C38 + 'Cloja'!C38 + 'Crila Republic'!C38 + 'Cruthi Anoso'!C38 + 'Curata'!C38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'Raledria'!C38 + 'Reerica'!C38 + 'Rethern'!C38 + 'Rijan bu'!C38 + 'Rinew'!C38 + 'Rkmepuia'!C38 + 'Rtesania'!C38 + 'Ruylku'!C38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4313252603.0644684</v>
      </c>
      <c r="D38" s="5">
        <f t="shared" si="1"/>
        <v>1.7105070257869899E-2</v>
      </c>
      <c r="K38" s="3">
        <f t="shared" si="2"/>
        <v>1979</v>
      </c>
      <c r="L38" s="3">
        <v>1729</v>
      </c>
      <c r="M38" s="4">
        <f>Eldavpir!C38 + Iquir!C38 + Viussi!C38 + Umendel!C38 + 'Reerica'!C38 + Saa!C38 + Sattle!C38</f>
        <v>40655192.259462923</v>
      </c>
      <c r="N38" s="5">
        <f t="shared" si="3"/>
        <v>3.1519344997882781E-2</v>
      </c>
      <c r="O38" s="5">
        <f t="shared" si="4"/>
        <v>9.4256460265226133E-3</v>
      </c>
      <c r="V38" s="3">
        <f t="shared" si="5"/>
        <v>1979</v>
      </c>
      <c r="W38" s="3">
        <v>1729</v>
      </c>
      <c r="X38" s="4">
        <f>'Areoix Lie'!C38 + Jau!C38 + Terressin!C38 + Acetoa!C38 + 'Feio Lie'!C38</f>
        <v>489656461.72148854</v>
      </c>
      <c r="Y38" s="5">
        <f t="shared" si="6"/>
        <v>1.5824025527067801E-2</v>
      </c>
      <c r="Z38" s="5">
        <f t="shared" si="7"/>
        <v>0.11352371557687085</v>
      </c>
      <c r="AG38" s="3">
        <f t="shared" si="8"/>
        <v>1979</v>
      </c>
      <c r="AH38" s="3">
        <v>1729</v>
      </c>
      <c r="AI38" s="4">
        <f>Taniduna!C38 + Jathua!C38 + Deschon!C38 + Pelines!C38 + 'Candenat'!C38 + Othya!C38 + Yoprioq!C38 + Jshain!C38 + 'Fire Coast'!C38 + 'Rijan bu'!C38 + 'Rinew'!C38 + Enina!C38 + Trevilla!C38</f>
        <v>98704256.313080564</v>
      </c>
      <c r="AJ38" s="5">
        <f t="shared" si="9"/>
        <v>3.0624602482604377E-2</v>
      </c>
      <c r="AK38" s="5">
        <f t="shared" si="10"/>
        <v>2.2883949862559271E-2</v>
      </c>
      <c r="AR38" s="3">
        <f t="shared" si="11"/>
        <v>1979</v>
      </c>
      <c r="AS38" s="3">
        <v>1729</v>
      </c>
      <c r="AT38" s="4">
        <f>Gaeiya!C38 + 'Raledria'!C38 + Arbiya!C38 + Fincen!C38 + 'Curata'!C38</f>
        <v>203656375.96435106</v>
      </c>
      <c r="AU38" s="5">
        <f t="shared" si="12"/>
        <v>1.0398613753243505E-2</v>
      </c>
      <c r="AV38" s="5">
        <f t="shared" si="13"/>
        <v>4.7216426837523452E-2</v>
      </c>
      <c r="BC38" s="3">
        <f t="shared" si="14"/>
        <v>1979</v>
      </c>
      <c r="BD38" s="3">
        <v>1729</v>
      </c>
      <c r="BE38" s="4">
        <f>Etirha!C38 + Laselteh!C38 + Grazail!C38 + 'Disal Nila'!C38 + Pelan!C38 + Peka!C38 + Guise!C38</f>
        <v>77805707.914851591</v>
      </c>
      <c r="BF38" s="5">
        <f t="shared" si="15"/>
        <v>1.5481148605385714E-2</v>
      </c>
      <c r="BG38" s="5">
        <f t="shared" si="16"/>
        <v>1.8038755221424407E-2</v>
      </c>
      <c r="BN38" s="3">
        <f t="shared" si="17"/>
        <v>1979</v>
      </c>
      <c r="BO38" s="3">
        <v>1729</v>
      </c>
      <c r="BP38" s="4">
        <f>Genaire!C38 + 'New Misos'!C38 + Phuris!C38 + Lasri!C38 + Slyiaduun!C38 + Aetintio!C38 + Metndria!C38 + Tomscilus!C38</f>
        <v>63339019.826885544</v>
      </c>
      <c r="BQ38" s="5">
        <f t="shared" si="18"/>
        <v>2.0061165506721615E-2</v>
      </c>
      <c r="BR38" s="5">
        <f t="shared" si="19"/>
        <v>1.4684746212611012E-2</v>
      </c>
      <c r="BY38" s="3">
        <f t="shared" si="20"/>
        <v>1979</v>
      </c>
      <c r="BZ38" s="3">
        <v>1729</v>
      </c>
      <c r="CA38" s="4">
        <f>Ealdorii!C38 + Ukhdari!C38 + Hkuqo!C38 + Acrana!C38 + Zenashan!C38</f>
        <v>197304746.86442021</v>
      </c>
      <c r="CB38" s="6">
        <f t="shared" si="21"/>
        <v>1.3302691046322191E-2</v>
      </c>
      <c r="CC38" s="5">
        <f t="shared" si="22"/>
        <v>4.5743842297629324E-2</v>
      </c>
      <c r="CJ38" s="3">
        <f t="shared" si="23"/>
        <v>1979</v>
      </c>
      <c r="CK38" s="3">
        <v>1729</v>
      </c>
      <c r="CL38" s="4">
        <f>Estijan!C38 + Ikzen!C38 + Urbiqu!C38 + Danocia!C38 + Koruch!C38 + 'New Kizura'!C38 + Lydroa!C38 + Fermori!C38 + Uularin!C38 + 'Niul Spijan'!C38</f>
        <v>222509679.59996751</v>
      </c>
      <c r="CM38" s="6">
        <f t="shared" si="24"/>
        <v>9.476093483533201E-3</v>
      </c>
      <c r="CN38" s="5">
        <f t="shared" si="25"/>
        <v>5.1587444575325686E-2</v>
      </c>
      <c r="CU38" s="3">
        <f t="shared" si="26"/>
        <v>1979</v>
      </c>
      <c r="CV38" s="3">
        <v>1729</v>
      </c>
      <c r="CW38" s="4">
        <f>Praesyu!C38 + Lycroa!C38 + Emara!C38 + Eldjo!C38 + Easuhura!C38 + Ilicuhe!C38 + Tonder!C38</f>
        <v>215244289.09214708</v>
      </c>
      <c r="CX38" s="6">
        <f t="shared" si="27"/>
        <v>2.4059145400272125E-3</v>
      </c>
      <c r="CY38" s="5">
        <f t="shared" si="28"/>
        <v>4.9903010303458901E-2</v>
      </c>
      <c r="DF38" s="3">
        <f t="shared" si="29"/>
        <v>1979</v>
      </c>
      <c r="DG38" s="3">
        <v>1729</v>
      </c>
      <c r="DH38" s="4">
        <f>Verusa!C38 + Darewa!C38 + Siana!C38 + Yaxuto!C38 + 'Merela Sta'!C38 + Palina!C38</f>
        <v>152860540.57792118</v>
      </c>
      <c r="DI38" s="6">
        <f t="shared" si="30"/>
        <v>7.2757710711842342E-3</v>
      </c>
      <c r="DJ38" s="5">
        <f t="shared" si="31"/>
        <v>3.5439737628470268E-2</v>
      </c>
      <c r="DQ38" s="3">
        <f t="shared" si="32"/>
        <v>1979</v>
      </c>
      <c r="DR38" s="3">
        <v>1729</v>
      </c>
      <c r="DS38" s="4">
        <f>Sunsokua!C38 + Vayvele!C38 + Selaja!C38 + Sadain!C38</f>
        <v>112828681.62523291</v>
      </c>
      <c r="DT38" s="6">
        <f t="shared" si="33"/>
        <v>2.5523099898486116E-2</v>
      </c>
      <c r="DU38" s="5">
        <f t="shared" si="34"/>
        <v>2.6158607438171062E-2</v>
      </c>
      <c r="EB38" s="3">
        <f t="shared" si="35"/>
        <v>1979</v>
      </c>
      <c r="EC38" s="3">
        <v>1729</v>
      </c>
      <c r="ED38" s="4">
        <f>Pelugrotoa!C38 + Lieri!C38 + 'Rtesania'!C38 + Ozinia!C38</f>
        <v>287665755.04571432</v>
      </c>
      <c r="EE38" s="6">
        <f t="shared" si="36"/>
        <v>2.0683443632357409E-2</v>
      </c>
      <c r="EF38" s="5">
        <f t="shared" si="37"/>
        <v>6.6693463499293851E-2</v>
      </c>
      <c r="EM38" s="3">
        <f t="shared" si="38"/>
        <v>1979</v>
      </c>
      <c r="EN38" s="3">
        <v>1729</v>
      </c>
      <c r="EO38" s="4">
        <f>Ocaun!C38 + 'Dual Cenryia'!C38 + Byllu!C38 + Exilium!C38 + Inrea!C38 + Amcha!C38 + Isnti!C38 + Galca!C38 + Otiiric!C38 + Taing!C38 + 'Cruthi Anoso'!C38</f>
        <v>136499180.12741923</v>
      </c>
      <c r="EP38" s="6">
        <f t="shared" si="39"/>
        <v>3.2363374920951704E-2</v>
      </c>
      <c r="EQ38" s="5">
        <f t="shared" si="40"/>
        <v>3.1646460963227534E-2</v>
      </c>
      <c r="EX38" s="3">
        <f t="shared" si="41"/>
        <v>1979</v>
      </c>
      <c r="EY38" s="3">
        <v>1729</v>
      </c>
      <c r="EZ38" s="4">
        <f>Sivoso!C38 + Taoisia!C38 + Seytinemas!C38 + Trian!C38 + 'Chaenia'!C38</f>
        <v>85473190.615164429</v>
      </c>
      <c r="FA38" s="6">
        <f t="shared" si="42"/>
        <v>2.4047530108867139E-2</v>
      </c>
      <c r="FB38" s="5">
        <f t="shared" si="43"/>
        <v>1.9816411993686077E-2</v>
      </c>
      <c r="FI38" s="3">
        <f t="shared" si="44"/>
        <v>1979</v>
      </c>
      <c r="FJ38" s="3">
        <v>1729</v>
      </c>
      <c r="FK38" s="4">
        <f>Migoku!C38 + 'Welenu Fana'!C38 + Haiza!C38 + Ucrua!C38 + Ihner!C38 + Oscairia!C38 + Shinam!C38 + 'Ruylku'!C38 + Taval!C38 + 'Western Migoku'!C38 + 'Pruim Fijan'!C38 + 'Canldives'!C38</f>
        <v>94345652.864422083</v>
      </c>
      <c r="FL38" s="6">
        <f t="shared" si="45"/>
        <v>2.1235347061920724E-2</v>
      </c>
      <c r="FM38" s="5">
        <f t="shared" si="46"/>
        <v>2.1873435559371511E-2</v>
      </c>
      <c r="FT38" s="3">
        <f t="shared" si="47"/>
        <v>1979</v>
      </c>
      <c r="FU38" s="3">
        <v>1729</v>
      </c>
      <c r="FV38" s="4">
        <f>Vesozata!C38 + Etretes!C38 + Kusierna!C38 + Eparia!C38</f>
        <v>65312147.70047684</v>
      </c>
      <c r="FW38" s="6">
        <f t="shared" si="48"/>
        <v>2.6833866665566922E-2</v>
      </c>
      <c r="FX38" s="5">
        <f t="shared" si="49"/>
        <v>1.514220327695949E-2</v>
      </c>
      <c r="GE38" s="3">
        <f t="shared" si="50"/>
        <v>1979</v>
      </c>
      <c r="GF38" s="3">
        <v>1729</v>
      </c>
      <c r="GG38" s="4">
        <f>Dahe!C38 + Kaastini!C38 + Suenan!C38 + Oyreain!C38 + Sanagara!C38 + 'North Ayre'!C38 + Stinebar!C38 + 'Cloja'!C38 + 'Pha Hii'!C38 + 'Prystr Hii'!C38</f>
        <v>816114746.54770505</v>
      </c>
      <c r="GH38" s="6">
        <f t="shared" si="51"/>
        <v>1.2626461137312868E-2</v>
      </c>
      <c r="GI38" s="5">
        <f t="shared" si="52"/>
        <v>0.18921097873281847</v>
      </c>
      <c r="GP38" s="3">
        <f t="shared" si="53"/>
        <v>1979</v>
      </c>
      <c r="GQ38" s="3">
        <v>1729</v>
      </c>
      <c r="GR38" s="4">
        <f>Maalle!C38 + 'United Delet'!C38 + Ohtina!C38 + Astye!C38 + Prstreula!C38 + Veelmit!C38 + Aplasia!C38 + 'Elja and Munusia'!C38 + Walporein!C38 + 'Crila Republic'!C38 + 'Niretui and Anulan'!C38 + 'Rethern'!C38 + Tvecoca!C38</f>
        <v>107089114.02881815</v>
      </c>
      <c r="GS38" s="6">
        <f t="shared" si="54"/>
        <v>2.1349858969084867E-2</v>
      </c>
      <c r="GT38" s="5">
        <f t="shared" si="55"/>
        <v>2.4827925439083662E-2</v>
      </c>
      <c r="HA38" s="3">
        <f t="shared" si="56"/>
        <v>1979</v>
      </c>
      <c r="HB38" s="3">
        <v>1729</v>
      </c>
      <c r="HC38" s="4">
        <f>Andsaudare!C38 + Nia!C38 + Umarcia!C38 + Mendereide!C38 + Iainoa!C38 + Isari!C38 + 'Rkmepuia'!C38 + Hiwush!C38 + Isuibul!C38 + Yutnitu!C38</f>
        <v>38212907.957407728</v>
      </c>
      <c r="HD38" s="6">
        <f t="shared" si="57"/>
        <v>2.6454700112936956E-2</v>
      </c>
      <c r="HE38" s="5">
        <f t="shared" si="58"/>
        <v>8.8594180480545751E-3</v>
      </c>
      <c r="HL38" s="3">
        <f t="shared" si="59"/>
        <v>1979</v>
      </c>
      <c r="HM38" s="3">
        <v>1729</v>
      </c>
      <c r="HN38" s="4">
        <f>Zhanshe!C38 + Volver!C38 + Finae!C38 + Myla!C38 + 'Nheyes Si'!C38 + Onphello!C38 + Hyelen!C38</f>
        <v>70200238.989819929</v>
      </c>
      <c r="HO38" s="6">
        <f t="shared" si="60"/>
        <v>2.1832004410484451E-2</v>
      </c>
      <c r="HP38" s="5">
        <f t="shared" si="61"/>
        <v>1.6275475945912429E-2</v>
      </c>
      <c r="HW38" s="3">
        <f t="shared" si="62"/>
        <v>1979</v>
      </c>
      <c r="HX38" s="3">
        <v>1729</v>
      </c>
      <c r="HY38" s="4">
        <f>Yihnurda!C38 + Ztesh!C38 + Wundry!C38 + Anymna!C38 + Shomjind!C38 + Baluyde!C38 + Letan!C38</f>
        <v>276715902.16924781</v>
      </c>
      <c r="HZ38" s="6">
        <f t="shared" si="63"/>
        <v>2.3517516808066182E-2</v>
      </c>
      <c r="IA38" s="5">
        <f t="shared" si="64"/>
        <v>6.4154810217386157E-2</v>
      </c>
      <c r="IH38" s="3">
        <f t="shared" si="65"/>
        <v>1979</v>
      </c>
      <c r="II38" s="3">
        <v>1729</v>
      </c>
      <c r="IJ38" s="4">
        <f>Iareva!C38 + 'United Mihili'!C38 + 'Mesjan Hyaa'!C38 + Desaki!C38 + 'Far Lands'!C38</f>
        <v>32634420.490977481</v>
      </c>
      <c r="IK38" s="6">
        <f t="shared" si="66"/>
        <v>2.9064824690476356E-2</v>
      </c>
      <c r="IL38" s="5">
        <f t="shared" si="67"/>
        <v>7.5660814457728402E-3</v>
      </c>
      <c r="IS38" s="3">
        <f t="shared" si="68"/>
        <v>1979</v>
      </c>
      <c r="IT38" s="3">
        <v>1729</v>
      </c>
      <c r="IU38" s="4">
        <f>Verste!C38 + Quidic!C38 + Erkizil!C38 + Ashain!C38 + Ahokini!C38</f>
        <v>217688263.55782771</v>
      </c>
      <c r="IV38" s="6">
        <f t="shared" si="69"/>
        <v>2.0232782720036521E-2</v>
      </c>
      <c r="IW38" s="5">
        <f t="shared" si="70"/>
        <v>5.0469630135542058E-2</v>
      </c>
    </row>
    <row r="39" spans="1:257" ht="22.5" customHeight="1">
      <c r="A39" s="3">
        <f t="shared" si="0"/>
        <v>1978</v>
      </c>
      <c r="B39" s="3">
        <v>1728</v>
      </c>
      <c r="C39" s="4">
        <f>Acetoa!C39 + Acrana!C39 + Aetintio!C39 + Ahokini!C39 + Amcha!C39 + Andsaudare!C39 + Anymna!C39 + Aplasia!C39 + Arbiya!C39 + 'Areoix Lie'!C39 + Ashain!C39 + Astye!C39 + Baluyde!C39 + Byllu!C39 + 'Candenat'!C39 + 'Canldives'!C39 + 'Chaenia'!C39 + 'Cloja'!C39 + 'Crila Republic'!C39 + 'Cruthi Anoso'!C39 + 'Curata'!C39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'Raledria'!C39 + 'Reerica'!C39 + 'Rethern'!C39 + 'Rijan bu'!C39 + 'Rinew'!C39 + 'Rkmepuia'!C39 + 'Rtesania'!C39 + 'Ruylku'!C39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4240714877.1472702</v>
      </c>
      <c r="D39" s="5">
        <f t="shared" si="1"/>
        <v>1.7058231827975504E-2</v>
      </c>
      <c r="K39" s="3">
        <f t="shared" si="2"/>
        <v>1978</v>
      </c>
      <c r="L39" s="3">
        <v>1728</v>
      </c>
      <c r="M39" s="4">
        <f>Eldavpir!C39 + Iquir!C39 + Viussi!C39 + Umendel!C39 + 'Reerica'!C39 + Saa!C39 + Sattle!C39</f>
        <v>39412922.749932885</v>
      </c>
      <c r="N39" s="5">
        <f t="shared" si="3"/>
        <v>3.1095959448881216E-2</v>
      </c>
      <c r="O39" s="5">
        <f t="shared" si="4"/>
        <v>9.2939336625352115E-3</v>
      </c>
      <c r="V39" s="3">
        <f t="shared" si="5"/>
        <v>1978</v>
      </c>
      <c r="W39" s="3">
        <v>1728</v>
      </c>
      <c r="X39" s="4">
        <f>'Areoix Lie'!C39 + Jau!C39 + Terressin!C39 + Acetoa!C39 + 'Feio Lie'!C39</f>
        <v>482028825.28539002</v>
      </c>
      <c r="Y39" s="5">
        <f t="shared" si="6"/>
        <v>1.5939187556259445E-2</v>
      </c>
      <c r="Z39" s="5">
        <f t="shared" si="7"/>
        <v>0.11366687911111131</v>
      </c>
      <c r="AG39" s="3">
        <f t="shared" si="8"/>
        <v>1978</v>
      </c>
      <c r="AH39" s="3">
        <v>1728</v>
      </c>
      <c r="AI39" s="4">
        <f>Taniduna!C39 + Jathua!C39 + Deschon!C39 + Pelines!C39 + 'Candenat'!C39 + Othya!C39 + Yoprioq!C39 + Jshain!C39 + 'Fire Coast'!C39 + 'Rijan bu'!C39 + 'Rinew'!C39 + Enina!C39 + Trevilla!C39</f>
        <v>95771298.371219084</v>
      </c>
      <c r="AJ39" s="5">
        <f t="shared" si="9"/>
        <v>3.1043976064219048E-2</v>
      </c>
      <c r="AK39" s="5">
        <f t="shared" si="10"/>
        <v>2.2583762678155921E-2</v>
      </c>
      <c r="AR39" s="3">
        <f t="shared" si="11"/>
        <v>1978</v>
      </c>
      <c r="AS39" s="3">
        <v>1728</v>
      </c>
      <c r="AT39" s="4">
        <f>Gaeiya!C39 + 'Raledria'!C39 + Arbiya!C39 + Fincen!C39 + 'Curata'!C39</f>
        <v>201560426.93669748</v>
      </c>
      <c r="AU39" s="5">
        <f t="shared" si="12"/>
        <v>1.109652369833385E-2</v>
      </c>
      <c r="AV39" s="5">
        <f t="shared" si="13"/>
        <v>4.7529822866159588E-2</v>
      </c>
      <c r="BC39" s="3">
        <f t="shared" si="14"/>
        <v>1978</v>
      </c>
      <c r="BD39" s="3">
        <v>1728</v>
      </c>
      <c r="BE39" s="4">
        <f>Etirha!C39 + Laselteh!C39 + Grazail!C39 + 'Disal Nila'!C39 + Pelan!C39 + Peka!C39 + Guise!C39</f>
        <v>76619549.286273122</v>
      </c>
      <c r="BF39" s="5">
        <f t="shared" si="15"/>
        <v>1.2466498688890007E-2</v>
      </c>
      <c r="BG39" s="5">
        <f t="shared" si="16"/>
        <v>1.8067602162825696E-2</v>
      </c>
      <c r="BN39" s="3">
        <f t="shared" si="17"/>
        <v>1978</v>
      </c>
      <c r="BO39" s="3">
        <v>1728</v>
      </c>
      <c r="BP39" s="4">
        <f>Genaire!C39 + 'New Misos'!C39 + Phuris!C39 + Lasri!C39 + Slyiaduun!C39 + Aetintio!C39 + Metndria!C39 + Tomscilus!C39</f>
        <v>62093354.760174111</v>
      </c>
      <c r="BQ39" s="5">
        <f t="shared" si="18"/>
        <v>2.0312729245735631E-2</v>
      </c>
      <c r="BR39" s="5">
        <f t="shared" si="19"/>
        <v>1.4642190422843123E-2</v>
      </c>
      <c r="BY39" s="3">
        <f t="shared" si="20"/>
        <v>1978</v>
      </c>
      <c r="BZ39" s="3">
        <v>1728</v>
      </c>
      <c r="CA39" s="4">
        <f>Ealdorii!C39 + Ukhdari!C39 + Hkuqo!C39 + Acrana!C39 + Zenashan!C39</f>
        <v>194714519.76574352</v>
      </c>
      <c r="CB39" s="7">
        <f t="shared" si="21"/>
        <v>1.3739476798705979E-2</v>
      </c>
      <c r="CC39" s="5">
        <f t="shared" si="22"/>
        <v>4.591549429909516E-2</v>
      </c>
      <c r="CJ39" s="3">
        <f t="shared" si="23"/>
        <v>1978</v>
      </c>
      <c r="CK39" s="3">
        <v>1728</v>
      </c>
      <c r="CL39" s="4">
        <f>Estijan!C39 + Ikzen!C39 + Urbiqu!C39 + Danocia!C39 + Koruch!C39 + 'New Kizura'!C39 + Lydroa!C39 + Fermori!C39 + Uularin!C39 + 'Niul Spijan'!C39</f>
        <v>220420950.07136208</v>
      </c>
      <c r="CM39" s="7">
        <f t="shared" si="24"/>
        <v>9.6509129672937913E-3</v>
      </c>
      <c r="CN39" s="5">
        <f t="shared" si="25"/>
        <v>5.1977309594470847E-2</v>
      </c>
      <c r="CU39" s="3">
        <f t="shared" si="26"/>
        <v>1978</v>
      </c>
      <c r="CV39" s="3">
        <v>1728</v>
      </c>
      <c r="CW39" s="4">
        <f>Praesyu!C39 + Lycroa!C39 + Emara!C39 + Eldjo!C39 + Easuhura!C39 + Ilicuhe!C39 + Tonder!C39</f>
        <v>214727672.66234255</v>
      </c>
      <c r="CX39" s="7">
        <f t="shared" si="27"/>
        <v>2.7148314225211023E-3</v>
      </c>
      <c r="CY39" s="5">
        <f t="shared" si="28"/>
        <v>5.06347818429118E-2</v>
      </c>
      <c r="DF39" s="3">
        <f t="shared" si="29"/>
        <v>1978</v>
      </c>
      <c r="DG39" s="3">
        <v>1728</v>
      </c>
      <c r="DH39" s="4">
        <f>Verusa!C39 + Darewa!C39 + Siana!C39 + Yaxuto!C39 + 'Merela Sta'!C39 + Palina!C39</f>
        <v>151756395.7836116</v>
      </c>
      <c r="DI39" s="7">
        <f t="shared" si="30"/>
        <v>8.0121112410967005E-3</v>
      </c>
      <c r="DJ39" s="5">
        <f t="shared" si="31"/>
        <v>3.5785569221220115E-2</v>
      </c>
      <c r="DQ39" s="3">
        <f t="shared" si="32"/>
        <v>1978</v>
      </c>
      <c r="DR39" s="3">
        <v>1728</v>
      </c>
      <c r="DS39" s="4">
        <f>Sunsokua!C39 + Vayvele!C39 + Selaja!C39 + Sadain!C39</f>
        <v>110020614.49069409</v>
      </c>
      <c r="DT39" s="7">
        <f t="shared" si="33"/>
        <v>2.554087790258612E-2</v>
      </c>
      <c r="DU39" s="5">
        <f t="shared" si="34"/>
        <v>2.5943883915323488E-2</v>
      </c>
      <c r="EB39" s="3">
        <f t="shared" si="35"/>
        <v>1978</v>
      </c>
      <c r="EC39" s="3">
        <v>1728</v>
      </c>
      <c r="ED39" s="4">
        <f>Pelugrotoa!C39 + Lieri!C39 + 'Rtesania'!C39 + Ozinia!C39</f>
        <v>281836407.59566331</v>
      </c>
      <c r="EE39" s="7">
        <f t="shared" si="36"/>
        <v>2.0499305175803052E-2</v>
      </c>
      <c r="EF39" s="5">
        <f t="shared" si="37"/>
        <v>6.6459645545718635E-2</v>
      </c>
      <c r="EM39" s="3">
        <f t="shared" si="38"/>
        <v>1978</v>
      </c>
      <c r="EN39" s="3">
        <v>1728</v>
      </c>
      <c r="EO39" s="4">
        <f>Ocaun!C39 + 'Dual Cenryia'!C39 + Byllu!C39 + Exilium!C39 + Inrea!C39 + Amcha!C39 + Isnti!C39 + Galca!C39 + Otiiric!C39 + Taing!C39 + 'Cruthi Anoso'!C39</f>
        <v>132220091.72678274</v>
      </c>
      <c r="EP39" s="7">
        <f t="shared" si="39"/>
        <v>3.1538944776420788E-2</v>
      </c>
      <c r="EQ39" s="5">
        <f t="shared" si="40"/>
        <v>3.1178727067764391E-2</v>
      </c>
      <c r="EX39" s="3">
        <f t="shared" si="41"/>
        <v>1978</v>
      </c>
      <c r="EY39" s="3">
        <v>1728</v>
      </c>
      <c r="EZ39" s="4">
        <f>Sivoso!C39 + Taoisia!C39 + Seytinemas!C39 + Trian!C39 + 'Chaenia'!C39</f>
        <v>83466038.54029873</v>
      </c>
      <c r="FA39" s="7">
        <f t="shared" si="42"/>
        <v>2.4299851943318278E-2</v>
      </c>
      <c r="FB39" s="5">
        <f t="shared" si="43"/>
        <v>1.9682067990490874E-2</v>
      </c>
      <c r="FI39" s="3">
        <f t="shared" si="44"/>
        <v>1978</v>
      </c>
      <c r="FJ39" s="3">
        <v>1728</v>
      </c>
      <c r="FK39" s="4">
        <f>Migoku!C39 + 'Welenu Fana'!C39 + Haiza!C39 + Ucrua!C39 + Ihner!C39 + Oscairia!C39 + Shinam!C39 + 'Ruylku'!C39 + Taval!C39 + 'Western Migoku'!C39 + 'Pruim Fijan'!C39 + 'Canldives'!C39</f>
        <v>92383849.752021566</v>
      </c>
      <c r="FL39" s="7">
        <f t="shared" si="45"/>
        <v>2.0246746299578244E-2</v>
      </c>
      <c r="FM39" s="5">
        <f t="shared" si="46"/>
        <v>2.1784970795812663E-2</v>
      </c>
      <c r="FT39" s="3">
        <f t="shared" si="47"/>
        <v>1978</v>
      </c>
      <c r="FU39" s="3">
        <v>1728</v>
      </c>
      <c r="FV39" s="4">
        <f>Vesozata!C39 + Etretes!C39 + Kusierna!C39 + Eparia!C39</f>
        <v>63605369.690975122</v>
      </c>
      <c r="FW39" s="7">
        <f t="shared" si="48"/>
        <v>2.6085463928314321E-2</v>
      </c>
      <c r="FX39" s="5">
        <f t="shared" si="49"/>
        <v>1.4998737602883236E-2</v>
      </c>
      <c r="GE39" s="3">
        <f t="shared" si="50"/>
        <v>1978</v>
      </c>
      <c r="GF39" s="3">
        <v>1728</v>
      </c>
      <c r="GG39" s="4">
        <f>Dahe!C39 + Kaastini!C39 + Suenan!C39 + Oyreain!C39 + Sanagara!C39 + 'North Ayre'!C39 + Stinebar!C39 + 'Cloja'!C39 + 'Pha Hii'!C39 + 'Prystr Hii'!C39</f>
        <v>805938594.20886624</v>
      </c>
      <c r="GH39" s="7">
        <f t="shared" si="51"/>
        <v>1.266833354307802E-2</v>
      </c>
      <c r="GI39" s="5">
        <f t="shared" si="52"/>
        <v>0.1900478144739175</v>
      </c>
      <c r="GP39" s="3">
        <f t="shared" si="53"/>
        <v>1978</v>
      </c>
      <c r="GQ39" s="3">
        <v>1728</v>
      </c>
      <c r="GR39" s="4">
        <f>Maalle!C39 + 'United Delet'!C39 + Ohtina!C39 + Astye!C39 + Prstreula!C39 + Veelmit!C39 + Aplasia!C39 + 'Elja and Munusia'!C39 + Walporein!C39 + 'Crila Republic'!C39 + 'Niretui and Anulan'!C39 + 'Rethern'!C39 + Tvecoca!C39</f>
        <v>104850569.16433139</v>
      </c>
      <c r="GS39" s="7">
        <f t="shared" si="54"/>
        <v>2.1198516400953896E-2</v>
      </c>
      <c r="GT39" s="5">
        <f t="shared" si="55"/>
        <v>2.4724739154089133E-2</v>
      </c>
      <c r="HA39" s="3">
        <f t="shared" si="56"/>
        <v>1978</v>
      </c>
      <c r="HB39" s="3">
        <v>1728</v>
      </c>
      <c r="HC39" s="4">
        <f>Andsaudare!C39 + Nia!C39 + Umarcia!C39 + Mendereide!C39 + Iainoa!C39 + Isari!C39 + 'Rkmepuia'!C39 + Hiwush!C39 + Isuibul!C39 + Yutnitu!C39</f>
        <v>37228051.031578213</v>
      </c>
      <c r="HD39" s="7">
        <f t="shared" si="57"/>
        <v>2.6449035310654158E-2</v>
      </c>
      <c r="HE39" s="5">
        <f t="shared" si="58"/>
        <v>8.778720595481659E-3</v>
      </c>
      <c r="HL39" s="3">
        <f t="shared" si="59"/>
        <v>1978</v>
      </c>
      <c r="HM39" s="3">
        <v>1728</v>
      </c>
      <c r="HN39" s="4">
        <f>Zhanshe!C39 + Volver!C39 + Finae!C39 + Myla!C39 + 'Nheyes Si'!C39 + Onphello!C39 + Hyelen!C39</f>
        <v>68700372.161781982</v>
      </c>
      <c r="HO39" s="7">
        <f t="shared" si="60"/>
        <v>2.1772423151948623E-2</v>
      </c>
      <c r="HP39" s="5">
        <f t="shared" si="61"/>
        <v>1.6200186560997171E-2</v>
      </c>
      <c r="HW39" s="3">
        <f t="shared" si="62"/>
        <v>1978</v>
      </c>
      <c r="HX39" s="3">
        <v>1728</v>
      </c>
      <c r="HY39" s="4">
        <f>Yihnurda!C39 + Ztesh!C39 + Wundry!C39 + Anymna!C39 + Shomjind!C39 + Baluyde!C39 + Letan!C39</f>
        <v>270357759.02713603</v>
      </c>
      <c r="HZ39" s="7">
        <f t="shared" si="63"/>
        <v>2.3385357140372157E-2</v>
      </c>
      <c r="IA39" s="5">
        <f t="shared" si="64"/>
        <v>6.3752873479908587E-2</v>
      </c>
      <c r="IH39" s="3">
        <f t="shared" si="65"/>
        <v>1978</v>
      </c>
      <c r="II39" s="3">
        <v>1728</v>
      </c>
      <c r="IJ39" s="4">
        <f>Iareva!C39 + 'United Mihili'!C39 + 'Mesjan Hyaa'!C39 + Desaki!C39 + 'Far Lands'!C39</f>
        <v>31712696.525987379</v>
      </c>
      <c r="IK39" s="7">
        <f t="shared" si="66"/>
        <v>2.789092146936098E-2</v>
      </c>
      <c r="IL39" s="5">
        <f t="shared" si="67"/>
        <v>7.4781487189538474E-3</v>
      </c>
      <c r="IS39" s="3">
        <f t="shared" si="68"/>
        <v>1978</v>
      </c>
      <c r="IT39" s="3">
        <v>1728</v>
      </c>
      <c r="IU39" s="4">
        <f>Verste!C39 + Quidic!C39 + Erkizil!C39 + Ashain!C39 + Ahokini!C39</f>
        <v>213371171.01594239</v>
      </c>
      <c r="IV39" s="7">
        <f t="shared" si="69"/>
        <v>2.0339076111812175E-2</v>
      </c>
      <c r="IW39" s="5">
        <f t="shared" si="70"/>
        <v>5.0314906141362005E-2</v>
      </c>
    </row>
    <row r="40" spans="1:257" ht="22.5" customHeight="1">
      <c r="A40" s="3">
        <f t="shared" si="0"/>
        <v>1977</v>
      </c>
      <c r="B40" s="3">
        <v>1727</v>
      </c>
      <c r="C40" s="4">
        <f>Acetoa!C40 + Acrana!C40 + Aetintio!C40 + Ahokini!C40 + Amcha!C40 + Andsaudare!C40 + Anymna!C40 + Aplasia!C40 + Arbiya!C40 + 'Areoix Lie'!C40 + Ashain!C40 + Astye!C40 + Baluyde!C40 + Byllu!C40 + 'Candenat'!C40 + 'Canldives'!C40 + 'Chaenia'!C40 + 'Cloja'!C40 + 'Crila Republic'!C40 + 'Cruthi Anoso'!C40 + 'Curata'!C40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'Raledria'!C40 + 'Reerica'!C40 + 'Rethern'!C40 + 'Rijan bu'!C40 + 'Rinew'!C40 + 'Rkmepuia'!C40 + 'Rtesania'!C40 + 'Ruylku'!C40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4169589060.3287911</v>
      </c>
      <c r="D40" s="5">
        <f t="shared" si="1"/>
        <v>1.7132392750461245E-2</v>
      </c>
      <c r="K40" s="3">
        <f t="shared" si="2"/>
        <v>1977</v>
      </c>
      <c r="L40" s="3">
        <v>1727</v>
      </c>
      <c r="M40" s="4">
        <f>Eldavpir!C40 + Iquir!C40 + Viussi!C40 + Umendel!C40 + 'Reerica'!C40 + Saa!C40 + Sattle!C40</f>
        <v>38224301.422923833</v>
      </c>
      <c r="N40" s="5">
        <f t="shared" si="3"/>
        <v>3.0892493020581214E-2</v>
      </c>
      <c r="O40" s="5">
        <f t="shared" si="4"/>
        <v>9.1674025593087276E-3</v>
      </c>
      <c r="V40" s="3">
        <f t="shared" si="5"/>
        <v>1977</v>
      </c>
      <c r="W40" s="3">
        <v>1727</v>
      </c>
      <c r="X40" s="4">
        <f>'Areoix Lie'!C40 + Jau!C40 + Terressin!C40 + Acetoa!C40 + 'Feio Lie'!C40</f>
        <v>474466219.22800553</v>
      </c>
      <c r="Y40" s="5">
        <f t="shared" si="6"/>
        <v>1.6325828827552177E-2</v>
      </c>
      <c r="Z40" s="5">
        <f t="shared" si="7"/>
        <v>0.11379208175267798</v>
      </c>
      <c r="AG40" s="3">
        <f t="shared" si="8"/>
        <v>1977</v>
      </c>
      <c r="AH40" s="3">
        <v>1727</v>
      </c>
      <c r="AI40" s="4">
        <f>Taniduna!C40 + Jathua!C40 + Deschon!C40 + Pelines!C40 + 'Candenat'!C40 + Othya!C40 + Yoprioq!C40 + Jshain!C40 + 'Fire Coast'!C40 + 'Rijan bu'!C40 + 'Rinew'!C40 + Enina!C40 + Trevilla!C40</f>
        <v>92887694.991250232</v>
      </c>
      <c r="AJ40" s="5">
        <f t="shared" si="9"/>
        <v>3.0850139761418253E-2</v>
      </c>
      <c r="AK40" s="5">
        <f t="shared" si="10"/>
        <v>2.2277421982665507E-2</v>
      </c>
      <c r="AR40" s="3">
        <f t="shared" si="11"/>
        <v>1977</v>
      </c>
      <c r="AS40" s="3">
        <v>1727</v>
      </c>
      <c r="AT40" s="4">
        <f>Gaeiya!C40 + 'Raledria'!C40 + Arbiya!C40 + Fincen!C40 + 'Curata'!C40</f>
        <v>199348353.21106705</v>
      </c>
      <c r="AU40" s="5">
        <f t="shared" si="12"/>
        <v>1.081645368092218E-2</v>
      </c>
      <c r="AV40" s="5">
        <f t="shared" si="13"/>
        <v>4.7810072006316019E-2</v>
      </c>
      <c r="BC40" s="3">
        <f t="shared" si="14"/>
        <v>1977</v>
      </c>
      <c r="BD40" s="3">
        <v>1727</v>
      </c>
      <c r="BE40" s="4">
        <f>Etirha!C40 + Laselteh!C40 + Grazail!C40 + 'Disal Nila'!C40 + Pelan!C40 + Peka!C40 + Guise!C40</f>
        <v>75676132.875006586</v>
      </c>
      <c r="BF40" s="5">
        <f t="shared" si="15"/>
        <v>1.4953298585249403E-2</v>
      </c>
      <c r="BG40" s="5">
        <f t="shared" si="16"/>
        <v>1.8149542264253537E-2</v>
      </c>
      <c r="BN40" s="3">
        <f t="shared" si="17"/>
        <v>1977</v>
      </c>
      <c r="BO40" s="3">
        <v>1727</v>
      </c>
      <c r="BP40" s="4">
        <f>Genaire!C40 + 'New Misos'!C40 + Phuris!C40 + Lasri!C40 + Slyiaduun!C40 + Aetintio!C40 + Metndria!C40 + Tomscilus!C40</f>
        <v>60857179.353311129</v>
      </c>
      <c r="BQ40" s="5">
        <f t="shared" si="18"/>
        <v>2.0488075609565202E-2</v>
      </c>
      <c r="BR40" s="5">
        <f t="shared" si="19"/>
        <v>1.4595486143306474E-2</v>
      </c>
      <c r="BY40" s="3">
        <f t="shared" si="20"/>
        <v>1977</v>
      </c>
      <c r="BZ40" s="3">
        <v>1727</v>
      </c>
      <c r="CA40" s="4">
        <f>Ealdorii!C40 + Ukhdari!C40 + Hkuqo!C40 + Acrana!C40 + Zenashan!C40</f>
        <v>192075502.85072619</v>
      </c>
      <c r="CB40" s="6">
        <f t="shared" si="21"/>
        <v>1.3845850980905388E-2</v>
      </c>
      <c r="CC40" s="5">
        <f t="shared" si="22"/>
        <v>4.6065811299778339E-2</v>
      </c>
      <c r="CJ40" s="3">
        <f t="shared" si="23"/>
        <v>1977</v>
      </c>
      <c r="CK40" s="3">
        <v>1727</v>
      </c>
      <c r="CL40" s="4">
        <f>Estijan!C40 + Ikzen!C40 + Urbiqu!C40 + Danocia!C40 + Koruch!C40 + 'New Kizura'!C40 + Lydroa!C40 + Fermori!C40 + Uularin!C40 + 'Niul Spijan'!C40</f>
        <v>218314020.46035916</v>
      </c>
      <c r="CM40" s="6">
        <f t="shared" si="24"/>
        <v>9.3620885808780811E-3</v>
      </c>
      <c r="CN40" s="5">
        <f t="shared" si="25"/>
        <v>5.2358641895310448E-2</v>
      </c>
      <c r="CU40" s="3">
        <f t="shared" si="26"/>
        <v>1977</v>
      </c>
      <c r="CV40" s="3">
        <v>1727</v>
      </c>
      <c r="CW40" s="4">
        <f>Praesyu!C40 + Lycroa!C40 + Emara!C40 + Eldjo!C40 + Easuhura!C40 + Ilicuhe!C40 + Tonder!C40</f>
        <v>214146301.55386743</v>
      </c>
      <c r="CX40" s="6">
        <f t="shared" si="27"/>
        <v>3.0606456023805949E-3</v>
      </c>
      <c r="CY40" s="5">
        <f t="shared" si="28"/>
        <v>5.1359090417649217E-2</v>
      </c>
      <c r="DF40" s="3">
        <f t="shared" si="29"/>
        <v>1977</v>
      </c>
      <c r="DG40" s="3">
        <v>1727</v>
      </c>
      <c r="DH40" s="4">
        <f>Verusa!C40 + Darewa!C40 + Siana!C40 + Yaxuto!C40 + 'Merela Sta'!C40 + Palina!C40</f>
        <v>150550171.06566733</v>
      </c>
      <c r="DI40" s="6">
        <f t="shared" si="30"/>
        <v>8.7173803042787119E-3</v>
      </c>
      <c r="DJ40" s="5">
        <f t="shared" si="31"/>
        <v>3.6106716726131222E-2</v>
      </c>
      <c r="DQ40" s="3">
        <f t="shared" si="32"/>
        <v>1977</v>
      </c>
      <c r="DR40" s="3">
        <v>1727</v>
      </c>
      <c r="DS40" s="4">
        <f>Sunsokua!C40 + Vayvele!C40 + Selaja!C40 + Sadain!C40</f>
        <v>107280574.43766245</v>
      </c>
      <c r="DT40" s="6">
        <f t="shared" si="33"/>
        <v>2.5449714506782659E-2</v>
      </c>
      <c r="DU40" s="5">
        <f t="shared" si="34"/>
        <v>2.5729291996272382E-2</v>
      </c>
      <c r="EB40" s="3">
        <f t="shared" si="35"/>
        <v>1977</v>
      </c>
      <c r="EC40" s="3">
        <v>1727</v>
      </c>
      <c r="ED40" s="4">
        <f>Pelugrotoa!C40 + Lieri!C40 + 'Rtesania'!C40 + Ozinia!C40</f>
        <v>276175011.74791187</v>
      </c>
      <c r="EE40" s="6">
        <f t="shared" si="36"/>
        <v>2.0363946281109165E-2</v>
      </c>
      <c r="EF40" s="5">
        <f t="shared" si="37"/>
        <v>6.6235546897308442E-2</v>
      </c>
      <c r="EM40" s="3">
        <f t="shared" si="38"/>
        <v>1977</v>
      </c>
      <c r="EN40" s="3">
        <v>1727</v>
      </c>
      <c r="EO40" s="4">
        <f>Ocaun!C40 + 'Dual Cenryia'!C40 + Byllu!C40 + Exilium!C40 + Inrea!C40 + Amcha!C40 + Isnti!C40 + Galca!C40 + Otiiric!C40 + Taing!C40 + 'Cruthi Anoso'!C40</f>
        <v>128177508.36876117</v>
      </c>
      <c r="EP40" s="6">
        <f t="shared" si="39"/>
        <v>3.0784404306717358E-2</v>
      </c>
      <c r="EQ40" s="5">
        <f t="shared" si="40"/>
        <v>3.0741041026871311E-2</v>
      </c>
      <c r="EX40" s="3">
        <f t="shared" si="41"/>
        <v>1977</v>
      </c>
      <c r="EY40" s="3">
        <v>1727</v>
      </c>
      <c r="EZ40" s="4">
        <f>Sivoso!C40 + Taoisia!C40 + Seytinemas!C40 + Trian!C40 + 'Chaenia'!C40</f>
        <v>81485942.209154487</v>
      </c>
      <c r="FA40" s="6">
        <f t="shared" si="42"/>
        <v>2.4520057137981135E-2</v>
      </c>
      <c r="FB40" s="5">
        <f t="shared" si="43"/>
        <v>1.9542919225408979E-2</v>
      </c>
      <c r="FI40" s="3">
        <f t="shared" si="44"/>
        <v>1977</v>
      </c>
      <c r="FJ40" s="3">
        <v>1727</v>
      </c>
      <c r="FK40" s="4">
        <f>Migoku!C40 + 'Welenu Fana'!C40 + Haiza!C40 + Ucrua!C40 + Ihner!C40 + Oscairia!C40 + Shinam!C40 + 'Ruylku'!C40 + Taval!C40 + 'Western Migoku'!C40 + 'Pruim Fijan'!C40 + 'Canldives'!C40</f>
        <v>90550496.815693453</v>
      </c>
      <c r="FL40" s="6">
        <f t="shared" si="45"/>
        <v>2.1272949178531831E-2</v>
      </c>
      <c r="FM40" s="5">
        <f t="shared" si="46"/>
        <v>2.1716887565066935E-2</v>
      </c>
      <c r="FT40" s="3">
        <f t="shared" si="47"/>
        <v>1977</v>
      </c>
      <c r="FU40" s="3">
        <v>1727</v>
      </c>
      <c r="FV40" s="4">
        <f>Vesozata!C40 + Etretes!C40 + Kusierna!C40 + Eparia!C40</f>
        <v>61988374.192014478</v>
      </c>
      <c r="FW40" s="6">
        <f t="shared" si="48"/>
        <v>2.5896353201178082E-2</v>
      </c>
      <c r="FX40" s="5">
        <f t="shared" si="49"/>
        <v>1.4866782624167383E-2</v>
      </c>
      <c r="GE40" s="3">
        <f t="shared" si="50"/>
        <v>1977</v>
      </c>
      <c r="GF40" s="3">
        <v>1727</v>
      </c>
      <c r="GG40" s="4">
        <f>Dahe!C40 + Kaastini!C40 + Suenan!C40 + Oyreain!C40 + Sanagara!C40 + 'North Ayre'!C40 + Stinebar!C40 + 'Cloja'!C40 + 'Pha Hii'!C40 + 'Prystr Hii'!C40</f>
        <v>795856419.63256109</v>
      </c>
      <c r="GH40" s="6">
        <f t="shared" si="51"/>
        <v>1.2554751889140833E-2</v>
      </c>
      <c r="GI40" s="5">
        <f t="shared" si="52"/>
        <v>0.19087166819499574</v>
      </c>
      <c r="GP40" s="3">
        <f t="shared" si="53"/>
        <v>1977</v>
      </c>
      <c r="GQ40" s="3">
        <v>1727</v>
      </c>
      <c r="GR40" s="4">
        <f>Maalle!C40 + 'United Delet'!C40 + Ohtina!C40 + Astye!C40 + Prstreula!C40 + Veelmit!C40 + Aplasia!C40 + 'Elja and Munusia'!C40 + Walporein!C40 + 'Crila Republic'!C40 + 'Niretui and Anulan'!C40 + 'Rethern'!C40 + Tvecoca!C40</f>
        <v>102674032.0127569</v>
      </c>
      <c r="GS40" s="6">
        <f t="shared" si="54"/>
        <v>2.126414868132449E-2</v>
      </c>
      <c r="GT40" s="5">
        <f t="shared" si="55"/>
        <v>2.4624496689527622E-2</v>
      </c>
      <c r="HA40" s="3">
        <f t="shared" si="56"/>
        <v>1977</v>
      </c>
      <c r="HB40" s="3">
        <v>1727</v>
      </c>
      <c r="HC40" s="4">
        <f>Andsaudare!C40 + Nia!C40 + Umarcia!C40 + Mendereide!C40 + Iainoa!C40 + Isari!C40 + 'Rkmepuia'!C40 + Hiwush!C40 + Isuibul!C40 + Yutnitu!C40</f>
        <v>36268776.871431485</v>
      </c>
      <c r="HD40" s="6">
        <f t="shared" si="57"/>
        <v>2.6584367567735672E-2</v>
      </c>
      <c r="HE40" s="5">
        <f t="shared" si="58"/>
        <v>8.6984056094418869E-3</v>
      </c>
      <c r="HL40" s="3">
        <f t="shared" si="59"/>
        <v>1977</v>
      </c>
      <c r="HM40" s="3">
        <v>1727</v>
      </c>
      <c r="HN40" s="4">
        <f>Zhanshe!C40 + Volver!C40 + Finae!C40 + Myla!C40 + 'Nheyes Si'!C40 + Onphello!C40 + Hyelen!C40</f>
        <v>67236471.258302391</v>
      </c>
      <c r="HO40" s="6">
        <f t="shared" si="60"/>
        <v>2.2034486345245709E-2</v>
      </c>
      <c r="HP40" s="5">
        <f t="shared" si="61"/>
        <v>1.6125443127721677E-2</v>
      </c>
      <c r="HW40" s="3">
        <f t="shared" si="62"/>
        <v>1977</v>
      </c>
      <c r="HX40" s="3">
        <v>1727</v>
      </c>
      <c r="HY40" s="4">
        <f>Yihnurda!C40 + Ztesh!C40 + Wundry!C40 + Anymna!C40 + Shomjind!C40 + Baluyde!C40 + Letan!C40</f>
        <v>264179819.59659067</v>
      </c>
      <c r="HZ40" s="6">
        <f t="shared" si="63"/>
        <v>2.3389533096787058E-2</v>
      </c>
      <c r="IA40" s="5">
        <f t="shared" si="64"/>
        <v>6.3358718514998899E-2</v>
      </c>
      <c r="IH40" s="3">
        <f t="shared" si="65"/>
        <v>1977</v>
      </c>
      <c r="II40" s="3">
        <v>1727</v>
      </c>
      <c r="IJ40" s="4">
        <f>Iareva!C40 + 'United Mihili'!C40 + 'Mesjan Hyaa'!C40 + Desaki!C40 + 'Far Lands'!C40</f>
        <v>30852200.232155334</v>
      </c>
      <c r="IK40" s="6">
        <f t="shared" si="66"/>
        <v>3.019685078473016E-2</v>
      </c>
      <c r="IL40" s="5">
        <f t="shared" si="67"/>
        <v>7.3993383486387256E-3</v>
      </c>
      <c r="IS40" s="3">
        <f t="shared" si="68"/>
        <v>1977</v>
      </c>
      <c r="IT40" s="3">
        <v>1727</v>
      </c>
      <c r="IU40" s="4">
        <f>Verste!C40 + Quidic!C40 + Erkizil!C40 + Ashain!C40 + Ahokini!C40</f>
        <v>209117906.00927693</v>
      </c>
      <c r="IV40" s="6">
        <f t="shared" si="69"/>
        <v>2.0850580395842859E-2</v>
      </c>
      <c r="IW40" s="5">
        <f t="shared" si="70"/>
        <v>5.0153121322892916E-2</v>
      </c>
    </row>
    <row r="41" spans="1:257" ht="22.5" customHeight="1">
      <c r="A41" s="3">
        <f t="shared" si="0"/>
        <v>1976</v>
      </c>
      <c r="B41" s="3">
        <v>1726</v>
      </c>
      <c r="C41" s="4">
        <f>Acetoa!C41 + Acrana!C41 + Aetintio!C41 + Ahokini!C41 + Amcha!C41 + Andsaudare!C41 + Anymna!C41 + Aplasia!C41 + Arbiya!C41 + 'Areoix Lie'!C41 + Ashain!C41 + Astye!C41 + Baluyde!C41 + Byllu!C41 + 'Candenat'!C41 + 'Canldives'!C41 + 'Chaenia'!C41 + 'Cloja'!C41 + 'Crila Republic'!C41 + 'Cruthi Anoso'!C41 + 'Curata'!C41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'Raledria'!C41 + 'Reerica'!C41 + 'Rethern'!C41 + 'Rijan bu'!C41 + 'Rinew'!C41 + 'Rkmepuia'!C41 + 'Rtesania'!C41 + 'Ruylku'!C41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4099357261.6969438</v>
      </c>
      <c r="D41" s="5">
        <f t="shared" si="1"/>
        <v>1.7024400385775677E-2</v>
      </c>
      <c r="K41" s="3">
        <f t="shared" si="2"/>
        <v>1976</v>
      </c>
      <c r="L41" s="3">
        <v>1726</v>
      </c>
      <c r="M41" s="4">
        <f>Eldavpir!C41 + Iquir!C41 + Viussi!C41 + Umendel!C41 + 'Reerica'!C41 + Saa!C41 + Sattle!C41</f>
        <v>37078843.50862249</v>
      </c>
      <c r="N41" s="5">
        <f t="shared" si="3"/>
        <v>3.002906276521098E-2</v>
      </c>
      <c r="O41" s="5">
        <f t="shared" si="4"/>
        <v>9.0450383173662618E-3</v>
      </c>
      <c r="V41" s="3">
        <f t="shared" si="5"/>
        <v>1976</v>
      </c>
      <c r="W41" s="3">
        <v>1726</v>
      </c>
      <c r="X41" s="4">
        <f>'Areoix Lie'!C41 + Jau!C41 + Terressin!C41 + Acetoa!C41 + 'Feio Lie'!C41</f>
        <v>466844594.29251784</v>
      </c>
      <c r="Y41" s="5">
        <f t="shared" si="6"/>
        <v>1.6817942376664986E-2</v>
      </c>
      <c r="Z41" s="5">
        <f t="shared" si="7"/>
        <v>0.11388238801593639</v>
      </c>
      <c r="AG41" s="3">
        <f t="shared" si="8"/>
        <v>1976</v>
      </c>
      <c r="AH41" s="3">
        <v>1726</v>
      </c>
      <c r="AI41" s="4">
        <f>Taniduna!C41 + Jathua!C41 + Deschon!C41 + Pelines!C41 + 'Candenat'!C41 + Othya!C41 + Yoprioq!C41 + Jshain!C41 + 'Fire Coast'!C41 + 'Rijan bu'!C41 + 'Rinew'!C41 + Enina!C41 + Trevilla!C41</f>
        <v>90107855.068776846</v>
      </c>
      <c r="AJ41" s="5">
        <f t="shared" si="9"/>
        <v>3.0279203213556458E-2</v>
      </c>
      <c r="AK41" s="5">
        <f t="shared" si="10"/>
        <v>2.1980971483192068E-2</v>
      </c>
      <c r="AR41" s="3">
        <f t="shared" si="11"/>
        <v>1976</v>
      </c>
      <c r="AS41" s="3">
        <v>1726</v>
      </c>
      <c r="AT41" s="4">
        <f>Gaeiya!C41 + 'Raledria'!C41 + Arbiya!C41 + Fincen!C41 + 'Curata'!C41</f>
        <v>197215184.30485901</v>
      </c>
      <c r="AU41" s="5">
        <f t="shared" si="12"/>
        <v>9.6924731955224819E-3</v>
      </c>
      <c r="AV41" s="5">
        <f t="shared" si="13"/>
        <v>4.8108806262770344E-2</v>
      </c>
      <c r="BC41" s="3">
        <f t="shared" si="14"/>
        <v>1976</v>
      </c>
      <c r="BD41" s="3">
        <v>1726</v>
      </c>
      <c r="BE41" s="4">
        <f>Etirha!C41 + Laselteh!C41 + Grazail!C41 + 'Disal Nila'!C41 + Pelan!C41 + Peka!C41 + Guise!C41</f>
        <v>74561197.03290002</v>
      </c>
      <c r="BF41" s="5">
        <f t="shared" si="15"/>
        <v>1.5212665960617731E-2</v>
      </c>
      <c r="BG41" s="5">
        <f t="shared" si="16"/>
        <v>1.8188509142536932E-2</v>
      </c>
      <c r="BN41" s="3">
        <f t="shared" si="17"/>
        <v>1976</v>
      </c>
      <c r="BO41" s="3">
        <v>1726</v>
      </c>
      <c r="BP41" s="4">
        <f>Genaire!C41 + 'New Misos'!C41 + Phuris!C41 + Lasri!C41 + Slyiaduun!C41 + Aetintio!C41 + Metndria!C41 + Tomscilus!C41</f>
        <v>59635365.476426058</v>
      </c>
      <c r="BQ41" s="5">
        <f t="shared" si="18"/>
        <v>2.0489711183928797E-2</v>
      </c>
      <c r="BR41" s="5">
        <f t="shared" si="19"/>
        <v>1.4547491635735058E-2</v>
      </c>
      <c r="BY41" s="3">
        <f t="shared" si="20"/>
        <v>1976</v>
      </c>
      <c r="BZ41" s="3">
        <v>1726</v>
      </c>
      <c r="CA41" s="4">
        <f>Ealdorii!C41 + Ukhdari!C41 + Hkuqo!C41 + Acrana!C41 + Zenashan!C41</f>
        <v>189452373.51900324</v>
      </c>
      <c r="CB41" s="7">
        <f t="shared" si="21"/>
        <v>1.4044360741375302E-2</v>
      </c>
      <c r="CC41" s="5">
        <f t="shared" si="22"/>
        <v>4.6215140917134592E-2</v>
      </c>
      <c r="CJ41" s="3">
        <f t="shared" si="23"/>
        <v>1976</v>
      </c>
      <c r="CK41" s="3">
        <v>1726</v>
      </c>
      <c r="CL41" s="4">
        <f>Estijan!C41 + Ikzen!C41 + Urbiqu!C41 + Danocia!C41 + Koruch!C41 + 'New Kizura'!C41 + Lydroa!C41 + Fermori!C41 + Uularin!C41 + 'Niul Spijan'!C41</f>
        <v>216289102.72160089</v>
      </c>
      <c r="CM41" s="7">
        <f t="shared" si="24"/>
        <v>8.775452941733786E-3</v>
      </c>
      <c r="CN41" s="5">
        <f t="shared" si="25"/>
        <v>5.2761710901007744E-2</v>
      </c>
      <c r="CU41" s="3">
        <f t="shared" si="26"/>
        <v>1976</v>
      </c>
      <c r="CV41" s="3">
        <v>1726</v>
      </c>
      <c r="CW41" s="4">
        <f>Praesyu!C41 + Lycroa!C41 + Emara!C41 + Eldjo!C41 + Easuhura!C41 + Ilicuhe!C41 + Tonder!C41</f>
        <v>213492875.52325758</v>
      </c>
      <c r="CX41" s="7">
        <f t="shared" si="27"/>
        <v>2.0887130103404111E-3</v>
      </c>
      <c r="CY41" s="5">
        <f t="shared" si="28"/>
        <v>5.2079597335432395E-2</v>
      </c>
      <c r="DF41" s="3">
        <f t="shared" si="29"/>
        <v>1976</v>
      </c>
      <c r="DG41" s="3">
        <v>1726</v>
      </c>
      <c r="DH41" s="4">
        <f>Verusa!C41 + Darewa!C41 + Siana!C41 + Yaxuto!C41 + 'Merela Sta'!C41 + Palina!C41</f>
        <v>149249109.81533203</v>
      </c>
      <c r="DI41" s="7">
        <f t="shared" si="30"/>
        <v>9.1907366369057761E-3</v>
      </c>
      <c r="DJ41" s="5">
        <f t="shared" si="31"/>
        <v>3.6407929411243801E-2</v>
      </c>
      <c r="DQ41" s="3">
        <f t="shared" si="32"/>
        <v>1976</v>
      </c>
      <c r="DR41" s="3">
        <v>1726</v>
      </c>
      <c r="DS41" s="4">
        <f>Sunsokua!C41 + Vayvele!C41 + Selaja!C41 + Sadain!C41</f>
        <v>104618074.31411876</v>
      </c>
      <c r="DT41" s="7">
        <f t="shared" si="33"/>
        <v>2.5498677756774987E-2</v>
      </c>
      <c r="DU41" s="5">
        <f t="shared" si="34"/>
        <v>2.5520604239995352E-2</v>
      </c>
      <c r="EB41" s="3">
        <f t="shared" si="35"/>
        <v>1976</v>
      </c>
      <c r="EC41" s="3">
        <v>1726</v>
      </c>
      <c r="ED41" s="4">
        <f>Pelugrotoa!C41 + Lieri!C41 + 'Rtesania'!C41 + Ozinia!C41</f>
        <v>270663240.06691819</v>
      </c>
      <c r="EE41" s="7">
        <f t="shared" si="36"/>
        <v>2.0778962079169981E-2</v>
      </c>
      <c r="EF41" s="5">
        <f t="shared" si="37"/>
        <v>6.6025774966214132E-2</v>
      </c>
      <c r="EM41" s="3">
        <f t="shared" si="38"/>
        <v>1976</v>
      </c>
      <c r="EN41" s="3">
        <v>1726</v>
      </c>
      <c r="EO41" s="4">
        <f>Ocaun!C41 + 'Dual Cenryia'!C41 + Byllu!C41 + Exilium!C41 + Inrea!C41 + Amcha!C41 + Isnti!C41 + Galca!C41 + Otiiric!C41 + Taing!C41 + 'Cruthi Anoso'!C41</f>
        <v>124349483.59057732</v>
      </c>
      <c r="EP41" s="7">
        <f t="shared" si="39"/>
        <v>2.923137734940405E-2</v>
      </c>
      <c r="EQ41" s="5">
        <f t="shared" si="40"/>
        <v>3.0333897645969603E-2</v>
      </c>
      <c r="EX41" s="3">
        <f t="shared" si="41"/>
        <v>1976</v>
      </c>
      <c r="EY41" s="3">
        <v>1726</v>
      </c>
      <c r="EZ41" s="4">
        <f>Sivoso!C41 + Taoisia!C41 + Seytinemas!C41 + Trian!C41 + 'Chaenia'!C41</f>
        <v>79535721.766919062</v>
      </c>
      <c r="FA41" s="7">
        <f t="shared" si="42"/>
        <v>2.4970270228158793E-2</v>
      </c>
      <c r="FB41" s="5">
        <f t="shared" si="43"/>
        <v>1.9401998091280036E-2</v>
      </c>
      <c r="FI41" s="3">
        <f t="shared" si="44"/>
        <v>1976</v>
      </c>
      <c r="FJ41" s="3">
        <v>1726</v>
      </c>
      <c r="FK41" s="4">
        <f>Migoku!C41 + 'Welenu Fana'!C41 + Haiza!C41 + Ucrua!C41 + Ihner!C41 + Oscairia!C41 + Shinam!C41 + 'Ruylku'!C41 + Taval!C41 + 'Western Migoku'!C41 + 'Pruim Fijan'!C41 + 'Canldives'!C41</f>
        <v>88664344.716589615</v>
      </c>
      <c r="FL41" s="7">
        <f t="shared" si="45"/>
        <v>2.0447505842809542E-2</v>
      </c>
      <c r="FM41" s="5">
        <f t="shared" si="46"/>
        <v>2.1628840585581625E-2</v>
      </c>
      <c r="FT41" s="3">
        <f t="shared" si="47"/>
        <v>1976</v>
      </c>
      <c r="FU41" s="3">
        <v>1726</v>
      </c>
      <c r="FV41" s="4">
        <f>Vesozata!C41 + Etretes!C41 + Kusierna!C41 + Eparia!C41</f>
        <v>60423622.716454446</v>
      </c>
      <c r="FW41" s="7">
        <f t="shared" si="48"/>
        <v>2.5341870346031695E-2</v>
      </c>
      <c r="FX41" s="5">
        <f t="shared" si="49"/>
        <v>1.473977964327068E-2</v>
      </c>
      <c r="GE41" s="3">
        <f t="shared" si="50"/>
        <v>1976</v>
      </c>
      <c r="GF41" s="3">
        <v>1726</v>
      </c>
      <c r="GG41" s="4">
        <f>Dahe!C41 + Kaastini!C41 + Suenan!C41 + Oyreain!C41 + Sanagara!C41 + 'North Ayre'!C41 + Stinebar!C41 + 'Cloja'!C41 + 'Pha Hii'!C41 + 'Prystr Hii'!C41</f>
        <v>785988528.66743064</v>
      </c>
      <c r="GH41" s="7">
        <f t="shared" si="51"/>
        <v>1.2457537546501904E-2</v>
      </c>
      <c r="GI41" s="5">
        <f t="shared" si="52"/>
        <v>0.19173457654238896</v>
      </c>
      <c r="GP41" s="3">
        <f t="shared" si="53"/>
        <v>1976</v>
      </c>
      <c r="GQ41" s="3">
        <v>1726</v>
      </c>
      <c r="GR41" s="4">
        <f>Maalle!C41 + 'United Delet'!C41 + Ohtina!C41 + Astye!C41 + Prstreula!C41 + Veelmit!C41 + Aplasia!C41 + 'Elja and Munusia'!C41 + Walporein!C41 + 'Crila Republic'!C41 + 'Niretui and Anulan'!C41 + 'Rethern'!C41 + Tvecoca!C41</f>
        <v>100536214.98936543</v>
      </c>
      <c r="GS41" s="7">
        <f t="shared" si="54"/>
        <v>2.1191034634050109E-2</v>
      </c>
      <c r="GT41" s="5">
        <f t="shared" si="55"/>
        <v>2.4524872698640589E-2</v>
      </c>
      <c r="HA41" s="3">
        <f t="shared" si="56"/>
        <v>1976</v>
      </c>
      <c r="HB41" s="3">
        <v>1726</v>
      </c>
      <c r="HC41" s="4">
        <f>Andsaudare!C41 + Nia!C41 + Umarcia!C41 + Mendereide!C41 + Iainoa!C41 + Isari!C41 + 'Rkmepuia'!C41 + Hiwush!C41 + Isuibul!C41 + Yutnitu!C41</f>
        <v>35329562.788260959</v>
      </c>
      <c r="HD41" s="7">
        <f t="shared" si="57"/>
        <v>2.6642743542306595E-2</v>
      </c>
      <c r="HE41" s="5">
        <f t="shared" si="58"/>
        <v>8.618317588068955E-3</v>
      </c>
      <c r="HL41" s="3">
        <f t="shared" si="59"/>
        <v>1976</v>
      </c>
      <c r="HM41" s="3">
        <v>1726</v>
      </c>
      <c r="HN41" s="4">
        <f>Zhanshe!C41 + Volver!C41 + Finae!C41 + Myla!C41 + 'Nheyes Si'!C41 + Onphello!C41 + Hyelen!C41</f>
        <v>65786890.908874623</v>
      </c>
      <c r="HO41" s="7">
        <f t="shared" si="60"/>
        <v>2.2381167825145092E-2</v>
      </c>
      <c r="HP41" s="5">
        <f t="shared" si="61"/>
        <v>1.6048098935793145E-2</v>
      </c>
      <c r="HW41" s="3">
        <f t="shared" si="62"/>
        <v>1976</v>
      </c>
      <c r="HX41" s="3">
        <v>1726</v>
      </c>
      <c r="HY41" s="4">
        <f>Yihnurda!C41 + Ztesh!C41 + Wundry!C41 + Anymna!C41 + Shomjind!C41 + Baluyde!C41 + Letan!C41</f>
        <v>258141998.77262753</v>
      </c>
      <c r="HZ41" s="7">
        <f t="shared" si="63"/>
        <v>2.3494704948130322E-2</v>
      </c>
      <c r="IA41" s="5">
        <f t="shared" si="64"/>
        <v>6.2971334844274765E-2</v>
      </c>
      <c r="IH41" s="3">
        <f t="shared" si="65"/>
        <v>1976</v>
      </c>
      <c r="II41" s="3">
        <v>1726</v>
      </c>
      <c r="IJ41" s="4">
        <f>Iareva!C41 + 'United Mihili'!C41 + 'Mesjan Hyaa'!C41 + Desaki!C41 + 'Far Lands'!C41</f>
        <v>29947868.903554052</v>
      </c>
      <c r="IK41" s="7">
        <f t="shared" si="66"/>
        <v>3.3439349717881824E-2</v>
      </c>
      <c r="IL41" s="5">
        <f t="shared" si="67"/>
        <v>7.3055035196315198E-3</v>
      </c>
      <c r="IS41" s="3">
        <f t="shared" si="68"/>
        <v>1976</v>
      </c>
      <c r="IT41" s="3">
        <v>1726</v>
      </c>
      <c r="IU41" s="4">
        <f>Verste!C41 + Quidic!C41 + Erkizil!C41 + Ashain!C41 + Ahokini!C41</f>
        <v>204846732.73946694</v>
      </c>
      <c r="IV41" s="7">
        <f t="shared" si="69"/>
        <v>2.1505491097171894E-2</v>
      </c>
      <c r="IW41" s="5">
        <f t="shared" si="70"/>
        <v>4.9970451381119656E-2</v>
      </c>
    </row>
    <row r="42" spans="1:257" ht="22.5" customHeight="1">
      <c r="A42" s="3">
        <f t="shared" si="0"/>
        <v>1975</v>
      </c>
      <c r="B42" s="3">
        <v>1725</v>
      </c>
      <c r="C42" s="4">
        <f>Acetoa!C42 + Acrana!C42 + Aetintio!C42 + Ahokini!C42 + Amcha!C42 + Andsaudare!C42 + Anymna!C42 + Aplasia!C42 + Arbiya!C42 + 'Areoix Lie'!C42 + Ashain!C42 + Astye!C42 + Baluyde!C42 + Byllu!C42 + 'Candenat'!C42 + 'Canldives'!C42 + 'Chaenia'!C42 + 'Cloja'!C42 + 'Crila Republic'!C42 + 'Cruthi Anoso'!C42 + 'Curata'!C42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'Raledria'!C42 + 'Reerica'!C42 + 'Rethern'!C42 + 'Rijan bu'!C42 + 'Rinew'!C42 + 'Rkmepuia'!C42 + 'Rtesania'!C42 + 'Ruylku'!C42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4030736391.5182209</v>
      </c>
      <c r="D42" s="5">
        <f t="shared" si="1"/>
        <v>1.6971841405226545E-2</v>
      </c>
      <c r="K42" s="3">
        <f t="shared" si="2"/>
        <v>1975</v>
      </c>
      <c r="L42" s="3">
        <v>1725</v>
      </c>
      <c r="M42" s="4">
        <f>Eldavpir!C42 + Iquir!C42 + Viussi!C42 + Umendel!C42 + 'Reerica'!C42 + Saa!C42 + Sattle!C42</f>
        <v>35997861.467210263</v>
      </c>
      <c r="N42" s="5">
        <f t="shared" si="3"/>
        <v>3.025161296169197E-2</v>
      </c>
      <c r="O42" s="5">
        <f t="shared" si="4"/>
        <v>8.9308399187204793E-3</v>
      </c>
      <c r="V42" s="3">
        <f t="shared" si="5"/>
        <v>1975</v>
      </c>
      <c r="W42" s="3">
        <v>1725</v>
      </c>
      <c r="X42" s="4">
        <f>'Areoix Lie'!C42 + Jau!C42 + Terressin!C42 + Acetoa!C42 + 'Feio Lie'!C42</f>
        <v>459123088.64390814</v>
      </c>
      <c r="Y42" s="5">
        <f t="shared" si="6"/>
        <v>1.7677022723821163E-2</v>
      </c>
      <c r="Z42" s="5">
        <f t="shared" si="7"/>
        <v>0.11390551106493332</v>
      </c>
      <c r="AG42" s="3">
        <f t="shared" si="8"/>
        <v>1975</v>
      </c>
      <c r="AH42" s="3">
        <v>1725</v>
      </c>
      <c r="AI42" s="4">
        <f>Taniduna!C42 + Jathua!C42 + Deschon!C42 + Pelines!C42 + 'Candenat'!C42 + Othya!C42 + Yoprioq!C42 + Jshain!C42 + 'Fire Coast'!C42 + 'Rijan bu'!C42 + 'Rinew'!C42 + Enina!C42 + Trevilla!C42</f>
        <v>87459646.654732361</v>
      </c>
      <c r="AJ42" s="5">
        <f t="shared" si="9"/>
        <v>2.9123259174076214E-2</v>
      </c>
      <c r="AK42" s="5">
        <f t="shared" si="10"/>
        <v>2.1698180719228261E-2</v>
      </c>
      <c r="AR42" s="3">
        <f t="shared" si="11"/>
        <v>1975</v>
      </c>
      <c r="AS42" s="3">
        <v>1725</v>
      </c>
      <c r="AT42" s="4">
        <f>Gaeiya!C42 + 'Raledria'!C42 + Arbiya!C42 + Fincen!C42 + 'Curata'!C42</f>
        <v>195322030.75724936</v>
      </c>
      <c r="AU42" s="5">
        <f t="shared" si="12"/>
        <v>1.187536827135567E-2</v>
      </c>
      <c r="AV42" s="5">
        <f t="shared" si="13"/>
        <v>4.8458150517672327E-2</v>
      </c>
      <c r="BC42" s="3">
        <f t="shared" si="14"/>
        <v>1975</v>
      </c>
      <c r="BD42" s="3">
        <v>1725</v>
      </c>
      <c r="BE42" s="4">
        <f>Etirha!C42 + Laselteh!C42 + Grazail!C42 + 'Disal Nila'!C42 + Pelan!C42 + Peka!C42 + Guise!C42</f>
        <v>73443919.2229231</v>
      </c>
      <c r="BF42" s="5">
        <f t="shared" si="15"/>
        <v>1.5659681408109322E-2</v>
      </c>
      <c r="BG42" s="5">
        <f t="shared" si="16"/>
        <v>1.8220968103364269E-2</v>
      </c>
      <c r="BN42" s="3">
        <f t="shared" si="17"/>
        <v>1975</v>
      </c>
      <c r="BO42" s="3">
        <v>1725</v>
      </c>
      <c r="BP42" s="4">
        <f>Genaire!C42 + 'New Misos'!C42 + Phuris!C42 + Lasri!C42 + Slyiaduun!C42 + Aetintio!C42 + Metndria!C42 + Tomscilus!C42</f>
        <v>58437987.980534993</v>
      </c>
      <c r="BQ42" s="5">
        <f t="shared" si="18"/>
        <v>2.0388707775431406E-2</v>
      </c>
      <c r="BR42" s="5">
        <f t="shared" si="19"/>
        <v>1.4498092235330648E-2</v>
      </c>
      <c r="BY42" s="3">
        <f t="shared" si="20"/>
        <v>1975</v>
      </c>
      <c r="BZ42" s="3">
        <v>1725</v>
      </c>
      <c r="CA42" s="4">
        <f>Ealdorii!C42 + Ukhdari!C42 + Hkuqo!C42 + Acrana!C42 + Zenashan!C42</f>
        <v>186828486.85287616</v>
      </c>
      <c r="CB42" s="6">
        <f t="shared" si="21"/>
        <v>1.4425866342893516E-2</v>
      </c>
      <c r="CC42" s="5">
        <f t="shared" si="22"/>
        <v>4.6350956427221271E-2</v>
      </c>
      <c r="CJ42" s="3">
        <f t="shared" si="23"/>
        <v>1975</v>
      </c>
      <c r="CK42" s="3">
        <v>1725</v>
      </c>
      <c r="CL42" s="4">
        <f>Estijan!C42 + Ikzen!C42 + Urbiqu!C42 + Danocia!C42 + Koruch!C42 + 'New Kizura'!C42 + Lydroa!C42 + Fermori!C42 + Uularin!C42 + 'Niul Spijan'!C42</f>
        <v>214407579.10085031</v>
      </c>
      <c r="CM42" s="6">
        <f t="shared" si="24"/>
        <v>8.9474987667307621E-3</v>
      </c>
      <c r="CN42" s="5">
        <f t="shared" si="25"/>
        <v>5.319315337813281E-2</v>
      </c>
      <c r="CU42" s="3">
        <f t="shared" si="26"/>
        <v>1975</v>
      </c>
      <c r="CV42" s="3">
        <v>1725</v>
      </c>
      <c r="CW42" s="4">
        <f>Praesyu!C42 + Lycroa!C42 + Emara!C42 + Eldjo!C42 + Easuhura!C42 + Ilicuhe!C42 + Tonder!C42</f>
        <v>213047879.64521718</v>
      </c>
      <c r="CX42" s="6">
        <f t="shared" si="27"/>
        <v>2.6471723464104612E-3</v>
      </c>
      <c r="CY42" s="5">
        <f t="shared" si="28"/>
        <v>5.2855820612215818E-2</v>
      </c>
      <c r="DF42" s="3">
        <f t="shared" si="29"/>
        <v>1975</v>
      </c>
      <c r="DG42" s="3">
        <v>1725</v>
      </c>
      <c r="DH42" s="4">
        <f>Verusa!C42 + Darewa!C42 + Siana!C42 + Yaxuto!C42 + 'Merela Sta'!C42 + Palina!C42</f>
        <v>147889892.75971723</v>
      </c>
      <c r="DI42" s="6">
        <f t="shared" si="30"/>
        <v>9.2836031170952481E-3</v>
      </c>
      <c r="DJ42" s="5">
        <f t="shared" si="31"/>
        <v>3.6690539493209794E-2</v>
      </c>
      <c r="DQ42" s="3">
        <f t="shared" si="32"/>
        <v>1975</v>
      </c>
      <c r="DR42" s="3">
        <v>1725</v>
      </c>
      <c r="DS42" s="4">
        <f>Sunsokua!C42 + Vayvele!C42 + Selaja!C42 + Sadain!C42</f>
        <v>102016781.28241506</v>
      </c>
      <c r="DT42" s="6">
        <f t="shared" si="33"/>
        <v>2.5759896287017719E-2</v>
      </c>
      <c r="DU42" s="5">
        <f t="shared" si="34"/>
        <v>2.5309713008542671E-2</v>
      </c>
      <c r="EB42" s="3">
        <f t="shared" si="35"/>
        <v>1975</v>
      </c>
      <c r="EC42" s="3">
        <v>1725</v>
      </c>
      <c r="ED42" s="4">
        <f>Pelugrotoa!C42 + Lieri!C42 + 'Rtesania'!C42 + Ozinia!C42</f>
        <v>265153622.98966148</v>
      </c>
      <c r="EE42" s="6">
        <f t="shared" si="36"/>
        <v>1.6401303693591347E-2</v>
      </c>
      <c r="EF42" s="5">
        <f t="shared" si="37"/>
        <v>6.5782923325776829E-2</v>
      </c>
      <c r="EM42" s="3">
        <f t="shared" si="38"/>
        <v>1975</v>
      </c>
      <c r="EN42" s="3">
        <v>1725</v>
      </c>
      <c r="EO42" s="4">
        <f>Ocaun!C42 + 'Dual Cenryia'!C42 + Byllu!C42 + Exilium!C42 + Inrea!C42 + Amcha!C42 + Isnti!C42 + Galca!C42 + Otiiric!C42 + Taing!C42 + 'Cruthi Anoso'!C42</f>
        <v>120817812.52221102</v>
      </c>
      <c r="EP42" s="6">
        <f t="shared" si="39"/>
        <v>2.9100815958270899E-2</v>
      </c>
      <c r="EQ42" s="5">
        <f t="shared" si="40"/>
        <v>2.9974128989542694E-2</v>
      </c>
      <c r="EX42" s="3">
        <f t="shared" si="41"/>
        <v>1975</v>
      </c>
      <c r="EY42" s="3">
        <v>1725</v>
      </c>
      <c r="EZ42" s="4">
        <f>Sivoso!C42 + Taoisia!C42 + Seytinemas!C42 + Trian!C42 + 'Chaenia'!C42</f>
        <v>77598076.819549486</v>
      </c>
      <c r="FA42" s="6">
        <f t="shared" si="42"/>
        <v>2.5075232685767734E-2</v>
      </c>
      <c r="FB42" s="5">
        <f t="shared" si="43"/>
        <v>1.9251588117455958E-2</v>
      </c>
      <c r="FI42" s="3">
        <f t="shared" si="44"/>
        <v>1975</v>
      </c>
      <c r="FJ42" s="3">
        <v>1725</v>
      </c>
      <c r="FK42" s="4">
        <f>Migoku!C42 + 'Welenu Fana'!C42 + Haiza!C42 + Ucrua!C42 + Ihner!C42 + Oscairia!C42 + Shinam!C42 + 'Ruylku'!C42 + Taval!C42 + 'Western Migoku'!C42 + 'Pruim Fijan'!C42 + 'Canldives'!C42</f>
        <v>86887707.803607032</v>
      </c>
      <c r="FL42" s="6">
        <f t="shared" si="45"/>
        <v>2.1867685256607199E-2</v>
      </c>
      <c r="FM42" s="5">
        <f t="shared" si="46"/>
        <v>2.1556286336770297E-2</v>
      </c>
      <c r="FT42" s="3">
        <f t="shared" si="47"/>
        <v>1975</v>
      </c>
      <c r="FU42" s="3">
        <v>1725</v>
      </c>
      <c r="FV42" s="4">
        <f>Vesozata!C42 + Etretes!C42 + Kusierna!C42 + Eparia!C42</f>
        <v>58930220.703912854</v>
      </c>
      <c r="FW42" s="6">
        <f t="shared" si="48"/>
        <v>2.519289082062701E-2</v>
      </c>
      <c r="FX42" s="5">
        <f t="shared" si="49"/>
        <v>1.4620212035676226E-2</v>
      </c>
      <c r="GE42" s="3">
        <f t="shared" si="50"/>
        <v>1975</v>
      </c>
      <c r="GF42" s="3">
        <v>1725</v>
      </c>
      <c r="GG42" s="4">
        <f>Dahe!C42 + Kaastini!C42 + Suenan!C42 + Oyreain!C42 + Sanagara!C42 + 'North Ayre'!C42 + Stinebar!C42 + 'Cloja'!C42 + 'Pha Hii'!C42 + 'Prystr Hii'!C42</f>
        <v>776317523.96463382</v>
      </c>
      <c r="GH42" s="6">
        <f t="shared" si="51"/>
        <v>1.2406120288993886E-2</v>
      </c>
      <c r="GI42" s="5">
        <f t="shared" si="52"/>
        <v>0.19259942813383174</v>
      </c>
      <c r="GP42" s="3">
        <f t="shared" si="53"/>
        <v>1975</v>
      </c>
      <c r="GQ42" s="3">
        <v>1725</v>
      </c>
      <c r="GR42" s="4">
        <f>Maalle!C42 + 'United Delet'!C42 + Ohtina!C42 + Astye!C42 + Prstreula!C42 + Veelmit!C42 + Aplasia!C42 + 'Elja and Munusia'!C42 + Walporein!C42 + 'Crila Republic'!C42 + 'Niretui and Anulan'!C42 + 'Rethern'!C42 + Tvecoca!C42</f>
        <v>98449958.508882895</v>
      </c>
      <c r="GS42" s="6">
        <f t="shared" si="54"/>
        <v>2.1177916943777284E-2</v>
      </c>
      <c r="GT42" s="5">
        <f t="shared" si="55"/>
        <v>2.4424807019394448E-2</v>
      </c>
      <c r="HA42" s="3">
        <f t="shared" si="56"/>
        <v>1975</v>
      </c>
      <c r="HB42" s="3">
        <v>1725</v>
      </c>
      <c r="HC42" s="4">
        <f>Andsaudare!C42 + Nia!C42 + Umarcia!C42 + Mendereide!C42 + Iainoa!C42 + Isari!C42 + 'Rkmepuia'!C42 + Hiwush!C42 + Isuibul!C42 + Yutnitu!C42</f>
        <v>34412713.683009706</v>
      </c>
      <c r="HD42" s="6">
        <f t="shared" si="57"/>
        <v>2.6633100170187107E-2</v>
      </c>
      <c r="HE42" s="5">
        <f t="shared" si="58"/>
        <v>8.5375748598751165E-3</v>
      </c>
      <c r="HL42" s="3">
        <f t="shared" si="59"/>
        <v>1975</v>
      </c>
      <c r="HM42" s="3">
        <v>1725</v>
      </c>
      <c r="HN42" s="4">
        <f>Zhanshe!C42 + Volver!C42 + Finae!C42 + Myla!C42 + 'Nheyes Si'!C42 + Onphello!C42 + Hyelen!C42</f>
        <v>64346735.815585725</v>
      </c>
      <c r="HO42" s="6">
        <f t="shared" si="60"/>
        <v>2.2896719169510634E-2</v>
      </c>
      <c r="HP42" s="5">
        <f t="shared" si="61"/>
        <v>1.5964014900847642E-2</v>
      </c>
      <c r="HW42" s="3">
        <f t="shared" si="62"/>
        <v>1975</v>
      </c>
      <c r="HX42" s="3">
        <v>1725</v>
      </c>
      <c r="HY42" s="4">
        <f>Yihnurda!C42 + Ztesh!C42 + Wundry!C42 + Anymna!C42 + Shomjind!C42 + Baluyde!C42 + Letan!C42</f>
        <v>252216252.34075823</v>
      </c>
      <c r="HZ42" s="6">
        <f t="shared" si="63"/>
        <v>2.3530893932875833E-2</v>
      </c>
      <c r="IA42" s="5">
        <f t="shared" si="64"/>
        <v>6.2573244152480598E-2</v>
      </c>
      <c r="IH42" s="3">
        <f t="shared" si="65"/>
        <v>1975</v>
      </c>
      <c r="II42" s="3">
        <v>1725</v>
      </c>
      <c r="IJ42" s="4">
        <f>Iareva!C42 + 'United Mihili'!C42 + 'Mesjan Hyaa'!C42 + Desaki!C42 + 'Far Lands'!C42</f>
        <v>28978835.489213284</v>
      </c>
      <c r="IK42" s="6">
        <f t="shared" si="66"/>
        <v>2.8710874421811482E-2</v>
      </c>
      <c r="IL42" s="5">
        <f t="shared" si="67"/>
        <v>7.1894643247305216E-3</v>
      </c>
      <c r="IS42" s="3">
        <f t="shared" si="68"/>
        <v>1975</v>
      </c>
      <c r="IT42" s="3">
        <v>1725</v>
      </c>
      <c r="IU42" s="4">
        <f>Verste!C42 + Quidic!C42 + Erkizil!C42 + Ashain!C42 + Ahokini!C42</f>
        <v>200534147.41750091</v>
      </c>
      <c r="IV42" s="6">
        <f t="shared" si="69"/>
        <v>2.2278927712886819E-2</v>
      </c>
      <c r="IW42" s="5">
        <f t="shared" si="70"/>
        <v>4.9751243430227778E-2</v>
      </c>
    </row>
    <row r="43" spans="1:257" ht="22.5" customHeight="1">
      <c r="A43" s="3">
        <f t="shared" si="0"/>
        <v>1974</v>
      </c>
      <c r="B43" s="3">
        <v>1724</v>
      </c>
      <c r="C43" s="4">
        <f>Acetoa!C43 + Acrana!C43 + Aetintio!C43 + Ahokini!C43 + Amcha!C43 + Andsaudare!C43 + Anymna!C43 + Aplasia!C43 + Arbiya!C43 + 'Areoix Lie'!C43 + Ashain!C43 + Astye!C43 + Baluyde!C43 + Byllu!C43 + 'Candenat'!C43 + 'Canldives'!C43 + 'Chaenia'!C43 + 'Cloja'!C43 + 'Crila Republic'!C43 + 'Cruthi Anoso'!C43 + 'Curata'!C43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'Raledria'!C43 + 'Reerica'!C43 + 'Rethern'!C43 + 'Rijan bu'!C43 + 'Rinew'!C43 + 'Rkmepuia'!C43 + 'Rtesania'!C43 + 'Ruylku'!C43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3963469023.8312292</v>
      </c>
      <c r="D43" s="5">
        <f t="shared" si="1"/>
        <v>1.7860630239554028E-2</v>
      </c>
      <c r="K43" s="3">
        <f t="shared" si="2"/>
        <v>1974</v>
      </c>
      <c r="L43" s="3">
        <v>1724</v>
      </c>
      <c r="M43" s="4">
        <f>Eldavpir!C43 + Iquir!C43 + Viussi!C43 + Umendel!C43 + 'Reerica'!C43 + Saa!C43 + Sattle!C43</f>
        <v>34940844.560996361</v>
      </c>
      <c r="N43" s="5">
        <f t="shared" si="3"/>
        <v>3.0050239710882623E-2</v>
      </c>
      <c r="O43" s="5">
        <f t="shared" si="4"/>
        <v>8.8157228808669504E-3</v>
      </c>
      <c r="V43" s="3">
        <f t="shared" si="5"/>
        <v>1974</v>
      </c>
      <c r="W43" s="3">
        <v>1724</v>
      </c>
      <c r="X43" s="4">
        <f>'Areoix Lie'!C43 + Jau!C43 + Terressin!C43 + Acetoa!C43 + 'Feio Lie'!C43</f>
        <v>451148132.84774899</v>
      </c>
      <c r="Y43" s="5">
        <f t="shared" si="6"/>
        <v>1.8434904259381088E-2</v>
      </c>
      <c r="Z43" s="5">
        <f t="shared" si="7"/>
        <v>0.11382658225285013</v>
      </c>
      <c r="AG43" s="3">
        <f t="shared" si="8"/>
        <v>1974</v>
      </c>
      <c r="AH43" s="3">
        <v>1724</v>
      </c>
      <c r="AI43" s="4">
        <f>Taniduna!C43 + Jathua!C43 + Deschon!C43 + Pelines!C43 + 'Candenat'!C43 + Othya!C43 + Yoprioq!C43 + Jshain!C43 + 'Fire Coast'!C43 + 'Rijan bu'!C43 + 'Rinew'!C43 + Enina!C43 + Trevilla!C43</f>
        <v>84984617.610259026</v>
      </c>
      <c r="AJ43" s="5">
        <f t="shared" si="9"/>
        <v>2.8376692132046889E-2</v>
      </c>
      <c r="AK43" s="5">
        <f t="shared" si="10"/>
        <v>2.1441978503999988E-2</v>
      </c>
      <c r="AR43" s="3">
        <f t="shared" si="11"/>
        <v>1974</v>
      </c>
      <c r="AS43" s="3">
        <v>1724</v>
      </c>
      <c r="AT43" s="4">
        <f>Gaeiya!C43 + 'Raledria'!C43 + Arbiya!C43 + Fincen!C43 + 'Curata'!C43</f>
        <v>193029731.60709417</v>
      </c>
      <c r="AU43" s="5">
        <f t="shared" si="12"/>
        <v>2.3607613210533542E-2</v>
      </c>
      <c r="AV43" s="5">
        <f t="shared" si="13"/>
        <v>4.8702217791147216E-2</v>
      </c>
      <c r="BC43" s="3">
        <f t="shared" si="14"/>
        <v>1974</v>
      </c>
      <c r="BD43" s="3">
        <v>1724</v>
      </c>
      <c r="BE43" s="4">
        <f>Etirha!C43 + Laselteh!C43 + Grazail!C43 + 'Disal Nila'!C43 + Pelan!C43 + Peka!C43 + Guise!C43</f>
        <v>72311543.489745051</v>
      </c>
      <c r="BF43" s="5">
        <f t="shared" si="15"/>
        <v>1.5286649847585333E-2</v>
      </c>
      <c r="BG43" s="5">
        <f t="shared" si="16"/>
        <v>1.8244508296887396E-2</v>
      </c>
      <c r="BN43" s="3">
        <f t="shared" si="17"/>
        <v>1974</v>
      </c>
      <c r="BO43" s="3">
        <v>1724</v>
      </c>
      <c r="BP43" s="4">
        <f>Genaire!C43 + 'New Misos'!C43 + Phuris!C43 + Lasri!C43 + Slyiaduun!C43 + Aetintio!C43 + Metndria!C43 + Tomscilus!C43</f>
        <v>57270320.158615582</v>
      </c>
      <c r="BQ43" s="5">
        <f t="shared" si="18"/>
        <v>2.0654776776959045E-2</v>
      </c>
      <c r="BR43" s="5">
        <f t="shared" si="19"/>
        <v>1.4449544026776843E-2</v>
      </c>
      <c r="BY43" s="3">
        <f t="shared" si="20"/>
        <v>1974</v>
      </c>
      <c r="BZ43" s="3">
        <v>1724</v>
      </c>
      <c r="CA43" s="4">
        <f>Ealdorii!C43 + Ukhdari!C43 + Hkuqo!C43 + Acrana!C43 + Zenashan!C43</f>
        <v>184171651.22810945</v>
      </c>
      <c r="CB43" s="7">
        <f t="shared" si="21"/>
        <v>1.4866366770741364E-2</v>
      </c>
      <c r="CC43" s="5">
        <f t="shared" si="22"/>
        <v>4.6467286642266382E-2</v>
      </c>
      <c r="CJ43" s="3">
        <f t="shared" si="23"/>
        <v>1974</v>
      </c>
      <c r="CK43" s="3">
        <v>1724</v>
      </c>
      <c r="CL43" s="4">
        <f>Estijan!C43 + Ikzen!C43 + Urbiqu!C43 + Danocia!C43 + Koruch!C43 + 'New Kizura'!C43 + Lydroa!C43 + Fermori!C43 + Uularin!C43 + 'Niul Spijan'!C43</f>
        <v>212506180.3145631</v>
      </c>
      <c r="CM43" s="7">
        <f t="shared" si="24"/>
        <v>8.9465438067450279E-3</v>
      </c>
      <c r="CN43" s="5">
        <f t="shared" si="25"/>
        <v>5.3616208184502752E-2</v>
      </c>
      <c r="CU43" s="3">
        <f t="shared" si="26"/>
        <v>1974</v>
      </c>
      <c r="CV43" s="3">
        <v>1724</v>
      </c>
      <c r="CW43" s="4">
        <f>Praesyu!C43 + Lycroa!C43 + Emara!C43 + Eldjo!C43 + Easuhura!C43 + Ilicuhe!C43 + Tonder!C43</f>
        <v>212485394.18571264</v>
      </c>
      <c r="CX43" s="7">
        <f t="shared" si="27"/>
        <v>4.6757399080884906E-3</v>
      </c>
      <c r="CY43" s="5">
        <f t="shared" si="28"/>
        <v>5.361096375626944E-2</v>
      </c>
      <c r="DF43" s="3">
        <f t="shared" si="29"/>
        <v>1974</v>
      </c>
      <c r="DG43" s="3">
        <v>1724</v>
      </c>
      <c r="DH43" s="4">
        <f>Verusa!C43 + Darewa!C43 + Siana!C43 + Yaxuto!C43 + 'Merela Sta'!C43 + Palina!C43</f>
        <v>146529570.38335964</v>
      </c>
      <c r="DI43" s="7">
        <f t="shared" si="30"/>
        <v>8.9236315212910585E-3</v>
      </c>
      <c r="DJ43" s="5">
        <f t="shared" si="31"/>
        <v>3.6970030420906123E-2</v>
      </c>
      <c r="DQ43" s="3">
        <f t="shared" si="32"/>
        <v>1974</v>
      </c>
      <c r="DR43" s="3">
        <v>1724</v>
      </c>
      <c r="DS43" s="4">
        <f>Sunsokua!C43 + Vayvele!C43 + Selaja!C43 + Sadain!C43</f>
        <v>99454835.046377912</v>
      </c>
      <c r="DT43" s="7">
        <f t="shared" si="33"/>
        <v>2.6185458242744788E-2</v>
      </c>
      <c r="DU43" s="5">
        <f t="shared" si="34"/>
        <v>2.5092875571471315E-2</v>
      </c>
      <c r="EB43" s="3">
        <f t="shared" si="35"/>
        <v>1974</v>
      </c>
      <c r="EC43" s="3">
        <v>1724</v>
      </c>
      <c r="ED43" s="4">
        <f>Pelugrotoa!C43 + Lieri!C43 + 'Rtesania'!C43 + Ozinia!C43</f>
        <v>260874933.97154853</v>
      </c>
      <c r="EE43" s="7">
        <f t="shared" si="36"/>
        <v>1.8871765626586722E-2</v>
      </c>
      <c r="EF43" s="5">
        <f t="shared" si="37"/>
        <v>6.5819849329711078E-2</v>
      </c>
      <c r="EM43" s="3">
        <f t="shared" si="38"/>
        <v>1974</v>
      </c>
      <c r="EN43" s="3">
        <v>1724</v>
      </c>
      <c r="EO43" s="4">
        <f>Ocaun!C43 + 'Dual Cenryia'!C43 + Byllu!C43 + Exilium!C43 + Inrea!C43 + Amcha!C43 + Isnti!C43 + Galca!C43 + Otiiric!C43 + Taing!C43 + 'Cruthi Anoso'!C43</f>
        <v>117401337.7977052</v>
      </c>
      <c r="EP43" s="7">
        <f t="shared" si="39"/>
        <v>2.8431134330112056E-2</v>
      </c>
      <c r="EQ43" s="5">
        <f t="shared" si="40"/>
        <v>2.9620854128492954E-2</v>
      </c>
      <c r="EX43" s="3">
        <f t="shared" si="41"/>
        <v>1974</v>
      </c>
      <c r="EY43" s="3">
        <v>1724</v>
      </c>
      <c r="EZ43" s="4">
        <f>Sivoso!C43 + Taoisia!C43 + Seytinemas!C43 + Trian!C43 + 'Chaenia'!C43</f>
        <v>75699884.598945171</v>
      </c>
      <c r="FA43" s="7">
        <f t="shared" si="42"/>
        <v>2.5297631157074667E-2</v>
      </c>
      <c r="FB43" s="5">
        <f t="shared" si="43"/>
        <v>1.9099401091261965E-2</v>
      </c>
      <c r="FI43" s="3">
        <f t="shared" si="44"/>
        <v>1974</v>
      </c>
      <c r="FJ43" s="3">
        <v>1724</v>
      </c>
      <c r="FK43" s="4">
        <f>Migoku!C43 + 'Welenu Fana'!C43 + Haiza!C43 + Ucrua!C43 + Ihner!C43 + Oscairia!C43 + Shinam!C43 + 'Ruylku'!C43 + Taval!C43 + 'Western Migoku'!C43 + 'Pruim Fijan'!C43 + 'Canldives'!C43</f>
        <v>85028334.937304676</v>
      </c>
      <c r="FL43" s="7">
        <f t="shared" si="45"/>
        <v>2.2450460766249257E-2</v>
      </c>
      <c r="FM43" s="5">
        <f t="shared" si="46"/>
        <v>2.145300857053584E-2</v>
      </c>
      <c r="FT43" s="3">
        <f t="shared" si="47"/>
        <v>1974</v>
      </c>
      <c r="FU43" s="3">
        <v>1724</v>
      </c>
      <c r="FV43" s="4">
        <f>Vesozata!C43 + Etretes!C43 + Kusierna!C43 + Eparia!C43</f>
        <v>57482080.91527196</v>
      </c>
      <c r="FW43" s="7">
        <f t="shared" si="48"/>
        <v>2.5732768081932762E-2</v>
      </c>
      <c r="FX43" s="5">
        <f t="shared" si="49"/>
        <v>1.4502972161419278E-2</v>
      </c>
      <c r="GE43" s="3">
        <f t="shared" si="50"/>
        <v>1974</v>
      </c>
      <c r="GF43" s="3">
        <v>1724</v>
      </c>
      <c r="GG43" s="4">
        <f>Dahe!C43 + Kaastini!C43 + Suenan!C43 + Oyreain!C43 + Sanagara!C43 + 'North Ayre'!C43 + Stinebar!C43 + 'Cloja'!C43 + 'Pha Hii'!C43 + 'Prystr Hii'!C43</f>
        <v>766804455.64970708</v>
      </c>
      <c r="GH43" s="7">
        <f t="shared" si="51"/>
        <v>1.235084159350106E-2</v>
      </c>
      <c r="GI43" s="5">
        <f t="shared" si="52"/>
        <v>0.19346800770716932</v>
      </c>
      <c r="GP43" s="3">
        <f t="shared" si="53"/>
        <v>1974</v>
      </c>
      <c r="GQ43" s="3">
        <v>1724</v>
      </c>
      <c r="GR43" s="4">
        <f>Maalle!C43 + 'United Delet'!C43 + Ohtina!C43 + Astye!C43 + Prstreula!C43 + Veelmit!C43 + Aplasia!C43 + 'Elja and Munusia'!C43 + Walporein!C43 + 'Crila Republic'!C43 + 'Niretui and Anulan'!C43 + 'Rethern'!C43 + Tvecoca!C43</f>
        <v>96408232.958589554</v>
      </c>
      <c r="GS43" s="7">
        <f t="shared" si="54"/>
        <v>2.1074864009197752E-2</v>
      </c>
      <c r="GT43" s="5">
        <f t="shared" si="55"/>
        <v>2.4324204977738906E-2</v>
      </c>
      <c r="HA43" s="3">
        <f t="shared" si="56"/>
        <v>1974</v>
      </c>
      <c r="HB43" s="3">
        <v>1724</v>
      </c>
      <c r="HC43" s="4">
        <f>Andsaudare!C43 + Nia!C43 + Umarcia!C43 + Mendereide!C43 + Iainoa!C43 + Isari!C43 + 'Rkmepuia'!C43 + Hiwush!C43 + Isuibul!C43 + Yutnitu!C43</f>
        <v>33519972.887397688</v>
      </c>
      <c r="HD43" s="7">
        <f t="shared" si="57"/>
        <v>2.6736027279576413E-2</v>
      </c>
      <c r="HE43" s="5">
        <f t="shared" si="58"/>
        <v>8.4572309473977154E-3</v>
      </c>
      <c r="HL43" s="3">
        <f t="shared" si="59"/>
        <v>1974</v>
      </c>
      <c r="HM43" s="3">
        <v>1724</v>
      </c>
      <c r="HN43" s="4">
        <f>Zhanshe!C43 + Volver!C43 + Finae!C43 + Myla!C43 + 'Nheyes Si'!C43 + Onphello!C43 + Hyelen!C43</f>
        <v>62906385.962239482</v>
      </c>
      <c r="HO43" s="7">
        <f t="shared" si="60"/>
        <v>2.3329157853527554E-2</v>
      </c>
      <c r="HP43" s="5">
        <f t="shared" si="61"/>
        <v>1.587154726932417E-2</v>
      </c>
      <c r="HW43" s="3">
        <f t="shared" si="62"/>
        <v>1974</v>
      </c>
      <c r="HX43" s="3">
        <v>1724</v>
      </c>
      <c r="HY43" s="4">
        <f>Yihnurda!C43 + Ztesh!C43 + Wundry!C43 + Anymna!C43 + Shomjind!C43 + Baluyde!C43 + Letan!C43</f>
        <v>246417820.7378065</v>
      </c>
      <c r="HZ43" s="7">
        <f t="shared" si="63"/>
        <v>2.3513982908881192E-2</v>
      </c>
      <c r="IA43" s="5">
        <f t="shared" si="64"/>
        <v>6.2172258507929581E-2</v>
      </c>
      <c r="IH43" s="3">
        <f t="shared" si="65"/>
        <v>1974</v>
      </c>
      <c r="II43" s="3">
        <v>1724</v>
      </c>
      <c r="IJ43" s="4">
        <f>Iareva!C43 + 'United Mihili'!C43 + 'Mesjan Hyaa'!C43 + Desaki!C43 + 'Far Lands'!C43</f>
        <v>28170048.756897688</v>
      </c>
      <c r="IK43" s="7">
        <f t="shared" si="66"/>
        <v>2.3571859364087424E-2</v>
      </c>
      <c r="IL43" s="5">
        <f t="shared" si="67"/>
        <v>7.1074224593453547E-3</v>
      </c>
      <c r="IS43" s="3">
        <f t="shared" si="68"/>
        <v>1974</v>
      </c>
      <c r="IT43" s="3">
        <v>1724</v>
      </c>
      <c r="IU43" s="4">
        <f>Verste!C43 + Quidic!C43 + Erkizil!C43 + Ashain!C43 + Ahokini!C43</f>
        <v>196163827.68071899</v>
      </c>
      <c r="IV43" s="7">
        <f t="shared" si="69"/>
        <v>2.3240816703485705E-2</v>
      </c>
      <c r="IW43" s="5">
        <f t="shared" si="70"/>
        <v>4.9492963487601599E-2</v>
      </c>
    </row>
    <row r="44" spans="1:257" ht="22.5" customHeight="1">
      <c r="A44" s="3">
        <f t="shared" si="0"/>
        <v>1973</v>
      </c>
      <c r="B44" s="3">
        <v>1723</v>
      </c>
      <c r="C44" s="4">
        <f>Acetoa!C44 + Acrana!C44 + Aetintio!C44 + Ahokini!C44 + Amcha!C44 + Andsaudare!C44 + Anymna!C44 + Aplasia!C44 + Arbiya!C44 + 'Areoix Lie'!C44 + Ashain!C44 + Astye!C44 + Baluyde!C44 + Byllu!C44 + 'Candenat'!C44 + 'Canldives'!C44 + 'Chaenia'!C44 + 'Cloja'!C44 + 'Crila Republic'!C44 + 'Cruthi Anoso'!C44 + 'Curata'!C44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'Raledria'!C44 + 'Reerica'!C44 + 'Rethern'!C44 + 'Rijan bu'!C44 + 'Rinew'!C44 + 'Rkmepuia'!C44 + 'Rtesania'!C44 + 'Ruylku'!C44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3893921138.1998582</v>
      </c>
      <c r="D44" s="5">
        <f t="shared" si="1"/>
        <v>1.7639237303446676E-2</v>
      </c>
      <c r="K44" s="3">
        <f t="shared" si="2"/>
        <v>1973</v>
      </c>
      <c r="L44" s="3">
        <v>1723</v>
      </c>
      <c r="M44" s="4">
        <f>Eldavpir!C44 + Iquir!C44 + Viussi!C44 + Umendel!C44 + 'Reerica'!C44 + Saa!C44 + Sattle!C44</f>
        <v>33921495.490165271</v>
      </c>
      <c r="N44" s="5">
        <f t="shared" si="3"/>
        <v>2.9925644567400669E-2</v>
      </c>
      <c r="O44" s="5">
        <f t="shared" si="4"/>
        <v>8.7113976596472683E-3</v>
      </c>
      <c r="V44" s="3">
        <f t="shared" si="5"/>
        <v>1973</v>
      </c>
      <c r="W44" s="3">
        <v>1723</v>
      </c>
      <c r="X44" s="4">
        <f>'Areoix Lie'!C44 + Jau!C44 + Terressin!C44 + Acetoa!C44 + 'Feio Lie'!C44</f>
        <v>442981805.67154628</v>
      </c>
      <c r="Y44" s="5">
        <f t="shared" si="6"/>
        <v>1.9069182896263873E-2</v>
      </c>
      <c r="Z44" s="5">
        <f t="shared" si="7"/>
        <v>0.11376239783744946</v>
      </c>
      <c r="AG44" s="3">
        <f t="shared" si="8"/>
        <v>1973</v>
      </c>
      <c r="AH44" s="3">
        <v>1723</v>
      </c>
      <c r="AI44" s="4">
        <f>Taniduna!C44 + Jathua!C44 + Deschon!C44 + Pelines!C44 + 'Candenat'!C44 + Othya!C44 + Yoprioq!C44 + Jshain!C44 + 'Fire Coast'!C44 + 'Rijan bu'!C44 + 'Rinew'!C44 + Enina!C44 + Trevilla!C44</f>
        <v>82639579.699212715</v>
      </c>
      <c r="AJ44" s="5">
        <f t="shared" si="9"/>
        <v>2.7669880353674764E-2</v>
      </c>
      <c r="AK44" s="5">
        <f t="shared" si="10"/>
        <v>2.1222715295517416E-2</v>
      </c>
      <c r="AR44" s="3">
        <f t="shared" si="11"/>
        <v>1973</v>
      </c>
      <c r="AS44" s="3">
        <v>1723</v>
      </c>
      <c r="AT44" s="4">
        <f>Gaeiya!C44 + 'Raledria'!C44 + Arbiya!C44 + Fincen!C44 + 'Curata'!C44</f>
        <v>188577858.46439597</v>
      </c>
      <c r="AU44" s="5">
        <f t="shared" si="12"/>
        <v>1.4662268664174626E-2</v>
      </c>
      <c r="AV44" s="5">
        <f t="shared" si="13"/>
        <v>4.8428782137990255E-2</v>
      </c>
      <c r="BC44" s="3">
        <f t="shared" si="14"/>
        <v>1973</v>
      </c>
      <c r="BD44" s="3">
        <v>1723</v>
      </c>
      <c r="BE44" s="4">
        <f>Etirha!C44 + Laselteh!C44 + Grazail!C44 + 'Disal Nila'!C44 + Pelan!C44 + Peka!C44 + Guise!C44</f>
        <v>71222785.703525648</v>
      </c>
      <c r="BF44" s="5">
        <f t="shared" si="15"/>
        <v>1.4923087676696506E-2</v>
      </c>
      <c r="BG44" s="5">
        <f t="shared" si="16"/>
        <v>1.8290762235737421E-2</v>
      </c>
      <c r="BN44" s="3">
        <f t="shared" si="17"/>
        <v>1973</v>
      </c>
      <c r="BO44" s="3">
        <v>1723</v>
      </c>
      <c r="BP44" s="4">
        <f>Genaire!C44 + 'New Misos'!C44 + Phuris!C44 + Lasri!C44 + Slyiaduun!C44 + Aetintio!C44 + Metndria!C44 + Tomscilus!C44</f>
        <v>56111352.69406642</v>
      </c>
      <c r="BQ44" s="5">
        <f t="shared" si="18"/>
        <v>2.1118332172142727E-2</v>
      </c>
      <c r="BR44" s="5">
        <f t="shared" si="19"/>
        <v>1.4409986926444648E-2</v>
      </c>
      <c r="BY44" s="3">
        <f t="shared" si="20"/>
        <v>1973</v>
      </c>
      <c r="BZ44" s="3">
        <v>1723</v>
      </c>
      <c r="CA44" s="4">
        <f>Ealdorii!C44 + Ukhdari!C44 + Hkuqo!C44 + Acrana!C44 + Zenashan!C44</f>
        <v>181473795.22895736</v>
      </c>
      <c r="CB44" s="6">
        <f t="shared" si="21"/>
        <v>1.5409388732130821E-2</v>
      </c>
      <c r="CC44" s="5">
        <f t="shared" si="22"/>
        <v>4.6604383804457798E-2</v>
      </c>
      <c r="CJ44" s="3">
        <f t="shared" si="23"/>
        <v>1973</v>
      </c>
      <c r="CK44" s="3">
        <v>1723</v>
      </c>
      <c r="CL44" s="4">
        <f>Estijan!C44 + Ikzen!C44 + Urbiqu!C44 + Danocia!C44 + Koruch!C44 + 'New Kizura'!C44 + Lydroa!C44 + Fermori!C44 + Uularin!C44 + 'Niul Spijan'!C44</f>
        <v>210621842.77155006</v>
      </c>
      <c r="CM44" s="6">
        <f t="shared" si="24"/>
        <v>8.8098883143080571E-3</v>
      </c>
      <c r="CN44" s="5">
        <f t="shared" si="25"/>
        <v>5.4089909707036227E-2</v>
      </c>
      <c r="CU44" s="3">
        <f t="shared" si="26"/>
        <v>1973</v>
      </c>
      <c r="CV44" s="3">
        <v>1723</v>
      </c>
      <c r="CW44" s="4">
        <f>Praesyu!C44 + Lycroa!C44 + Emara!C44 + Eldjo!C44 + Easuhura!C44 + Ilicuhe!C44 + Tonder!C44</f>
        <v>211496491.59952006</v>
      </c>
      <c r="CX44" s="6">
        <f t="shared" si="27"/>
        <v>6.4957708095497047E-3</v>
      </c>
      <c r="CY44" s="5">
        <f t="shared" si="28"/>
        <v>5.4314528747054676E-2</v>
      </c>
      <c r="DF44" s="3">
        <f t="shared" si="29"/>
        <v>1973</v>
      </c>
      <c r="DG44" s="3">
        <v>1723</v>
      </c>
      <c r="DH44" s="4">
        <f>Verusa!C44 + Darewa!C44 + Siana!C44 + Yaxuto!C44 + 'Merela Sta'!C44 + Palina!C44</f>
        <v>145233559.61284912</v>
      </c>
      <c r="DI44" s="6">
        <f t="shared" si="30"/>
        <v>8.6173563128250485E-3</v>
      </c>
      <c r="DJ44" s="5">
        <f t="shared" si="31"/>
        <v>3.7297509235122803E-2</v>
      </c>
      <c r="DQ44" s="3">
        <f t="shared" si="32"/>
        <v>1973</v>
      </c>
      <c r="DR44" s="3">
        <v>1723</v>
      </c>
      <c r="DS44" s="4">
        <f>Sunsokua!C44 + Vayvele!C44 + Selaja!C44 + Sadain!C44</f>
        <v>96917018.505296156</v>
      </c>
      <c r="DT44" s="6">
        <f t="shared" si="33"/>
        <v>2.6644538076913655E-2</v>
      </c>
      <c r="DU44" s="5">
        <f t="shared" si="34"/>
        <v>2.4889312100989401E-2</v>
      </c>
      <c r="EB44" s="3">
        <f t="shared" si="35"/>
        <v>1973</v>
      </c>
      <c r="EC44" s="3">
        <v>1723</v>
      </c>
      <c r="ED44" s="4">
        <f>Pelugrotoa!C44 + Lieri!C44 + 'Rtesania'!C44 + Ozinia!C44</f>
        <v>256042951.40234396</v>
      </c>
      <c r="EE44" s="6">
        <f t="shared" si="36"/>
        <v>2.0055339013129215E-2</v>
      </c>
      <c r="EF44" s="5">
        <f t="shared" si="37"/>
        <v>6.5754529256006305E-2</v>
      </c>
      <c r="EM44" s="3">
        <f t="shared" si="38"/>
        <v>1973</v>
      </c>
      <c r="EN44" s="3">
        <v>1723</v>
      </c>
      <c r="EO44" s="4">
        <f>Ocaun!C44 + 'Dual Cenryia'!C44 + Byllu!C44 + Exilium!C44 + Inrea!C44 + Amcha!C44 + Isnti!C44 + Galca!C44 + Otiiric!C44 + Taing!C44 + 'Cruthi Anoso'!C44</f>
        <v>114155760.04919063</v>
      </c>
      <c r="EP44" s="6">
        <f t="shared" si="39"/>
        <v>2.7886728983386785E-2</v>
      </c>
      <c r="EQ44" s="5">
        <f t="shared" si="40"/>
        <v>2.931640266910087E-2</v>
      </c>
      <c r="EX44" s="3">
        <f t="shared" si="41"/>
        <v>1973</v>
      </c>
      <c r="EY44" s="3">
        <v>1723</v>
      </c>
      <c r="EZ44" s="4">
        <f>Sivoso!C44 + Taoisia!C44 + Seytinemas!C44 + Trian!C44 + 'Chaenia'!C44</f>
        <v>73832107.18385832</v>
      </c>
      <c r="FA44" s="6">
        <f t="shared" si="42"/>
        <v>2.5543433339522543E-2</v>
      </c>
      <c r="FB44" s="5">
        <f t="shared" si="43"/>
        <v>1.8960863500689838E-2</v>
      </c>
      <c r="FI44" s="3">
        <f t="shared" si="44"/>
        <v>1973</v>
      </c>
      <c r="FJ44" s="3">
        <v>1723</v>
      </c>
      <c r="FK44" s="4">
        <f>Migoku!C44 + 'Welenu Fana'!C44 + Haiza!C44 + Ucrua!C44 + Ihner!C44 + Oscairia!C44 + Shinam!C44 + 'Ruylku'!C44 + Taval!C44 + 'Western Migoku'!C44 + 'Pruim Fijan'!C44 + 'Canldives'!C44</f>
        <v>83161324.875908777</v>
      </c>
      <c r="FL44" s="6">
        <f t="shared" si="45"/>
        <v>2.2239754435358798E-2</v>
      </c>
      <c r="FM44" s="5">
        <f t="shared" si="46"/>
        <v>2.1356704957397745E-2</v>
      </c>
      <c r="FT44" s="3">
        <f t="shared" si="47"/>
        <v>1973</v>
      </c>
      <c r="FU44" s="3">
        <v>1723</v>
      </c>
      <c r="FV44" s="4">
        <f>Vesozata!C44 + Etretes!C44 + Kusierna!C44 + Eparia!C44</f>
        <v>56040016.175714538</v>
      </c>
      <c r="FW44" s="6">
        <f t="shared" si="48"/>
        <v>2.6273620420430074E-2</v>
      </c>
      <c r="FX44" s="5">
        <f t="shared" si="49"/>
        <v>1.4391666956465784E-2</v>
      </c>
      <c r="GE44" s="3">
        <f t="shared" si="50"/>
        <v>1973</v>
      </c>
      <c r="GF44" s="3">
        <v>1723</v>
      </c>
      <c r="GG44" s="4">
        <f>Dahe!C44 + Kaastini!C44 + Suenan!C44 + Oyreain!C44 + Sanagara!C44 + 'North Ayre'!C44 + Stinebar!C44 + 'Cloja'!C44 + 'Pha Hii'!C44 + 'Prystr Hii'!C44</f>
        <v>757449319.09446609</v>
      </c>
      <c r="GH44" s="6">
        <f t="shared" si="51"/>
        <v>1.2348683279942291E-2</v>
      </c>
      <c r="GI44" s="5">
        <f t="shared" si="52"/>
        <v>0.19452097056198508</v>
      </c>
      <c r="GP44" s="3">
        <f t="shared" si="53"/>
        <v>1973</v>
      </c>
      <c r="GQ44" s="3">
        <v>1723</v>
      </c>
      <c r="GR44" s="4">
        <f>Maalle!C44 + 'United Delet'!C44 + Ohtina!C44 + Astye!C44 + Prstreula!C44 + Veelmit!C44 + Aplasia!C44 + 'Elja and Munusia'!C44 + Walporein!C44 + 'Crila Republic'!C44 + 'Niretui and Anulan'!C44 + 'Rethern'!C44 + Tvecoca!C44</f>
        <v>94418378.472316518</v>
      </c>
      <c r="GS44" s="6">
        <f t="shared" si="54"/>
        <v>2.0887667402179923E-2</v>
      </c>
      <c r="GT44" s="5">
        <f t="shared" si="55"/>
        <v>2.4247634998577731E-2</v>
      </c>
      <c r="HA44" s="3">
        <f t="shared" si="56"/>
        <v>1973</v>
      </c>
      <c r="HB44" s="3">
        <v>1723</v>
      </c>
      <c r="HC44" s="4">
        <f>Andsaudare!C44 + Nia!C44 + Umarcia!C44 + Mendereide!C44 + Iainoa!C44 + Isari!C44 + 'Rkmepuia'!C44 + Hiwush!C44 + Isuibul!C44 + Yutnitu!C44</f>
        <v>32647118.633025549</v>
      </c>
      <c r="HD44" s="6">
        <f t="shared" si="57"/>
        <v>2.6682242050360704E-2</v>
      </c>
      <c r="HE44" s="5">
        <f t="shared" si="58"/>
        <v>8.3841242476004954E-3</v>
      </c>
      <c r="HL44" s="3">
        <f t="shared" si="59"/>
        <v>1973</v>
      </c>
      <c r="HM44" s="3">
        <v>1723</v>
      </c>
      <c r="HN44" s="4">
        <f>Zhanshe!C44 + Volver!C44 + Finae!C44 + Myla!C44 + 'Nheyes Si'!C44 + Onphello!C44 + Hyelen!C44</f>
        <v>61472289.223330699</v>
      </c>
      <c r="HO44" s="6">
        <f t="shared" si="60"/>
        <v>2.3729941276654995E-2</v>
      </c>
      <c r="HP44" s="5">
        <f t="shared" si="61"/>
        <v>1.5786731944897336E-2</v>
      </c>
      <c r="HW44" s="3">
        <f t="shared" si="62"/>
        <v>1973</v>
      </c>
      <c r="HX44" s="3">
        <v>1723</v>
      </c>
      <c r="HY44" s="4">
        <f>Yihnurda!C44 + Ztesh!C44 + Wundry!C44 + Anymna!C44 + Shomjind!C44 + Baluyde!C44 + Letan!C44</f>
        <v>240756672.45646605</v>
      </c>
      <c r="HZ44" s="6">
        <f t="shared" si="63"/>
        <v>2.3435002365397171E-2</v>
      </c>
      <c r="IA44" s="5">
        <f t="shared" si="64"/>
        <v>6.1828851666925838E-2</v>
      </c>
      <c r="IH44" s="3">
        <f t="shared" si="65"/>
        <v>1973</v>
      </c>
      <c r="II44" s="3">
        <v>1723</v>
      </c>
      <c r="IJ44" s="4">
        <f>Iareva!C44 + 'United Mihili'!C44 + 'Mesjan Hyaa'!C44 + Desaki!C44 + 'Far Lands'!C44</f>
        <v>27521320.070677638</v>
      </c>
      <c r="IK44" s="6">
        <f t="shared" si="66"/>
        <v>2.259112638893113E-2</v>
      </c>
      <c r="IL44" s="5">
        <f t="shared" si="67"/>
        <v>7.0677651379967643E-3</v>
      </c>
      <c r="IS44" s="3">
        <f t="shared" si="68"/>
        <v>1973</v>
      </c>
      <c r="IT44" s="3">
        <v>1723</v>
      </c>
      <c r="IU44" s="4">
        <f>Verste!C44 + Quidic!C44 + Erkizil!C44 + Ashain!C44 + Ahokini!C44</f>
        <v>191708368.62498152</v>
      </c>
      <c r="IV44" s="6">
        <f t="shared" si="69"/>
        <v>2.3337918943426714E-2</v>
      </c>
      <c r="IW44" s="5">
        <f t="shared" si="70"/>
        <v>4.9232730150669514E-2</v>
      </c>
    </row>
    <row r="45" spans="1:257" ht="22.5" customHeight="1">
      <c r="A45" s="3">
        <f t="shared" si="0"/>
        <v>1972</v>
      </c>
      <c r="B45" s="3">
        <v>1722</v>
      </c>
      <c r="C45" s="4">
        <f>Acetoa!C45 + Acrana!C45 + Aetintio!C45 + Ahokini!C45 + Amcha!C45 + Andsaudare!C45 + Anymna!C45 + Aplasia!C45 + Arbiya!C45 + 'Areoix Lie'!C45 + Ashain!C45 + Astye!C45 + Baluyde!C45 + Byllu!C45 + 'Candenat'!C45 + 'Canldives'!C45 + 'Chaenia'!C45 + 'Cloja'!C45 + 'Crila Republic'!C45 + 'Cruthi Anoso'!C45 + 'Curata'!C45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'Raledria'!C45 + 'Reerica'!C45 + 'Rethern'!C45 + 'Rijan bu'!C45 + 'Rinew'!C45 + 'Rkmepuia'!C45 + 'Rtesania'!C45 + 'Ruylku'!C45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3826425903.6611242</v>
      </c>
      <c r="D45" s="5">
        <f t="shared" si="1"/>
        <v>1.7635899789233342E-2</v>
      </c>
      <c r="K45" s="3">
        <f t="shared" si="2"/>
        <v>1972</v>
      </c>
      <c r="L45" s="3">
        <v>1722</v>
      </c>
      <c r="M45" s="4">
        <f>Eldavpir!C45 + Iquir!C45 + Viussi!C45 + Umendel!C45 + 'Reerica'!C45 + Saa!C45 + Sattle!C45</f>
        <v>32935868.398939911</v>
      </c>
      <c r="N45" s="5">
        <f t="shared" si="3"/>
        <v>2.9818131860896789E-2</v>
      </c>
      <c r="O45" s="5">
        <f t="shared" si="4"/>
        <v>8.6074758085415617E-3</v>
      </c>
      <c r="V45" s="3">
        <f t="shared" si="5"/>
        <v>1972</v>
      </c>
      <c r="W45" s="3">
        <v>1722</v>
      </c>
      <c r="X45" s="4">
        <f>'Areoix Lie'!C45 + Jau!C45 + Terressin!C45 + Acetoa!C45 + 'Feio Lie'!C45</f>
        <v>434692573.48412979</v>
      </c>
      <c r="Y45" s="5">
        <f t="shared" si="6"/>
        <v>1.9456362613234988E-2</v>
      </c>
      <c r="Z45" s="5">
        <f t="shared" si="7"/>
        <v>0.11360276781218107</v>
      </c>
      <c r="AG45" s="3">
        <f t="shared" si="8"/>
        <v>1972</v>
      </c>
      <c r="AH45" s="3">
        <v>1722</v>
      </c>
      <c r="AI45" s="4">
        <f>Taniduna!C45 + Jathua!C45 + Deschon!C45 + Pelines!C45 + 'Candenat'!C45 + Othya!C45 + Yoprioq!C45 + Jshain!C45 + 'Fire Coast'!C45 + 'Rijan bu'!C45 + 'Rinew'!C45 + Enina!C45 + Trevilla!C45</f>
        <v>80414519.564173788</v>
      </c>
      <c r="AJ45" s="5">
        <f t="shared" si="9"/>
        <v>2.6910652490899006E-2</v>
      </c>
      <c r="AK45" s="5">
        <f t="shared" si="10"/>
        <v>2.1015569512853542E-2</v>
      </c>
      <c r="AR45" s="3">
        <f t="shared" si="11"/>
        <v>1972</v>
      </c>
      <c r="AS45" s="3">
        <v>1722</v>
      </c>
      <c r="AT45" s="4">
        <f>Gaeiya!C45 + 'Raledria'!C45 + Arbiya!C45 + Fincen!C45 + 'Curata'!C45</f>
        <v>185852834.27623942</v>
      </c>
      <c r="AU45" s="5">
        <f t="shared" si="12"/>
        <v>1.7456083534491646E-2</v>
      </c>
      <c r="AV45" s="5">
        <f t="shared" si="13"/>
        <v>4.8570869776523161E-2</v>
      </c>
      <c r="BC45" s="3">
        <f t="shared" si="14"/>
        <v>1972</v>
      </c>
      <c r="BD45" s="3">
        <v>1722</v>
      </c>
      <c r="BE45" s="4">
        <f>Etirha!C45 + Laselteh!C45 + Grazail!C45 + 'Disal Nila'!C45 + Pelan!C45 + Peka!C45 + Guise!C45</f>
        <v>70175549.82078962</v>
      </c>
      <c r="BF45" s="5">
        <f t="shared" si="15"/>
        <v>1.5005624667980628E-2</v>
      </c>
      <c r="BG45" s="5">
        <f t="shared" si="16"/>
        <v>1.8339712198175758E-2</v>
      </c>
      <c r="BN45" s="3">
        <f t="shared" si="17"/>
        <v>1972</v>
      </c>
      <c r="BO45" s="3">
        <v>1722</v>
      </c>
      <c r="BP45" s="4">
        <f>Genaire!C45 + 'New Misos'!C45 + Phuris!C45 + Lasri!C45 + Slyiaduun!C45 + Aetintio!C45 + Metndria!C45 + Tomscilus!C45</f>
        <v>54950881.720735796</v>
      </c>
      <c r="BQ45" s="5">
        <f t="shared" si="18"/>
        <v>2.1536060550102636E-2</v>
      </c>
      <c r="BR45" s="5">
        <f t="shared" si="19"/>
        <v>1.4360890058829779E-2</v>
      </c>
      <c r="BY45" s="3">
        <f t="shared" si="20"/>
        <v>1972</v>
      </c>
      <c r="BZ45" s="3">
        <v>1722</v>
      </c>
      <c r="CA45" s="4">
        <f>Ealdorii!C45 + Ukhdari!C45 + Hkuqo!C45 + Acrana!C45 + Zenashan!C45</f>
        <v>178719831.86559927</v>
      </c>
      <c r="CB45" s="7">
        <f t="shared" si="21"/>
        <v>1.6011199150604765E-2</v>
      </c>
      <c r="CC45" s="5">
        <f t="shared" si="22"/>
        <v>4.6706727469778032E-2</v>
      </c>
      <c r="CJ45" s="3">
        <f t="shared" si="23"/>
        <v>1972</v>
      </c>
      <c r="CK45" s="3">
        <v>1722</v>
      </c>
      <c r="CL45" s="4">
        <f>Estijan!C45 + Ikzen!C45 + Urbiqu!C45 + Danocia!C45 + Koruch!C45 + 'New Kizura'!C45 + Lydroa!C45 + Fermori!C45 + Uularin!C45 + 'Niul Spijan'!C45</f>
        <v>208782492.33212119</v>
      </c>
      <c r="CM45" s="7">
        <f t="shared" si="24"/>
        <v>8.363798650920835E-3</v>
      </c>
      <c r="CN45" s="5">
        <f t="shared" si="25"/>
        <v>5.4563317724866466E-2</v>
      </c>
      <c r="CU45" s="3">
        <f t="shared" si="26"/>
        <v>1972</v>
      </c>
      <c r="CV45" s="3">
        <v>1722</v>
      </c>
      <c r="CW45" s="4">
        <f>Praesyu!C45 + Lycroa!C45 + Emara!C45 + Eldjo!C45 + Easuhura!C45 + Ilicuhe!C45 + Tonder!C45</f>
        <v>210131525.37084994</v>
      </c>
      <c r="CX45" s="7">
        <f t="shared" si="27"/>
        <v>6.8018111750426978E-3</v>
      </c>
      <c r="CY45" s="5">
        <f t="shared" si="28"/>
        <v>5.4915874672967296E-2</v>
      </c>
      <c r="DF45" s="3">
        <f t="shared" si="29"/>
        <v>1972</v>
      </c>
      <c r="DG45" s="3">
        <v>1722</v>
      </c>
      <c r="DH45" s="4">
        <f>Verusa!C45 + Darewa!C45 + Siana!C45 + Yaxuto!C45 + 'Merela Sta'!C45 + Palina!C45</f>
        <v>143992723.01219907</v>
      </c>
      <c r="DI45" s="7">
        <f t="shared" si="30"/>
        <v>9.3770295113560827E-3</v>
      </c>
      <c r="DJ45" s="5">
        <f t="shared" si="31"/>
        <v>3.7631128012808726E-2</v>
      </c>
      <c r="DQ45" s="3">
        <f t="shared" si="32"/>
        <v>1972</v>
      </c>
      <c r="DR45" s="3">
        <v>1722</v>
      </c>
      <c r="DS45" s="4">
        <f>Sunsokua!C45 + Vayvele!C45 + Selaja!C45 + Sadain!C45</f>
        <v>94401728.067281038</v>
      </c>
      <c r="DT45" s="7">
        <f t="shared" si="33"/>
        <v>2.6995406424411103E-2</v>
      </c>
      <c r="DU45" s="5">
        <f t="shared" si="34"/>
        <v>2.4670993361444023E-2</v>
      </c>
      <c r="EB45" s="3">
        <f t="shared" si="35"/>
        <v>1972</v>
      </c>
      <c r="EC45" s="3">
        <v>1722</v>
      </c>
      <c r="ED45" s="4">
        <f>Pelugrotoa!C45 + Lieri!C45 + 'Rtesania'!C45 + Ozinia!C45</f>
        <v>251008883.15535635</v>
      </c>
      <c r="EE45" s="7">
        <f t="shared" si="36"/>
        <v>2.092058150891889E-2</v>
      </c>
      <c r="EF45" s="5">
        <f t="shared" si="37"/>
        <v>6.5598783166084848E-2</v>
      </c>
      <c r="EM45" s="3">
        <f t="shared" si="38"/>
        <v>1972</v>
      </c>
      <c r="EN45" s="3">
        <v>1722</v>
      </c>
      <c r="EO45" s="4">
        <f>Ocaun!C45 + 'Dual Cenryia'!C45 + Byllu!C45 + Exilium!C45 + Inrea!C45 + Amcha!C45 + Isnti!C45 + Galca!C45 + Otiiric!C45 + Taing!C45 + 'Cruthi Anoso'!C45</f>
        <v>111058696.28465226</v>
      </c>
      <c r="EP45" s="7">
        <f t="shared" si="39"/>
        <v>2.7101078681446525E-2</v>
      </c>
      <c r="EQ45" s="5">
        <f t="shared" si="40"/>
        <v>2.9024133507561535E-2</v>
      </c>
      <c r="EX45" s="3">
        <f t="shared" si="41"/>
        <v>1972</v>
      </c>
      <c r="EY45" s="3">
        <v>1722</v>
      </c>
      <c r="EZ45" s="4">
        <f>Sivoso!C45 + Taoisia!C45 + Seytinemas!C45 + Trian!C45 + 'Chaenia'!C45</f>
        <v>71993154.83249262</v>
      </c>
      <c r="FA45" s="7">
        <f t="shared" si="42"/>
        <v>2.5655162556496774E-2</v>
      </c>
      <c r="FB45" s="5">
        <f t="shared" si="43"/>
        <v>1.8814725972769935E-2</v>
      </c>
      <c r="FI45" s="3">
        <f t="shared" si="44"/>
        <v>1972</v>
      </c>
      <c r="FJ45" s="3">
        <v>1722</v>
      </c>
      <c r="FK45" s="4">
        <f>Migoku!C45 + 'Welenu Fana'!C45 + Haiza!C45 + Ucrua!C45 + Ihner!C45 + Oscairia!C45 + Shinam!C45 + 'Ruylku'!C45 + Taval!C45 + 'Western Migoku'!C45 + 'Pruim Fijan'!C45 + 'Canldives'!C45</f>
        <v>81352074.711517662</v>
      </c>
      <c r="FL45" s="7">
        <f t="shared" si="45"/>
        <v>2.2149384308593943E-2</v>
      </c>
      <c r="FM45" s="5">
        <f t="shared" si="46"/>
        <v>2.1260590629412161E-2</v>
      </c>
      <c r="FT45" s="3">
        <f t="shared" si="47"/>
        <v>1972</v>
      </c>
      <c r="FU45" s="3">
        <v>1722</v>
      </c>
      <c r="FV45" s="4">
        <f>Vesozata!C45 + Etretes!C45 + Kusierna!C45 + Eparia!C45</f>
        <v>54605336.296919346</v>
      </c>
      <c r="FW45" s="7">
        <f t="shared" si="48"/>
        <v>2.2512090913461475E-2</v>
      </c>
      <c r="FX45" s="5">
        <f t="shared" si="49"/>
        <v>1.4270585050313651E-2</v>
      </c>
      <c r="GE45" s="3">
        <f t="shared" si="50"/>
        <v>1972</v>
      </c>
      <c r="GF45" s="3">
        <v>1722</v>
      </c>
      <c r="GG45" s="4">
        <f>Dahe!C45 + Kaastini!C45 + Suenan!C45 + Oyreain!C45 + Sanagara!C45 + 'North Ayre'!C45 + Stinebar!C45 + 'Cloja'!C45 + 'Pha Hii'!C45 + 'Prystr Hii'!C45</f>
        <v>748209911.86592031</v>
      </c>
      <c r="GH45" s="7">
        <f t="shared" si="51"/>
        <v>1.2348176323219089E-2</v>
      </c>
      <c r="GI45" s="5">
        <f t="shared" si="52"/>
        <v>0.19553754095957615</v>
      </c>
      <c r="GP45" s="3">
        <f t="shared" si="53"/>
        <v>1972</v>
      </c>
      <c r="GQ45" s="3">
        <v>1722</v>
      </c>
      <c r="GR45" s="4">
        <f>Maalle!C45 + 'United Delet'!C45 + Ohtina!C45 + Astye!C45 + Prstreula!C45 + Veelmit!C45 + Aplasia!C45 + 'Elja and Munusia'!C45 + Walporein!C45 + 'Crila Republic'!C45 + 'Niretui and Anulan'!C45 + 'Rethern'!C45 + Tvecoca!C45</f>
        <v>92486550.173125252</v>
      </c>
      <c r="GS45" s="7">
        <f t="shared" si="54"/>
        <v>2.0669886500147241E-2</v>
      </c>
      <c r="GT45" s="5">
        <f t="shared" si="55"/>
        <v>2.417047984246451E-2</v>
      </c>
      <c r="HA45" s="3">
        <f t="shared" si="56"/>
        <v>1972</v>
      </c>
      <c r="HB45" s="3">
        <v>1722</v>
      </c>
      <c r="HC45" s="4">
        <f>Andsaudare!C45 + Nia!C45 + Umarcia!C45 + Mendereide!C45 + Iainoa!C45 + Isari!C45 + 'Rkmepuia'!C45 + Hiwush!C45 + Isuibul!C45 + Yutnitu!C45</f>
        <v>31798659.113677498</v>
      </c>
      <c r="HD45" s="7">
        <f t="shared" si="57"/>
        <v>2.6464781222625966E-2</v>
      </c>
      <c r="HE45" s="5">
        <f t="shared" si="58"/>
        <v>8.310276982824244E-3</v>
      </c>
      <c r="HL45" s="3">
        <f t="shared" si="59"/>
        <v>1972</v>
      </c>
      <c r="HM45" s="3">
        <v>1722</v>
      </c>
      <c r="HN45" s="4">
        <f>Zhanshe!C45 + Volver!C45 + Finae!C45 + Myla!C45 + 'Nheyes Si'!C45 + Onphello!C45 + Hyelen!C45</f>
        <v>60047368.690487772</v>
      </c>
      <c r="HO45" s="7">
        <f t="shared" si="60"/>
        <v>2.4195432574200815E-2</v>
      </c>
      <c r="HP45" s="5">
        <f t="shared" si="61"/>
        <v>1.5692808433330555E-2</v>
      </c>
      <c r="HW45" s="3">
        <f t="shared" si="62"/>
        <v>1972</v>
      </c>
      <c r="HX45" s="3">
        <v>1722</v>
      </c>
      <c r="HY45" s="4">
        <f>Yihnurda!C45 + Ztesh!C45 + Wundry!C45 + Anymna!C45 + Shomjind!C45 + Baluyde!C45 + Letan!C45</f>
        <v>235243734.97097635</v>
      </c>
      <c r="HZ45" s="7">
        <f t="shared" si="63"/>
        <v>2.3222422296322692E-2</v>
      </c>
      <c r="IA45" s="5">
        <f t="shared" si="64"/>
        <v>6.1478711699577186E-2</v>
      </c>
      <c r="IH45" s="3">
        <f t="shared" si="65"/>
        <v>1972</v>
      </c>
      <c r="II45" s="3">
        <v>1722</v>
      </c>
      <c r="IJ45" s="4">
        <f>Iareva!C45 + 'United Mihili'!C45 + 'Mesjan Hyaa'!C45 + Desaki!C45 + 'Far Lands'!C45</f>
        <v>26913317.904354874</v>
      </c>
      <c r="IK45" s="7">
        <f t="shared" si="66"/>
        <v>2.1614871820884937E-2</v>
      </c>
      <c r="IL45" s="5">
        <f t="shared" si="67"/>
        <v>7.0335395436781391E-3</v>
      </c>
      <c r="IS45" s="3">
        <f t="shared" si="68"/>
        <v>1972</v>
      </c>
      <c r="IT45" s="3">
        <v>1722</v>
      </c>
      <c r="IU45" s="4">
        <f>Verste!C45 + Quidic!C45 + Erkizil!C45 + Ashain!C45 + Ahokini!C45</f>
        <v>187336328.57357234</v>
      </c>
      <c r="IV45" s="7">
        <f t="shared" si="69"/>
        <v>1.9827123689517737E-2</v>
      </c>
      <c r="IW45" s="5">
        <f t="shared" si="70"/>
        <v>4.8958566895109336E-2</v>
      </c>
    </row>
    <row r="46" spans="1:257" ht="22.5" customHeight="1">
      <c r="A46" s="3">
        <f t="shared" si="0"/>
        <v>1971</v>
      </c>
      <c r="B46" s="3">
        <v>1721</v>
      </c>
      <c r="C46" s="4">
        <f>Acetoa!C46 + Acrana!C46 + Aetintio!C46 + Ahokini!C46 + Amcha!C46 + Andsaudare!C46 + Anymna!C46 + Aplasia!C46 + Arbiya!C46 + 'Areoix Lie'!C46 + Ashain!C46 + Astye!C46 + Baluyde!C46 + Byllu!C46 + 'Candenat'!C46 + 'Canldives'!C46 + 'Chaenia'!C46 + 'Cloja'!C46 + 'Crila Republic'!C46 + 'Cruthi Anoso'!C46 + 'Curata'!C46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'Raledria'!C46 + 'Reerica'!C46 + 'Rethern'!C46 + 'Rijan bu'!C46 + 'Rinew'!C46 + 'Rkmepuia'!C46 + 'Rtesania'!C46 + 'Ruylku'!C46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3760112928.8516951</v>
      </c>
      <c r="D46" s="5">
        <f t="shared" si="1"/>
        <v>1.838388200780396E-2</v>
      </c>
      <c r="K46" s="3">
        <f t="shared" si="2"/>
        <v>1971</v>
      </c>
      <c r="L46" s="3">
        <v>1721</v>
      </c>
      <c r="M46" s="4">
        <f>Eldavpir!C46 + Iquir!C46 + Viussi!C46 + Umendel!C46 + 'Reerica'!C46 + Saa!C46 + Sattle!C46</f>
        <v>31982218.39367336</v>
      </c>
      <c r="N46" s="5">
        <f t="shared" si="3"/>
        <v>2.9814359608285594E-2</v>
      </c>
      <c r="O46" s="5">
        <f t="shared" si="4"/>
        <v>8.5056536861621446E-3</v>
      </c>
      <c r="V46" s="3">
        <f t="shared" si="5"/>
        <v>1971</v>
      </c>
      <c r="W46" s="3">
        <v>1721</v>
      </c>
      <c r="X46" s="4">
        <f>'Areoix Lie'!C46 + Jau!C46 + Terressin!C46 + Acetoa!C46 + 'Feio Lie'!C46</f>
        <v>426396449.54479039</v>
      </c>
      <c r="Y46" s="5">
        <f t="shared" si="6"/>
        <v>1.9788810574183892E-2</v>
      </c>
      <c r="Z46" s="5">
        <f t="shared" si="7"/>
        <v>0.11339990516588236</v>
      </c>
      <c r="AG46" s="3">
        <f t="shared" si="8"/>
        <v>1971</v>
      </c>
      <c r="AH46" s="3">
        <v>1721</v>
      </c>
      <c r="AI46" s="4">
        <f>Taniduna!C46 + Jathua!C46 + Deschon!C46 + Pelines!C46 + 'Candenat'!C46 + Othya!C46 + Yoprioq!C46 + Jshain!C46 + 'Fire Coast'!C46 + 'Rijan bu'!C46 + 'Rinew'!C46 + Enina!C46 + Trevilla!C46</f>
        <v>78307221.148323283</v>
      </c>
      <c r="AJ46" s="5">
        <f t="shared" si="9"/>
        <v>2.5592868704079588E-2</v>
      </c>
      <c r="AK46" s="5">
        <f t="shared" si="10"/>
        <v>2.082576311670448E-2</v>
      </c>
      <c r="AR46" s="3">
        <f t="shared" si="11"/>
        <v>1971</v>
      </c>
      <c r="AS46" s="3">
        <v>1721</v>
      </c>
      <c r="AT46" s="4">
        <f>Gaeiya!C46 + 'Raledria'!C46 + Arbiya!C46 + Fincen!C46 + 'Curata'!C46</f>
        <v>182664232.18053228</v>
      </c>
      <c r="AU46" s="5">
        <f t="shared" si="12"/>
        <v>3.1247382066011065E-2</v>
      </c>
      <c r="AV46" s="5">
        <f t="shared" si="13"/>
        <v>4.8579453765585784E-2</v>
      </c>
      <c r="BC46" s="3">
        <f t="shared" si="14"/>
        <v>1971</v>
      </c>
      <c r="BD46" s="3">
        <v>1721</v>
      </c>
      <c r="BE46" s="4">
        <f>Etirha!C46 + Laselteh!C46 + Grazail!C46 + 'Disal Nila'!C46 + Pelan!C46 + Peka!C46 + Guise!C46</f>
        <v>69138089.598020509</v>
      </c>
      <c r="BF46" s="5">
        <f t="shared" si="15"/>
        <v>1.5282184693692155E-2</v>
      </c>
      <c r="BG46" s="5">
        <f t="shared" si="16"/>
        <v>1.8387237539467909E-2</v>
      </c>
      <c r="BN46" s="3">
        <f t="shared" si="17"/>
        <v>1971</v>
      </c>
      <c r="BO46" s="3">
        <v>1721</v>
      </c>
      <c r="BP46" s="4">
        <f>Genaire!C46 + 'New Misos'!C46 + Phuris!C46 + Lasri!C46 + Slyiaduun!C46 + Aetintio!C46 + Metndria!C46 + Tomscilus!C46</f>
        <v>53792405.2246814</v>
      </c>
      <c r="BQ46" s="5">
        <f t="shared" si="18"/>
        <v>2.2119959111392425E-2</v>
      </c>
      <c r="BR46" s="5">
        <f t="shared" si="19"/>
        <v>1.4306061079157301E-2</v>
      </c>
      <c r="BY46" s="3">
        <f t="shared" si="20"/>
        <v>1971</v>
      </c>
      <c r="BZ46" s="3">
        <v>1721</v>
      </c>
      <c r="CA46" s="4">
        <f>Ealdorii!C46 + Ukhdari!C46 + Hkuqo!C46 + Acrana!C46 + Zenashan!C46</f>
        <v>175903407.37878755</v>
      </c>
      <c r="CB46" s="6">
        <f t="shared" si="21"/>
        <v>1.6524208859278675E-2</v>
      </c>
      <c r="CC46" s="5">
        <f t="shared" si="22"/>
        <v>4.6781416065742175E-2</v>
      </c>
      <c r="CJ46" s="3">
        <f t="shared" si="23"/>
        <v>1971</v>
      </c>
      <c r="CK46" s="3">
        <v>1721</v>
      </c>
      <c r="CL46" s="4">
        <f>Estijan!C46 + Ikzen!C46 + Urbiqu!C46 + Danocia!C46 + Koruch!C46 + 'New Kizura'!C46 + Lydroa!C46 + Fermori!C46 + Uularin!C46 + 'Niul Spijan'!C46</f>
        <v>207050761.45281005</v>
      </c>
      <c r="CM46" s="6">
        <f t="shared" si="24"/>
        <v>9.3592614653077288E-3</v>
      </c>
      <c r="CN46" s="5">
        <f t="shared" si="25"/>
        <v>5.5065038037578701E-2</v>
      </c>
      <c r="CU46" s="3">
        <f t="shared" si="26"/>
        <v>1971</v>
      </c>
      <c r="CV46" s="3">
        <v>1721</v>
      </c>
      <c r="CW46" s="4">
        <f>Praesyu!C46 + Lycroa!C46 + Emara!C46 + Eldjo!C46 + Easuhura!C46 + Ilicuhe!C46 + Tonder!C46</f>
        <v>208711906.39357764</v>
      </c>
      <c r="CX46" s="6">
        <f t="shared" si="27"/>
        <v>5.9759696820753851E-3</v>
      </c>
      <c r="CY46" s="5">
        <f t="shared" si="28"/>
        <v>5.5506818636246756E-2</v>
      </c>
      <c r="DF46" s="3">
        <f t="shared" si="29"/>
        <v>1971</v>
      </c>
      <c r="DG46" s="3">
        <v>1721</v>
      </c>
      <c r="DH46" s="4">
        <f>Verusa!C46 + Darewa!C46 + Siana!C46 + Yaxuto!C46 + 'Merela Sta'!C46 + Palina!C46</f>
        <v>142655042.46902329</v>
      </c>
      <c r="DI46" s="6">
        <f t="shared" si="30"/>
        <v>9.5690320627028012E-3</v>
      </c>
      <c r="DJ46" s="5">
        <f t="shared" si="31"/>
        <v>3.7939031398343898E-2</v>
      </c>
      <c r="DQ46" s="3">
        <f t="shared" si="32"/>
        <v>1971</v>
      </c>
      <c r="DR46" s="3">
        <v>1721</v>
      </c>
      <c r="DS46" s="4">
        <f>Sunsokua!C46 + Vayvele!C46 + Selaja!C46 + Sadain!C46</f>
        <v>91920302.152032256</v>
      </c>
      <c r="DT46" s="6">
        <f t="shared" si="33"/>
        <v>2.7322854183589027E-2</v>
      </c>
      <c r="DU46" s="5">
        <f t="shared" si="34"/>
        <v>2.4446154647834978E-2</v>
      </c>
      <c r="EB46" s="3">
        <f t="shared" si="35"/>
        <v>1971</v>
      </c>
      <c r="EC46" s="3">
        <v>1721</v>
      </c>
      <c r="ED46" s="4">
        <f>Pelugrotoa!C46 + Lieri!C46 + 'Rtesania'!C46 + Ozinia!C46</f>
        <v>245865239.37480587</v>
      </c>
      <c r="EE46" s="6">
        <f t="shared" si="36"/>
        <v>2.168276984550482E-2</v>
      </c>
      <c r="EF46" s="5">
        <f t="shared" si="37"/>
        <v>6.5387727450486682E-2</v>
      </c>
      <c r="EM46" s="3">
        <f t="shared" si="38"/>
        <v>1971</v>
      </c>
      <c r="EN46" s="3">
        <v>1721</v>
      </c>
      <c r="EO46" s="4">
        <f>Ocaun!C46 + 'Dual Cenryia'!C46 + Byllu!C46 + Exilium!C46 + Inrea!C46 + Amcha!C46 + Isnti!C46 + Galca!C46 + Otiiric!C46 + Taing!C46 + 'Cruthi Anoso'!C46</f>
        <v>108128302.64692664</v>
      </c>
      <c r="EP46" s="6">
        <f t="shared" si="39"/>
        <v>2.604201166903846E-2</v>
      </c>
      <c r="EQ46" s="5">
        <f t="shared" si="40"/>
        <v>2.8756663614342044E-2</v>
      </c>
      <c r="EX46" s="3">
        <f t="shared" si="41"/>
        <v>1971</v>
      </c>
      <c r="EY46" s="3">
        <v>1721</v>
      </c>
      <c r="EZ46" s="4">
        <f>Sivoso!C46 + Taoisia!C46 + Seytinemas!C46 + Trian!C46 + 'Chaenia'!C46</f>
        <v>70192358.465827912</v>
      </c>
      <c r="FA46" s="6">
        <f t="shared" si="42"/>
        <v>2.5795894613374743E-2</v>
      </c>
      <c r="FB46" s="5">
        <f t="shared" si="43"/>
        <v>1.8667619774724167E-2</v>
      </c>
      <c r="FI46" s="3">
        <f t="shared" si="44"/>
        <v>1971</v>
      </c>
      <c r="FJ46" s="3">
        <v>1721</v>
      </c>
      <c r="FK46" s="4">
        <f>Migoku!C46 + 'Welenu Fana'!C46 + Haiza!C46 + Ucrua!C46 + Ihner!C46 + Oscairia!C46 + Shinam!C46 + 'Ruylku'!C46 + Taval!C46 + 'Western Migoku'!C46 + 'Pruim Fijan'!C46 + 'Canldives'!C46</f>
        <v>79589222.436939716</v>
      </c>
      <c r="FL46" s="6">
        <f t="shared" si="45"/>
        <v>2.1770509765975613E-2</v>
      </c>
      <c r="FM46" s="5">
        <f t="shared" si="46"/>
        <v>2.1166710666119689E-2</v>
      </c>
      <c r="FT46" s="3">
        <f t="shared" si="47"/>
        <v>1971</v>
      </c>
      <c r="FU46" s="3">
        <v>1721</v>
      </c>
      <c r="FV46" s="4">
        <f>Vesozata!C46 + Etretes!C46 + Kusierna!C46 + Eparia!C46</f>
        <v>53403120.395513028</v>
      </c>
      <c r="FW46" s="6">
        <f t="shared" si="48"/>
        <v>2.3607832472795277E-2</v>
      </c>
      <c r="FX46" s="5">
        <f t="shared" si="49"/>
        <v>1.4202530989360968E-2</v>
      </c>
      <c r="GE46" s="3">
        <f t="shared" si="50"/>
        <v>1971</v>
      </c>
      <c r="GF46" s="3">
        <v>1721</v>
      </c>
      <c r="GG46" s="4">
        <f>Dahe!C46 + Kaastini!C46 + Suenan!C46 + Oyreain!C46 + Sanagara!C46 + 'North Ayre'!C46 + Stinebar!C46 + 'Cloja'!C46 + 'Pha Hii'!C46 + 'Prystr Hii'!C46</f>
        <v>739083577.5329479</v>
      </c>
      <c r="GH46" s="6">
        <f t="shared" si="51"/>
        <v>1.2285527850119403E-2</v>
      </c>
      <c r="GI46" s="5">
        <f t="shared" si="52"/>
        <v>0.19655887775654052</v>
      </c>
      <c r="GP46" s="3">
        <f t="shared" si="53"/>
        <v>1971</v>
      </c>
      <c r="GQ46" s="3">
        <v>1721</v>
      </c>
      <c r="GR46" s="4">
        <f>Maalle!C46 + 'United Delet'!C46 + Ohtina!C46 + Astye!C46 + Prstreula!C46 + Veelmit!C46 + Aplasia!C46 + 'Elja and Munusia'!C46 + Walporein!C46 + 'Crila Republic'!C46 + 'Niretui and Anulan'!C46 + 'Rethern'!C46 + Tvecoca!C46</f>
        <v>90613577.804533288</v>
      </c>
      <c r="GS46" s="6">
        <f t="shared" si="54"/>
        <v>2.0381789164996878E-2</v>
      </c>
      <c r="GT46" s="5">
        <f t="shared" si="55"/>
        <v>2.4098632014279919E-2</v>
      </c>
      <c r="HA46" s="3">
        <f t="shared" si="56"/>
        <v>1971</v>
      </c>
      <c r="HB46" s="3">
        <v>1721</v>
      </c>
      <c r="HC46" s="4">
        <f>Andsaudare!C46 + Nia!C46 + Umarcia!C46 + Mendereide!C46 + Iainoa!C46 + Isari!C46 + 'Rkmepuia'!C46 + Hiwush!C46 + Isuibul!C46 + Yutnitu!C46</f>
        <v>30978811.641059909</v>
      </c>
      <c r="HD46" s="6">
        <f t="shared" si="57"/>
        <v>2.6333810895652707E-2</v>
      </c>
      <c r="HE46" s="5">
        <f t="shared" si="58"/>
        <v>8.2387982029360381E-3</v>
      </c>
      <c r="HL46" s="3">
        <f t="shared" si="59"/>
        <v>1971</v>
      </c>
      <c r="HM46" s="3">
        <v>1721</v>
      </c>
      <c r="HN46" s="4">
        <f>Zhanshe!C46 + Volver!C46 + Finae!C46 + Myla!C46 + 'Nheyes Si'!C46 + Onphello!C46 + Hyelen!C46</f>
        <v>58628819.052205123</v>
      </c>
      <c r="HO46" s="6">
        <f t="shared" si="60"/>
        <v>2.9162953690523408E-2</v>
      </c>
      <c r="HP46" s="5">
        <f t="shared" si="61"/>
        <v>1.5592302721107325E-2</v>
      </c>
      <c r="HW46" s="3">
        <f t="shared" si="62"/>
        <v>1971</v>
      </c>
      <c r="HX46" s="3">
        <v>1721</v>
      </c>
      <c r="HY46" s="4">
        <f>Yihnurda!C46 + Ztesh!C46 + Wundry!C46 + Anymna!C46 + Shomjind!C46 + Baluyde!C46 + Letan!C46</f>
        <v>229904788.87575662</v>
      </c>
      <c r="HZ46" s="6">
        <f t="shared" si="63"/>
        <v>2.2925827990146846E-2</v>
      </c>
      <c r="IA46" s="5">
        <f t="shared" si="64"/>
        <v>6.1143054271502288E-2</v>
      </c>
      <c r="IH46" s="3">
        <f t="shared" si="65"/>
        <v>1971</v>
      </c>
      <c r="II46" s="3">
        <v>1721</v>
      </c>
      <c r="IJ46" s="4">
        <f>Iareva!C46 + 'United Mihili'!C46 + 'Mesjan Hyaa'!C46 + Desaki!C46 + 'Far Lands'!C46</f>
        <v>26343897.927391823</v>
      </c>
      <c r="IK46" s="6">
        <f t="shared" si="66"/>
        <v>2.0623151742668034E-2</v>
      </c>
      <c r="IL46" s="5">
        <f t="shared" si="67"/>
        <v>7.0061454072968534E-3</v>
      </c>
      <c r="IS46" s="3">
        <f t="shared" si="68"/>
        <v>1971</v>
      </c>
      <c r="IT46" s="3">
        <v>1721</v>
      </c>
      <c r="IU46" s="4">
        <f>Verste!C46 + Quidic!C46 + Erkizil!C46 + Ashain!C46 + Ahokini!C46</f>
        <v>183694200.93067276</v>
      </c>
      <c r="IV46" s="6">
        <f t="shared" si="69"/>
        <v>1.9036063014398311E-2</v>
      </c>
      <c r="IW46" s="5">
        <f t="shared" si="70"/>
        <v>4.8853373397689769E-2</v>
      </c>
    </row>
    <row r="47" spans="1:257" ht="22.5" customHeight="1">
      <c r="A47" s="3">
        <f t="shared" si="0"/>
        <v>1970</v>
      </c>
      <c r="B47" s="3">
        <v>1720</v>
      </c>
      <c r="C47" s="4">
        <f>Acetoa!C47 + Acrana!C47 + Aetintio!C47 + Ahokini!C47 + Amcha!C47 + Andsaudare!C47 + Anymna!C47 + Aplasia!C47 + Arbiya!C47 + 'Areoix Lie'!C47 + Ashain!C47 + Astye!C47 + Baluyde!C47 + Byllu!C47 + 'Candenat'!C47 + 'Canldives'!C47 + 'Chaenia'!C47 + 'Cloja'!C47 + 'Crila Republic'!C47 + 'Cruthi Anoso'!C47 + 'Curata'!C47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'Raledria'!C47 + 'Reerica'!C47 + 'Rethern'!C47 + 'Rijan bu'!C47 + 'Rinew'!C47 + 'Rkmepuia'!C47 + 'Rtesania'!C47 + 'Ruylku'!C47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3692235310.5573611</v>
      </c>
      <c r="D47" s="5">
        <f t="shared" si="1"/>
        <v>1.7888463065279199E-2</v>
      </c>
      <c r="K47" s="3">
        <f t="shared" si="2"/>
        <v>1970</v>
      </c>
      <c r="L47" s="3">
        <v>1720</v>
      </c>
      <c r="M47" s="4">
        <f>Eldavpir!C47 + Iquir!C47 + Viussi!C47 + Umendel!C47 + 'Reerica'!C47 + Saa!C47 + Sattle!C47</f>
        <v>31056294.850888036</v>
      </c>
      <c r="N47" s="5">
        <f t="shared" si="3"/>
        <v>3.0732853480611711E-2</v>
      </c>
      <c r="O47" s="5">
        <f t="shared" si="4"/>
        <v>8.4112447443659647E-3</v>
      </c>
      <c r="V47" s="3">
        <f t="shared" si="5"/>
        <v>1970</v>
      </c>
      <c r="W47" s="3">
        <v>1720</v>
      </c>
      <c r="X47" s="4">
        <f>'Areoix Lie'!C47 + Jau!C47 + Terressin!C47 + Acetoa!C47 + 'Feio Lie'!C47</f>
        <v>418122306.42608374</v>
      </c>
      <c r="Y47" s="5">
        <f t="shared" si="6"/>
        <v>2.0183961952249429E-2</v>
      </c>
      <c r="Z47" s="5">
        <f t="shared" si="7"/>
        <v>0.11324367795046252</v>
      </c>
      <c r="AG47" s="3">
        <f t="shared" si="8"/>
        <v>1970</v>
      </c>
      <c r="AH47" s="3">
        <v>1720</v>
      </c>
      <c r="AI47" s="4">
        <f>Taniduna!C47 + Jathua!C47 + Deschon!C47 + Pelines!C47 + 'Candenat'!C47 + Othya!C47 + Yoprioq!C47 + Jshain!C47 + 'Fire Coast'!C47 + 'Rijan bu'!C47 + 'Rinew'!C47 + Enina!C47 + Trevilla!C47</f>
        <v>76353125.628955334</v>
      </c>
      <c r="AJ47" s="5">
        <f t="shared" si="9"/>
        <v>2.4287735721320852E-2</v>
      </c>
      <c r="AK47" s="5">
        <f t="shared" si="10"/>
        <v>2.0679376910414049E-2</v>
      </c>
      <c r="AR47" s="3">
        <f t="shared" si="11"/>
        <v>1970</v>
      </c>
      <c r="AS47" s="3">
        <v>1720</v>
      </c>
      <c r="AT47" s="4">
        <f>Gaeiya!C47 + 'Raledria'!C47 + Arbiya!C47 + Fincen!C47 + 'Curata'!C47</f>
        <v>177129402.07865641</v>
      </c>
      <c r="AU47" s="5">
        <f t="shared" si="12"/>
        <v>1.8752896132049668E-2</v>
      </c>
      <c r="AV47" s="5">
        <f t="shared" si="13"/>
        <v>4.7973486839309236E-2</v>
      </c>
      <c r="BC47" s="3">
        <f t="shared" si="14"/>
        <v>1970</v>
      </c>
      <c r="BD47" s="3">
        <v>1720</v>
      </c>
      <c r="BE47" s="4">
        <f>Etirha!C47 + Laselteh!C47 + Grazail!C47 + 'Disal Nila'!C47 + Pelan!C47 + Peka!C47 + Guise!C47</f>
        <v>68097412.365094617</v>
      </c>
      <c r="BF47" s="5">
        <f t="shared" si="15"/>
        <v>1.5612105040412393E-2</v>
      </c>
      <c r="BG47" s="5">
        <f t="shared" si="16"/>
        <v>1.8443410735599887E-2</v>
      </c>
      <c r="BN47" s="3">
        <f t="shared" si="17"/>
        <v>1970</v>
      </c>
      <c r="BO47" s="3">
        <v>1720</v>
      </c>
      <c r="BP47" s="4">
        <f>Genaire!C47 + 'New Misos'!C47 + Phuris!C47 + Lasri!C47 + Slyiaduun!C47 + Aetintio!C47 + Metndria!C47 + Tomscilus!C47</f>
        <v>52628270.04322201</v>
      </c>
      <c r="BQ47" s="5">
        <f t="shared" si="18"/>
        <v>2.3108357246921965E-2</v>
      </c>
      <c r="BR47" s="5">
        <f t="shared" si="19"/>
        <v>1.4253769225579914E-2</v>
      </c>
      <c r="BY47" s="3">
        <f t="shared" si="20"/>
        <v>1970</v>
      </c>
      <c r="BZ47" s="3">
        <v>1720</v>
      </c>
      <c r="CA47" s="4">
        <f>Ealdorii!C47 + Ukhdari!C47 + Hkuqo!C47 + Acrana!C47 + Zenashan!C47</f>
        <v>173043992.30804598</v>
      </c>
      <c r="CB47" s="7">
        <f t="shared" si="21"/>
        <v>1.7495046522900286E-2</v>
      </c>
      <c r="CC47" s="5">
        <f t="shared" si="22"/>
        <v>4.6867000002208455E-2</v>
      </c>
      <c r="CJ47" s="3">
        <f t="shared" si="23"/>
        <v>1970</v>
      </c>
      <c r="CK47" s="3">
        <v>1720</v>
      </c>
      <c r="CL47" s="4">
        <f>Estijan!C47 + Ikzen!C47 + Urbiqu!C47 + Danocia!C47 + Koruch!C47 + 'New Kizura'!C47 + Lydroa!C47 + Fermori!C47 + Uularin!C47 + 'Niul Spijan'!C47</f>
        <v>205130887.83891493</v>
      </c>
      <c r="CM47" s="7">
        <f t="shared" si="24"/>
        <v>1.1413637758717506E-2</v>
      </c>
      <c r="CN47" s="5">
        <f t="shared" si="25"/>
        <v>5.5557371235894881E-2</v>
      </c>
      <c r="CU47" s="3">
        <f t="shared" si="26"/>
        <v>1970</v>
      </c>
      <c r="CV47" s="3">
        <v>1720</v>
      </c>
      <c r="CW47" s="4">
        <f>Praesyu!C47 + Lycroa!C47 + Emara!C47 + Eldjo!C47 + Easuhura!C47 + Ilicuhe!C47 + Tonder!C47</f>
        <v>207472059.65520042</v>
      </c>
      <c r="CX47" s="7">
        <f t="shared" si="27"/>
        <v>5.5708793891712481E-3</v>
      </c>
      <c r="CY47" s="5">
        <f t="shared" si="28"/>
        <v>5.6191451032919539E-2</v>
      </c>
      <c r="DF47" s="3">
        <f t="shared" si="29"/>
        <v>1970</v>
      </c>
      <c r="DG47" s="3">
        <v>1720</v>
      </c>
      <c r="DH47" s="4">
        <f>Verusa!C47 + Darewa!C47 + Siana!C47 + Yaxuto!C47 + 'Merela Sta'!C47 + Palina!C47</f>
        <v>141302910.38895813</v>
      </c>
      <c r="DI47" s="7">
        <f t="shared" si="30"/>
        <v>1.0026564055902085E-2</v>
      </c>
      <c r="DJ47" s="5">
        <f t="shared" si="31"/>
        <v>3.8270288457760225E-2</v>
      </c>
      <c r="DQ47" s="3">
        <f t="shared" si="32"/>
        <v>1970</v>
      </c>
      <c r="DR47" s="3">
        <v>1720</v>
      </c>
      <c r="DS47" s="4">
        <f>Sunsokua!C47 + Vayvele!C47 + Selaja!C47 + Sadain!C47</f>
        <v>89475574.088226721</v>
      </c>
      <c r="DT47" s="7">
        <f t="shared" si="33"/>
        <v>2.748496565619692E-2</v>
      </c>
      <c r="DU47" s="5">
        <f t="shared" si="34"/>
        <v>2.4233443039880342E-2</v>
      </c>
      <c r="EB47" s="3">
        <f t="shared" si="35"/>
        <v>1970</v>
      </c>
      <c r="EC47" s="3">
        <v>1720</v>
      </c>
      <c r="ED47" s="4">
        <f>Pelugrotoa!C47 + Lieri!C47 + 'Rtesania'!C47 + Ozinia!C47</f>
        <v>240647338.51974887</v>
      </c>
      <c r="EE47" s="7">
        <f t="shared" si="36"/>
        <v>1.8787751815910896E-2</v>
      </c>
      <c r="EF47" s="5">
        <f t="shared" si="37"/>
        <v>6.5176598531425115E-2</v>
      </c>
      <c r="EM47" s="3">
        <f t="shared" si="38"/>
        <v>1970</v>
      </c>
      <c r="EN47" s="3">
        <v>1720</v>
      </c>
      <c r="EO47" s="4">
        <f>Ocaun!C47 + 'Dual Cenryia'!C47 + Byllu!C47 + Exilium!C47 + Inrea!C47 + Amcha!C47 + Isnti!C47 + Galca!C47 + Otiiric!C47 + Taing!C47 + 'Cruthi Anoso'!C47</f>
        <v>105383894.04838976</v>
      </c>
      <c r="EP47" s="7">
        <f t="shared" si="39"/>
        <v>2.566918964374543E-2</v>
      </c>
      <c r="EQ47" s="5">
        <f t="shared" si="40"/>
        <v>2.8542030825354288E-2</v>
      </c>
      <c r="EX47" s="3">
        <f t="shared" si="41"/>
        <v>1970</v>
      </c>
      <c r="EY47" s="3">
        <v>1720</v>
      </c>
      <c r="EZ47" s="4">
        <f>Sivoso!C47 + Taoisia!C47 + Seytinemas!C47 + Trian!C47 + 'Chaenia'!C47</f>
        <v>68427217.182696566</v>
      </c>
      <c r="FA47" s="7">
        <f t="shared" si="42"/>
        <v>2.5889685554604563E-2</v>
      </c>
      <c r="FB47" s="5">
        <f t="shared" si="43"/>
        <v>1.8532734624751513E-2</v>
      </c>
      <c r="FI47" s="3">
        <f t="shared" si="44"/>
        <v>1970</v>
      </c>
      <c r="FJ47" s="3">
        <v>1720</v>
      </c>
      <c r="FK47" s="4">
        <f>Migoku!C47 + 'Welenu Fana'!C47 + Haiza!C47 + Ucrua!C47 + Ihner!C47 + Oscairia!C47 + Shinam!C47 + 'Ruylku'!C47 + Taval!C47 + 'Western Migoku'!C47 + 'Pruim Fijan'!C47 + 'Canldives'!C47</f>
        <v>77893442.486580163</v>
      </c>
      <c r="FL47" s="7">
        <f t="shared" si="45"/>
        <v>2.1376686241574946E-2</v>
      </c>
      <c r="FM47" s="5">
        <f t="shared" si="46"/>
        <v>2.1096554237444245E-2</v>
      </c>
      <c r="FT47" s="3">
        <f t="shared" si="47"/>
        <v>1970</v>
      </c>
      <c r="FU47" s="3">
        <v>1720</v>
      </c>
      <c r="FV47" s="4">
        <f>Vesozata!C47 + Etretes!C47 + Kusierna!C47 + Eparia!C47</f>
        <v>52171465.185552239</v>
      </c>
      <c r="FW47" s="7">
        <f t="shared" si="48"/>
        <v>2.4934237031888757E-2</v>
      </c>
      <c r="FX47" s="5">
        <f t="shared" si="49"/>
        <v>1.4130048817954861E-2</v>
      </c>
      <c r="GE47" s="3">
        <f t="shared" si="50"/>
        <v>1970</v>
      </c>
      <c r="GF47" s="3">
        <v>1720</v>
      </c>
      <c r="GG47" s="4">
        <f>Dahe!C47 + Kaastini!C47 + Suenan!C47 + Oyreain!C47 + Sanagara!C47 + 'North Ayre'!C47 + Stinebar!C47 + 'Cloja'!C47 + 'Pha Hii'!C47 + 'Prystr Hii'!C47</f>
        <v>730113744.78760481</v>
      </c>
      <c r="GH47" s="7">
        <f t="shared" si="51"/>
        <v>1.2268164954289246E-2</v>
      </c>
      <c r="GI47" s="5">
        <f t="shared" si="52"/>
        <v>0.19774301564690647</v>
      </c>
      <c r="GP47" s="3">
        <f t="shared" si="53"/>
        <v>1970</v>
      </c>
      <c r="GQ47" s="3">
        <v>1720</v>
      </c>
      <c r="GR47" s="4">
        <f>Maalle!C47 + 'United Delet'!C47 + Ohtina!C47 + Astye!C47 + Prstreula!C47 + Veelmit!C47 + Aplasia!C47 + 'Elja and Munusia'!C47 + Walporein!C47 + 'Crila Republic'!C47 + 'Niretui and Anulan'!C47 + 'Rethern'!C47 + Tvecoca!C47</f>
        <v>88803601.521235079</v>
      </c>
      <c r="GS47" s="7">
        <f t="shared" si="54"/>
        <v>2.0246397427901137E-2</v>
      </c>
      <c r="GT47" s="5">
        <f t="shared" si="55"/>
        <v>2.4051446901912039E-2</v>
      </c>
      <c r="HA47" s="3">
        <f t="shared" si="56"/>
        <v>1970</v>
      </c>
      <c r="HB47" s="3">
        <v>1720</v>
      </c>
      <c r="HC47" s="4">
        <f>Andsaudare!C47 + Nia!C47 + Umarcia!C47 + Mendereide!C47 + Iainoa!C47 + Isari!C47 + 'Rkmepuia'!C47 + Hiwush!C47 + Isuibul!C47 + Yutnitu!C47</f>
        <v>30183953.127321772</v>
      </c>
      <c r="HD47" s="7">
        <f t="shared" si="57"/>
        <v>2.633226164286797E-2</v>
      </c>
      <c r="HE47" s="5">
        <f t="shared" si="58"/>
        <v>8.1749808959942355E-3</v>
      </c>
      <c r="HL47" s="3">
        <f t="shared" si="59"/>
        <v>1970</v>
      </c>
      <c r="HM47" s="3">
        <v>1720</v>
      </c>
      <c r="HN47" s="4">
        <f>Zhanshe!C47 + Volver!C47 + Finae!C47 + Myla!C47 + 'Nheyes Si'!C47 + Onphello!C47 + Hyelen!C47</f>
        <v>56967479.097421169</v>
      </c>
      <c r="HO47" s="7">
        <f t="shared" si="60"/>
        <v>2.7564073748018579E-2</v>
      </c>
      <c r="HP47" s="5">
        <f t="shared" si="61"/>
        <v>1.5428994716163323E-2</v>
      </c>
      <c r="HW47" s="3">
        <f t="shared" si="62"/>
        <v>1970</v>
      </c>
      <c r="HX47" s="3">
        <v>1720</v>
      </c>
      <c r="HY47" s="4">
        <f>Yihnurda!C47 + Ztesh!C47 + Wundry!C47 + Anymna!C47 + Shomjind!C47 + Baluyde!C47 + Letan!C47</f>
        <v>224752159.52604839</v>
      </c>
      <c r="HZ47" s="7">
        <f t="shared" si="63"/>
        <v>2.266212533636067E-2</v>
      </c>
      <c r="IA47" s="5">
        <f t="shared" si="64"/>
        <v>6.0871569827471515E-2</v>
      </c>
      <c r="IH47" s="3">
        <f t="shared" si="65"/>
        <v>1970</v>
      </c>
      <c r="II47" s="3">
        <v>1720</v>
      </c>
      <c r="IJ47" s="4">
        <f>Iareva!C47 + 'United Mihili'!C47 + 'Mesjan Hyaa'!C47 + Desaki!C47 + 'Far Lands'!C47</f>
        <v>25811581.760036312</v>
      </c>
      <c r="IK47" s="7">
        <f t="shared" si="66"/>
        <v>2.0762321013169046E-2</v>
      </c>
      <c r="IL47" s="5">
        <f t="shared" si="67"/>
        <v>6.9907737695461035E-3</v>
      </c>
      <c r="IS47" s="3">
        <f t="shared" si="68"/>
        <v>1970</v>
      </c>
      <c r="IT47" s="3">
        <v>1720</v>
      </c>
      <c r="IU47" s="4">
        <f>Verste!C47 + Quidic!C47 + Erkizil!C47 + Ashain!C47 + Ahokini!C47</f>
        <v>180262708.64967149</v>
      </c>
      <c r="IV47" s="7">
        <f t="shared" si="69"/>
        <v>2.1723091293977453E-2</v>
      </c>
      <c r="IW47" s="5">
        <f t="shared" si="70"/>
        <v>4.8822107338131693E-2</v>
      </c>
    </row>
    <row r="48" spans="1:257" ht="22.5" customHeight="1">
      <c r="A48" s="3">
        <f t="shared" si="0"/>
        <v>1969</v>
      </c>
      <c r="B48" s="3">
        <v>1719</v>
      </c>
      <c r="C48" s="4">
        <f>Acetoa!C48 + Acrana!C48 + Aetintio!C48 + Ahokini!C48 + Amcha!C48 + Andsaudare!C48 + Anymna!C48 + Aplasia!C48 + Arbiya!C48 + 'Areoix Lie'!C48 + Ashain!C48 + Astye!C48 + Baluyde!C48 + Byllu!C48 + 'Candenat'!C48 + 'Canldives'!C48 + 'Chaenia'!C48 + 'Cloja'!C48 + 'Crila Republic'!C48 + 'Cruthi Anoso'!C48 + 'Curata'!C48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'Raledria'!C48 + 'Reerica'!C48 + 'Rethern'!C48 + 'Rijan bu'!C48 + 'Rinew'!C48 + 'Rkmepuia'!C48 + 'Rtesania'!C48 + 'Ruylku'!C48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3627347636.3397694</v>
      </c>
      <c r="D48" s="5">
        <f t="shared" si="1"/>
        <v>1.8093983017473531E-2</v>
      </c>
      <c r="K48" s="3">
        <f t="shared" si="2"/>
        <v>1969</v>
      </c>
      <c r="L48" s="3">
        <v>1719</v>
      </c>
      <c r="M48" s="4">
        <f>Eldavpir!C48 + Iquir!C48 + Viussi!C48 + Umendel!C48 + 'Reerica'!C48 + Saa!C48 + Sattle!C48</f>
        <v>30130304.613863956</v>
      </c>
      <c r="N48" s="5">
        <f t="shared" si="3"/>
        <v>3.1117698310511754E-2</v>
      </c>
      <c r="O48" s="5">
        <f t="shared" si="4"/>
        <v>8.3064287282559445E-3</v>
      </c>
      <c r="V48" s="3">
        <f t="shared" si="5"/>
        <v>1969</v>
      </c>
      <c r="W48" s="3">
        <v>1719</v>
      </c>
      <c r="X48" s="4">
        <f>'Areoix Lie'!C48 + Jau!C48 + Terressin!C48 + Acetoa!C48 + 'Feio Lie'!C48</f>
        <v>409849911.40809005</v>
      </c>
      <c r="Y48" s="5">
        <f t="shared" si="6"/>
        <v>2.0652965868985417E-2</v>
      </c>
      <c r="Z48" s="5">
        <f t="shared" si="7"/>
        <v>0.11298887024284647</v>
      </c>
      <c r="AG48" s="3">
        <f t="shared" si="8"/>
        <v>1969</v>
      </c>
      <c r="AH48" s="3">
        <v>1719</v>
      </c>
      <c r="AI48" s="4">
        <f>Taniduna!C48 + Jathua!C48 + Deschon!C48 + Pelines!C48 + 'Candenat'!C48 + Othya!C48 + Yoprioq!C48 + Jshain!C48 + 'Fire Coast'!C48 + 'Rijan bu'!C48 + 'Rinew'!C48 + Enina!C48 + Trevilla!C48</f>
        <v>74542653.364082471</v>
      </c>
      <c r="AJ48" s="5">
        <f t="shared" si="9"/>
        <v>2.377970505033369E-2</v>
      </c>
      <c r="AK48" s="5">
        <f t="shared" si="10"/>
        <v>2.0550181796002567E-2</v>
      </c>
      <c r="AR48" s="3">
        <f t="shared" si="11"/>
        <v>1969</v>
      </c>
      <c r="AS48" s="3">
        <v>1719</v>
      </c>
      <c r="AT48" s="4">
        <f>Gaeiya!C48 + 'Raledria'!C48 + Arbiya!C48 + Fincen!C48 + 'Curata'!C48</f>
        <v>173868857.45421928</v>
      </c>
      <c r="AU48" s="5">
        <f t="shared" si="12"/>
        <v>1.9962748785650811E-2</v>
      </c>
      <c r="AV48" s="5">
        <f t="shared" si="13"/>
        <v>4.793278033578946E-2</v>
      </c>
      <c r="BC48" s="3">
        <f t="shared" si="14"/>
        <v>1969</v>
      </c>
      <c r="BD48" s="3">
        <v>1719</v>
      </c>
      <c r="BE48" s="4">
        <f>Etirha!C48 + Laselteh!C48 + Grazail!C48 + 'Disal Nila'!C48 + Pelan!C48 + Peka!C48 + Guise!C48</f>
        <v>67050611.180323556</v>
      </c>
      <c r="BF48" s="5">
        <f t="shared" si="15"/>
        <v>1.5996384540091845E-2</v>
      </c>
      <c r="BG48" s="5">
        <f t="shared" si="16"/>
        <v>1.8484749161782024E-2</v>
      </c>
      <c r="BN48" s="3">
        <f t="shared" si="17"/>
        <v>1969</v>
      </c>
      <c r="BO48" s="3">
        <v>1719</v>
      </c>
      <c r="BP48" s="4">
        <f>Genaire!C48 + 'New Misos'!C48 + Phuris!C48 + Lasri!C48 + Slyiaduun!C48 + Aetintio!C48 + Metndria!C48 + Tomscilus!C48</f>
        <v>51439585.719775766</v>
      </c>
      <c r="BQ48" s="5">
        <f t="shared" si="18"/>
        <v>2.4058953431031867E-2</v>
      </c>
      <c r="BR48" s="5">
        <f t="shared" si="19"/>
        <v>1.4181046559871959E-2</v>
      </c>
      <c r="BY48" s="3">
        <f t="shared" si="20"/>
        <v>1969</v>
      </c>
      <c r="BZ48" s="3">
        <v>1719</v>
      </c>
      <c r="CA48" s="4">
        <f>Ealdorii!C48 + Ukhdari!C48 + Hkuqo!C48 + Acrana!C48 + Zenashan!C48</f>
        <v>170068633.6502488</v>
      </c>
      <c r="CB48" s="6">
        <f t="shared" si="21"/>
        <v>1.8301059282452532E-2</v>
      </c>
      <c r="CC48" s="5">
        <f t="shared" si="22"/>
        <v>4.688512122368816E-2</v>
      </c>
      <c r="CJ48" s="3">
        <f t="shared" si="23"/>
        <v>1969</v>
      </c>
      <c r="CK48" s="3">
        <v>1719</v>
      </c>
      <c r="CL48" s="4">
        <f>Estijan!C48 + Ikzen!C48 + Urbiqu!C48 + Danocia!C48 + Koruch!C48 + 'New Kizura'!C48 + Lydroa!C48 + Fermori!C48 + Uularin!C48 + 'Niul Spijan'!C48</f>
        <v>202816019.26337767</v>
      </c>
      <c r="CM48" s="6">
        <f t="shared" si="24"/>
        <v>1.0434768306998837E-2</v>
      </c>
      <c r="CN48" s="5">
        <f t="shared" si="25"/>
        <v>5.591303607945123E-2</v>
      </c>
      <c r="CU48" s="3">
        <f t="shared" si="26"/>
        <v>1969</v>
      </c>
      <c r="CV48" s="3">
        <v>1719</v>
      </c>
      <c r="CW48" s="4">
        <f>Praesyu!C48 + Lycroa!C48 + Emara!C48 + Eldjo!C48 + Easuhura!C48 + Ilicuhe!C48 + Tonder!C48</f>
        <v>206322660.99554139</v>
      </c>
      <c r="CX48" s="6">
        <f t="shared" si="27"/>
        <v>5.7128637523279841E-3</v>
      </c>
      <c r="CY48" s="5">
        <f t="shared" si="28"/>
        <v>5.6879759449726862E-2</v>
      </c>
      <c r="DF48" s="3">
        <f t="shared" si="29"/>
        <v>1969</v>
      </c>
      <c r="DG48" s="3">
        <v>1719</v>
      </c>
      <c r="DH48" s="4">
        <f>Verusa!C48 + Darewa!C48 + Siana!C48 + Yaxuto!C48 + 'Merela Sta'!C48 + Palina!C48</f>
        <v>139900192.15092388</v>
      </c>
      <c r="DI48" s="6">
        <f t="shared" si="30"/>
        <v>9.7568190601079914E-3</v>
      </c>
      <c r="DJ48" s="5">
        <f t="shared" si="31"/>
        <v>3.8568178784234838E-2</v>
      </c>
      <c r="DQ48" s="3">
        <f t="shared" si="32"/>
        <v>1969</v>
      </c>
      <c r="DR48" s="3">
        <v>1719</v>
      </c>
      <c r="DS48" s="4">
        <f>Sunsokua!C48 + Vayvele!C48 + Selaja!C48 + Sadain!C48</f>
        <v>87082124.876721382</v>
      </c>
      <c r="DT48" s="6">
        <f t="shared" si="33"/>
        <v>2.751372960697207E-2</v>
      </c>
      <c r="DU48" s="5">
        <f t="shared" si="34"/>
        <v>2.4007107563749509E-2</v>
      </c>
      <c r="EB48" s="3">
        <f t="shared" si="35"/>
        <v>1969</v>
      </c>
      <c r="EC48" s="3">
        <v>1719</v>
      </c>
      <c r="ED48" s="4">
        <f>Pelugrotoa!C48 + Lieri!C48 + 'Rtesania'!C48 + Ozinia!C48</f>
        <v>236209493.1852228</v>
      </c>
      <c r="EE48" s="6">
        <f t="shared" si="36"/>
        <v>2.0865656161054579E-2</v>
      </c>
      <c r="EF48" s="5">
        <f t="shared" si="37"/>
        <v>6.511906684068848E-2</v>
      </c>
      <c r="EM48" s="3">
        <f t="shared" si="38"/>
        <v>1969</v>
      </c>
      <c r="EN48" s="3">
        <v>1719</v>
      </c>
      <c r="EO48" s="4">
        <f>Ocaun!C48 + 'Dual Cenryia'!C48 + Byllu!C48 + Exilium!C48 + Inrea!C48 + Amcha!C48 + Isnti!C48 + Galca!C48 + Otiiric!C48 + Taing!C48 + 'Cruthi Anoso'!C48</f>
        <v>102746475.28897077</v>
      </c>
      <c r="EP48" s="6">
        <f t="shared" si="39"/>
        <v>2.5514670093597376E-2</v>
      </c>
      <c r="EQ48" s="5">
        <f t="shared" si="40"/>
        <v>2.8325510976568175E-2</v>
      </c>
      <c r="EX48" s="3">
        <f t="shared" si="41"/>
        <v>1969</v>
      </c>
      <c r="EY48" s="3">
        <v>1719</v>
      </c>
      <c r="EZ48" s="4">
        <f>Sivoso!C48 + Taoisia!C48 + Seytinemas!C48 + Trian!C48 + 'Chaenia'!C48</f>
        <v>66700365.688640527</v>
      </c>
      <c r="FA48" s="6">
        <f t="shared" si="42"/>
        <v>2.5946199527261418E-2</v>
      </c>
      <c r="FB48" s="5">
        <f t="shared" si="43"/>
        <v>1.8388192248357412E-2</v>
      </c>
      <c r="FI48" s="3">
        <f t="shared" si="44"/>
        <v>1969</v>
      </c>
      <c r="FJ48" s="3">
        <v>1719</v>
      </c>
      <c r="FK48" s="4">
        <f>Migoku!C48 + 'Welenu Fana'!C48 + Haiza!C48 + Ucrua!C48 + Ihner!C48 + Oscairia!C48 + Shinam!C48 + 'Ruylku'!C48 + Taval!C48 + 'Western Migoku'!C48 + 'Pruim Fijan'!C48 + 'Canldives'!C48</f>
        <v>76263188.239795879</v>
      </c>
      <c r="FL48" s="6">
        <f t="shared" si="45"/>
        <v>2.1248784719713771E-2</v>
      </c>
      <c r="FM48" s="5">
        <f t="shared" si="46"/>
        <v>2.1024504923589406E-2</v>
      </c>
      <c r="FT48" s="3">
        <f t="shared" si="47"/>
        <v>1969</v>
      </c>
      <c r="FU48" s="3">
        <v>1719</v>
      </c>
      <c r="FV48" s="4">
        <f>Vesozata!C48 + Etretes!C48 + Kusierna!C48 + Eparia!C48</f>
        <v>50902256.262446456</v>
      </c>
      <c r="FW48" s="6">
        <f t="shared" si="48"/>
        <v>2.4188909716936487E-2</v>
      </c>
      <c r="FX48" s="5">
        <f t="shared" si="49"/>
        <v>1.4032913678439202E-2</v>
      </c>
      <c r="GE48" s="3">
        <f t="shared" si="50"/>
        <v>1969</v>
      </c>
      <c r="GF48" s="3">
        <v>1719</v>
      </c>
      <c r="GG48" s="4">
        <f>Dahe!C48 + Kaastini!C48 + Suenan!C48 + Oyreain!C48 + Sanagara!C48 + 'North Ayre'!C48 + Stinebar!C48 + 'Cloja'!C48 + 'Pha Hii'!C48 + 'Prystr Hii'!C48</f>
        <v>721265145.01280832</v>
      </c>
      <c r="GH48" s="6">
        <f t="shared" si="51"/>
        <v>1.2179876147513624E-2</v>
      </c>
      <c r="GI48" s="5">
        <f t="shared" si="52"/>
        <v>0.1988409210595023</v>
      </c>
      <c r="GP48" s="3">
        <f t="shared" si="53"/>
        <v>1969</v>
      </c>
      <c r="GQ48" s="3">
        <v>1719</v>
      </c>
      <c r="GR48" s="4">
        <f>Maalle!C48 + 'United Delet'!C48 + Ohtina!C48 + Astye!C48 + Prstreula!C48 + Veelmit!C48 + Aplasia!C48 + 'Elja and Munusia'!C48 + Walporein!C48 + 'Crila Republic'!C48 + 'Niretui and Anulan'!C48 + 'Rethern'!C48 + Tvecoca!C48</f>
        <v>87041328.197888255</v>
      </c>
      <c r="GS48" s="6">
        <f t="shared" si="54"/>
        <v>2.0133483500670461E-2</v>
      </c>
      <c r="GT48" s="5">
        <f t="shared" si="55"/>
        <v>2.3995860591326901E-2</v>
      </c>
      <c r="HA48" s="3">
        <f t="shared" si="56"/>
        <v>1969</v>
      </c>
      <c r="HB48" s="3">
        <v>1719</v>
      </c>
      <c r="HC48" s="4">
        <f>Andsaudare!C48 + Nia!C48 + Umarcia!C48 + Mendereide!C48 + Iainoa!C48 + Isari!C48 + 'Rkmepuia'!C48 + Hiwush!C48 + Isuibul!C48 + Yutnitu!C48</f>
        <v>29409533.593931649</v>
      </c>
      <c r="HD48" s="6">
        <f t="shared" si="57"/>
        <v>2.6130377294180683E-2</v>
      </c>
      <c r="HE48" s="5">
        <f t="shared" si="58"/>
        <v>8.1077240293427697E-3</v>
      </c>
      <c r="HL48" s="3">
        <f t="shared" si="59"/>
        <v>1969</v>
      </c>
      <c r="HM48" s="3">
        <v>1719</v>
      </c>
      <c r="HN48" s="4">
        <f>Zhanshe!C48 + Volver!C48 + Finae!C48 + Myla!C48 + 'Nheyes Si'!C48 + Onphello!C48 + Hyelen!C48</f>
        <v>55439344.905893289</v>
      </c>
      <c r="HO48" s="6">
        <f t="shared" si="60"/>
        <v>2.7006406395560633E-2</v>
      </c>
      <c r="HP48" s="5">
        <f t="shared" si="61"/>
        <v>1.5283714290432666E-2</v>
      </c>
      <c r="HW48" s="3">
        <f t="shared" si="62"/>
        <v>1969</v>
      </c>
      <c r="HX48" s="3">
        <v>1719</v>
      </c>
      <c r="HY48" s="4">
        <f>Yihnurda!C48 + Ztesh!C48 + Wundry!C48 + Anymna!C48 + Shomjind!C48 + Baluyde!C48 + Letan!C48</f>
        <v>219771666.47501084</v>
      </c>
      <c r="HZ48" s="6">
        <f t="shared" si="63"/>
        <v>2.2421487270372777E-2</v>
      </c>
      <c r="IA48" s="5">
        <f t="shared" si="64"/>
        <v>6.0587428751873035E-2</v>
      </c>
      <c r="IH48" s="3">
        <f t="shared" si="65"/>
        <v>1969</v>
      </c>
      <c r="II48" s="3">
        <v>1719</v>
      </c>
      <c r="IJ48" s="4">
        <f>Iareva!C48 + 'United Mihili'!C48 + 'Mesjan Hyaa'!C48 + Desaki!C48 + 'Far Lands'!C48</f>
        <v>25286573.797528829</v>
      </c>
      <c r="IK48" s="6">
        <f t="shared" si="66"/>
        <v>2.0445134133188315E-2</v>
      </c>
      <c r="IL48" s="5">
        <f t="shared" si="67"/>
        <v>6.9710919196718166E-3</v>
      </c>
      <c r="IS48" s="3">
        <f t="shared" si="68"/>
        <v>1969</v>
      </c>
      <c r="IT48" s="3">
        <v>1719</v>
      </c>
      <c r="IU48" s="4">
        <f>Verste!C48 + Quidic!C48 + Erkizil!C48 + Ashain!C48 + Ahokini!C48</f>
        <v>176430101.44889152</v>
      </c>
      <c r="IV48" s="6">
        <f t="shared" si="69"/>
        <v>2.2217221448601023E-2</v>
      </c>
      <c r="IW48" s="5">
        <f t="shared" si="70"/>
        <v>4.8638873120780066E-2</v>
      </c>
    </row>
    <row r="49" spans="1:257" ht="22.5" customHeight="1">
      <c r="A49" s="3">
        <f t="shared" si="0"/>
        <v>1968</v>
      </c>
      <c r="B49" s="3">
        <v>1718</v>
      </c>
      <c r="C49" s="4">
        <f>Acetoa!C49 + Acrana!C49 + Aetintio!C49 + Ahokini!C49 + Amcha!C49 + Andsaudare!C49 + Anymna!C49 + Aplasia!C49 + Arbiya!C49 + 'Areoix Lie'!C49 + Ashain!C49 + Astye!C49 + Baluyde!C49 + Byllu!C49 + 'Candenat'!C49 + 'Canldives'!C49 + 'Chaenia'!C49 + 'Cloja'!C49 + 'Crila Republic'!C49 + 'Cruthi Anoso'!C49 + 'Curata'!C49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'Raledria'!C49 + 'Reerica'!C49 + 'Rethern'!C49 + 'Rijan bu'!C49 + 'Rinew'!C49 + 'Rkmepuia'!C49 + 'Rtesania'!C49 + 'Ruylku'!C49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3562880929.3115263</v>
      </c>
      <c r="D49" s="5">
        <f t="shared" si="1"/>
        <v>1.830207572254737E-2</v>
      </c>
      <c r="K49" s="3">
        <f t="shared" si="2"/>
        <v>1968</v>
      </c>
      <c r="L49" s="3">
        <v>1718</v>
      </c>
      <c r="M49" s="4">
        <f>Eldavpir!C49 + Iquir!C49 + Viussi!C49 + Umendel!C49 + 'Reerica'!C49 + Saa!C49 + Sattle!C49</f>
        <v>29221013.918423198</v>
      </c>
      <c r="N49" s="5">
        <f t="shared" si="3"/>
        <v>3.098237273729661E-2</v>
      </c>
      <c r="O49" s="5">
        <f t="shared" si="4"/>
        <v>8.2015129043534231E-3</v>
      </c>
      <c r="V49" s="3">
        <f t="shared" si="5"/>
        <v>1968</v>
      </c>
      <c r="W49" s="3">
        <v>1718</v>
      </c>
      <c r="X49" s="4">
        <f>'Areoix Lie'!C49 + Jau!C49 + Terressin!C49 + Acetoa!C49 + 'Feio Lie'!C49</f>
        <v>401556577.12623531</v>
      </c>
      <c r="Y49" s="5">
        <f t="shared" si="6"/>
        <v>2.1368118602065663E-2</v>
      </c>
      <c r="Z49" s="5">
        <f t="shared" si="7"/>
        <v>0.11270558435525101</v>
      </c>
      <c r="AG49" s="3">
        <f t="shared" si="8"/>
        <v>1968</v>
      </c>
      <c r="AH49" s="3">
        <v>1718</v>
      </c>
      <c r="AI49" s="4">
        <f>Taniduna!C49 + Jathua!C49 + Deschon!C49 + Pelines!C49 + 'Candenat'!C49 + Othya!C49 + Yoprioq!C49 + Jshain!C49 + 'Fire Coast'!C49 + 'Rijan bu'!C49 + 'Rinew'!C49 + Enina!C49 + Trevilla!C49</f>
        <v>72811223.934564725</v>
      </c>
      <c r="AJ49" s="5">
        <f t="shared" si="9"/>
        <v>2.3668066230831109E-2</v>
      </c>
      <c r="AK49" s="5">
        <f t="shared" si="10"/>
        <v>2.0436053120819395E-2</v>
      </c>
      <c r="AR49" s="3">
        <f t="shared" si="11"/>
        <v>1968</v>
      </c>
      <c r="AS49" s="3">
        <v>1718</v>
      </c>
      <c r="AT49" s="4">
        <f>Gaeiya!C49 + 'Raledria'!C49 + Arbiya!C49 + Fincen!C49 + 'Curata'!C49</f>
        <v>170465889.72119266</v>
      </c>
      <c r="AU49" s="5">
        <f t="shared" si="12"/>
        <v>1.7062814433439284E-2</v>
      </c>
      <c r="AV49" s="5">
        <f t="shared" si="13"/>
        <v>4.7844958364671661E-2</v>
      </c>
      <c r="BC49" s="3">
        <f t="shared" si="14"/>
        <v>1968</v>
      </c>
      <c r="BD49" s="3">
        <v>1718</v>
      </c>
      <c r="BE49" s="4">
        <f>Etirha!C49 + Laselteh!C49 + Grazail!C49 + 'Disal Nila'!C49 + Pelan!C49 + Peka!C49 + Guise!C49</f>
        <v>65994930.888140082</v>
      </c>
      <c r="BF49" s="5">
        <f t="shared" si="15"/>
        <v>1.6717844720742822E-2</v>
      </c>
      <c r="BG49" s="5">
        <f t="shared" si="16"/>
        <v>1.8522912271697112E-2</v>
      </c>
      <c r="BN49" s="3">
        <f t="shared" si="17"/>
        <v>1968</v>
      </c>
      <c r="BO49" s="3">
        <v>1718</v>
      </c>
      <c r="BP49" s="4">
        <f>Genaire!C49 + 'New Misos'!C49 + Phuris!C49 + Lasri!C49 + Slyiaduun!C49 + Aetintio!C49 + Metndria!C49 + Tomscilus!C49</f>
        <v>50231078.540382206</v>
      </c>
      <c r="BQ49" s="5">
        <f t="shared" si="18"/>
        <v>2.4659414118666029E-2</v>
      </c>
      <c r="BR49" s="5">
        <f t="shared" si="19"/>
        <v>1.4098444359208101E-2</v>
      </c>
      <c r="BY49" s="3">
        <f t="shared" si="20"/>
        <v>1968</v>
      </c>
      <c r="BZ49" s="3">
        <v>1718</v>
      </c>
      <c r="CA49" s="4">
        <f>Ealdorii!C49 + Ukhdari!C49 + Hkuqo!C49 + Acrana!C49 + Zenashan!C49</f>
        <v>167012134.6727145</v>
      </c>
      <c r="CB49" s="7">
        <f t="shared" si="21"/>
        <v>1.882861177054183E-2</v>
      </c>
      <c r="CC49" s="5">
        <f t="shared" si="22"/>
        <v>4.68755869158353E-2</v>
      </c>
      <c r="CJ49" s="3">
        <f t="shared" si="23"/>
        <v>1968</v>
      </c>
      <c r="CK49" s="3">
        <v>1718</v>
      </c>
      <c r="CL49" s="4">
        <f>Estijan!C49 + Ikzen!C49 + Urbiqu!C49 + Danocia!C49 + Koruch!C49 + 'New Kizura'!C49 + Lydroa!C49 + Fermori!C49 + Uularin!C49 + 'Niul Spijan'!C49</f>
        <v>200721536.5354059</v>
      </c>
      <c r="CM49" s="7">
        <f t="shared" si="24"/>
        <v>1.3000001486930165E-2</v>
      </c>
      <c r="CN49" s="5">
        <f t="shared" si="25"/>
        <v>5.6336863487097322E-2</v>
      </c>
      <c r="CU49" s="3">
        <f t="shared" si="26"/>
        <v>1968</v>
      </c>
      <c r="CV49" s="3">
        <v>1718</v>
      </c>
      <c r="CW49" s="4">
        <f>Praesyu!C49 + Lycroa!C49 + Emara!C49 + Eldjo!C49 + Easuhura!C49 + Ilicuhe!C49 + Tonder!C49</f>
        <v>205150663.20793474</v>
      </c>
      <c r="CX49" s="7">
        <f t="shared" si="27"/>
        <v>6.4999065756066393E-3</v>
      </c>
      <c r="CY49" s="5">
        <f t="shared" si="28"/>
        <v>5.7579994189583275E-2</v>
      </c>
      <c r="DF49" s="3">
        <f t="shared" si="29"/>
        <v>1968</v>
      </c>
      <c r="DG49" s="3">
        <v>1718</v>
      </c>
      <c r="DH49" s="4">
        <f>Verusa!C49 + Darewa!C49 + Siana!C49 + Yaxuto!C49 + 'Merela Sta'!C49 + Palina!C49</f>
        <v>138548400.47640818</v>
      </c>
      <c r="DI49" s="7">
        <f t="shared" si="30"/>
        <v>9.2708469661013822E-3</v>
      </c>
      <c r="DJ49" s="5">
        <f t="shared" si="31"/>
        <v>3.8886621030914045E-2</v>
      </c>
      <c r="DQ49" s="3">
        <f t="shared" si="32"/>
        <v>1968</v>
      </c>
      <c r="DR49" s="3">
        <v>1718</v>
      </c>
      <c r="DS49" s="4">
        <f>Sunsokua!C49 + Vayvele!C49 + Selaja!C49 + Sadain!C49</f>
        <v>84750327.28762722</v>
      </c>
      <c r="DT49" s="7">
        <f t="shared" si="33"/>
        <v>2.7593882110089691E-2</v>
      </c>
      <c r="DU49" s="5">
        <f t="shared" si="34"/>
        <v>2.3787022067000133E-2</v>
      </c>
      <c r="EB49" s="3">
        <f t="shared" si="35"/>
        <v>1968</v>
      </c>
      <c r="EC49" s="3">
        <v>1718</v>
      </c>
      <c r="ED49" s="4">
        <f>Pelugrotoa!C49 + Lieri!C49 + 'Rtesania'!C49 + Ozinia!C49</f>
        <v>231381565.0077641</v>
      </c>
      <c r="EE49" s="7">
        <f t="shared" si="36"/>
        <v>2.150465916163545E-2</v>
      </c>
      <c r="EF49" s="5">
        <f t="shared" si="37"/>
        <v>6.4942267114291449E-2</v>
      </c>
      <c r="EM49" s="3">
        <f t="shared" si="38"/>
        <v>1968</v>
      </c>
      <c r="EN49" s="3">
        <v>1718</v>
      </c>
      <c r="EO49" s="4">
        <f>Ocaun!C49 + 'Dual Cenryia'!C49 + Byllu!C49 + Exilium!C49 + Inrea!C49 + Amcha!C49 + Isnti!C49 + Galca!C49 + Otiiric!C49 + Taing!C49 + 'Cruthi Anoso'!C49</f>
        <v>100190156.4992661</v>
      </c>
      <c r="EP49" s="7">
        <f t="shared" si="39"/>
        <v>2.5154513777127057E-2</v>
      </c>
      <c r="EQ49" s="5">
        <f t="shared" si="40"/>
        <v>2.8120545841150622E-2</v>
      </c>
      <c r="EX49" s="3">
        <f t="shared" si="41"/>
        <v>1968</v>
      </c>
      <c r="EY49" s="3">
        <v>1718</v>
      </c>
      <c r="EZ49" s="4">
        <f>Sivoso!C49 + Taoisia!C49 + Seytinemas!C49 + Trian!C49 + 'Chaenia'!C49</f>
        <v>65013512.130923554</v>
      </c>
      <c r="FA49" s="7">
        <f t="shared" si="42"/>
        <v>2.5959888552041094E-2</v>
      </c>
      <c r="FB49" s="5">
        <f t="shared" si="43"/>
        <v>1.8247455758642613E-2</v>
      </c>
      <c r="FI49" s="3">
        <f t="shared" si="44"/>
        <v>1968</v>
      </c>
      <c r="FJ49" s="3">
        <v>1718</v>
      </c>
      <c r="FK49" s="4">
        <f>Migoku!C49 + 'Welenu Fana'!C49 + Haiza!C49 + Ucrua!C49 + Ihner!C49 + Oscairia!C49 + Shinam!C49 + 'Ruylku'!C49 + Taval!C49 + 'Western Migoku'!C49 + 'Pruim Fijan'!C49 + 'Canldives'!C49</f>
        <v>74676405.378270924</v>
      </c>
      <c r="FL49" s="7">
        <f t="shared" si="45"/>
        <v>2.081439775823863E-2</v>
      </c>
      <c r="FM49" s="5">
        <f t="shared" si="46"/>
        <v>2.0959556847357518E-2</v>
      </c>
      <c r="FT49" s="3">
        <f t="shared" si="47"/>
        <v>1968</v>
      </c>
      <c r="FU49" s="3">
        <v>1718</v>
      </c>
      <c r="FV49" s="4">
        <f>Vesozata!C49 + Etretes!C49 + Kusierna!C49 + Eparia!C49</f>
        <v>49700065.85651736</v>
      </c>
      <c r="FW49" s="7">
        <f t="shared" si="48"/>
        <v>2.3343167917171972E-2</v>
      </c>
      <c r="FX49" s="5">
        <f t="shared" si="49"/>
        <v>1.3949404103751836E-2</v>
      </c>
      <c r="GE49" s="3">
        <f t="shared" si="50"/>
        <v>1968</v>
      </c>
      <c r="GF49" s="3">
        <v>1718</v>
      </c>
      <c r="GG49" s="4">
        <f>Dahe!C49 + Kaastini!C49 + Suenan!C49 + Oyreain!C49 + Sanagara!C49 + 'North Ayre'!C49 + Stinebar!C49 + 'Cloja'!C49 + 'Pha Hii'!C49 + 'Prystr Hii'!C49</f>
        <v>712585936.56103492</v>
      </c>
      <c r="GH49" s="7">
        <f t="shared" si="51"/>
        <v>1.2265981027046026E-2</v>
      </c>
      <c r="GI49" s="5">
        <f t="shared" si="52"/>
        <v>0.20000273674560648</v>
      </c>
      <c r="GP49" s="3">
        <f t="shared" si="53"/>
        <v>1968</v>
      </c>
      <c r="GQ49" s="3">
        <v>1718</v>
      </c>
      <c r="GR49" s="4">
        <f>Maalle!C49 + 'United Delet'!C49 + Ohtina!C49 + Astye!C49 + Prstreula!C49 + Veelmit!C49 + Aplasia!C49 + 'Elja and Munusia'!C49 + Walporein!C49 + 'Crila Republic'!C49 + 'Niretui and Anulan'!C49 + 'Rethern'!C49 + Tvecoca!C49</f>
        <v>85323469.531848818</v>
      </c>
      <c r="GS49" s="7">
        <f t="shared" si="54"/>
        <v>1.9987731162058195E-2</v>
      </c>
      <c r="GT49" s="5">
        <f t="shared" si="55"/>
        <v>2.3947886899587271E-2</v>
      </c>
      <c r="HA49" s="3">
        <f t="shared" si="56"/>
        <v>1968</v>
      </c>
      <c r="HB49" s="3">
        <v>1718</v>
      </c>
      <c r="HC49" s="4">
        <f>Andsaudare!C49 + Nia!C49 + Umarcia!C49 + Mendereide!C49 + Iainoa!C49 + Isari!C49 + 'Rkmepuia'!C49 + Hiwush!C49 + Isuibul!C49 + Yutnitu!C49</f>
        <v>28660620.759987742</v>
      </c>
      <c r="HD49" s="7">
        <f t="shared" si="57"/>
        <v>2.5868878464233736E-2</v>
      </c>
      <c r="HE49" s="5">
        <f t="shared" si="58"/>
        <v>8.0442263798936389E-3</v>
      </c>
      <c r="HL49" s="3">
        <f t="shared" si="59"/>
        <v>1968</v>
      </c>
      <c r="HM49" s="3">
        <v>1718</v>
      </c>
      <c r="HN49" s="4">
        <f>Zhanshe!C49 + Volver!C49 + Finae!C49 + Myla!C49 + 'Nheyes Si'!C49 + Onphello!C49 + Hyelen!C49</f>
        <v>53981498.616416939</v>
      </c>
      <c r="HO49" s="7">
        <f t="shared" si="60"/>
        <v>2.8937161854415597E-2</v>
      </c>
      <c r="HP49" s="5">
        <f t="shared" si="61"/>
        <v>1.515108129837167E-2</v>
      </c>
      <c r="HW49" s="3">
        <f t="shared" si="62"/>
        <v>1968</v>
      </c>
      <c r="HX49" s="3">
        <v>1718</v>
      </c>
      <c r="HY49" s="4">
        <f>Yihnurda!C49 + Ztesh!C49 + Wundry!C49 + Anymna!C49 + Shomjind!C49 + Baluyde!C49 + Letan!C49</f>
        <v>214952120.24714974</v>
      </c>
      <c r="HZ49" s="7">
        <f t="shared" si="63"/>
        <v>2.2282294644556725E-2</v>
      </c>
      <c r="IA49" s="5">
        <f t="shared" si="64"/>
        <v>6.0330986219257692E-2</v>
      </c>
      <c r="IH49" s="3">
        <f t="shared" si="65"/>
        <v>1968</v>
      </c>
      <c r="II49" s="3">
        <v>1718</v>
      </c>
      <c r="IJ49" s="4">
        <f>Iareva!C49 + 'United Mihili'!C49 + 'Mesjan Hyaa'!C49 + Desaki!C49 + 'Far Lands'!C49</f>
        <v>24779944.508244801</v>
      </c>
      <c r="IK49" s="7">
        <f t="shared" si="66"/>
        <v>2.0106008895058262E-2</v>
      </c>
      <c r="IL49" s="5">
        <f t="shared" si="67"/>
        <v>6.9550302128769583E-3</v>
      </c>
      <c r="IS49" s="3">
        <f t="shared" si="68"/>
        <v>1968</v>
      </c>
      <c r="IT49" s="3">
        <v>1718</v>
      </c>
      <c r="IU49" s="4">
        <f>Verste!C49 + Quidic!C49 + Erkizil!C49 + Ashain!C49 + Ahokini!C49</f>
        <v>172595508.80865565</v>
      </c>
      <c r="IV49" s="7">
        <f t="shared" si="69"/>
        <v>2.2659564377546203E-2</v>
      </c>
      <c r="IW49" s="5">
        <f t="shared" si="70"/>
        <v>4.8442682265558382E-2</v>
      </c>
    </row>
    <row r="50" spans="1:257" ht="22.5" customHeight="1">
      <c r="A50" s="3">
        <f t="shared" si="0"/>
        <v>1967</v>
      </c>
      <c r="B50" s="3">
        <v>1717</v>
      </c>
      <c r="C50" s="4">
        <f>Acetoa!C50 + Acrana!C50 + Aetintio!C50 + Ahokini!C50 + Amcha!C50 + Andsaudare!C50 + Anymna!C50 + Aplasia!C50 + Arbiya!C50 + 'Areoix Lie'!C50 + Ashain!C50 + Astye!C50 + Baluyde!C50 + Byllu!C50 + 'Candenat'!C50 + 'Canldives'!C50 + 'Chaenia'!C50 + 'Cloja'!C50 + 'Crila Republic'!C50 + 'Cruthi Anoso'!C50 + 'Curata'!C50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'Raledria'!C50 + 'Reerica'!C50 + 'Rethern'!C50 + 'Rijan bu'!C50 + 'Rinew'!C50 + 'Rkmepuia'!C50 + 'Rtesania'!C50 + 'Ruylku'!C50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3498844806.7175403</v>
      </c>
      <c r="D50" s="5">
        <f t="shared" si="1"/>
        <v>1.8437967214937834E-2</v>
      </c>
      <c r="K50" s="3">
        <f t="shared" si="2"/>
        <v>1967</v>
      </c>
      <c r="L50" s="3">
        <v>1717</v>
      </c>
      <c r="M50" s="4">
        <f>Eldavpir!C50 + Iquir!C50 + Viussi!C50 + Umendel!C50 + 'Reerica'!C50 + Saa!C50 + Sattle!C50</f>
        <v>28342884.118222427</v>
      </c>
      <c r="N50" s="5">
        <f t="shared" si="3"/>
        <v>3.0727935640350139E-2</v>
      </c>
      <c r="O50" s="5">
        <f t="shared" si="4"/>
        <v>8.1006405496482862E-3</v>
      </c>
      <c r="V50" s="3">
        <f t="shared" si="5"/>
        <v>1967</v>
      </c>
      <c r="W50" s="3">
        <v>1717</v>
      </c>
      <c r="X50" s="4">
        <f>'Areoix Lie'!C50 + Jau!C50 + Terressin!C50 + Acetoa!C50 + 'Feio Lie'!C50</f>
        <v>393155582.02055591</v>
      </c>
      <c r="Y50" s="5">
        <f t="shared" si="6"/>
        <v>2.2071383542525566E-2</v>
      </c>
      <c r="Z50" s="5">
        <f t="shared" si="7"/>
        <v>0.11236725369062507</v>
      </c>
      <c r="AG50" s="3">
        <f t="shared" si="8"/>
        <v>1967</v>
      </c>
      <c r="AH50" s="3">
        <v>1717</v>
      </c>
      <c r="AI50" s="4">
        <f>Taniduna!C50 + Jathua!C50 + Deschon!C50 + Pelines!C50 + 'Candenat'!C50 + Othya!C50 + Yoprioq!C50 + Jshain!C50 + 'Fire Coast'!C50 + 'Rijan bu'!C50 + 'Rinew'!C50 + Enina!C50 + Trevilla!C50</f>
        <v>71127767.228939056</v>
      </c>
      <c r="AJ50" s="5">
        <f t="shared" si="9"/>
        <v>2.3676289320717997E-2</v>
      </c>
      <c r="AK50" s="5">
        <f t="shared" si="10"/>
        <v>2.0328928877433677E-2</v>
      </c>
      <c r="AR50" s="3">
        <f t="shared" si="11"/>
        <v>1967</v>
      </c>
      <c r="AS50" s="3">
        <v>1717</v>
      </c>
      <c r="AT50" s="4">
        <f>Gaeiya!C50 + 'Raledria'!C50 + Arbiya!C50 + Fincen!C50 + 'Curata'!C50</f>
        <v>167606058.64461938</v>
      </c>
      <c r="AU50" s="5">
        <f t="shared" si="12"/>
        <v>1.2550659543358605E-2</v>
      </c>
      <c r="AV50" s="5">
        <f t="shared" si="13"/>
        <v>4.7903256046917919E-2</v>
      </c>
      <c r="BC50" s="3">
        <f t="shared" si="14"/>
        <v>1967</v>
      </c>
      <c r="BD50" s="3">
        <v>1717</v>
      </c>
      <c r="BE50" s="4">
        <f>Etirha!C50 + Laselteh!C50 + Grazail!C50 + 'Disal Nila'!C50 + Pelan!C50 + Peka!C50 + Guise!C50</f>
        <v>64909779.277324088</v>
      </c>
      <c r="BF50" s="5">
        <f t="shared" si="15"/>
        <v>1.8241684742315124E-2</v>
      </c>
      <c r="BG50" s="5">
        <f t="shared" si="16"/>
        <v>1.8551774332117216E-2</v>
      </c>
      <c r="BN50" s="3">
        <f t="shared" si="17"/>
        <v>1967</v>
      </c>
      <c r="BO50" s="3">
        <v>1717</v>
      </c>
      <c r="BP50" s="4">
        <f>Genaire!C50 + 'New Misos'!C50 + Phuris!C50 + Lasri!C50 + Slyiaduun!C50 + Aetintio!C50 + Metndria!C50 + Tomscilus!C50</f>
        <v>49022219.332837686</v>
      </c>
      <c r="BQ50" s="5">
        <f t="shared" si="18"/>
        <v>2.5169960352741848E-2</v>
      </c>
      <c r="BR50" s="5">
        <f t="shared" si="19"/>
        <v>1.4010972775562498E-2</v>
      </c>
      <c r="BY50" s="3">
        <f t="shared" si="20"/>
        <v>1967</v>
      </c>
      <c r="BZ50" s="3">
        <v>1717</v>
      </c>
      <c r="CA50" s="4">
        <f>Ealdorii!C50 + Ukhdari!C50 + Hkuqo!C50 + Acrana!C50 + Zenashan!C50</f>
        <v>163925642.39286262</v>
      </c>
      <c r="CB50" s="6">
        <f t="shared" si="21"/>
        <v>1.9471922234803912E-2</v>
      </c>
      <c r="CC50" s="5">
        <f t="shared" si="22"/>
        <v>4.6851361363080955E-2</v>
      </c>
      <c r="CJ50" s="3">
        <f t="shared" si="23"/>
        <v>1967</v>
      </c>
      <c r="CK50" s="3">
        <v>1717</v>
      </c>
      <c r="CL50" s="4">
        <f>Estijan!C50 + Ikzen!C50 + Urbiqu!C50 + Danocia!C50 + Koruch!C50 + 'New Kizura'!C50 + Lydroa!C50 + Fermori!C50 + Uularin!C50 + 'Niul Spijan'!C50</f>
        <v>198145642.88329434</v>
      </c>
      <c r="CM50" s="6">
        <f t="shared" si="24"/>
        <v>1.4317647318708712E-2</v>
      </c>
      <c r="CN50" s="5">
        <f t="shared" si="25"/>
        <v>5.6631732422903813E-2</v>
      </c>
      <c r="CU50" s="3">
        <f t="shared" si="26"/>
        <v>1967</v>
      </c>
      <c r="CV50" s="3">
        <v>1717</v>
      </c>
      <c r="CW50" s="4">
        <f>Praesyu!C50 + Lycroa!C50 + Emara!C50 + Eldjo!C50 + Easuhura!C50 + Ilicuhe!C50 + Tonder!C50</f>
        <v>203825814.45627204</v>
      </c>
      <c r="CX50" s="6">
        <f t="shared" si="27"/>
        <v>8.284122074898757E-3</v>
      </c>
      <c r="CY50" s="5">
        <f t="shared" si="28"/>
        <v>5.8255174412120414E-2</v>
      </c>
      <c r="DF50" s="3">
        <f t="shared" si="29"/>
        <v>1967</v>
      </c>
      <c r="DG50" s="3">
        <v>1717</v>
      </c>
      <c r="DH50" s="4">
        <f>Verusa!C50 + Darewa!C50 + Siana!C50 + Yaxuto!C50 + 'Merela Sta'!C50 + Palina!C50</f>
        <v>137275738.11617452</v>
      </c>
      <c r="DI50" s="6">
        <f t="shared" si="30"/>
        <v>9.5951598053951506E-3</v>
      </c>
      <c r="DJ50" s="5">
        <f t="shared" si="31"/>
        <v>3.9234589042821962E-2</v>
      </c>
      <c r="DQ50" s="3">
        <f t="shared" si="32"/>
        <v>1967</v>
      </c>
      <c r="DR50" s="3">
        <v>1717</v>
      </c>
      <c r="DS50" s="4">
        <f>Sunsokua!C50 + Vayvele!C50 + Selaja!C50 + Sadain!C50</f>
        <v>82474534.700030088</v>
      </c>
      <c r="DT50" s="6">
        <f t="shared" si="33"/>
        <v>2.7564354321075606E-2</v>
      </c>
      <c r="DU50" s="5">
        <f t="shared" si="34"/>
        <v>2.3571932810990841E-2</v>
      </c>
      <c r="EB50" s="3">
        <f t="shared" si="35"/>
        <v>1967</v>
      </c>
      <c r="EC50" s="3">
        <v>1717</v>
      </c>
      <c r="ED50" s="4">
        <f>Pelugrotoa!C50 + Lieri!C50 + 'Rtesania'!C50 + Ozinia!C50</f>
        <v>226510533.19488773</v>
      </c>
      <c r="EE50" s="6">
        <f t="shared" si="36"/>
        <v>2.2526443248787744E-2</v>
      </c>
      <c r="EF50" s="5">
        <f t="shared" si="37"/>
        <v>6.4738662532274407E-2</v>
      </c>
      <c r="EM50" s="3">
        <f t="shared" si="38"/>
        <v>1967</v>
      </c>
      <c r="EN50" s="3">
        <v>1717</v>
      </c>
      <c r="EO50" s="4">
        <f>Ocaun!C50 + 'Dual Cenryia'!C50 + Byllu!C50 + Exilium!C50 + Inrea!C50 + Amcha!C50 + Isnti!C50 + Galca!C50 + Otiiric!C50 + Taing!C50 + 'Cruthi Anoso'!C50</f>
        <v>97731761.556724578</v>
      </c>
      <c r="EP50" s="6">
        <f t="shared" si="39"/>
        <v>2.5124088428608537E-2</v>
      </c>
      <c r="EQ50" s="5">
        <f t="shared" si="40"/>
        <v>2.7932579738628689E-2</v>
      </c>
      <c r="EX50" s="3">
        <f t="shared" si="41"/>
        <v>1967</v>
      </c>
      <c r="EY50" s="3">
        <v>1717</v>
      </c>
      <c r="EZ50" s="4">
        <f>Sivoso!C50 + Taoisia!C50 + Seytinemas!C50 + Trian!C50 + 'Chaenia'!C50</f>
        <v>63368473.618085109</v>
      </c>
      <c r="FA50" s="6">
        <f t="shared" si="42"/>
        <v>2.5861037343135957E-2</v>
      </c>
      <c r="FB50" s="5">
        <f t="shared" si="43"/>
        <v>1.8111255891207868E-2</v>
      </c>
      <c r="FI50" s="3">
        <f t="shared" si="44"/>
        <v>1967</v>
      </c>
      <c r="FJ50" s="3">
        <v>1717</v>
      </c>
      <c r="FK50" s="4">
        <f>Migoku!C50 + 'Welenu Fana'!C50 + Haiza!C50 + Ucrua!C50 + Ihner!C50 + Oscairia!C50 + Shinam!C50 + 'Ruylku'!C50 + Taval!C50 + 'Western Migoku'!C50 + 'Pruim Fijan'!C50 + 'Canldives'!C50</f>
        <v>73153754.0440889</v>
      </c>
      <c r="FL50" s="6">
        <f t="shared" si="45"/>
        <v>2.0423304906810085E-2</v>
      </c>
      <c r="FM50" s="5">
        <f t="shared" si="46"/>
        <v>2.0907973369850171E-2</v>
      </c>
      <c r="FT50" s="3">
        <f t="shared" si="47"/>
        <v>1967</v>
      </c>
      <c r="FU50" s="3">
        <v>1717</v>
      </c>
      <c r="FV50" s="4">
        <f>Vesozata!C50 + Etretes!C50 + Kusierna!C50 + Eparia!C50</f>
        <v>48566372.85972482</v>
      </c>
      <c r="FW50" s="6">
        <f t="shared" si="48"/>
        <v>2.8420098745081831E-2</v>
      </c>
      <c r="FX50" s="5">
        <f t="shared" si="49"/>
        <v>1.3880687924906168E-2</v>
      </c>
      <c r="GE50" s="3">
        <f t="shared" si="50"/>
        <v>1967</v>
      </c>
      <c r="GF50" s="3">
        <v>1717</v>
      </c>
      <c r="GG50" s="4">
        <f>Dahe!C50 + Kaastini!C50 + Suenan!C50 + Oyreain!C50 + Sanagara!C50 + 'North Ayre'!C50 + Stinebar!C50 + 'Cloja'!C50 + 'Pha Hii'!C50 + 'Prystr Hii'!C50</f>
        <v>703951283.4739784</v>
      </c>
      <c r="GH50" s="6">
        <f t="shared" si="51"/>
        <v>1.2316323745079728E-2</v>
      </c>
      <c r="GI50" s="5">
        <f t="shared" si="52"/>
        <v>0.20119534370956968</v>
      </c>
      <c r="GP50" s="3">
        <f t="shared" si="53"/>
        <v>1967</v>
      </c>
      <c r="GQ50" s="3">
        <v>1717</v>
      </c>
      <c r="GR50" s="4">
        <f>Maalle!C50 + 'United Delet'!C50 + Ohtina!C50 + Astye!C50 + Prstreula!C50 + Veelmit!C50 + Aplasia!C50 + 'Elja and Munusia'!C50 + Walporein!C50 + 'Crila Republic'!C50 + 'Niretui and Anulan'!C50 + 'Rethern'!C50 + Tvecoca!C50</f>
        <v>83651466.507975489</v>
      </c>
      <c r="GS50" s="6">
        <f t="shared" si="54"/>
        <v>1.9940484389886513E-2</v>
      </c>
      <c r="GT50" s="5">
        <f t="shared" si="55"/>
        <v>2.3908310064902124E-2</v>
      </c>
      <c r="HA50" s="3">
        <f t="shared" si="56"/>
        <v>1967</v>
      </c>
      <c r="HB50" s="3">
        <v>1717</v>
      </c>
      <c r="HC50" s="4">
        <f>Andsaudare!C50 + Nia!C50 + Umarcia!C50 + Mendereide!C50 + Iainoa!C50 + Isari!C50 + 'Rkmepuia'!C50 + Hiwush!C50 + Isuibul!C50 + Yutnitu!C50</f>
        <v>27937898.655132052</v>
      </c>
      <c r="HD50" s="6">
        <f t="shared" si="57"/>
        <v>2.5697289140049234E-2</v>
      </c>
      <c r="HE50" s="5">
        <f t="shared" si="58"/>
        <v>7.9848922139939497E-3</v>
      </c>
      <c r="HL50" s="3">
        <f t="shared" si="59"/>
        <v>1967</v>
      </c>
      <c r="HM50" s="3">
        <v>1717</v>
      </c>
      <c r="HN50" s="4">
        <f>Zhanshe!C50 + Volver!C50 + Finae!C50 + Myla!C50 + 'Nheyes Si'!C50 + Onphello!C50 + Hyelen!C50</f>
        <v>52463357.936385609</v>
      </c>
      <c r="HO50" s="6">
        <f t="shared" si="60"/>
        <v>2.2784434778604364E-2</v>
      </c>
      <c r="HP50" s="5">
        <f t="shared" si="61"/>
        <v>1.4994479845364844E-2</v>
      </c>
      <c r="HW50" s="3">
        <f t="shared" si="62"/>
        <v>1967</v>
      </c>
      <c r="HX50" s="3">
        <v>1717</v>
      </c>
      <c r="HY50" s="4">
        <f>Yihnurda!C50 + Ztesh!C50 + Wundry!C50 + Anymna!C50 + Shomjind!C50 + Baluyde!C50 + Letan!C50</f>
        <v>210266891.41856623</v>
      </c>
      <c r="HZ50" s="6">
        <f t="shared" si="63"/>
        <v>2.2091237636329086E-2</v>
      </c>
      <c r="IA50" s="5">
        <f t="shared" si="64"/>
        <v>6.0096089719346317E-2</v>
      </c>
      <c r="IH50" s="3">
        <f t="shared" si="65"/>
        <v>1967</v>
      </c>
      <c r="II50" s="3">
        <v>1717</v>
      </c>
      <c r="IJ50" s="4">
        <f>Iareva!C50 + 'United Mihili'!C50 + 'Mesjan Hyaa'!C50 + Desaki!C50 + 'Far Lands'!C50</f>
        <v>24291538.616741937</v>
      </c>
      <c r="IK50" s="6">
        <f t="shared" si="66"/>
        <v>1.978488196031827E-2</v>
      </c>
      <c r="IL50" s="5">
        <f t="shared" si="67"/>
        <v>6.9427310894452539E-3</v>
      </c>
      <c r="IS50" s="3">
        <f t="shared" si="68"/>
        <v>1967</v>
      </c>
      <c r="IT50" s="3">
        <v>1717</v>
      </c>
      <c r="IU50" s="4">
        <f>Verste!C50 + Quidic!C50 + Erkizil!C50 + Ashain!C50 + Ahokini!C50</f>
        <v>168771226.34031975</v>
      </c>
      <c r="IV50" s="6">
        <f t="shared" si="69"/>
        <v>2.2815065774143623E-2</v>
      </c>
      <c r="IW50" s="5">
        <f t="shared" si="70"/>
        <v>4.8236271016162437E-2</v>
      </c>
    </row>
    <row r="51" spans="1:257" ht="22.5" customHeight="1">
      <c r="A51" s="3">
        <f t="shared" si="0"/>
        <v>1966</v>
      </c>
      <c r="B51" s="3">
        <v>1716</v>
      </c>
      <c r="C51" s="4">
        <f>Acetoa!C51 + Acrana!C51 + Aetintio!C51 + Ahokini!C51 + Amcha!C51 + Andsaudare!C51 + Anymna!C51 + Aplasia!C51 + Arbiya!C51 + 'Areoix Lie'!C51 + Ashain!C51 + Astye!C51 + Baluyde!C51 + Byllu!C51 + 'Candenat'!C51 + 'Canldives'!C51 + 'Chaenia'!C51 + 'Cloja'!C51 + 'Crila Republic'!C51 + 'Cruthi Anoso'!C51 + 'Curata'!C51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'Raledria'!C51 + 'Reerica'!C51 + 'Rethern'!C51 + 'Rijan bu'!C51 + 'Rinew'!C51 + 'Rkmepuia'!C51 + 'Rtesania'!C51 + 'Ruylku'!C51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3435501149.1624026</v>
      </c>
      <c r="D51" s="5">
        <f t="shared" si="1"/>
        <v>1.9441842246539467E-2</v>
      </c>
      <c r="K51" s="3">
        <f t="shared" si="2"/>
        <v>1966</v>
      </c>
      <c r="L51" s="3">
        <v>1716</v>
      </c>
      <c r="M51" s="4">
        <f>Eldavpir!C51 + Iquir!C51 + Viussi!C51 + Umendel!C51 + 'Reerica'!C51 + Saa!C51 + Sattle!C51</f>
        <v>27497929.509996373</v>
      </c>
      <c r="N51" s="5">
        <f t="shared" si="3"/>
        <v>3.0155715932191792E-2</v>
      </c>
      <c r="O51" s="5">
        <f t="shared" si="4"/>
        <v>8.004051902791692E-3</v>
      </c>
      <c r="V51" s="3">
        <f t="shared" si="5"/>
        <v>1966</v>
      </c>
      <c r="W51" s="3">
        <v>1716</v>
      </c>
      <c r="X51" s="4">
        <f>'Areoix Lie'!C51 + Jau!C51 + Terressin!C51 + Acetoa!C51 + 'Feio Lie'!C51</f>
        <v>384665482.61812067</v>
      </c>
      <c r="Y51" s="5">
        <f t="shared" si="6"/>
        <v>2.2880456542378091E-2</v>
      </c>
      <c r="Z51" s="5">
        <f t="shared" si="7"/>
        <v>0.11196779331944179</v>
      </c>
      <c r="AG51" s="3">
        <f t="shared" si="8"/>
        <v>1966</v>
      </c>
      <c r="AH51" s="3">
        <v>1716</v>
      </c>
      <c r="AI51" s="4">
        <f>Taniduna!C51 + Jathua!C51 + Deschon!C51 + Pelines!C51 + 'Candenat'!C51 + Othya!C51 + Yoprioq!C51 + Jshain!C51 + 'Fire Coast'!C51 + 'Rijan bu'!C51 + 'Rinew'!C51 + Enina!C51 + Trevilla!C51</f>
        <v>69482675.305625558</v>
      </c>
      <c r="AJ51" s="5">
        <f t="shared" si="9"/>
        <v>2.4004998001166785E-2</v>
      </c>
      <c r="AK51" s="5">
        <f t="shared" si="10"/>
        <v>2.0224902361789598E-2</v>
      </c>
      <c r="AR51" s="3">
        <f t="shared" si="11"/>
        <v>1966</v>
      </c>
      <c r="AS51" s="3">
        <v>1716</v>
      </c>
      <c r="AT51" s="4">
        <f>Gaeiya!C51 + 'Raledria'!C51 + Arbiya!C51 + Fincen!C51 + 'Curata'!C51</f>
        <v>165528565.968449</v>
      </c>
      <c r="AU51" s="5">
        <f t="shared" si="12"/>
        <v>2.1615560577669151E-2</v>
      </c>
      <c r="AV51" s="5">
        <f t="shared" si="13"/>
        <v>4.8181781574663692E-2</v>
      </c>
      <c r="BC51" s="3">
        <f t="shared" si="14"/>
        <v>1966</v>
      </c>
      <c r="BD51" s="3">
        <v>1716</v>
      </c>
      <c r="BE51" s="4">
        <f>Etirha!C51 + Laselteh!C51 + Grazail!C51 + 'Disal Nila'!C51 + Pelan!C51 + Peka!C51 + Guise!C51</f>
        <v>63746927.915007435</v>
      </c>
      <c r="BF51" s="5">
        <f t="shared" si="15"/>
        <v>1.9228741931888428E-2</v>
      </c>
      <c r="BG51" s="5">
        <f t="shared" si="16"/>
        <v>1.8555350485197582E-2</v>
      </c>
      <c r="BN51" s="3">
        <f t="shared" si="17"/>
        <v>1966</v>
      </c>
      <c r="BO51" s="3">
        <v>1716</v>
      </c>
      <c r="BP51" s="4">
        <f>Genaire!C51 + 'New Misos'!C51 + Phuris!C51 + Lasri!C51 + Slyiaduun!C51 + Aetintio!C51 + Metndria!C51 + Tomscilus!C51</f>
        <v>47818626.402172431</v>
      </c>
      <c r="BQ51" s="5">
        <f t="shared" si="18"/>
        <v>2.5626579053389827E-2</v>
      </c>
      <c r="BR51" s="5">
        <f t="shared" si="19"/>
        <v>1.3918966789992465E-2</v>
      </c>
      <c r="BY51" s="3">
        <f t="shared" si="20"/>
        <v>1966</v>
      </c>
      <c r="BZ51" s="3">
        <v>1716</v>
      </c>
      <c r="CA51" s="4">
        <f>Ealdorii!C51 + Ukhdari!C51 + Hkuqo!C51 + Acrana!C51 + Zenashan!C51</f>
        <v>160794661.25316927</v>
      </c>
      <c r="CB51" s="7">
        <f t="shared" si="21"/>
        <v>1.9418590676439942E-2</v>
      </c>
      <c r="CC51" s="5">
        <f t="shared" si="22"/>
        <v>4.6803844409242026E-2</v>
      </c>
      <c r="CJ51" s="3">
        <f t="shared" si="23"/>
        <v>1966</v>
      </c>
      <c r="CK51" s="3">
        <v>1716</v>
      </c>
      <c r="CL51" s="4">
        <f>Estijan!C51 + Ikzen!C51 + Urbiqu!C51 + Danocia!C51 + Koruch!C51 + 'New Kizura'!C51 + Lydroa!C51 + Fermori!C51 + Uularin!C51 + 'Niul Spijan'!C51</f>
        <v>195348708.96418014</v>
      </c>
      <c r="CM51" s="7">
        <f t="shared" si="24"/>
        <v>1.5194337415452652E-2</v>
      </c>
      <c r="CN51" s="5">
        <f t="shared" si="25"/>
        <v>5.6861779543228332E-2</v>
      </c>
      <c r="CU51" s="3">
        <f t="shared" si="26"/>
        <v>1966</v>
      </c>
      <c r="CV51" s="3">
        <v>1716</v>
      </c>
      <c r="CW51" s="4">
        <f>Praesyu!C51 + Lycroa!C51 + Emara!C51 + Eldjo!C51 + Easuhura!C51 + Ilicuhe!C51 + Tonder!C51</f>
        <v>202151169.49062812</v>
      </c>
      <c r="CX51" s="7">
        <f t="shared" si="27"/>
        <v>8.0149922435458747E-3</v>
      </c>
      <c r="CY51" s="5">
        <f t="shared" si="28"/>
        <v>5.8841828517482486E-2</v>
      </c>
      <c r="DF51" s="3">
        <f t="shared" si="29"/>
        <v>1966</v>
      </c>
      <c r="DG51" s="3">
        <v>1716</v>
      </c>
      <c r="DH51" s="4">
        <f>Verusa!C51 + Darewa!C51 + Siana!C51 + Yaxuto!C51 + 'Merela Sta'!C51 + Palina!C51</f>
        <v>135971073.93287736</v>
      </c>
      <c r="DI51" s="7">
        <f t="shared" si="30"/>
        <v>9.6794909901573231E-3</v>
      </c>
      <c r="DJ51" s="5">
        <f t="shared" si="31"/>
        <v>3.9578235613755501E-2</v>
      </c>
      <c r="DQ51" s="3">
        <f t="shared" si="32"/>
        <v>1966</v>
      </c>
      <c r="DR51" s="3">
        <v>1716</v>
      </c>
      <c r="DS51" s="4">
        <f>Sunsokua!C51 + Vayvele!C51 + Selaja!C51 + Sadain!C51</f>
        <v>80262160.080982983</v>
      </c>
      <c r="DT51" s="7">
        <f t="shared" si="33"/>
        <v>2.7512643386357286E-2</v>
      </c>
      <c r="DU51" s="5">
        <f t="shared" si="34"/>
        <v>2.3362576985471659E-2</v>
      </c>
      <c r="EB51" s="3">
        <f t="shared" si="35"/>
        <v>1966</v>
      </c>
      <c r="EC51" s="3">
        <v>1716</v>
      </c>
      <c r="ED51" s="4">
        <f>Pelugrotoa!C51 + Lieri!C51 + 'Rtesania'!C51 + Ozinia!C51</f>
        <v>221520465.01136416</v>
      </c>
      <c r="EE51" s="7">
        <f t="shared" si="36"/>
        <v>2.929175976671473E-2</v>
      </c>
      <c r="EF51" s="5">
        <f t="shared" si="37"/>
        <v>6.4479811064936568E-2</v>
      </c>
      <c r="EM51" s="3">
        <f t="shared" si="38"/>
        <v>1966</v>
      </c>
      <c r="EN51" s="3">
        <v>1716</v>
      </c>
      <c r="EO51" s="4">
        <f>Ocaun!C51 + 'Dual Cenryia'!C51 + Byllu!C51 + Exilium!C51 + Inrea!C51 + Amcha!C51 + Isnti!C51 + Galca!C51 + Otiiric!C51 + Taing!C51 + 'Cruthi Anoso'!C51</f>
        <v>95336518.437036797</v>
      </c>
      <c r="EP51" s="7">
        <f t="shared" si="39"/>
        <v>2.5556084021836727E-2</v>
      </c>
      <c r="EQ51" s="5">
        <f t="shared" si="40"/>
        <v>2.775039631707894E-2</v>
      </c>
      <c r="EX51" s="3">
        <f t="shared" si="41"/>
        <v>1966</v>
      </c>
      <c r="EY51" s="3">
        <v>1716</v>
      </c>
      <c r="EZ51" s="4">
        <f>Sivoso!C51 + Taoisia!C51 + Seytinemas!C51 + Trian!C51 + 'Chaenia'!C51</f>
        <v>61771011.190952614</v>
      </c>
      <c r="FA51" s="7">
        <f t="shared" si="42"/>
        <v>2.5716203571021595E-2</v>
      </c>
      <c r="FB51" s="5">
        <f t="shared" si="43"/>
        <v>1.7980203908827912E-2</v>
      </c>
      <c r="FI51" s="3">
        <f t="shared" si="44"/>
        <v>1966</v>
      </c>
      <c r="FJ51" s="3">
        <v>1716</v>
      </c>
      <c r="FK51" s="4">
        <f>Migoku!C51 + 'Welenu Fana'!C51 + Haiza!C51 + Ucrua!C51 + Ihner!C51 + Oscairia!C51 + Shinam!C51 + 'Ruylku'!C51 + Taval!C51 + 'Western Migoku'!C51 + 'Pruim Fijan'!C51 + 'Canldives'!C51</f>
        <v>71689615.17472364</v>
      </c>
      <c r="FL51" s="7">
        <f t="shared" si="45"/>
        <v>2.003534487249092E-2</v>
      </c>
      <c r="FM51" s="5">
        <f t="shared" si="46"/>
        <v>2.086729477363209E-2</v>
      </c>
      <c r="FT51" s="3">
        <f t="shared" si="47"/>
        <v>1966</v>
      </c>
      <c r="FU51" s="3">
        <v>1716</v>
      </c>
      <c r="FV51" s="4">
        <f>Vesozata!C51 + Etretes!C51 + Kusierna!C51 + Eparia!C51</f>
        <v>47224254.873069279</v>
      </c>
      <c r="FW51" s="7">
        <f t="shared" si="48"/>
        <v>2.4038497365184333E-2</v>
      </c>
      <c r="FX51" s="5">
        <f t="shared" si="49"/>
        <v>1.3745958107038578E-2</v>
      </c>
      <c r="GE51" s="3">
        <f t="shared" si="50"/>
        <v>1966</v>
      </c>
      <c r="GF51" s="3">
        <v>1716</v>
      </c>
      <c r="GG51" s="4">
        <f>Dahe!C51 + Kaastini!C51 + Suenan!C51 + Oyreain!C51 + Sanagara!C51 + 'North Ayre'!C51 + Stinebar!C51 + 'Cloja'!C51 + 'Pha Hii'!C51 + 'Prystr Hii'!C51</f>
        <v>695386676.04380798</v>
      </c>
      <c r="GH51" s="7">
        <f t="shared" si="51"/>
        <v>1.2365384428184235E-2</v>
      </c>
      <c r="GI51" s="5">
        <f t="shared" si="52"/>
        <v>0.20241200507627474</v>
      </c>
      <c r="GP51" s="3">
        <f t="shared" si="53"/>
        <v>1966</v>
      </c>
      <c r="GQ51" s="3">
        <v>1716</v>
      </c>
      <c r="GR51" s="4">
        <f>Maalle!C51 + 'United Delet'!C51 + Ohtina!C51 + Astye!C51 + Prstreula!C51 + Veelmit!C51 + Aplasia!C51 + 'Elja and Munusia'!C51 + Walporein!C51 + 'Crila Republic'!C51 + 'Niretui and Anulan'!C51 + 'Rethern'!C51 + Tvecoca!C51</f>
        <v>82016027.197914958</v>
      </c>
      <c r="GS51" s="7">
        <f t="shared" si="54"/>
        <v>1.9939301130479675E-2</v>
      </c>
      <c r="GT51" s="5">
        <f t="shared" si="55"/>
        <v>2.3873089728964576E-2</v>
      </c>
      <c r="HA51" s="3">
        <f t="shared" si="56"/>
        <v>1966</v>
      </c>
      <c r="HB51" s="3">
        <v>1716</v>
      </c>
      <c r="HC51" s="4">
        <f>Andsaudare!C51 + Nia!C51 + Umarcia!C51 + Mendereide!C51 + Iainoa!C51 + Isari!C51 + 'Rkmepuia'!C51 + Hiwush!C51 + Isuibul!C51 + Yutnitu!C51</f>
        <v>27237956.998555932</v>
      </c>
      <c r="HD51" s="7">
        <f t="shared" si="57"/>
        <v>2.5557281322295487E-2</v>
      </c>
      <c r="HE51" s="5">
        <f t="shared" si="58"/>
        <v>7.9283795335643309E-3</v>
      </c>
      <c r="HL51" s="3">
        <f t="shared" si="59"/>
        <v>1966</v>
      </c>
      <c r="HM51" s="3">
        <v>1716</v>
      </c>
      <c r="HN51" s="4">
        <f>Zhanshe!C51 + Volver!C51 + Finae!C51 + Myla!C51 + 'Nheyes Si'!C51 + Onphello!C51 + Hyelen!C51</f>
        <v>51294638.588963293</v>
      </c>
      <c r="HO51" s="7">
        <f t="shared" si="60"/>
        <v>2.7693008461671872E-2</v>
      </c>
      <c r="HP51" s="5">
        <f t="shared" si="61"/>
        <v>1.4930758675912321E-2</v>
      </c>
      <c r="HW51" s="3">
        <f t="shared" si="62"/>
        <v>1966</v>
      </c>
      <c r="HX51" s="3">
        <v>1716</v>
      </c>
      <c r="HY51" s="4">
        <f>Yihnurda!C51 + Ztesh!C51 + Wundry!C51 + Anymna!C51 + Shomjind!C51 + Baluyde!C51 + Letan!C51</f>
        <v>205722232.68915394</v>
      </c>
      <c r="HZ51" s="7">
        <f t="shared" si="63"/>
        <v>2.1885078505149272E-2</v>
      </c>
      <c r="IA51" s="5">
        <f t="shared" si="64"/>
        <v>5.9881287694900157E-2</v>
      </c>
      <c r="IH51" s="3">
        <f t="shared" si="65"/>
        <v>1966</v>
      </c>
      <c r="II51" s="3">
        <v>1716</v>
      </c>
      <c r="IJ51" s="4">
        <f>Iareva!C51 + 'United Mihili'!C51 + 'Mesjan Hyaa'!C51 + Desaki!C51 + 'Far Lands'!C51</f>
        <v>23820257.631243415</v>
      </c>
      <c r="IK51" s="7">
        <f t="shared" si="66"/>
        <v>1.7887807571099829E-2</v>
      </c>
      <c r="IL51" s="5">
        <f t="shared" si="67"/>
        <v>6.9335612468215731E-3</v>
      </c>
      <c r="IS51" s="3">
        <f t="shared" si="68"/>
        <v>1966</v>
      </c>
      <c r="IT51" s="3">
        <v>1716</v>
      </c>
      <c r="IU51" s="4">
        <f>Verste!C51 + Quidic!C51 + Erkizil!C51 + Ashain!C51 + Ahokini!C51</f>
        <v>165006590.13326222</v>
      </c>
      <c r="IV51" s="7">
        <f t="shared" si="69"/>
        <v>2.282164327214312E-2</v>
      </c>
      <c r="IW51" s="5">
        <f t="shared" si="70"/>
        <v>4.8029845710717313E-2</v>
      </c>
    </row>
    <row r="52" spans="1:257" ht="22.5" customHeight="1">
      <c r="A52" s="3">
        <f t="shared" si="0"/>
        <v>1965</v>
      </c>
      <c r="B52" s="3">
        <v>1715</v>
      </c>
      <c r="C52" s="4">
        <f>Acetoa!C52 + Acrana!C52 + Aetintio!C52 + Ahokini!C52 + Amcha!C52 + Andsaudare!C52 + Anymna!C52 + Aplasia!C52 + Arbiya!C52 + 'Areoix Lie'!C52 + Ashain!C52 + Astye!C52 + Baluyde!C52 + Byllu!C52 + 'Candenat'!C52 + 'Canldives'!C52 + 'Chaenia'!C52 + 'Cloja'!C52 + 'Crila Republic'!C52 + 'Cruthi Anoso'!C52 + 'Curata'!C52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'Raledria'!C52 + 'Reerica'!C52 + 'Rethern'!C52 + 'Rijan bu'!C52 + 'Rinew'!C52 + 'Rkmepuia'!C52 + 'Rtesania'!C52 + 'Ruylku'!C52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3369982481.3857002</v>
      </c>
      <c r="D52" s="5">
        <f t="shared" si="1"/>
        <v>1.9526146120983214E-2</v>
      </c>
      <c r="K52" s="3">
        <f t="shared" si="2"/>
        <v>1965</v>
      </c>
      <c r="L52" s="3">
        <v>1715</v>
      </c>
      <c r="M52" s="4">
        <f>Eldavpir!C52 + Iquir!C52 + Viussi!C52 + Umendel!C52 + 'Reerica'!C52 + Saa!C52 + Sattle!C52</f>
        <v>26692983.48270911</v>
      </c>
      <c r="N52" s="5">
        <f t="shared" si="3"/>
        <v>2.9480210175158804E-2</v>
      </c>
      <c r="O52" s="5">
        <f t="shared" si="4"/>
        <v>7.9208077876218638E-3</v>
      </c>
      <c r="V52" s="3">
        <f t="shared" si="5"/>
        <v>1965</v>
      </c>
      <c r="W52" s="3">
        <v>1715</v>
      </c>
      <c r="X52" s="4">
        <f>'Areoix Lie'!C52 + Jau!C52 + Terressin!C52 + Acetoa!C52 + 'Feio Lie'!C52</f>
        <v>376061034.46183491</v>
      </c>
      <c r="Y52" s="5">
        <f t="shared" si="6"/>
        <v>2.3683881824784998E-2</v>
      </c>
      <c r="Z52" s="5">
        <f t="shared" si="7"/>
        <v>0.11159139150990562</v>
      </c>
      <c r="AG52" s="3">
        <f t="shared" si="8"/>
        <v>1965</v>
      </c>
      <c r="AH52" s="3">
        <v>1715</v>
      </c>
      <c r="AI52" s="4">
        <f>Taniduna!C52 + Jathua!C52 + Deschon!C52 + Pelines!C52 + 'Candenat'!C52 + Othya!C52 + Yoprioq!C52 + Jshain!C52 + 'Fire Coast'!C52 + 'Rijan bu'!C52 + 'Rinew'!C52 + Enina!C52 + Trevilla!C52</f>
        <v>67853843.918002427</v>
      </c>
      <c r="AJ52" s="5">
        <f t="shared" si="9"/>
        <v>2.4063845820021825E-2</v>
      </c>
      <c r="AK52" s="5">
        <f t="shared" si="10"/>
        <v>2.0134776454416956E-2</v>
      </c>
      <c r="AR52" s="3">
        <f t="shared" si="11"/>
        <v>1965</v>
      </c>
      <c r="AS52" s="3">
        <v>1715</v>
      </c>
      <c r="AT52" s="4">
        <f>Gaeiya!C52 + 'Raledria'!C52 + Arbiya!C52 + Fincen!C52 + 'Curata'!C52</f>
        <v>162026277.15933713</v>
      </c>
      <c r="AU52" s="5">
        <f t="shared" si="12"/>
        <v>1.869263571250137E-2</v>
      </c>
      <c r="AV52" s="5">
        <f t="shared" si="13"/>
        <v>4.8079263929204072E-2</v>
      </c>
      <c r="BC52" s="3">
        <f t="shared" si="14"/>
        <v>1965</v>
      </c>
      <c r="BD52" s="3">
        <v>1715</v>
      </c>
      <c r="BE52" s="4">
        <f>Etirha!C52 + Laselteh!C52 + Grazail!C52 + 'Disal Nila'!C52 + Pelan!C52 + Peka!C52 + Guise!C52</f>
        <v>62544280.093768612</v>
      </c>
      <c r="BF52" s="5">
        <f t="shared" si="15"/>
        <v>1.5985912479991583E-2</v>
      </c>
      <c r="BG52" s="5">
        <f t="shared" si="16"/>
        <v>1.8559230037317905E-2</v>
      </c>
      <c r="BN52" s="3">
        <f t="shared" si="17"/>
        <v>1965</v>
      </c>
      <c r="BO52" s="3">
        <v>1715</v>
      </c>
      <c r="BP52" s="4">
        <f>Genaire!C52 + 'New Misos'!C52 + Phuris!C52 + Lasri!C52 + Slyiaduun!C52 + Aetintio!C52 + Metndria!C52 + Tomscilus!C52</f>
        <v>46623817.458306327</v>
      </c>
      <c r="BQ52" s="5">
        <f t="shared" si="18"/>
        <v>2.5707555181835873E-2</v>
      </c>
      <c r="BR52" s="5">
        <f t="shared" si="19"/>
        <v>1.3835032590179852E-2</v>
      </c>
      <c r="BY52" s="3">
        <f t="shared" si="20"/>
        <v>1965</v>
      </c>
      <c r="BZ52" s="3">
        <v>1715</v>
      </c>
      <c r="CA52" s="4">
        <f>Ealdorii!C52 + Ukhdari!C52 + Hkuqo!C52 + Acrana!C52 + Zenashan!C52</f>
        <v>157731733.28776869</v>
      </c>
      <c r="CB52" s="6">
        <f t="shared" si="21"/>
        <v>1.957805725936778E-2</v>
      </c>
      <c r="CC52" s="5">
        <f t="shared" si="22"/>
        <v>4.6804911942127103E-2</v>
      </c>
      <c r="CJ52" s="3">
        <f t="shared" si="23"/>
        <v>1965</v>
      </c>
      <c r="CK52" s="3">
        <v>1715</v>
      </c>
      <c r="CL52" s="4">
        <f>Estijan!C52 + Ikzen!C52 + Urbiqu!C52 + Danocia!C52 + Koruch!C52 + 'New Kizura'!C52 + Lydroa!C52 + Fermori!C52 + Uularin!C52 + 'Niul Spijan'!C52</f>
        <v>192424939.50617525</v>
      </c>
      <c r="CM52" s="6">
        <f t="shared" si="24"/>
        <v>1.6469306820290294E-2</v>
      </c>
      <c r="CN52" s="5">
        <f t="shared" si="25"/>
        <v>5.7099685404611425E-2</v>
      </c>
      <c r="CU52" s="3">
        <f t="shared" si="26"/>
        <v>1965</v>
      </c>
      <c r="CV52" s="3">
        <v>1715</v>
      </c>
      <c r="CW52" s="4">
        <f>Praesyu!C52 + Lycroa!C52 + Emara!C52 + Eldjo!C52 + Easuhura!C52 + Ilicuhe!C52 + Tonder!C52</f>
        <v>200543812.3898325</v>
      </c>
      <c r="CX52" s="6">
        <f t="shared" si="27"/>
        <v>7.9317557008296239E-3</v>
      </c>
      <c r="CY52" s="5">
        <f t="shared" si="28"/>
        <v>5.9508859021537422E-2</v>
      </c>
      <c r="DF52" s="3">
        <f t="shared" si="29"/>
        <v>1965</v>
      </c>
      <c r="DG52" s="3">
        <v>1715</v>
      </c>
      <c r="DH52" s="4">
        <f>Verusa!C52 + Darewa!C52 + Siana!C52 + Yaxuto!C52 + 'Merela Sta'!C52 + Palina!C52</f>
        <v>134667560.4944053</v>
      </c>
      <c r="DI52" s="6">
        <f t="shared" si="30"/>
        <v>9.6540072239621397E-3</v>
      </c>
      <c r="DJ52" s="5">
        <f t="shared" si="31"/>
        <v>3.9960908176303475E-2</v>
      </c>
      <c r="DQ52" s="3">
        <f t="shared" si="32"/>
        <v>1965</v>
      </c>
      <c r="DR52" s="3">
        <v>1715</v>
      </c>
      <c r="DS52" s="4">
        <f>Sunsokua!C52 + Vayvele!C52 + Selaja!C52 + Sadain!C52</f>
        <v>78113063.228559643</v>
      </c>
      <c r="DT52" s="6">
        <f t="shared" si="33"/>
        <v>2.6307652303880848E-2</v>
      </c>
      <c r="DU52" s="5">
        <f t="shared" si="34"/>
        <v>2.3179071007051764E-2</v>
      </c>
      <c r="EB52" s="3">
        <f t="shared" si="35"/>
        <v>1965</v>
      </c>
      <c r="EC52" s="3">
        <v>1715</v>
      </c>
      <c r="ED52" s="4">
        <f>Pelugrotoa!C52 + Lieri!C52 + 'Rtesania'!C52 + Ozinia!C52</f>
        <v>215216397.98376602</v>
      </c>
      <c r="EE52" s="6">
        <f t="shared" si="36"/>
        <v>3.0610113002563045E-2</v>
      </c>
      <c r="EF52" s="5">
        <f t="shared" si="37"/>
        <v>6.3862764620447335E-2</v>
      </c>
      <c r="EM52" s="3">
        <f t="shared" si="38"/>
        <v>1965</v>
      </c>
      <c r="EN52" s="3">
        <v>1715</v>
      </c>
      <c r="EO52" s="4">
        <f>Ocaun!C52 + 'Dual Cenryia'!C52 + Byllu!C52 + Exilium!C52 + Inrea!C52 + Amcha!C52 + Isnti!C52 + Galca!C52 + Otiiric!C52 + Taing!C52 + 'Cruthi Anoso'!C52</f>
        <v>92960804.311319202</v>
      </c>
      <c r="EP52" s="6">
        <f t="shared" si="39"/>
        <v>2.5547350604428799E-2</v>
      </c>
      <c r="EQ52" s="5">
        <f t="shared" si="40"/>
        <v>2.7584951798649924E-2</v>
      </c>
      <c r="EX52" s="3">
        <f t="shared" si="41"/>
        <v>1965</v>
      </c>
      <c r="EY52" s="3">
        <v>1715</v>
      </c>
      <c r="EZ52" s="4">
        <f>Sivoso!C52 + Taoisia!C52 + Seytinemas!C52 + Trian!C52 + 'Chaenia'!C52</f>
        <v>60222321.706430495</v>
      </c>
      <c r="FA52" s="6">
        <f t="shared" si="42"/>
        <v>2.557119844345606E-2</v>
      </c>
      <c r="FB52" s="5">
        <f t="shared" si="43"/>
        <v>1.7870218032014138E-2</v>
      </c>
      <c r="FI52" s="3">
        <f t="shared" si="44"/>
        <v>1965</v>
      </c>
      <c r="FJ52" s="3">
        <v>1715</v>
      </c>
      <c r="FK52" s="4">
        <f>Migoku!C52 + 'Welenu Fana'!C52 + Haiza!C52 + Ucrua!C52 + Ihner!C52 + Oscairia!C52 + Shinam!C52 + 'Ruylku'!C52 + Taval!C52 + 'Western Migoku'!C52 + 'Pruim Fijan'!C52 + 'Canldives'!C52</f>
        <v>70281501.062774613</v>
      </c>
      <c r="FL52" s="6">
        <f t="shared" si="45"/>
        <v>1.9891020631369521E-2</v>
      </c>
      <c r="FM52" s="5">
        <f t="shared" si="46"/>
        <v>2.0855153239216728E-2</v>
      </c>
      <c r="FT52" s="3">
        <f t="shared" si="47"/>
        <v>1965</v>
      </c>
      <c r="FU52" s="3">
        <v>1715</v>
      </c>
      <c r="FV52" s="4">
        <f>Vesozata!C52 + Etretes!C52 + Kusierna!C52 + Eparia!C52</f>
        <v>46115702.675803356</v>
      </c>
      <c r="FW52" s="6">
        <f t="shared" si="48"/>
        <v>2.6094447620365821E-2</v>
      </c>
      <c r="FX52" s="5">
        <f t="shared" si="49"/>
        <v>1.3684255906529543E-2</v>
      </c>
      <c r="GE52" s="3">
        <f t="shared" si="50"/>
        <v>1965</v>
      </c>
      <c r="GF52" s="3">
        <v>1715</v>
      </c>
      <c r="GG52" s="4">
        <f>Dahe!C52 + Kaastini!C52 + Suenan!C52 + Oyreain!C52 + Sanagara!C52 + 'North Ayre'!C52 + Stinebar!C52 + 'Cloja'!C52 + 'Pha Hii'!C52 + 'Prystr Hii'!C52</f>
        <v>686892980.28160477</v>
      </c>
      <c r="GH52" s="6">
        <f t="shared" si="51"/>
        <v>1.2602401487164856E-2</v>
      </c>
      <c r="GI52" s="5">
        <f t="shared" si="52"/>
        <v>0.20382686974656372</v>
      </c>
      <c r="GP52" s="3">
        <f t="shared" si="53"/>
        <v>1965</v>
      </c>
      <c r="GQ52" s="3">
        <v>1715</v>
      </c>
      <c r="GR52" s="4">
        <f>Maalle!C52 + 'United Delet'!C52 + Ohtina!C52 + Astye!C52 + Prstreula!C52 + Veelmit!C52 + Aplasia!C52 + 'Elja and Munusia'!C52 + Walporein!C52 + 'Crila Republic'!C52 + 'Niretui and Anulan'!C52 + 'Rethern'!C52 + Tvecoca!C52</f>
        <v>80412655.054090068</v>
      </c>
      <c r="GS52" s="6">
        <f t="shared" si="54"/>
        <v>2.0037842407337976E-2</v>
      </c>
      <c r="GT52" s="5">
        <f t="shared" si="55"/>
        <v>2.3861446015893014E-2</v>
      </c>
      <c r="HA52" s="3">
        <f t="shared" si="56"/>
        <v>1965</v>
      </c>
      <c r="HB52" s="3">
        <v>1715</v>
      </c>
      <c r="HC52" s="4">
        <f>Andsaudare!C52 + Nia!C52 + Umarcia!C52 + Mendereide!C52 + Iainoa!C52 + Isari!C52 + 'Rkmepuia'!C52 + Hiwush!C52 + Isuibul!C52 + Yutnitu!C52</f>
        <v>26559176.649242695</v>
      </c>
      <c r="HD52" s="6">
        <f t="shared" si="57"/>
        <v>2.5558183603596005E-2</v>
      </c>
      <c r="HE52" s="5">
        <f t="shared" si="58"/>
        <v>7.881102289386932E-3</v>
      </c>
      <c r="HL52" s="3">
        <f t="shared" si="59"/>
        <v>1965</v>
      </c>
      <c r="HM52" s="3">
        <v>1715</v>
      </c>
      <c r="HN52" s="4">
        <f>Zhanshe!C52 + Volver!C52 + Finae!C52 + Myla!C52 + 'Nheyes Si'!C52 + Onphello!C52 + Hyelen!C52</f>
        <v>49912413.694187686</v>
      </c>
      <c r="HO52" s="6">
        <f t="shared" si="60"/>
        <v>2.9313978796966782E-2</v>
      </c>
      <c r="HP52" s="5">
        <f t="shared" si="61"/>
        <v>1.4810882243418737E-2</v>
      </c>
      <c r="HW52" s="3">
        <f t="shared" si="62"/>
        <v>1965</v>
      </c>
      <c r="HX52" s="3">
        <v>1715</v>
      </c>
      <c r="HY52" s="4">
        <f>Yihnurda!C52 + Ztesh!C52 + Wundry!C52 + Anymna!C52 + Shomjind!C52 + Baluyde!C52 + Letan!C52</f>
        <v>201316407.31078285</v>
      </c>
      <c r="HZ52" s="6">
        <f t="shared" si="63"/>
        <v>2.148635692030948E-2</v>
      </c>
      <c r="IA52" s="5">
        <f t="shared" si="64"/>
        <v>5.9738116866412824E-2</v>
      </c>
      <c r="IH52" s="3">
        <f t="shared" si="65"/>
        <v>1965</v>
      </c>
      <c r="II52" s="3">
        <v>1715</v>
      </c>
      <c r="IJ52" s="4">
        <f>Iareva!C52 + 'United Mihili'!C52 + 'Mesjan Hyaa'!C52 + Desaki!C52 + 'Far Lands'!C52</f>
        <v>23401653.359110072</v>
      </c>
      <c r="IK52" s="6">
        <f t="shared" si="66"/>
        <v>1.6434595445697926E-2</v>
      </c>
      <c r="IL52" s="5">
        <f t="shared" si="67"/>
        <v>6.9441468875195951E-3</v>
      </c>
      <c r="IS52" s="3">
        <f t="shared" si="68"/>
        <v>1965</v>
      </c>
      <c r="IT52" s="3">
        <v>1715</v>
      </c>
      <c r="IU52" s="4">
        <f>Verste!C52 + Quidic!C52 + Erkizil!C52 + Ashain!C52 + Ahokini!C52</f>
        <v>161324891.01949787</v>
      </c>
      <c r="IV52" s="6">
        <f t="shared" si="69"/>
        <v>2.3274395061955794E-2</v>
      </c>
      <c r="IW52" s="5">
        <f t="shared" si="70"/>
        <v>4.787113639628264E-2</v>
      </c>
    </row>
    <row r="53" spans="1:257" ht="22.5" customHeight="1">
      <c r="A53" s="3">
        <f t="shared" si="0"/>
        <v>1964</v>
      </c>
      <c r="B53" s="3">
        <v>1714</v>
      </c>
      <c r="C53" s="4">
        <f>Acetoa!C53 + Acrana!C53 + Aetintio!C53 + Ahokini!C53 + Amcha!C53 + Andsaudare!C53 + Anymna!C53 + Aplasia!C53 + Arbiya!C53 + 'Areoix Lie'!C53 + Ashain!C53 + Astye!C53 + Baluyde!C53 + Byllu!C53 + 'Candenat'!C53 + 'Canldives'!C53 + 'Chaenia'!C53 + 'Cloja'!C53 + 'Crila Republic'!C53 + 'Cruthi Anoso'!C53 + 'Curata'!C53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'Raledria'!C53 + 'Reerica'!C53 + 'Rethern'!C53 + 'Rijan bu'!C53 + 'Rinew'!C53 + 'Rkmepuia'!C53 + 'Rtesania'!C53 + 'Ruylku'!C53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3305439977.3929853</v>
      </c>
      <c r="D53" s="5">
        <f t="shared" si="1"/>
        <v>1.984980953373738E-2</v>
      </c>
      <c r="K53" s="3">
        <f t="shared" si="2"/>
        <v>1964</v>
      </c>
      <c r="L53" s="3">
        <v>1714</v>
      </c>
      <c r="M53" s="4">
        <f>Eldavpir!C53 + Iquir!C53 + Viussi!C53 + Umendel!C53 + 'Reerica'!C53 + Saa!C53 + Sattle!C53</f>
        <v>25928602.821969241</v>
      </c>
      <c r="N53" s="5">
        <f t="shared" si="3"/>
        <v>2.8461464625414542E-2</v>
      </c>
      <c r="O53" s="5">
        <f t="shared" si="4"/>
        <v>7.8442213439976725E-3</v>
      </c>
      <c r="V53" s="3">
        <f t="shared" si="5"/>
        <v>1964</v>
      </c>
      <c r="W53" s="3">
        <v>1714</v>
      </c>
      <c r="X53" s="4">
        <f>'Areoix Lie'!C53 + Jau!C53 + Terressin!C53 + Acetoa!C53 + 'Feio Lie'!C53</f>
        <v>367360511.51990491</v>
      </c>
      <c r="Y53" s="5">
        <f t="shared" si="6"/>
        <v>2.4314672794485667E-2</v>
      </c>
      <c r="Z53" s="5">
        <f t="shared" si="7"/>
        <v>0.11113815831853154</v>
      </c>
      <c r="AG53" s="3">
        <f t="shared" si="8"/>
        <v>1964</v>
      </c>
      <c r="AH53" s="3">
        <v>1714</v>
      </c>
      <c r="AI53" s="4">
        <f>Taniduna!C53 + Jathua!C53 + Deschon!C53 + Pelines!C53 + 'Candenat'!C53 + Othya!C53 + Yoprioq!C53 + Jshain!C53 + 'Fire Coast'!C53 + 'Rijan bu'!C53 + 'Rinew'!C53 + Enina!C53 + Trevilla!C53</f>
        <v>66259388.215847306</v>
      </c>
      <c r="AJ53" s="5">
        <f t="shared" si="9"/>
        <v>2.4054517124270657E-2</v>
      </c>
      <c r="AK53" s="5">
        <f t="shared" si="10"/>
        <v>2.0045557828615109E-2</v>
      </c>
      <c r="AR53" s="3">
        <f t="shared" si="11"/>
        <v>1964</v>
      </c>
      <c r="AS53" s="3">
        <v>1714</v>
      </c>
      <c r="AT53" s="4">
        <f>Gaeiya!C53 + 'Raledria'!C53 + Arbiya!C53 + Fincen!C53 + 'Curata'!C53</f>
        <v>159053154.48365006</v>
      </c>
      <c r="AU53" s="5">
        <f t="shared" si="12"/>
        <v>1.8630781581287059E-2</v>
      </c>
      <c r="AV53" s="5">
        <f t="shared" si="13"/>
        <v>4.8118603142537159E-2</v>
      </c>
      <c r="BC53" s="3">
        <f t="shared" si="14"/>
        <v>1964</v>
      </c>
      <c r="BD53" s="3">
        <v>1714</v>
      </c>
      <c r="BE53" s="4">
        <f>Etirha!C53 + Laselteh!C53 + Grazail!C53 + 'Disal Nila'!C53 + Pelan!C53 + Peka!C53 + Guise!C53</f>
        <v>61560184.374111913</v>
      </c>
      <c r="BF53" s="5">
        <f t="shared" si="15"/>
        <v>1.481200988080608E-2</v>
      </c>
      <c r="BG53" s="5">
        <f t="shared" si="16"/>
        <v>1.8623900235715276E-2</v>
      </c>
      <c r="BN53" s="3">
        <f t="shared" si="17"/>
        <v>1964</v>
      </c>
      <c r="BO53" s="3">
        <v>1714</v>
      </c>
      <c r="BP53" s="4">
        <f>Genaire!C53 + 'New Misos'!C53 + Phuris!C53 + Lasri!C53 + Slyiaduun!C53 + Aetintio!C53 + Metndria!C53 + Tomscilus!C53</f>
        <v>45455273.506336734</v>
      </c>
      <c r="BQ53" s="5">
        <f t="shared" si="18"/>
        <v>2.5630737930789838E-2</v>
      </c>
      <c r="BR53" s="5">
        <f t="shared" si="19"/>
        <v>1.3751656002595909E-2</v>
      </c>
      <c r="BY53" s="3">
        <f t="shared" si="20"/>
        <v>1964</v>
      </c>
      <c r="BZ53" s="3">
        <v>1714</v>
      </c>
      <c r="CA53" s="4">
        <f>Ealdorii!C53 + Ukhdari!C53 + Hkuqo!C53 + Acrana!C53 + Zenashan!C53</f>
        <v>154702950.07304549</v>
      </c>
      <c r="CB53" s="7">
        <f t="shared" si="21"/>
        <v>2.0340629612747987E-2</v>
      </c>
      <c r="CC53" s="5">
        <f t="shared" si="22"/>
        <v>4.6802528901178343E-2</v>
      </c>
      <c r="CJ53" s="3">
        <f t="shared" si="23"/>
        <v>1964</v>
      </c>
      <c r="CK53" s="3">
        <v>1714</v>
      </c>
      <c r="CL53" s="4">
        <f>Estijan!C53 + Ikzen!C53 + Urbiqu!C53 + Danocia!C53 + Koruch!C53 + 'New Kizura'!C53 + Lydroa!C53 + Fermori!C53 + Uularin!C53 + 'Niul Spijan'!C53</f>
        <v>189307181.45156506</v>
      </c>
      <c r="CM53" s="7">
        <f t="shared" si="24"/>
        <v>1.7793122219504378E-2</v>
      </c>
      <c r="CN53" s="5">
        <f t="shared" si="25"/>
        <v>5.727140191511583E-2</v>
      </c>
      <c r="CU53" s="3">
        <f t="shared" si="26"/>
        <v>1964</v>
      </c>
      <c r="CV53" s="3">
        <v>1714</v>
      </c>
      <c r="CW53" s="4">
        <f>Praesyu!C53 + Lycroa!C53 + Emara!C53 + Eldjo!C53 + Easuhura!C53 + Ilicuhe!C53 + Tonder!C53</f>
        <v>198965665.33950651</v>
      </c>
      <c r="CX53" s="7">
        <f t="shared" si="27"/>
        <v>8.5637126317853769E-3</v>
      </c>
      <c r="CY53" s="5">
        <f t="shared" si="28"/>
        <v>6.0193398367630192E-2</v>
      </c>
      <c r="DF53" s="3">
        <f t="shared" si="29"/>
        <v>1964</v>
      </c>
      <c r="DG53" s="3">
        <v>1714</v>
      </c>
      <c r="DH53" s="4">
        <f>Verusa!C53 + Darewa!C53 + Siana!C53 + Yaxuto!C53 + 'Merela Sta'!C53 + Palina!C53</f>
        <v>133379909.88088383</v>
      </c>
      <c r="DI53" s="7">
        <f t="shared" si="30"/>
        <v>1.022567351742699E-2</v>
      </c>
      <c r="DJ53" s="5">
        <f t="shared" si="31"/>
        <v>4.0351635725686702E-2</v>
      </c>
      <c r="DQ53" s="3">
        <f t="shared" si="32"/>
        <v>1964</v>
      </c>
      <c r="DR53" s="3">
        <v>1714</v>
      </c>
      <c r="DS53" s="4">
        <f>Sunsokua!C53 + Vayvele!C53 + Selaja!C53 + Sadain!C53</f>
        <v>76110767.617497057</v>
      </c>
      <c r="DT53" s="7">
        <f t="shared" si="33"/>
        <v>2.4302119736573615E-2</v>
      </c>
      <c r="DU53" s="5">
        <f t="shared" si="34"/>
        <v>2.3025911266894624E-2</v>
      </c>
      <c r="EB53" s="3">
        <f t="shared" si="35"/>
        <v>1964</v>
      </c>
      <c r="EC53" s="3">
        <v>1714</v>
      </c>
      <c r="ED53" s="4">
        <f>Pelugrotoa!C53 + Lieri!C53 + 'Rtesania'!C53 + Ozinia!C53</f>
        <v>208824263.67499733</v>
      </c>
      <c r="EE53" s="7">
        <f t="shared" si="36"/>
        <v>3.1886594901790813E-2</v>
      </c>
      <c r="EF53" s="5">
        <f t="shared" si="37"/>
        <v>6.317593576141653E-2</v>
      </c>
      <c r="EM53" s="3">
        <f t="shared" si="38"/>
        <v>1964</v>
      </c>
      <c r="EN53" s="3">
        <v>1714</v>
      </c>
      <c r="EO53" s="4">
        <f>Ocaun!C53 + 'Dual Cenryia'!C53 + Byllu!C53 + Exilium!C53 + Inrea!C53 + Amcha!C53 + Isnti!C53 + Galca!C53 + Otiiric!C53 + Taing!C53 + 'Cruthi Anoso'!C53</f>
        <v>90645063.103649691</v>
      </c>
      <c r="EP53" s="7">
        <f t="shared" si="39"/>
        <v>2.5105902653251119E-2</v>
      </c>
      <c r="EQ53" s="5">
        <f t="shared" si="40"/>
        <v>2.742299473704007E-2</v>
      </c>
      <c r="EX53" s="3">
        <f t="shared" si="41"/>
        <v>1964</v>
      </c>
      <c r="EY53" s="3">
        <v>1714</v>
      </c>
      <c r="EZ53" s="4">
        <f>Sivoso!C53 + Taoisia!C53 + Seytinemas!C53 + Trian!C53 + 'Chaenia'!C53</f>
        <v>58720761.462326497</v>
      </c>
      <c r="FA53" s="7">
        <f t="shared" si="42"/>
        <v>2.5364583526312642E-2</v>
      </c>
      <c r="FB53" s="5">
        <f t="shared" si="43"/>
        <v>1.7764885117847403E-2</v>
      </c>
      <c r="FI53" s="3">
        <f t="shared" si="44"/>
        <v>1964</v>
      </c>
      <c r="FJ53" s="3">
        <v>1714</v>
      </c>
      <c r="FK53" s="4">
        <f>Migoku!C53 + 'Welenu Fana'!C53 + Haiza!C53 + Ucrua!C53 + Ihner!C53 + Oscairia!C53 + Shinam!C53 + 'Ruylku'!C53 + Taval!C53 + 'Western Migoku'!C53 + 'Pruim Fijan'!C53 + 'Canldives'!C53</f>
        <v>68910795.017360225</v>
      </c>
      <c r="FL53" s="7">
        <f t="shared" si="45"/>
        <v>1.9808480981413207E-2</v>
      </c>
      <c r="FM53" s="5">
        <f t="shared" si="46"/>
        <v>2.0847692134379783E-2</v>
      </c>
      <c r="FT53" s="3">
        <f t="shared" si="47"/>
        <v>1964</v>
      </c>
      <c r="FU53" s="3">
        <v>1714</v>
      </c>
      <c r="FV53" s="4">
        <f>Vesozata!C53 + Etretes!C53 + Kusierna!C53 + Eparia!C53</f>
        <v>44942941.444377869</v>
      </c>
      <c r="FW53" s="7">
        <f t="shared" si="48"/>
        <v>2.6927991399285107E-2</v>
      </c>
      <c r="FX53" s="5">
        <f t="shared" si="49"/>
        <v>1.3596659371145067E-2</v>
      </c>
      <c r="GE53" s="3">
        <f t="shared" si="50"/>
        <v>1964</v>
      </c>
      <c r="GF53" s="3">
        <v>1714</v>
      </c>
      <c r="GG53" s="4">
        <f>Dahe!C53 + Kaastini!C53 + Suenan!C53 + Oyreain!C53 + Sanagara!C53 + 'North Ayre'!C53 + Stinebar!C53 + 'Cloja'!C53 + 'Pha Hii'!C53 + 'Prystr Hii'!C53</f>
        <v>678344214.14841115</v>
      </c>
      <c r="GH53" s="7">
        <f t="shared" si="51"/>
        <v>1.3041590706360611E-2</v>
      </c>
      <c r="GI53" s="5">
        <f t="shared" si="52"/>
        <v>0.20522055120886634</v>
      </c>
      <c r="GP53" s="3">
        <f t="shared" si="53"/>
        <v>1964</v>
      </c>
      <c r="GQ53" s="3">
        <v>1714</v>
      </c>
      <c r="GR53" s="4">
        <f>Maalle!C53 + 'United Delet'!C53 + Ohtina!C53 + Astye!C53 + Prstreula!C53 + Veelmit!C53 + Aplasia!C53 + 'Elja and Munusia'!C53 + Walporein!C53 + 'Crila Republic'!C53 + 'Niretui and Anulan'!C53 + 'Rethern'!C53 + Tvecoca!C53</f>
        <v>78833011.591327205</v>
      </c>
      <c r="GS53" s="7">
        <f t="shared" si="54"/>
        <v>2.008799111381741E-2</v>
      </c>
      <c r="GT53" s="5">
        <f t="shared" si="55"/>
        <v>2.3849476054774148E-2</v>
      </c>
      <c r="HA53" s="3">
        <f t="shared" si="56"/>
        <v>1964</v>
      </c>
      <c r="HB53" s="3">
        <v>1714</v>
      </c>
      <c r="HC53" s="4">
        <f>Andsaudare!C53 + Nia!C53 + Umarcia!C53 + Mendereide!C53 + Iainoa!C53 + Isari!C53 + 'Rkmepuia'!C53 + Hiwush!C53 + Isuibul!C53 + Yutnitu!C53</f>
        <v>25897288.982590269</v>
      </c>
      <c r="HD53" s="7">
        <f t="shared" si="57"/>
        <v>2.5604821897174848E-2</v>
      </c>
      <c r="HE53" s="5">
        <f t="shared" si="58"/>
        <v>7.8347479184951267E-3</v>
      </c>
      <c r="HL53" s="3">
        <f t="shared" si="59"/>
        <v>1964</v>
      </c>
      <c r="HM53" s="3">
        <v>1714</v>
      </c>
      <c r="HN53" s="4">
        <f>Zhanshe!C53 + Volver!C53 + Finae!C53 + Myla!C53 + 'Nheyes Si'!C53 + Onphello!C53 + Hyelen!C53</f>
        <v>48490950.985163838</v>
      </c>
      <c r="HO53" s="7">
        <f t="shared" si="60"/>
        <v>3.0455799589254175E-2</v>
      </c>
      <c r="HP53" s="5">
        <f t="shared" si="61"/>
        <v>1.4670044325962578E-2</v>
      </c>
      <c r="HW53" s="3">
        <f t="shared" si="62"/>
        <v>1964</v>
      </c>
      <c r="HX53" s="3">
        <v>1714</v>
      </c>
      <c r="HY53" s="4">
        <f>Yihnurda!C53 + Ztesh!C53 + Wundry!C53 + Anymna!C53 + Shomjind!C53 + Baluyde!C53 + Letan!C53</f>
        <v>197081836.62651542</v>
      </c>
      <c r="HZ53" s="7">
        <f t="shared" si="63"/>
        <v>2.1061471949574209E-2</v>
      </c>
      <c r="IA53" s="5">
        <f t="shared" si="64"/>
        <v>5.9623480678646208E-2</v>
      </c>
      <c r="IH53" s="3">
        <f t="shared" si="65"/>
        <v>1964</v>
      </c>
      <c r="II53" s="3">
        <v>1714</v>
      </c>
      <c r="IJ53" s="4">
        <f>Iareva!C53 + 'United Mihili'!C53 + 'Mesjan Hyaa'!C53 + Desaki!C53 + 'Far Lands'!C53</f>
        <v>23023275.146246519</v>
      </c>
      <c r="IK53" s="7">
        <f t="shared" si="66"/>
        <v>1.6756131814519751E-2</v>
      </c>
      <c r="IL53" s="5">
        <f t="shared" si="67"/>
        <v>6.9652679533467356E-3</v>
      </c>
      <c r="IS53" s="3">
        <f t="shared" si="68"/>
        <v>1964</v>
      </c>
      <c r="IT53" s="3">
        <v>1714</v>
      </c>
      <c r="IU53" s="4">
        <f>Verste!C53 + Quidic!C53 + Erkizil!C53 + Ashain!C53 + Ahokini!C53</f>
        <v>157655553.38627446</v>
      </c>
      <c r="IV53" s="7">
        <f t="shared" si="69"/>
        <v>2.3605586930683257E-2</v>
      </c>
      <c r="IW53" s="5">
        <f t="shared" si="70"/>
        <v>4.7695784665440534E-2</v>
      </c>
    </row>
    <row r="54" spans="1:257" ht="22.5" customHeight="1">
      <c r="A54" s="3">
        <f t="shared" si="0"/>
        <v>1963</v>
      </c>
      <c r="B54" s="3">
        <v>1713</v>
      </c>
      <c r="C54" s="4">
        <f>Acetoa!C54 + Acrana!C54 + Aetintio!C54 + Ahokini!C54 + Amcha!C54 + Andsaudare!C54 + Anymna!C54 + Aplasia!C54 + Arbiya!C54 + 'Areoix Lie'!C54 + Ashain!C54 + Astye!C54 + Baluyde!C54 + Byllu!C54 + 'Candenat'!C54 + 'Canldives'!C54 + 'Chaenia'!C54 + 'Cloja'!C54 + 'Crila Republic'!C54 + 'Cruthi Anoso'!C54 + 'Curata'!C54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'Raledria'!C54 + 'Reerica'!C54 + 'Rethern'!C54 + 'Rijan bu'!C54 + 'Rinew'!C54 + 'Rkmepuia'!C54 + 'Rtesania'!C54 + 'Ruylku'!C54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3241104667.0726852</v>
      </c>
      <c r="D54" s="5">
        <f t="shared" si="1"/>
        <v>1.9966976474479387E-2</v>
      </c>
      <c r="K54" s="3">
        <f t="shared" si="2"/>
        <v>1963</v>
      </c>
      <c r="L54" s="3">
        <v>1713</v>
      </c>
      <c r="M54" s="4">
        <f>Eldavpir!C54 + Iquir!C54 + Viussi!C54 + Umendel!C54 + 'Reerica'!C54 + Saa!C54 + Sattle!C54</f>
        <v>25211059.153697059</v>
      </c>
      <c r="N54" s="5">
        <f t="shared" si="3"/>
        <v>2.7829443987956424E-2</v>
      </c>
      <c r="O54" s="5">
        <f t="shared" si="4"/>
        <v>7.7785390301718616E-3</v>
      </c>
      <c r="V54" s="3">
        <f t="shared" si="5"/>
        <v>1963</v>
      </c>
      <c r="W54" s="3">
        <v>1713</v>
      </c>
      <c r="X54" s="4">
        <f>'Areoix Lie'!C54 + Jau!C54 + Terressin!C54 + Acetoa!C54 + 'Feio Lie'!C54</f>
        <v>358640290.21246934</v>
      </c>
      <c r="Y54" s="5">
        <f t="shared" si="6"/>
        <v>2.4757933571369007E-2</v>
      </c>
      <c r="Z54" s="5">
        <f t="shared" si="7"/>
        <v>0.11065372058360201</v>
      </c>
      <c r="AG54" s="3">
        <f t="shared" si="8"/>
        <v>1963</v>
      </c>
      <c r="AH54" s="3">
        <v>1713</v>
      </c>
      <c r="AI54" s="4">
        <f>Taniduna!C54 + Jathua!C54 + Deschon!C54 + Pelines!C54 + 'Candenat'!C54 + Othya!C54 + Yoprioq!C54 + Jshain!C54 + 'Fire Coast'!C54 + 'Rijan bu'!C54 + 'Rinew'!C54 + Enina!C54 + Trevilla!C54</f>
        <v>64702989.05757048</v>
      </c>
      <c r="AJ54" s="5">
        <f t="shared" si="9"/>
        <v>2.4044660968522848E-2</v>
      </c>
      <c r="AK54" s="5">
        <f t="shared" si="10"/>
        <v>1.9963251947679062E-2</v>
      </c>
      <c r="AR54" s="3">
        <f t="shared" si="11"/>
        <v>1963</v>
      </c>
      <c r="AS54" s="3">
        <v>1713</v>
      </c>
      <c r="AT54" s="4">
        <f>Gaeiya!C54 + 'Raledria'!C54 + Arbiya!C54 + Fincen!C54 + 'Curata'!C54</f>
        <v>156144068.44916022</v>
      </c>
      <c r="AU54" s="5">
        <f t="shared" si="12"/>
        <v>1.8206932400032513E-2</v>
      </c>
      <c r="AV54" s="5">
        <f t="shared" si="13"/>
        <v>4.817618820998678E-2</v>
      </c>
      <c r="BC54" s="3">
        <f t="shared" si="14"/>
        <v>1963</v>
      </c>
      <c r="BD54" s="3">
        <v>1713</v>
      </c>
      <c r="BE54" s="4">
        <f>Etirha!C54 + Laselteh!C54 + Grazail!C54 + 'Disal Nila'!C54 + Pelan!C54 + Peka!C54 + Guise!C54</f>
        <v>60661663.219124116</v>
      </c>
      <c r="BF54" s="5">
        <f t="shared" si="15"/>
        <v>1.6292262426927741E-2</v>
      </c>
      <c r="BG54" s="5">
        <f t="shared" si="16"/>
        <v>1.8716354283588373E-2</v>
      </c>
      <c r="BN54" s="3">
        <f t="shared" si="17"/>
        <v>1963</v>
      </c>
      <c r="BO54" s="3">
        <v>1713</v>
      </c>
      <c r="BP54" s="4">
        <f>Genaire!C54 + 'New Misos'!C54 + Phuris!C54 + Lasri!C54 + Slyiaduun!C54 + Aetintio!C54 + Metndria!C54 + Tomscilus!C54</f>
        <v>44319336.214554913</v>
      </c>
      <c r="BQ54" s="5">
        <f t="shared" si="18"/>
        <v>2.5527194501077422E-2</v>
      </c>
      <c r="BR54" s="5">
        <f t="shared" si="19"/>
        <v>1.3674145319899045E-2</v>
      </c>
      <c r="BY54" s="3">
        <f t="shared" si="20"/>
        <v>1963</v>
      </c>
      <c r="BZ54" s="3">
        <v>1713</v>
      </c>
      <c r="CA54" s="4">
        <f>Ealdorii!C54 + Ukhdari!C54 + Hkuqo!C54 + Acrana!C54 + Zenashan!C54</f>
        <v>151618925.66383466</v>
      </c>
      <c r="CB54" s="6">
        <f t="shared" si="21"/>
        <v>2.1012086533536919E-2</v>
      </c>
      <c r="CC54" s="5">
        <f t="shared" si="22"/>
        <v>4.6780015222641511E-2</v>
      </c>
      <c r="CJ54" s="3">
        <f t="shared" si="23"/>
        <v>1963</v>
      </c>
      <c r="CK54" s="3">
        <v>1713</v>
      </c>
      <c r="CL54" s="4">
        <f>Estijan!C54 + Ikzen!C54 + Urbiqu!C54 + Danocia!C54 + Koruch!C54 + 'New Kizura'!C54 + Lydroa!C54 + Fermori!C54 + Uularin!C54 + 'Niul Spijan'!C54</f>
        <v>185997701.61419675</v>
      </c>
      <c r="CM54" s="6">
        <f t="shared" si="24"/>
        <v>1.927528740132416E-2</v>
      </c>
      <c r="CN54" s="5">
        <f t="shared" si="25"/>
        <v>5.7387132079935864E-2</v>
      </c>
      <c r="CU54" s="3">
        <f t="shared" si="26"/>
        <v>1963</v>
      </c>
      <c r="CV54" s="3">
        <v>1713</v>
      </c>
      <c r="CW54" s="4">
        <f>Praesyu!C54 + Lycroa!C54 + Emara!C54 + Eldjo!C54 + Easuhura!C54 + Ilicuhe!C54 + Tonder!C54</f>
        <v>197276248.24049813</v>
      </c>
      <c r="CX54" s="6">
        <f t="shared" si="27"/>
        <v>7.9751479549941412E-3</v>
      </c>
      <c r="CY54" s="5">
        <f t="shared" si="28"/>
        <v>6.0866978547371296E-2</v>
      </c>
      <c r="DF54" s="3">
        <f t="shared" si="29"/>
        <v>1963</v>
      </c>
      <c r="DG54" s="3">
        <v>1713</v>
      </c>
      <c r="DH54" s="4">
        <f>Verusa!C54 + Darewa!C54 + Siana!C54 + Yaxuto!C54 + 'Merela Sta'!C54 + Palina!C54</f>
        <v>132029816.08701211</v>
      </c>
      <c r="DI54" s="6">
        <f t="shared" si="30"/>
        <v>9.9980621374232519E-3</v>
      </c>
      <c r="DJ54" s="5">
        <f t="shared" si="31"/>
        <v>4.0736054416366428E-2</v>
      </c>
      <c r="DQ54" s="3">
        <f t="shared" si="32"/>
        <v>1963</v>
      </c>
      <c r="DR54" s="3">
        <v>1713</v>
      </c>
      <c r="DS54" s="4">
        <f>Sunsokua!C54 + Vayvele!C54 + Selaja!C54 + Sadain!C54</f>
        <v>74304998.64343828</v>
      </c>
      <c r="DT54" s="6">
        <f t="shared" si="33"/>
        <v>2.3195233435442528E-2</v>
      </c>
      <c r="DU54" s="5">
        <f t="shared" si="34"/>
        <v>2.2925825073878095E-2</v>
      </c>
      <c r="EB54" s="3">
        <f t="shared" si="35"/>
        <v>1963</v>
      </c>
      <c r="EC54" s="3">
        <v>1713</v>
      </c>
      <c r="ED54" s="4">
        <f>Pelugrotoa!C54 + Lieri!C54 + 'Rtesania'!C54 + Ozinia!C54</f>
        <v>202371331.02293286</v>
      </c>
      <c r="EE54" s="6">
        <f t="shared" si="36"/>
        <v>3.3066299702711688E-2</v>
      </c>
      <c r="EF54" s="5">
        <f t="shared" si="37"/>
        <v>6.2438998986636081E-2</v>
      </c>
      <c r="EM54" s="3">
        <f t="shared" si="38"/>
        <v>1963</v>
      </c>
      <c r="EN54" s="3">
        <v>1713</v>
      </c>
      <c r="EO54" s="4">
        <f>Ocaun!C54 + 'Dual Cenryia'!C54 + Byllu!C54 + Exilium!C54 + Inrea!C54 + Amcha!C54 + Isnti!C54 + Galca!C54 + Otiiric!C54 + Taing!C54 + 'Cruthi Anoso'!C54</f>
        <v>88425071.857488841</v>
      </c>
      <c r="EP54" s="6">
        <f t="shared" si="39"/>
        <v>2.4839619429647242E-2</v>
      </c>
      <c r="EQ54" s="5">
        <f t="shared" si="40"/>
        <v>2.7282387007067248E-2</v>
      </c>
      <c r="EX54" s="3">
        <f t="shared" si="41"/>
        <v>1963</v>
      </c>
      <c r="EY54" s="3">
        <v>1713</v>
      </c>
      <c r="EZ54" s="4">
        <f>Sivoso!C54 + Taoisia!C54 + Seytinemas!C54 + Trian!C54 + 'Chaenia'!C54</f>
        <v>57268177.978588842</v>
      </c>
      <c r="FA54" s="6">
        <f t="shared" si="42"/>
        <v>2.5157452061495812E-2</v>
      </c>
      <c r="FB54" s="5">
        <f t="shared" si="43"/>
        <v>1.7669339272005851E-2</v>
      </c>
      <c r="FI54" s="3">
        <f t="shared" si="44"/>
        <v>1963</v>
      </c>
      <c r="FJ54" s="3">
        <v>1713</v>
      </c>
      <c r="FK54" s="4">
        <f>Migoku!C54 + 'Welenu Fana'!C54 + Haiza!C54 + Ucrua!C54 + Ihner!C54 + Oscairia!C54 + Shinam!C54 + 'Ruylku'!C54 + Taval!C54 + 'Western Migoku'!C54 + 'Pruim Fijan'!C54 + 'Canldives'!C54</f>
        <v>67572290.584447667</v>
      </c>
      <c r="FL54" s="6">
        <f t="shared" si="45"/>
        <v>1.965039799606531E-2</v>
      </c>
      <c r="FM54" s="5">
        <f t="shared" si="46"/>
        <v>2.0848537003736414E-2</v>
      </c>
      <c r="FT54" s="3">
        <f t="shared" si="47"/>
        <v>1963</v>
      </c>
      <c r="FU54" s="3">
        <v>1713</v>
      </c>
      <c r="FV54" s="4">
        <f>Vesozata!C54 + Etretes!C54 + Kusierna!C54 + Eparia!C54</f>
        <v>43764452.640091076</v>
      </c>
      <c r="FW54" s="6">
        <f t="shared" si="48"/>
        <v>2.6095450771686537E-2</v>
      </c>
      <c r="FX54" s="5">
        <f t="shared" si="49"/>
        <v>1.3502943328151893E-2</v>
      </c>
      <c r="GE54" s="3">
        <f t="shared" si="50"/>
        <v>1963</v>
      </c>
      <c r="GF54" s="3">
        <v>1713</v>
      </c>
      <c r="GG54" s="4">
        <f>Dahe!C54 + Kaastini!C54 + Suenan!C54 + Oyreain!C54 + Sanagara!C54 + 'North Ayre'!C54 + Stinebar!C54 + 'Cloja'!C54 + 'Pha Hii'!C54 + 'Prystr Hii'!C54</f>
        <v>669611416.12697661</v>
      </c>
      <c r="GH54" s="6">
        <f t="shared" si="51"/>
        <v>1.3250654458124218E-2</v>
      </c>
      <c r="GI54" s="5">
        <f t="shared" si="52"/>
        <v>0.20659975067443875</v>
      </c>
      <c r="GP54" s="3">
        <f t="shared" si="53"/>
        <v>1963</v>
      </c>
      <c r="GQ54" s="3">
        <v>1713</v>
      </c>
      <c r="GR54" s="4">
        <f>Maalle!C54 + 'United Delet'!C54 + Ohtina!C54 + Astye!C54 + Prstreula!C54 + Veelmit!C54 + Aplasia!C54 + 'Elja and Munusia'!C54 + Walporein!C54 + 'Crila Republic'!C54 + 'Niretui and Anulan'!C54 + 'Rethern'!C54 + Tvecoca!C54</f>
        <v>77280599.593424022</v>
      </c>
      <c r="GS54" s="6">
        <f t="shared" si="54"/>
        <v>2.0239575744498736E-2</v>
      </c>
      <c r="GT54" s="5">
        <f t="shared" si="55"/>
        <v>2.3843907411735223E-2</v>
      </c>
      <c r="HA54" s="3">
        <f t="shared" si="56"/>
        <v>1963</v>
      </c>
      <c r="HB54" s="3">
        <v>1713</v>
      </c>
      <c r="HC54" s="4">
        <f>Andsaudare!C54 + Nia!C54 + Umarcia!C54 + Mendereide!C54 + Iainoa!C54 + Isari!C54 + 'Rkmepuia'!C54 + Hiwush!C54 + Isuibul!C54 + Yutnitu!C54</f>
        <v>25250748.075350489</v>
      </c>
      <c r="HD54" s="6">
        <f t="shared" si="57"/>
        <v>2.5655691915465718E-2</v>
      </c>
      <c r="HE54" s="5">
        <f t="shared" si="58"/>
        <v>7.7907845222896085E-3</v>
      </c>
      <c r="HL54" s="3">
        <f t="shared" si="59"/>
        <v>1963</v>
      </c>
      <c r="HM54" s="3">
        <v>1713</v>
      </c>
      <c r="HN54" s="4">
        <f>Zhanshe!C54 + Volver!C54 + Finae!C54 + Myla!C54 + 'Nheyes Si'!C54 + Onphello!C54 + Hyelen!C54</f>
        <v>47057769.00328245</v>
      </c>
      <c r="HO54" s="6">
        <f t="shared" si="60"/>
        <v>2.8839390082081747E-2</v>
      </c>
      <c r="HP54" s="5">
        <f t="shared" si="61"/>
        <v>1.4519052556789007E-2</v>
      </c>
      <c r="HW54" s="3">
        <f t="shared" si="62"/>
        <v>1963</v>
      </c>
      <c r="HX54" s="3">
        <v>1713</v>
      </c>
      <c r="HY54" s="4">
        <f>Yihnurda!C54 + Ztesh!C54 + Wundry!C54 + Anymna!C54 + Shomjind!C54 + Baluyde!C54 + Letan!C54</f>
        <v>193016622.44704542</v>
      </c>
      <c r="HZ54" s="6">
        <f t="shared" si="63"/>
        <v>2.0679194501985229E-2</v>
      </c>
      <c r="IA54" s="5">
        <f t="shared" si="64"/>
        <v>5.9552727317928607E-2</v>
      </c>
      <c r="IH54" s="3">
        <f t="shared" si="65"/>
        <v>1963</v>
      </c>
      <c r="II54" s="3">
        <v>1713</v>
      </c>
      <c r="IJ54" s="4">
        <f>Iareva!C54 + 'United Mihili'!C54 + 'Mesjan Hyaa'!C54 + Desaki!C54 + 'Far Lands'!C54</f>
        <v>22643851.781015377</v>
      </c>
      <c r="IK54" s="6">
        <f t="shared" si="66"/>
        <v>1.6214031946604274E-2</v>
      </c>
      <c r="IL54" s="5">
        <f t="shared" si="67"/>
        <v>6.9864611319285005E-3</v>
      </c>
      <c r="IS54" s="3">
        <f t="shared" si="68"/>
        <v>1963</v>
      </c>
      <c r="IT54" s="3">
        <v>1713</v>
      </c>
      <c r="IU54" s="4">
        <f>Verste!C54 + Quidic!C54 + Erkizil!C54 + Ashain!C54 + Ahokini!C54</f>
        <v>154019825.01776889</v>
      </c>
      <c r="IV54" s="6">
        <f t="shared" si="69"/>
        <v>2.3524800182979928E-2</v>
      </c>
      <c r="IW54" s="5">
        <f t="shared" si="70"/>
        <v>4.7520780980170312E-2</v>
      </c>
    </row>
    <row r="55" spans="1:257" ht="22.5" customHeight="1">
      <c r="A55" s="3">
        <f t="shared" si="0"/>
        <v>1962</v>
      </c>
      <c r="B55" s="3">
        <v>1712</v>
      </c>
      <c r="C55" s="4">
        <f>Acetoa!C55 + Acrana!C55 + Aetintio!C55 + Ahokini!C55 + Amcha!C55 + Andsaudare!C55 + Anymna!C55 + Aplasia!C55 + Arbiya!C55 + 'Areoix Lie'!C55 + Ashain!C55 + Astye!C55 + Baluyde!C55 + Byllu!C55 + 'Candenat'!C55 + 'Canldives'!C55 + 'Chaenia'!C55 + 'Cloja'!C55 + 'Crila Republic'!C55 + 'Cruthi Anoso'!C55 + 'Curata'!C55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'Raledria'!C55 + 'Reerica'!C55 + 'Rethern'!C55 + 'Rijan bu'!C55 + 'Rinew'!C55 + 'Rkmepuia'!C55 + 'Rtesania'!C55 + 'Ruylku'!C55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3177656474.9925323</v>
      </c>
      <c r="D55" s="5">
        <f t="shared" si="1"/>
        <v>2.035962047794727E-2</v>
      </c>
      <c r="K55" s="3">
        <f t="shared" si="2"/>
        <v>1962</v>
      </c>
      <c r="L55" s="3">
        <v>1712</v>
      </c>
      <c r="M55" s="4">
        <f>Eldavpir!C55 + Iquir!C55 + Viussi!C55 + Umendel!C55 + 'Reerica'!C55 + Saa!C55 + Sattle!C55</f>
        <v>24528446.135847874</v>
      </c>
      <c r="N55" s="5">
        <f t="shared" si="3"/>
        <v>2.7465294758169341E-2</v>
      </c>
      <c r="O55" s="5">
        <f t="shared" si="4"/>
        <v>7.7190364436437444E-3</v>
      </c>
      <c r="V55" s="3">
        <f t="shared" si="5"/>
        <v>1962</v>
      </c>
      <c r="W55" s="3">
        <v>1712</v>
      </c>
      <c r="X55" s="4">
        <f>'Areoix Lie'!C55 + Jau!C55 + Terressin!C55 + Acetoa!C55 + 'Feio Lie'!C55</f>
        <v>349975617.13191843</v>
      </c>
      <c r="Y55" s="5">
        <f t="shared" si="6"/>
        <v>2.5010173437197091E-2</v>
      </c>
      <c r="Z55" s="5">
        <f t="shared" si="7"/>
        <v>0.11013639135827007</v>
      </c>
      <c r="AG55" s="3">
        <f t="shared" si="8"/>
        <v>1962</v>
      </c>
      <c r="AH55" s="3">
        <v>1712</v>
      </c>
      <c r="AI55" s="4">
        <f>Taniduna!C55 + Jathua!C55 + Deschon!C55 + Pelines!C55 + 'Candenat'!C55 + Othya!C55 + Yoprioq!C55 + Jshain!C55 + 'Fire Coast'!C55 + 'Rijan bu'!C55 + 'Rinew'!C55 + Enina!C55 + Trevilla!C55</f>
        <v>63183757.040806763</v>
      </c>
      <c r="AJ55" s="5">
        <f t="shared" si="9"/>
        <v>2.3876423461797854E-2</v>
      </c>
      <c r="AK55" s="5">
        <f t="shared" si="10"/>
        <v>1.9883759474332494E-2</v>
      </c>
      <c r="AR55" s="3">
        <f t="shared" si="11"/>
        <v>1962</v>
      </c>
      <c r="AS55" s="3">
        <v>1712</v>
      </c>
      <c r="AT55" s="4">
        <f>Gaeiya!C55 + 'Raledria'!C55 + Arbiya!C55 + Fincen!C55 + 'Curata'!C55</f>
        <v>153351998.97049457</v>
      </c>
      <c r="AU55" s="5">
        <f t="shared" si="12"/>
        <v>2.2768982660601626E-2</v>
      </c>
      <c r="AV55" s="5">
        <f t="shared" si="13"/>
        <v>4.8259464223820783E-2</v>
      </c>
      <c r="BC55" s="3">
        <f t="shared" si="14"/>
        <v>1962</v>
      </c>
      <c r="BD55" s="3">
        <v>1712</v>
      </c>
      <c r="BE55" s="4">
        <f>Etirha!C55 + Laselteh!C55 + Grazail!C55 + 'Disal Nila'!C55 + Pelan!C55 + Peka!C55 + Guise!C55</f>
        <v>59689191.25120835</v>
      </c>
      <c r="BF55" s="5">
        <f t="shared" si="15"/>
        <v>1.8320019401901894E-2</v>
      </c>
      <c r="BG55" s="5">
        <f t="shared" si="16"/>
        <v>1.8784028960005385E-2</v>
      </c>
      <c r="BN55" s="3">
        <f t="shared" si="17"/>
        <v>1962</v>
      </c>
      <c r="BO55" s="3">
        <v>1712</v>
      </c>
      <c r="BP55" s="4">
        <f>Genaire!C55 + 'New Misos'!C55 + Phuris!C55 + Lasri!C55 + Slyiaduun!C55 + Aetintio!C55 + Metndria!C55 + Tomscilus!C55</f>
        <v>43216149.169127032</v>
      </c>
      <c r="BQ55" s="5">
        <f t="shared" si="18"/>
        <v>2.5371809820284974E-2</v>
      </c>
      <c r="BR55" s="5">
        <f t="shared" si="19"/>
        <v>1.3600006643017821E-2</v>
      </c>
      <c r="BY55" s="3">
        <f t="shared" si="20"/>
        <v>1962</v>
      </c>
      <c r="BZ55" s="3">
        <v>1712</v>
      </c>
      <c r="CA55" s="4">
        <f>Ealdorii!C55 + Ukhdari!C55 + Hkuqo!C55 + Acrana!C55 + Zenashan!C55</f>
        <v>148498658.99100155</v>
      </c>
      <c r="CB55" s="7">
        <f t="shared" si="21"/>
        <v>2.1031745586230693E-2</v>
      </c>
      <c r="CC55" s="5">
        <f t="shared" si="22"/>
        <v>4.6732131103426E-2</v>
      </c>
      <c r="CJ55" s="3">
        <f t="shared" si="23"/>
        <v>1962</v>
      </c>
      <c r="CK55" s="3">
        <v>1712</v>
      </c>
      <c r="CL55" s="4">
        <f>Estijan!C55 + Ikzen!C55 + Urbiqu!C55 + Danocia!C55 + Koruch!C55 + 'New Kizura'!C55 + Lydroa!C55 + Fermori!C55 + Uularin!C55 + 'Niul Spijan'!C55</f>
        <v>182480340.60396382</v>
      </c>
      <c r="CM55" s="7">
        <f t="shared" si="24"/>
        <v>2.0290984583825916E-2</v>
      </c>
      <c r="CN55" s="5">
        <f t="shared" si="25"/>
        <v>5.7426075486776043E-2</v>
      </c>
      <c r="CU55" s="3">
        <f t="shared" si="26"/>
        <v>1962</v>
      </c>
      <c r="CV55" s="3">
        <v>1712</v>
      </c>
      <c r="CW55" s="4">
        <f>Praesyu!C55 + Lycroa!C55 + Emara!C55 + Eldjo!C55 + Easuhura!C55 + Ilicuhe!C55 + Tonder!C55</f>
        <v>195715389.0557096</v>
      </c>
      <c r="CX55" s="7">
        <f t="shared" si="27"/>
        <v>7.8710910028181955E-3</v>
      </c>
      <c r="CY55" s="5">
        <f t="shared" si="28"/>
        <v>6.1591109862235677E-2</v>
      </c>
      <c r="DF55" s="3">
        <f t="shared" si="29"/>
        <v>1962</v>
      </c>
      <c r="DG55" s="3">
        <v>1712</v>
      </c>
      <c r="DH55" s="4">
        <f>Verusa!C55 + Darewa!C55 + Siana!C55 + Yaxuto!C55 + 'Merela Sta'!C55 + Palina!C55</f>
        <v>130722840.99991447</v>
      </c>
      <c r="DI55" s="7">
        <f t="shared" si="30"/>
        <v>1.0029263280754867E-2</v>
      </c>
      <c r="DJ55" s="5">
        <f t="shared" si="31"/>
        <v>4.1138128689704158E-2</v>
      </c>
      <c r="DQ55" s="3">
        <f t="shared" si="32"/>
        <v>1962</v>
      </c>
      <c r="DR55" s="3">
        <v>1712</v>
      </c>
      <c r="DS55" s="4">
        <f>Sunsokua!C55 + Vayvele!C55 + Selaja!C55 + Sadain!C55</f>
        <v>72620548.078546613</v>
      </c>
      <c r="DT55" s="7">
        <f t="shared" si="33"/>
        <v>2.401424410761303E-2</v>
      </c>
      <c r="DU55" s="5">
        <f t="shared" si="34"/>
        <v>2.2853492392917417E-2</v>
      </c>
      <c r="EB55" s="3">
        <f t="shared" si="35"/>
        <v>1962</v>
      </c>
      <c r="EC55" s="3">
        <v>1712</v>
      </c>
      <c r="ED55" s="4">
        <f>Pelugrotoa!C55 + Lieri!C55 + 'Rtesania'!C55 + Ozinia!C55</f>
        <v>195893846.38833907</v>
      </c>
      <c r="EE55" s="7">
        <f t="shared" si="36"/>
        <v>3.3667354977766246E-2</v>
      </c>
      <c r="EF55" s="5">
        <f t="shared" si="37"/>
        <v>6.1647269907864864E-2</v>
      </c>
      <c r="EM55" s="3">
        <f t="shared" si="38"/>
        <v>1962</v>
      </c>
      <c r="EN55" s="3">
        <v>1712</v>
      </c>
      <c r="EO55" s="4">
        <f>Ocaun!C55 + 'Dual Cenryia'!C55 + Byllu!C55 + Exilium!C55 + Inrea!C55 + Amcha!C55 + Isnti!C55 + Galca!C55 + Otiiric!C55 + Taing!C55 + 'Cruthi Anoso'!C55</f>
        <v>86281863.211631045</v>
      </c>
      <c r="EP55" s="7">
        <f t="shared" si="39"/>
        <v>2.4428740973066375E-2</v>
      </c>
      <c r="EQ55" s="5">
        <f t="shared" si="40"/>
        <v>2.7152671753743869E-2</v>
      </c>
      <c r="EX55" s="3">
        <f t="shared" si="41"/>
        <v>1962</v>
      </c>
      <c r="EY55" s="3">
        <v>1712</v>
      </c>
      <c r="EZ55" s="4">
        <f>Sivoso!C55 + Taoisia!C55 + Seytinemas!C55 + Trian!C55 + 'Chaenia'!C55</f>
        <v>55862811.964569822</v>
      </c>
      <c r="FA55" s="7">
        <f t="shared" si="42"/>
        <v>2.5005512692210161E-2</v>
      </c>
      <c r="FB55" s="5">
        <f t="shared" si="43"/>
        <v>1.757987762497238E-2</v>
      </c>
      <c r="FI55" s="3">
        <f t="shared" si="44"/>
        <v>1962</v>
      </c>
      <c r="FJ55" s="3">
        <v>1712</v>
      </c>
      <c r="FK55" s="4">
        <f>Migoku!C55 + 'Welenu Fana'!C55 + Haiza!C55 + Ucrua!C55 + Ihner!C55 + Oscairia!C55 + Shinam!C55 + 'Ruylku'!C55 + Taval!C55 + 'Western Migoku'!C55 + 'Pruim Fijan'!C55 + 'Canldives'!C55</f>
        <v>66270057.577821314</v>
      </c>
      <c r="FL55" s="7">
        <f t="shared" si="45"/>
        <v>1.9235863649802953E-2</v>
      </c>
      <c r="FM55" s="5">
        <f t="shared" si="46"/>
        <v>2.0855010004810874E-2</v>
      </c>
      <c r="FT55" s="3">
        <f t="shared" si="47"/>
        <v>1962</v>
      </c>
      <c r="FU55" s="3">
        <v>1712</v>
      </c>
      <c r="FV55" s="4">
        <f>Vesozata!C55 + Etretes!C55 + Kusierna!C55 + Eparia!C55</f>
        <v>42651443.983283944</v>
      </c>
      <c r="FW55" s="7">
        <f t="shared" si="48"/>
        <v>2.8589668321057488E-2</v>
      </c>
      <c r="FX55" s="5">
        <f t="shared" si="49"/>
        <v>1.342229543027749E-2</v>
      </c>
      <c r="GE55" s="3">
        <f t="shared" si="50"/>
        <v>1962</v>
      </c>
      <c r="GF55" s="3">
        <v>1712</v>
      </c>
      <c r="GG55" s="4">
        <f>Dahe!C55 + Kaastini!C55 + Suenan!C55 + Oyreain!C55 + Sanagara!C55 + 'North Ayre'!C55 + Stinebar!C55 + 'Cloja'!C55 + 'Pha Hii'!C55 + 'Prystr Hii'!C55</f>
        <v>660854659.38837981</v>
      </c>
      <c r="GH55" s="7">
        <f t="shared" si="51"/>
        <v>1.3539670239853143E-2</v>
      </c>
      <c r="GI55" s="5">
        <f t="shared" si="52"/>
        <v>0.20796919509366815</v>
      </c>
      <c r="GP55" s="3">
        <f t="shared" si="53"/>
        <v>1962</v>
      </c>
      <c r="GQ55" s="3">
        <v>1712</v>
      </c>
      <c r="GR55" s="4">
        <f>Maalle!C55 + 'United Delet'!C55 + Ohtina!C55 + Astye!C55 + Prstreula!C55 + Veelmit!C55 + Aplasia!C55 + 'Elja and Munusia'!C55 + Walporein!C55 + 'Crila Republic'!C55 + 'Niretui and Anulan'!C55 + 'Rethern'!C55 + Tvecoca!C55</f>
        <v>75747502.283500522</v>
      </c>
      <c r="GS55" s="7">
        <f t="shared" si="54"/>
        <v>1.9710157591676075E-2</v>
      </c>
      <c r="GT55" s="5">
        <f t="shared" si="55"/>
        <v>2.3837536524044352E-2</v>
      </c>
      <c r="HA55" s="3">
        <f t="shared" si="56"/>
        <v>1962</v>
      </c>
      <c r="HB55" s="3">
        <v>1712</v>
      </c>
      <c r="HC55" s="4">
        <f>Andsaudare!C55 + Nia!C55 + Umarcia!C55 + Mendereide!C55 + Iainoa!C55 + Isari!C55 + 'Rkmepuia'!C55 + Hiwush!C55 + Isuibul!C55 + Yutnitu!C55</f>
        <v>24619127.329360787</v>
      </c>
      <c r="HD55" s="7">
        <f t="shared" si="57"/>
        <v>2.5071285091644101E-2</v>
      </c>
      <c r="HE55" s="5">
        <f t="shared" si="58"/>
        <v>7.7475735728855469E-3</v>
      </c>
      <c r="HL55" s="3">
        <f t="shared" si="59"/>
        <v>1962</v>
      </c>
      <c r="HM55" s="3">
        <v>1712</v>
      </c>
      <c r="HN55" s="4">
        <f>Zhanshe!C55 + Volver!C55 + Finae!C55 + Myla!C55 + 'Nheyes Si'!C55 + Onphello!C55 + Hyelen!C55</f>
        <v>45738692.99417875</v>
      </c>
      <c r="HO55" s="7">
        <f t="shared" si="60"/>
        <v>2.959544319372245E-2</v>
      </c>
      <c r="HP55" s="5">
        <f t="shared" si="61"/>
        <v>1.4393844442951071E-2</v>
      </c>
      <c r="HW55" s="3">
        <f t="shared" si="62"/>
        <v>1962</v>
      </c>
      <c r="HX55" s="3">
        <v>1712</v>
      </c>
      <c r="HY55" s="4">
        <f>Yihnurda!C55 + Ztesh!C55 + Wundry!C55 + Anymna!C55 + Shomjind!C55 + Baluyde!C55 + Letan!C55</f>
        <v>189106061.42140776</v>
      </c>
      <c r="HZ55" s="7">
        <f t="shared" si="63"/>
        <v>2.0242545558317483E-2</v>
      </c>
      <c r="IA55" s="5">
        <f t="shared" si="64"/>
        <v>5.9511172119966864E-2</v>
      </c>
      <c r="IH55" s="3">
        <f t="shared" si="65"/>
        <v>1962</v>
      </c>
      <c r="II55" s="3">
        <v>1712</v>
      </c>
      <c r="IJ55" s="4">
        <f>Iareva!C55 + 'United Mihili'!C55 + 'Mesjan Hyaa'!C55 + Desaki!C55 + 'Far Lands'!C55</f>
        <v>22282561.615135394</v>
      </c>
      <c r="IK55" s="7">
        <f t="shared" si="66"/>
        <v>1.5908245404925837E-2</v>
      </c>
      <c r="IL55" s="5">
        <f t="shared" si="67"/>
        <v>7.0122625873798271E-3</v>
      </c>
      <c r="IS55" s="3">
        <f t="shared" si="68"/>
        <v>1962</v>
      </c>
      <c r="IT55" s="3">
        <v>1712</v>
      </c>
      <c r="IU55" s="4">
        <f>Verste!C55 + Quidic!C55 + Erkizil!C55 + Ashain!C55 + Ahokini!C55</f>
        <v>150479817.38227946</v>
      </c>
      <c r="IV55" s="7">
        <f t="shared" si="69"/>
        <v>2.354744557478956E-2</v>
      </c>
      <c r="IW55" s="5">
        <f t="shared" si="70"/>
        <v>4.7355596354270203E-2</v>
      </c>
    </row>
    <row r="56" spans="1:257" ht="22.5" customHeight="1">
      <c r="A56" s="3">
        <f t="shared" si="0"/>
        <v>1961</v>
      </c>
      <c r="B56" s="3">
        <v>1711</v>
      </c>
      <c r="C56" s="4">
        <f>Acetoa!C56 + Acrana!C56 + Aetintio!C56 + Ahokini!C56 + Amcha!C56 + Andsaudare!C56 + Anymna!C56 + Aplasia!C56 + Arbiya!C56 + 'Areoix Lie'!C56 + Ashain!C56 + Astye!C56 + Baluyde!C56 + Byllu!C56 + 'Candenat'!C56 + 'Canldives'!C56 + 'Chaenia'!C56 + 'Cloja'!C56 + 'Crila Republic'!C56 + 'Cruthi Anoso'!C56 + 'Curata'!C56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'Raledria'!C56 + 'Reerica'!C56 + 'Rethern'!C56 + 'Rijan bu'!C56 + 'Rinew'!C56 + 'Rkmepuia'!C56 + 'Rtesania'!C56 + 'Ruylku'!C56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3114251496.4518924</v>
      </c>
      <c r="D56" s="5">
        <f t="shared" si="1"/>
        <v>1.992423853905358E-2</v>
      </c>
      <c r="K56" s="3">
        <f t="shared" si="2"/>
        <v>1961</v>
      </c>
      <c r="L56" s="3">
        <v>1711</v>
      </c>
      <c r="M56" s="4">
        <f>Eldavpir!C56 + Iquir!C56 + Viussi!C56 + Umendel!C56 + 'Reerica'!C56 + Saa!C56 + Sattle!C56</f>
        <v>23872773.378317408</v>
      </c>
      <c r="N56" s="5">
        <f t="shared" si="3"/>
        <v>2.7135057411185728E-2</v>
      </c>
      <c r="O56" s="5">
        <f t="shared" si="4"/>
        <v>7.6656536588377566E-3</v>
      </c>
      <c r="V56" s="3">
        <f t="shared" si="5"/>
        <v>1961</v>
      </c>
      <c r="W56" s="3">
        <v>1711</v>
      </c>
      <c r="X56" s="4">
        <f>'Areoix Lie'!C56 + Jau!C56 + Terressin!C56 + Acetoa!C56 + 'Feio Lie'!C56</f>
        <v>341436237.61151052</v>
      </c>
      <c r="Y56" s="5">
        <f t="shared" si="6"/>
        <v>2.5255225391896098E-2</v>
      </c>
      <c r="Z56" s="5">
        <f t="shared" si="7"/>
        <v>0.10963669376108939</v>
      </c>
      <c r="AG56" s="3">
        <f t="shared" si="8"/>
        <v>1961</v>
      </c>
      <c r="AH56" s="3">
        <v>1711</v>
      </c>
      <c r="AI56" s="4">
        <f>Taniduna!C56 + Jathua!C56 + Deschon!C56 + Pelines!C56 + 'Candenat'!C56 + Othya!C56 + Yoprioq!C56 + Jshain!C56 + 'Fire Coast'!C56 + 'Rijan bu'!C56 + 'Rinew'!C56 + Enina!C56 + Trevilla!C56</f>
        <v>61710334.951534539</v>
      </c>
      <c r="AJ56" s="5">
        <f t="shared" si="9"/>
        <v>2.3843679131233902E-2</v>
      </c>
      <c r="AK56" s="5">
        <f t="shared" si="10"/>
        <v>1.9815462887901616E-2</v>
      </c>
      <c r="AR56" s="3">
        <f t="shared" si="11"/>
        <v>1961</v>
      </c>
      <c r="AS56" s="3">
        <v>1711</v>
      </c>
      <c r="AT56" s="4">
        <f>Gaeiya!C56 + 'Raledria'!C56 + Arbiya!C56 + Fincen!C56 + 'Curata'!C56</f>
        <v>149938061.84028882</v>
      </c>
      <c r="AU56" s="5">
        <f t="shared" si="12"/>
        <v>1.8655484625762591E-2</v>
      </c>
      <c r="AV56" s="5">
        <f t="shared" si="13"/>
        <v>4.814577821062789E-2</v>
      </c>
      <c r="BC56" s="3">
        <f t="shared" si="14"/>
        <v>1961</v>
      </c>
      <c r="BD56" s="3">
        <v>1711</v>
      </c>
      <c r="BE56" s="4">
        <f>Etirha!C56 + Laselteh!C56 + Grazail!C56 + 'Disal Nila'!C56 + Pelan!C56 + Peka!C56 + Guise!C56</f>
        <v>58615356.777789839</v>
      </c>
      <c r="BF56" s="5">
        <f t="shared" si="15"/>
        <v>5.3255541567913513E-3</v>
      </c>
      <c r="BG56" s="5">
        <f t="shared" si="16"/>
        <v>1.8821651637502972E-2</v>
      </c>
      <c r="BN56" s="3">
        <f t="shared" si="17"/>
        <v>1961</v>
      </c>
      <c r="BO56" s="3">
        <v>1711</v>
      </c>
      <c r="BP56" s="4">
        <f>Genaire!C56 + 'New Misos'!C56 + Phuris!C56 + Lasri!C56 + Slyiaduun!C56 + Aetintio!C56 + Metndria!C56 + Tomscilus!C56</f>
        <v>42146808.362813726</v>
      </c>
      <c r="BQ56" s="5">
        <f t="shared" si="18"/>
        <v>2.4964198539725917E-2</v>
      </c>
      <c r="BR56" s="5">
        <f t="shared" si="19"/>
        <v>1.3533527530076533E-2</v>
      </c>
      <c r="BY56" s="3">
        <f t="shared" si="20"/>
        <v>1961</v>
      </c>
      <c r="BZ56" s="3">
        <v>1711</v>
      </c>
      <c r="CA56" s="4">
        <f>Ealdorii!C56 + Ukhdari!C56 + Hkuqo!C56 + Acrana!C56 + Zenashan!C56</f>
        <v>145439805.99324095</v>
      </c>
      <c r="CB56" s="6">
        <f t="shared" si="21"/>
        <v>2.079079634480261E-2</v>
      </c>
      <c r="CC56" s="5">
        <f t="shared" si="22"/>
        <v>4.6701368261022731E-2</v>
      </c>
      <c r="CJ56" s="3">
        <f t="shared" si="23"/>
        <v>1961</v>
      </c>
      <c r="CK56" s="3">
        <v>1711</v>
      </c>
      <c r="CL56" s="4">
        <f>Estijan!C56 + Ikzen!C56 + Urbiqu!C56 + Danocia!C56 + Koruch!C56 + 'New Kizura'!C56 + Lydroa!C56 + Fermori!C56 + Uularin!C56 + 'Niul Spijan'!C56</f>
        <v>178851272.19701651</v>
      </c>
      <c r="CM56" s="6">
        <f t="shared" si="24"/>
        <v>2.1138647000983269E-2</v>
      </c>
      <c r="CN56" s="5">
        <f t="shared" si="25"/>
        <v>5.7429938590632168E-2</v>
      </c>
      <c r="CU56" s="3">
        <f t="shared" si="26"/>
        <v>1961</v>
      </c>
      <c r="CV56" s="3">
        <v>1711</v>
      </c>
      <c r="CW56" s="4">
        <f>Praesyu!C56 + Lycroa!C56 + Emara!C56 + Eldjo!C56 + Easuhura!C56 + Ilicuhe!C56 + Tonder!C56</f>
        <v>194186926.08890629</v>
      </c>
      <c r="CX56" s="6">
        <f t="shared" si="27"/>
        <v>7.3424604790440174E-3</v>
      </c>
      <c r="CY56" s="5">
        <f t="shared" si="28"/>
        <v>6.2354285230382327E-2</v>
      </c>
      <c r="DF56" s="3">
        <f t="shared" si="29"/>
        <v>1961</v>
      </c>
      <c r="DG56" s="3">
        <v>1711</v>
      </c>
      <c r="DH56" s="4">
        <f>Verusa!C56 + Darewa!C56 + Siana!C56 + Yaxuto!C56 + 'Merela Sta'!C56 + Palina!C56</f>
        <v>129424805.54999308</v>
      </c>
      <c r="DI56" s="6">
        <f t="shared" si="30"/>
        <v>1.0191940543440641E-2</v>
      </c>
      <c r="DJ56" s="5">
        <f t="shared" si="31"/>
        <v>4.1558880423578012E-2</v>
      </c>
      <c r="DQ56" s="3">
        <f t="shared" si="32"/>
        <v>1961</v>
      </c>
      <c r="DR56" s="3">
        <v>1711</v>
      </c>
      <c r="DS56" s="4">
        <f>Sunsokua!C56 + Vayvele!C56 + Selaja!C56 + Sadain!C56</f>
        <v>70917517.501753584</v>
      </c>
      <c r="DT56" s="6">
        <f t="shared" si="33"/>
        <v>2.524360944156211E-2</v>
      </c>
      <c r="DU56" s="5">
        <f t="shared" si="34"/>
        <v>2.2771930135556118E-2</v>
      </c>
      <c r="EB56" s="3">
        <f t="shared" si="35"/>
        <v>1961</v>
      </c>
      <c r="EC56" s="3">
        <v>1711</v>
      </c>
      <c r="ED56" s="4">
        <f>Pelugrotoa!C56 + Lieri!C56 + 'Rtesania'!C56 + Ozinia!C56</f>
        <v>189513430.45224899</v>
      </c>
      <c r="EE56" s="6">
        <f t="shared" si="36"/>
        <v>3.4266813052341499E-2</v>
      </c>
      <c r="EF56" s="5">
        <f t="shared" si="37"/>
        <v>6.0853605005300355E-2</v>
      </c>
      <c r="EM56" s="3">
        <f t="shared" si="38"/>
        <v>1961</v>
      </c>
      <c r="EN56" s="3">
        <v>1711</v>
      </c>
      <c r="EO56" s="4">
        <f>Ocaun!C56 + 'Dual Cenryia'!C56 + Byllu!C56 + Exilium!C56 + Inrea!C56 + Amcha!C56 + Isnti!C56 + Galca!C56 + Otiiric!C56 + Taing!C56 + 'Cruthi Anoso'!C56</f>
        <v>84224367.943518594</v>
      </c>
      <c r="EP56" s="6">
        <f t="shared" si="39"/>
        <v>2.3951307905392922E-2</v>
      </c>
      <c r="EQ56" s="5">
        <f t="shared" si="40"/>
        <v>2.7044818968370576E-2</v>
      </c>
      <c r="EX56" s="3">
        <f t="shared" si="41"/>
        <v>1961</v>
      </c>
      <c r="EY56" s="3">
        <v>1711</v>
      </c>
      <c r="EZ56" s="4">
        <f>Sivoso!C56 + Taoisia!C56 + Seytinemas!C56 + Trian!C56 + 'Chaenia'!C56</f>
        <v>54500011.241738923</v>
      </c>
      <c r="FA56" s="6">
        <f t="shared" si="42"/>
        <v>2.5070643714343477E-2</v>
      </c>
      <c r="FB56" s="5">
        <f t="shared" si="43"/>
        <v>1.7500195890997081E-2</v>
      </c>
      <c r="FI56" s="3">
        <f t="shared" si="44"/>
        <v>1961</v>
      </c>
      <c r="FJ56" s="3">
        <v>1711</v>
      </c>
      <c r="FK56" s="4">
        <f>Migoku!C56 + 'Welenu Fana'!C56 + Haiza!C56 + Ucrua!C56 + Ihner!C56 + Oscairia!C56 + Shinam!C56 + 'Ruylku'!C56 + Taval!C56 + 'Western Migoku'!C56 + 'Pruim Fijan'!C56 + 'Canldives'!C56</f>
        <v>65019354.146854177</v>
      </c>
      <c r="FL56" s="6">
        <f t="shared" si="45"/>
        <v>1.8892499967734819E-2</v>
      </c>
      <c r="FM56" s="5">
        <f t="shared" si="46"/>
        <v>2.0878003661853124E-2</v>
      </c>
      <c r="FT56" s="3">
        <f t="shared" si="47"/>
        <v>1961</v>
      </c>
      <c r="FU56" s="3">
        <v>1711</v>
      </c>
      <c r="FV56" s="4">
        <f>Vesozata!C56 + Etretes!C56 + Kusierna!C56 + Eparia!C56</f>
        <v>41465946.331060164</v>
      </c>
      <c r="FW56" s="6">
        <f t="shared" si="48"/>
        <v>2.4705198379635494E-2</v>
      </c>
      <c r="FX56" s="5">
        <f t="shared" si="49"/>
        <v>1.3314899704889879E-2</v>
      </c>
      <c r="GE56" s="3">
        <f t="shared" si="50"/>
        <v>1961</v>
      </c>
      <c r="GF56" s="3">
        <v>1711</v>
      </c>
      <c r="GG56" s="4">
        <f>Dahe!C56 + Kaastini!C56 + Suenan!C56 + Oyreain!C56 + Sanagara!C56 + 'North Ayre'!C56 + Stinebar!C56 + 'Cloja'!C56 + 'Pha Hii'!C56 + 'Prystr Hii'!C56</f>
        <v>652026436.45116448</v>
      </c>
      <c r="GH56" s="6">
        <f t="shared" si="51"/>
        <v>1.3765317053552384E-2</v>
      </c>
      <c r="GI56" s="5">
        <f t="shared" si="52"/>
        <v>0.20936858734563563</v>
      </c>
      <c r="GP56" s="3">
        <f t="shared" si="53"/>
        <v>1961</v>
      </c>
      <c r="GQ56" s="3">
        <v>1711</v>
      </c>
      <c r="GR56" s="4">
        <f>Maalle!C56 + 'United Delet'!C56 + Ohtina!C56 + Astye!C56 + Prstreula!C56 + Veelmit!C56 + Aplasia!C56 + 'Elja and Munusia'!C56 + Walporein!C56 + 'Crila Republic'!C56 + 'Niretui and Anulan'!C56 + 'Rethern'!C56 + Tvecoca!C56</f>
        <v>74283365.44415614</v>
      </c>
      <c r="GS56" s="6">
        <f t="shared" si="54"/>
        <v>1.9748067819888505E-2</v>
      </c>
      <c r="GT56" s="5">
        <f t="shared" si="55"/>
        <v>2.3852718872829685E-2</v>
      </c>
      <c r="HA56" s="3">
        <f t="shared" si="56"/>
        <v>1961</v>
      </c>
      <c r="HB56" s="3">
        <v>1711</v>
      </c>
      <c r="HC56" s="4">
        <f>Andsaudare!C56 + Nia!C56 + Umarcia!C56 + Mendereide!C56 + Iainoa!C56 + Isari!C56 + 'Rkmepuia'!C56 + Hiwush!C56 + Isuibul!C56 + Yutnitu!C56</f>
        <v>24016990.513161991</v>
      </c>
      <c r="HD56" s="6">
        <f t="shared" si="57"/>
        <v>2.4676056451006564E-2</v>
      </c>
      <c r="HE56" s="5">
        <f t="shared" si="58"/>
        <v>7.7119624219575272E-3</v>
      </c>
      <c r="HL56" s="3">
        <f t="shared" si="59"/>
        <v>1961</v>
      </c>
      <c r="HM56" s="3">
        <v>1711</v>
      </c>
      <c r="HN56" s="4">
        <f>Zhanshe!C56 + Volver!C56 + Finae!C56 + Myla!C56 + 'Nheyes Si'!C56 + Onphello!C56 + Hyelen!C56</f>
        <v>44423946.605961069</v>
      </c>
      <c r="HO56" s="6">
        <f t="shared" si="60"/>
        <v>2.9389568872490331E-2</v>
      </c>
      <c r="HP56" s="5">
        <f t="shared" si="61"/>
        <v>1.4264726743030823E-2</v>
      </c>
      <c r="HW56" s="3">
        <f t="shared" si="62"/>
        <v>1961</v>
      </c>
      <c r="HX56" s="3">
        <v>1711</v>
      </c>
      <c r="HY56" s="4">
        <f>Yihnurda!C56 + Ztesh!C56 + Wundry!C56 + Anymna!C56 + Shomjind!C56 + Baluyde!C56 + Letan!C56</f>
        <v>185354024.14327013</v>
      </c>
      <c r="HZ56" s="6">
        <f t="shared" si="63"/>
        <v>1.9964680328113629E-2</v>
      </c>
      <c r="IA56" s="5">
        <f t="shared" si="64"/>
        <v>5.9518001148733943E-2</v>
      </c>
      <c r="IH56" s="3">
        <f t="shared" si="65"/>
        <v>1961</v>
      </c>
      <c r="II56" s="3">
        <v>1711</v>
      </c>
      <c r="IJ56" s="4">
        <f>Iareva!C56 + 'United Mihili'!C56 + 'Mesjan Hyaa'!C56 + Desaki!C56 + 'Far Lands'!C56</f>
        <v>21933635.951791983</v>
      </c>
      <c r="IK56" s="6">
        <f t="shared" si="66"/>
        <v>1.6999856056341467E-2</v>
      </c>
      <c r="IL56" s="5">
        <f t="shared" si="67"/>
        <v>7.0429880106925415E-3</v>
      </c>
      <c r="IS56" s="3">
        <f t="shared" si="68"/>
        <v>1961</v>
      </c>
      <c r="IT56" s="3">
        <v>1711</v>
      </c>
      <c r="IU56" s="4">
        <f>Verste!C56 + Quidic!C56 + Erkizil!C56 + Ashain!C56 + Ahokini!C56</f>
        <v>147017920.89156657</v>
      </c>
      <c r="IV56" s="6">
        <f t="shared" si="69"/>
        <v>2.3276097266358858E-2</v>
      </c>
      <c r="IW56" s="5">
        <f t="shared" si="70"/>
        <v>4.7208107970427571E-2</v>
      </c>
    </row>
    <row r="57" spans="1:257" ht="22.5" customHeight="1">
      <c r="A57" s="3">
        <f t="shared" si="0"/>
        <v>1960</v>
      </c>
      <c r="B57" s="3">
        <v>1710</v>
      </c>
      <c r="C57" s="4">
        <f>Acetoa!C57 + Acrana!C57 + Aetintio!C57 + Ahokini!C57 + Amcha!C57 + Andsaudare!C57 + Anymna!C57 + Aplasia!C57 + Arbiya!C57 + 'Areoix Lie'!C57 + Ashain!C57 + Astye!C57 + Baluyde!C57 + Byllu!C57 + 'Candenat'!C57 + 'Canldives'!C57 + 'Chaenia'!C57 + 'Cloja'!C57 + 'Crila Republic'!C57 + 'Cruthi Anoso'!C57 + 'Curata'!C57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'Raledria'!C57 + 'Reerica'!C57 + 'Rethern'!C57 + 'Rijan bu'!C57 + 'Rinew'!C57 + 'Rkmepuia'!C57 + 'Rtesania'!C57 + 'Ruylku'!C57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3053414536.8608627</v>
      </c>
      <c r="D57" s="5">
        <f t="shared" si="1"/>
        <v>2.0248379910842478E-2</v>
      </c>
      <c r="K57" s="3">
        <f t="shared" si="2"/>
        <v>1960</v>
      </c>
      <c r="L57" s="3">
        <v>1710</v>
      </c>
      <c r="M57" s="4">
        <f>Eldavpir!C57 + Iquir!C57 + Viussi!C57 + Umendel!C57 + 'Reerica'!C57 + Saa!C57 + Sattle!C57</f>
        <v>23242097.722267296</v>
      </c>
      <c r="N57" s="5">
        <f t="shared" si="3"/>
        <v>2.6887207541445159E-2</v>
      </c>
      <c r="O57" s="5">
        <f t="shared" si="4"/>
        <v>7.6118383015762745E-3</v>
      </c>
      <c r="V57" s="3">
        <f t="shared" si="5"/>
        <v>1960</v>
      </c>
      <c r="W57" s="3">
        <v>1710</v>
      </c>
      <c r="X57" s="4">
        <f>'Areoix Lie'!C57 + Jau!C57 + Terressin!C57 + Acetoa!C57 + 'Feio Lie'!C57</f>
        <v>333025600.99705815</v>
      </c>
      <c r="Y57" s="5">
        <f t="shared" si="6"/>
        <v>2.5401626818183299E-2</v>
      </c>
      <c r="Z57" s="5">
        <f t="shared" si="7"/>
        <v>0.10906661934590553</v>
      </c>
      <c r="AG57" s="3">
        <f t="shared" si="8"/>
        <v>1960</v>
      </c>
      <c r="AH57" s="3">
        <v>1710</v>
      </c>
      <c r="AI57" s="4">
        <f>Taniduna!C57 + Jathua!C57 + Deschon!C57 + Pelines!C57 + 'Candenat'!C57 + Othya!C57 + Yoprioq!C57 + Jshain!C57 + 'Fire Coast'!C57 + 'Rijan bu'!C57 + 'Rinew'!C57 + Enina!C57 + Trevilla!C57</f>
        <v>60273200.107947975</v>
      </c>
      <c r="AJ57" s="5">
        <f t="shared" si="9"/>
        <v>2.357268890192887E-2</v>
      </c>
      <c r="AK57" s="5">
        <f t="shared" si="10"/>
        <v>1.9739606064073208E-2</v>
      </c>
      <c r="AR57" s="3">
        <f t="shared" si="11"/>
        <v>1960</v>
      </c>
      <c r="AS57" s="3">
        <v>1710</v>
      </c>
      <c r="AT57" s="4">
        <f>Gaeiya!C57 + 'Raledria'!C57 + Arbiya!C57 + Fincen!C57 + 'Curata'!C57</f>
        <v>147192121.48096725</v>
      </c>
      <c r="AU57" s="5">
        <f t="shared" si="12"/>
        <v>1.8555099340899148E-2</v>
      </c>
      <c r="AV57" s="5">
        <f t="shared" si="13"/>
        <v>4.8205744652113858E-2</v>
      </c>
      <c r="BC57" s="3">
        <f t="shared" si="14"/>
        <v>1960</v>
      </c>
      <c r="BD57" s="3">
        <v>1710</v>
      </c>
      <c r="BE57" s="4">
        <f>Etirha!C57 + Laselteh!C57 + Grazail!C57 + 'Disal Nila'!C57 + Pelan!C57 + Peka!C57 + Guise!C57</f>
        <v>58304851.135464266</v>
      </c>
      <c r="BF57" s="5">
        <f t="shared" si="15"/>
        <v>2.2995053947112813E-2</v>
      </c>
      <c r="BG57" s="5">
        <f t="shared" si="16"/>
        <v>1.9094967431250259E-2</v>
      </c>
      <c r="BN57" s="3">
        <f t="shared" si="17"/>
        <v>1960</v>
      </c>
      <c r="BO57" s="3">
        <v>1710</v>
      </c>
      <c r="BP57" s="4">
        <f>Genaire!C57 + 'New Misos'!C57 + Phuris!C57 + Lasri!C57 + Slyiaduun!C57 + Aetintio!C57 + Metndria!C57 + Tomscilus!C57</f>
        <v>41120273.686496168</v>
      </c>
      <c r="BQ57" s="5">
        <f t="shared" si="18"/>
        <v>2.4740120955626357E-2</v>
      </c>
      <c r="BR57" s="5">
        <f t="shared" si="19"/>
        <v>1.3466980388706366E-2</v>
      </c>
      <c r="BY57" s="3">
        <f t="shared" si="20"/>
        <v>1960</v>
      </c>
      <c r="BZ57" s="3">
        <v>1710</v>
      </c>
      <c r="CA57" s="4">
        <f>Ealdorii!C57 + Ukhdari!C57 + Hkuqo!C57 + Acrana!C57 + Zenashan!C57</f>
        <v>142477583.56954691</v>
      </c>
      <c r="CB57" s="7">
        <f t="shared" si="21"/>
        <v>2.0590694874475807E-2</v>
      </c>
      <c r="CC57" s="5">
        <f t="shared" si="22"/>
        <v>4.6661723080687389E-2</v>
      </c>
      <c r="CJ57" s="3">
        <f t="shared" si="23"/>
        <v>1960</v>
      </c>
      <c r="CK57" s="3">
        <v>1710</v>
      </c>
      <c r="CL57" s="4">
        <f>Estijan!C57 + Ikzen!C57 + Urbiqu!C57 + Danocia!C57 + Koruch!C57 + 'New Kizura'!C57 + Lydroa!C57 + Fermori!C57 + Uularin!C57 + 'Niul Spijan'!C57</f>
        <v>175148862.22580144</v>
      </c>
      <c r="CM57" s="7">
        <f t="shared" si="24"/>
        <v>2.2185471602833011E-2</v>
      </c>
      <c r="CN57" s="5">
        <f t="shared" si="25"/>
        <v>5.7361638949249089E-2</v>
      </c>
      <c r="CU57" s="3">
        <f t="shared" si="26"/>
        <v>1960</v>
      </c>
      <c r="CV57" s="3">
        <v>1710</v>
      </c>
      <c r="CW57" s="4">
        <f>Praesyu!C57 + Lycroa!C57 + Emara!C57 + Eldjo!C57 + Easuhura!C57 + Ilicuhe!C57 + Tonder!C57</f>
        <v>192771508.90329814</v>
      </c>
      <c r="CX57" s="7">
        <f t="shared" si="27"/>
        <v>6.7195493071248117E-3</v>
      </c>
      <c r="CY57" s="5">
        <f t="shared" si="28"/>
        <v>6.3133094630996811E-2</v>
      </c>
      <c r="DF57" s="3">
        <f t="shared" si="29"/>
        <v>1960</v>
      </c>
      <c r="DG57" s="3">
        <v>1710</v>
      </c>
      <c r="DH57" s="4">
        <f>Verusa!C57 + Darewa!C57 + Siana!C57 + Yaxuto!C57 + 'Merela Sta'!C57 + Palina!C57</f>
        <v>128119024.07414575</v>
      </c>
      <c r="DI57" s="7">
        <f t="shared" si="30"/>
        <v>9.4528164491322602E-3</v>
      </c>
      <c r="DJ57" s="5">
        <f t="shared" si="31"/>
        <v>4.1959263155228715E-2</v>
      </c>
      <c r="DQ57" s="3">
        <f t="shared" si="32"/>
        <v>1960</v>
      </c>
      <c r="DR57" s="3">
        <v>1710</v>
      </c>
      <c r="DS57" s="4">
        <f>Sunsokua!C57 + Vayvele!C57 + Selaja!C57 + Sadain!C57</f>
        <v>69171382.146318868</v>
      </c>
      <c r="DT57" s="7">
        <f t="shared" si="33"/>
        <v>2.5056999397713761E-2</v>
      </c>
      <c r="DU57" s="5">
        <f t="shared" si="34"/>
        <v>2.2653780320778912E-2</v>
      </c>
      <c r="EB57" s="3">
        <f t="shared" si="35"/>
        <v>1960</v>
      </c>
      <c r="EC57" s="3">
        <v>1710</v>
      </c>
      <c r="ED57" s="4">
        <f>Pelugrotoa!C57 + Lieri!C57 + 'Rtesania'!C57 + Ozinia!C57</f>
        <v>183234565.83988664</v>
      </c>
      <c r="EE57" s="7">
        <f t="shared" si="36"/>
        <v>3.4922389790511342E-2</v>
      </c>
      <c r="EF57" s="5">
        <f t="shared" si="37"/>
        <v>6.0009724728783596E-2</v>
      </c>
      <c r="EM57" s="3">
        <f t="shared" si="38"/>
        <v>1960</v>
      </c>
      <c r="EN57" s="3">
        <v>1710</v>
      </c>
      <c r="EO57" s="4">
        <f>Ocaun!C57 + 'Dual Cenryia'!C57 + Byllu!C57 + Exilium!C57 + Inrea!C57 + Amcha!C57 + Isnti!C57 + Galca!C57 + Otiiric!C57 + Taing!C57 + 'Cruthi Anoso'!C57</f>
        <v>82254270.582269162</v>
      </c>
      <c r="EP57" s="7">
        <f t="shared" si="39"/>
        <v>2.3639810637070418E-2</v>
      </c>
      <c r="EQ57" s="5">
        <f t="shared" si="40"/>
        <v>2.6938455158739327E-2</v>
      </c>
      <c r="EX57" s="3">
        <f t="shared" si="41"/>
        <v>1960</v>
      </c>
      <c r="EY57" s="3">
        <v>1710</v>
      </c>
      <c r="EZ57" s="4">
        <f>Sivoso!C57 + Taoisia!C57 + Seytinemas!C57 + Trian!C57 + 'Chaenia'!C57</f>
        <v>53167078.362773255</v>
      </c>
      <c r="FA57" s="7">
        <f t="shared" si="42"/>
        <v>2.5463780153622492E-2</v>
      </c>
      <c r="FB57" s="5">
        <f t="shared" si="43"/>
        <v>1.7412335508637803E-2</v>
      </c>
      <c r="FI57" s="3">
        <f t="shared" si="44"/>
        <v>1960</v>
      </c>
      <c r="FJ57" s="3">
        <v>1710</v>
      </c>
      <c r="FK57" s="4">
        <f>Migoku!C57 + 'Welenu Fana'!C57 + Haiza!C57 + Ucrua!C57 + Ihner!C57 + Oscairia!C57 + Shinam!C57 + 'Ruylku'!C57 + Taval!C57 + 'Western Migoku'!C57 + 'Pruim Fijan'!C57 + 'Canldives'!C57</f>
        <v>63813752.823691547</v>
      </c>
      <c r="FL57" s="7">
        <f t="shared" si="45"/>
        <v>1.8323045603010554E-2</v>
      </c>
      <c r="FM57" s="5">
        <f t="shared" si="46"/>
        <v>2.0899144892817873E-2</v>
      </c>
      <c r="FT57" s="3">
        <f t="shared" si="47"/>
        <v>1960</v>
      </c>
      <c r="FU57" s="3">
        <v>1710</v>
      </c>
      <c r="FV57" s="4">
        <f>Vesozata!C57 + Etretes!C57 + Kusierna!C57 + Eparia!C57</f>
        <v>40466220.330130257</v>
      </c>
      <c r="FW57" s="7">
        <f t="shared" si="48"/>
        <v>2.4930571728807114E-2</v>
      </c>
      <c r="FX57" s="5">
        <f t="shared" si="49"/>
        <v>1.3252776470938185E-2</v>
      </c>
      <c r="GE57" s="3">
        <f t="shared" si="50"/>
        <v>1960</v>
      </c>
      <c r="GF57" s="3">
        <v>1710</v>
      </c>
      <c r="GG57" s="4">
        <f>Dahe!C57 + Kaastini!C57 + Suenan!C57 + Oyreain!C57 + Sanagara!C57 + 'North Ayre'!C57 + Stinebar!C57 + 'Cloja'!C57 + 'Pha Hii'!C57 + 'Prystr Hii'!C57</f>
        <v>643172956.78080595</v>
      </c>
      <c r="GH57" s="7">
        <f t="shared" si="51"/>
        <v>1.3974020545081374E-2</v>
      </c>
      <c r="GI57" s="5">
        <f t="shared" si="52"/>
        <v>0.21064056288997549</v>
      </c>
      <c r="GP57" s="3">
        <f t="shared" si="53"/>
        <v>1960</v>
      </c>
      <c r="GQ57" s="3">
        <v>1710</v>
      </c>
      <c r="GR57" s="4">
        <f>Maalle!C57 + 'United Delet'!C57 + Ohtina!C57 + Astye!C57 + Prstreula!C57 + Veelmit!C57 + Aplasia!C57 + 'Elja and Munusia'!C57 + Walporein!C57 + 'Crila Republic'!C57 + 'Niretui and Anulan'!C57 + 'Rethern'!C57 + Tvecoca!C57</f>
        <v>72844820.979132593</v>
      </c>
      <c r="GS57" s="7">
        <f t="shared" si="54"/>
        <v>2.0177391309891799E-2</v>
      </c>
      <c r="GT57" s="5">
        <f t="shared" si="55"/>
        <v>2.3856839646156425E-2</v>
      </c>
      <c r="HA57" s="3">
        <f t="shared" si="56"/>
        <v>1960</v>
      </c>
      <c r="HB57" s="3">
        <v>1710</v>
      </c>
      <c r="HC57" s="4">
        <f>Andsaudare!C57 + Nia!C57 + Umarcia!C57 + Mendereide!C57 + Iainoa!C57 + Isari!C57 + 'Rkmepuia'!C57 + Hiwush!C57 + Isuibul!C57 + Yutnitu!C57</f>
        <v>23438617.855818249</v>
      </c>
      <c r="HD57" s="7">
        <f t="shared" si="57"/>
        <v>2.5106790582513736E-2</v>
      </c>
      <c r="HE57" s="5">
        <f t="shared" si="58"/>
        <v>7.6761990790529516E-3</v>
      </c>
      <c r="HL57" s="3">
        <f t="shared" si="59"/>
        <v>1960</v>
      </c>
      <c r="HM57" s="3">
        <v>1710</v>
      </c>
      <c r="HN57" s="4">
        <f>Zhanshe!C57 + Volver!C57 + Finae!C57 + Myla!C57 + 'Nheyes Si'!C57 + Onphello!C57 + Hyelen!C57</f>
        <v>43155621.495775841</v>
      </c>
      <c r="HO57" s="7">
        <f t="shared" si="60"/>
        <v>2.8277990437675801E-2</v>
      </c>
      <c r="HP57" s="5">
        <f t="shared" si="61"/>
        <v>1.4133561288452837E-2</v>
      </c>
      <c r="HW57" s="3">
        <f t="shared" si="62"/>
        <v>1960</v>
      </c>
      <c r="HX57" s="3">
        <v>1710</v>
      </c>
      <c r="HY57" s="4">
        <f>Yihnurda!C57 + Ztesh!C57 + Wundry!C57 + Anymna!C57 + Shomjind!C57 + Baluyde!C57 + Letan!C57</f>
        <v>181725924.16008306</v>
      </c>
      <c r="HZ57" s="7">
        <f t="shared" si="63"/>
        <v>1.9823695177194275E-2</v>
      </c>
      <c r="IA57" s="5">
        <f t="shared" si="64"/>
        <v>5.9515641248931377E-2</v>
      </c>
      <c r="IH57" s="3">
        <f t="shared" si="65"/>
        <v>1960</v>
      </c>
      <c r="II57" s="3">
        <v>1710</v>
      </c>
      <c r="IJ57" s="4">
        <f>Iareva!C57 + 'United Mihili'!C57 + 'Mesjan Hyaa'!C57 + Desaki!C57 + 'Far Lands'!C57</f>
        <v>21567000.055285029</v>
      </c>
      <c r="IK57" s="7">
        <f t="shared" si="66"/>
        <v>1.7297845029925134E-2</v>
      </c>
      <c r="IL57" s="5">
        <f t="shared" si="67"/>
        <v>7.0632401185387389E-3</v>
      </c>
      <c r="IS57" s="3">
        <f t="shared" si="68"/>
        <v>1960</v>
      </c>
      <c r="IT57" s="3">
        <v>1710</v>
      </c>
      <c r="IU57" s="4">
        <f>Verste!C57 + Quidic!C57 + Erkizil!C57 + Ashain!C57 + Ahokini!C57</f>
        <v>143673756.55926985</v>
      </c>
      <c r="IV57" s="7">
        <f t="shared" si="69"/>
        <v>2.2950365542557808E-2</v>
      </c>
      <c r="IW57" s="5">
        <f t="shared" si="70"/>
        <v>4.7053472374889903E-2</v>
      </c>
    </row>
    <row r="58" spans="1:257" ht="22.5" customHeight="1">
      <c r="A58" s="3">
        <f t="shared" si="0"/>
        <v>1959</v>
      </c>
      <c r="B58" s="3">
        <v>1709</v>
      </c>
      <c r="C58" s="4">
        <f>Acetoa!C58 + Acrana!C58 + Aetintio!C58 + Ahokini!C58 + Amcha!C58 + Andsaudare!C58 + Anymna!C58 + Aplasia!C58 + Arbiya!C58 + 'Areoix Lie'!C58 + Ashain!C58 + Astye!C58 + Baluyde!C58 + Byllu!C58 + 'Candenat'!C58 + 'Canldives'!C58 + 'Chaenia'!C58 + 'Cloja'!C58 + 'Crila Republic'!C58 + 'Cruthi Anoso'!C58 + 'Curata'!C58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'Raledria'!C58 + 'Reerica'!C58 + 'Rethern'!C58 + 'Rijan bu'!C58 + 'Rinew'!C58 + 'Rkmepuia'!C58 + 'Rtesania'!C58 + 'Ruylku'!C58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2992814884.085084</v>
      </c>
      <c r="D58" s="5">
        <f t="shared" si="1"/>
        <v>2.0242958238365395E-2</v>
      </c>
      <c r="K58" s="3">
        <f t="shared" si="2"/>
        <v>1959</v>
      </c>
      <c r="L58" s="3">
        <v>1709</v>
      </c>
      <c r="M58" s="4">
        <f>Eldavpir!C58 + Iquir!C58 + Viussi!C58 + Umendel!C58 + 'Reerica'!C58 + Saa!C58 + Sattle!C58</f>
        <v>22633544.903060101</v>
      </c>
      <c r="N58" s="5">
        <f t="shared" si="3"/>
        <v>2.6570552907063127E-2</v>
      </c>
      <c r="O58" s="5">
        <f t="shared" si="4"/>
        <v>7.5626277533631251E-3</v>
      </c>
      <c r="V58" s="3">
        <f t="shared" si="5"/>
        <v>1959</v>
      </c>
      <c r="W58" s="3">
        <v>1709</v>
      </c>
      <c r="X58" s="4">
        <f>'Areoix Lie'!C58 + Jau!C58 + Terressin!C58 + Acetoa!C58 + 'Feio Lie'!C58</f>
        <v>324775768.13529652</v>
      </c>
      <c r="Y58" s="5">
        <f t="shared" si="6"/>
        <v>2.5577682643020554E-2</v>
      </c>
      <c r="Z58" s="5">
        <f t="shared" si="7"/>
        <v>0.10851849536780883</v>
      </c>
      <c r="AG58" s="3">
        <f t="shared" si="8"/>
        <v>1959</v>
      </c>
      <c r="AH58" s="3">
        <v>1709</v>
      </c>
      <c r="AI58" s="4">
        <f>Taniduna!C58 + Jathua!C58 + Deschon!C58 + Pelines!C58 + 'Candenat'!C58 + Othya!C58 + Yoprioq!C58 + Jshain!C58 + 'Fire Coast'!C58 + 'Rijan bu'!C58 + 'Rinew'!C58 + Enina!C58 + Trevilla!C58</f>
        <v>58885119.504905924</v>
      </c>
      <c r="AJ58" s="5">
        <f t="shared" si="9"/>
        <v>2.3501655473482926E-2</v>
      </c>
      <c r="AK58" s="5">
        <f t="shared" si="10"/>
        <v>1.967549674322986E-2</v>
      </c>
      <c r="AR58" s="3">
        <f t="shared" si="11"/>
        <v>1959</v>
      </c>
      <c r="AS58" s="3">
        <v>1709</v>
      </c>
      <c r="AT58" s="4">
        <f>Gaeiya!C58 + 'Raledria'!C58 + Arbiya!C58 + Fincen!C58 + 'Curata'!C58</f>
        <v>144510710.8846781</v>
      </c>
      <c r="AU58" s="5">
        <f t="shared" si="12"/>
        <v>1.9305946291880614E-2</v>
      </c>
      <c r="AV58" s="5">
        <f t="shared" si="13"/>
        <v>4.8285883518270331E-2</v>
      </c>
      <c r="BC58" s="3">
        <f t="shared" si="14"/>
        <v>1959</v>
      </c>
      <c r="BD58" s="3">
        <v>1709</v>
      </c>
      <c r="BE58" s="4">
        <f>Etirha!C58 + Laselteh!C58 + Grazail!C58 + 'Disal Nila'!C58 + Pelan!C58 + Peka!C58 + Guise!C58</f>
        <v>56994264.938526802</v>
      </c>
      <c r="BF58" s="5">
        <f t="shared" si="15"/>
        <v>1.9564664579013992E-2</v>
      </c>
      <c r="BG58" s="5">
        <f t="shared" si="16"/>
        <v>1.9043698707061928E-2</v>
      </c>
      <c r="BN58" s="3">
        <f t="shared" si="17"/>
        <v>1959</v>
      </c>
      <c r="BO58" s="3">
        <v>1709</v>
      </c>
      <c r="BP58" s="4">
        <f>Genaire!C58 + 'New Misos'!C58 + Phuris!C58 + Lasri!C58 + Slyiaduun!C58 + Aetintio!C58 + Metndria!C58 + Tomscilus!C58</f>
        <v>40127514.133192383</v>
      </c>
      <c r="BQ58" s="5">
        <f t="shared" si="18"/>
        <v>2.5023784629408009E-2</v>
      </c>
      <c r="BR58" s="5">
        <f t="shared" si="19"/>
        <v>1.3407950604154902E-2</v>
      </c>
      <c r="BY58" s="3">
        <f t="shared" si="20"/>
        <v>1959</v>
      </c>
      <c r="BZ58" s="3">
        <v>1709</v>
      </c>
      <c r="CA58" s="4">
        <f>Ealdorii!C58 + Ukhdari!C58 + Hkuqo!C58 + Acrana!C58 + Zenashan!C58</f>
        <v>139603059.56647044</v>
      </c>
      <c r="CB58" s="6">
        <f t="shared" si="21"/>
        <v>2.0170557544732803E-2</v>
      </c>
      <c r="CC58" s="5">
        <f t="shared" si="22"/>
        <v>4.6646072334389534E-2</v>
      </c>
      <c r="CJ58" s="3">
        <f t="shared" si="23"/>
        <v>1959</v>
      </c>
      <c r="CK58" s="3">
        <v>1709</v>
      </c>
      <c r="CL58" s="4">
        <f>Estijan!C58 + Ikzen!C58 + Urbiqu!C58 + Danocia!C58 + Koruch!C58 + 'New Kizura'!C58 + Lydroa!C58 + Fermori!C58 + Uularin!C58 + 'Niul Spijan'!C58</f>
        <v>171347438.49485564</v>
      </c>
      <c r="CM58" s="6">
        <f t="shared" si="24"/>
        <v>2.2996393715928768E-2</v>
      </c>
      <c r="CN58" s="5">
        <f t="shared" si="25"/>
        <v>5.7252935825076019E-2</v>
      </c>
      <c r="CU58" s="3">
        <f t="shared" si="26"/>
        <v>1959</v>
      </c>
      <c r="CV58" s="3">
        <v>1709</v>
      </c>
      <c r="CW58" s="4">
        <f>Praesyu!C58 + Lycroa!C58 + Emara!C58 + Eldjo!C58 + Easuhura!C58 + Ilicuhe!C58 + Tonder!C58</f>
        <v>191484817.23233965</v>
      </c>
      <c r="CX58" s="6">
        <f t="shared" si="27"/>
        <v>6.5051983782039146E-3</v>
      </c>
      <c r="CY58" s="5">
        <f t="shared" si="28"/>
        <v>6.3981510600805952E-2</v>
      </c>
      <c r="DF58" s="3">
        <f t="shared" si="29"/>
        <v>1959</v>
      </c>
      <c r="DG58" s="3">
        <v>1709</v>
      </c>
      <c r="DH58" s="4">
        <f>Verusa!C58 + Darewa!C58 + Siana!C58 + Yaxuto!C58 + 'Merela Sta'!C58 + Palina!C58</f>
        <v>126919279.42191426</v>
      </c>
      <c r="DI58" s="6">
        <f t="shared" si="30"/>
        <v>8.9700613663511002E-3</v>
      </c>
      <c r="DJ58" s="5">
        <f t="shared" si="31"/>
        <v>4.2407995261195056E-2</v>
      </c>
      <c r="DQ58" s="3">
        <f t="shared" si="32"/>
        <v>1959</v>
      </c>
      <c r="DR58" s="3">
        <v>1709</v>
      </c>
      <c r="DS58" s="4">
        <f>Sunsokua!C58 + Vayvele!C58 + Selaja!C58 + Sadain!C58</f>
        <v>67480522.72894235</v>
      </c>
      <c r="DT58" s="6">
        <f t="shared" si="33"/>
        <v>2.5011185447577401E-2</v>
      </c>
      <c r="DU58" s="5">
        <f t="shared" si="34"/>
        <v>2.2547509733322989E-2</v>
      </c>
      <c r="EB58" s="3">
        <f t="shared" si="35"/>
        <v>1959</v>
      </c>
      <c r="EC58" s="3">
        <v>1709</v>
      </c>
      <c r="ED58" s="4">
        <f>Pelugrotoa!C58 + Lieri!C58 + 'Rtesania'!C58 + Ozinia!C58</f>
        <v>177051504.19731176</v>
      </c>
      <c r="EE58" s="6">
        <f t="shared" si="36"/>
        <v>3.5736080869898393E-2</v>
      </c>
      <c r="EF58" s="5">
        <f t="shared" si="37"/>
        <v>5.9158855811236435E-2</v>
      </c>
      <c r="EM58" s="3">
        <f t="shared" si="38"/>
        <v>1959</v>
      </c>
      <c r="EN58" s="3">
        <v>1709</v>
      </c>
      <c r="EO58" s="4">
        <f>Ocaun!C58 + 'Dual Cenryia'!C58 + Byllu!C58 + Exilium!C58 + Inrea!C58 + Amcha!C58 + Isnti!C58 + Galca!C58 + Otiiric!C58 + Taing!C58 + 'Cruthi Anoso'!C58</f>
        <v>80354700.674524918</v>
      </c>
      <c r="EP58" s="6">
        <f t="shared" si="39"/>
        <v>2.3632706728197478E-2</v>
      </c>
      <c r="EQ58" s="5">
        <f t="shared" si="40"/>
        <v>2.6849205108484243E-2</v>
      </c>
      <c r="EX58" s="3">
        <f t="shared" si="41"/>
        <v>1959</v>
      </c>
      <c r="EY58" s="3">
        <v>1709</v>
      </c>
      <c r="EZ58" s="4">
        <f>Sivoso!C58 + Taoisia!C58 + Seytinemas!C58 + Trian!C58 + 'Chaenia'!C58</f>
        <v>51846861.285347797</v>
      </c>
      <c r="FA58" s="6">
        <f t="shared" si="42"/>
        <v>2.5934467597732984E-2</v>
      </c>
      <c r="FB58" s="5">
        <f t="shared" si="43"/>
        <v>1.7323778213298214E-2</v>
      </c>
      <c r="FI58" s="3">
        <f t="shared" si="44"/>
        <v>1959</v>
      </c>
      <c r="FJ58" s="3">
        <v>1709</v>
      </c>
      <c r="FK58" s="4">
        <f>Migoku!C58 + 'Welenu Fana'!C58 + Haiza!C58 + Ucrua!C58 + Ihner!C58 + Oscairia!C58 + Shinam!C58 + 'Ruylku'!C58 + Taval!C58 + 'Western Migoku'!C58 + 'Pruim Fijan'!C58 + 'Canldives'!C58</f>
        <v>62665529.469485365</v>
      </c>
      <c r="FL58" s="6">
        <f t="shared" si="45"/>
        <v>1.8229029190388452E-2</v>
      </c>
      <c r="FM58" s="5">
        <f t="shared" si="46"/>
        <v>2.0938658719830069E-2</v>
      </c>
      <c r="FT58" s="3">
        <f t="shared" si="47"/>
        <v>1959</v>
      </c>
      <c r="FU58" s="3">
        <v>1709</v>
      </c>
      <c r="FV58" s="4">
        <f>Vesozata!C58 + Etretes!C58 + Kusierna!C58 + Eparia!C58</f>
        <v>39481913.649891078</v>
      </c>
      <c r="FW58" s="6">
        <f t="shared" si="48"/>
        <v>2.3536535536462486E-2</v>
      </c>
      <c r="FX58" s="5">
        <f t="shared" si="49"/>
        <v>1.3192233792956715E-2</v>
      </c>
      <c r="GE58" s="3">
        <f t="shared" si="50"/>
        <v>1959</v>
      </c>
      <c r="GF58" s="3">
        <v>1709</v>
      </c>
      <c r="GG58" s="4">
        <f>Dahe!C58 + Kaastini!C58 + Suenan!C58 + Oyreain!C58 + Sanagara!C58 + 'North Ayre'!C58 + Stinebar!C58 + 'Cloja'!C58 + 'Pha Hii'!C58 + 'Prystr Hii'!C58</f>
        <v>634309108.26990998</v>
      </c>
      <c r="GH58" s="6">
        <f t="shared" si="51"/>
        <v>1.4139909196441539E-2</v>
      </c>
      <c r="GI58" s="5">
        <f t="shared" si="52"/>
        <v>0.21194398345282919</v>
      </c>
      <c r="GP58" s="3">
        <f t="shared" si="53"/>
        <v>1959</v>
      </c>
      <c r="GQ58" s="3">
        <v>1709</v>
      </c>
      <c r="GR58" s="4">
        <f>Maalle!C58 + 'United Delet'!C58 + Ohtina!C58 + Astye!C58 + Prstreula!C58 + Veelmit!C58 + Aplasia!C58 + 'Elja and Munusia'!C58 + Walporein!C58 + 'Crila Republic'!C58 + 'Niretui and Anulan'!C58 + 'Rethern'!C58 + Tvecoca!C58</f>
        <v>71404073.055962339</v>
      </c>
      <c r="GS58" s="6">
        <f t="shared" si="54"/>
        <v>2.0034525091292766E-2</v>
      </c>
      <c r="GT58" s="5">
        <f t="shared" si="55"/>
        <v>2.3858499713987777E-2</v>
      </c>
      <c r="HA58" s="3">
        <f t="shared" si="56"/>
        <v>1959</v>
      </c>
      <c r="HB58" s="3">
        <v>1709</v>
      </c>
      <c r="HC58" s="4">
        <f>Andsaudare!C58 + Nia!C58 + Umarcia!C58 + Mendereide!C58 + Iainoa!C58 + Isari!C58 + 'Rkmepuia'!C58 + Hiwush!C58 + Isuibul!C58 + Yutnitu!C58</f>
        <v>22864562.083818924</v>
      </c>
      <c r="HD58" s="6">
        <f t="shared" si="57"/>
        <v>2.506192618223254E-2</v>
      </c>
      <c r="HE58" s="5">
        <f t="shared" si="58"/>
        <v>7.6398183547555822E-3</v>
      </c>
      <c r="HL58" s="3">
        <f t="shared" si="59"/>
        <v>1959</v>
      </c>
      <c r="HM58" s="3">
        <v>1709</v>
      </c>
      <c r="HN58" s="4">
        <f>Zhanshe!C58 + Volver!C58 + Finae!C58 + Myla!C58 + 'Nheyes Si'!C58 + Onphello!C58 + Hyelen!C58</f>
        <v>41968827.395991527</v>
      </c>
      <c r="HO58" s="6">
        <f t="shared" si="60"/>
        <v>3.0367607569834826E-2</v>
      </c>
      <c r="HP58" s="5">
        <f t="shared" si="61"/>
        <v>1.4023195226396895E-2</v>
      </c>
      <c r="HW58" s="3">
        <f t="shared" si="62"/>
        <v>1959</v>
      </c>
      <c r="HX58" s="3">
        <v>1709</v>
      </c>
      <c r="HY58" s="4">
        <f>Yihnurda!C58 + Ztesh!C58 + Wundry!C58 + Anymna!C58 + Shomjind!C58 + Baluyde!C58 + Letan!C58</f>
        <v>178193471.10630548</v>
      </c>
      <c r="HZ58" s="6">
        <f t="shared" si="63"/>
        <v>1.952010824051827E-2</v>
      </c>
      <c r="IA58" s="5">
        <f t="shared" si="64"/>
        <v>5.9540425321287442E-2</v>
      </c>
      <c r="IH58" s="3">
        <f t="shared" si="65"/>
        <v>1959</v>
      </c>
      <c r="II58" s="3">
        <v>1709</v>
      </c>
      <c r="IJ58" s="4">
        <f>Iareva!C58 + 'United Mihili'!C58 + 'Mesjan Hyaa'!C58 + Desaki!C58 + 'Far Lands'!C58</f>
        <v>21200280.881997354</v>
      </c>
      <c r="IK58" s="6">
        <f t="shared" si="66"/>
        <v>1.7423330558702519E-2</v>
      </c>
      <c r="IL58" s="5">
        <f t="shared" si="67"/>
        <v>7.0837260916918922E-3</v>
      </c>
      <c r="IS58" s="3">
        <f t="shared" si="68"/>
        <v>1959</v>
      </c>
      <c r="IT58" s="3">
        <v>1709</v>
      </c>
      <c r="IU58" s="4">
        <f>Verste!C58 + Quidic!C58 + Erkizil!C58 + Ashain!C58 + Ahokini!C58</f>
        <v>140450369.24452087</v>
      </c>
      <c r="IV58" s="6">
        <f t="shared" si="69"/>
        <v>2.2416740275191426E-2</v>
      </c>
      <c r="IW58" s="5">
        <f t="shared" si="70"/>
        <v>4.6929186964217183E-2</v>
      </c>
    </row>
    <row r="59" spans="1:257" ht="22.5" customHeight="1">
      <c r="A59" s="3">
        <f t="shared" si="0"/>
        <v>1958</v>
      </c>
      <c r="B59" s="3">
        <v>1708</v>
      </c>
      <c r="C59" s="4">
        <f>Acetoa!C59 + Acrana!C59 + Aetintio!C59 + Ahokini!C59 + Amcha!C59 + Andsaudare!C59 + Anymna!C59 + Aplasia!C59 + Arbiya!C59 + 'Areoix Lie'!C59 + Ashain!C59 + Astye!C59 + Baluyde!C59 + Byllu!C59 + 'Candenat'!C59 + 'Canldives'!C59 + 'Chaenia'!C59 + 'Cloja'!C59 + 'Crila Republic'!C59 + 'Cruthi Anoso'!C59 + 'Curata'!C59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'Raledria'!C59 + 'Reerica'!C59 + 'Rethern'!C59 + 'Rijan bu'!C59 + 'Rinew'!C59 + 'Rkmepuia'!C59 + 'Rtesania'!C59 + 'Ruylku'!C59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2933433512.0065145</v>
      </c>
      <c r="D59" s="5">
        <f t="shared" si="1"/>
        <v>2.0295851289352688E-2</v>
      </c>
      <c r="K59" s="3">
        <f t="shared" si="2"/>
        <v>1958</v>
      </c>
      <c r="L59" s="3">
        <v>1708</v>
      </c>
      <c r="M59" s="4">
        <f>Eldavpir!C59 + Iquir!C59 + Viussi!C59 + Umendel!C59 + 'Reerica'!C59 + Saa!C59 + Sattle!C59</f>
        <v>22047724.668281175</v>
      </c>
      <c r="N59" s="5">
        <f t="shared" si="3"/>
        <v>2.5939617116992889E-2</v>
      </c>
      <c r="O59" s="5">
        <f t="shared" si="4"/>
        <v>7.516013087748556E-3</v>
      </c>
      <c r="V59" s="3">
        <f t="shared" si="5"/>
        <v>1958</v>
      </c>
      <c r="W59" s="3">
        <v>1708</v>
      </c>
      <c r="X59" s="4">
        <f>'Areoix Lie'!C59 + Jau!C59 + Terressin!C59 + Acetoa!C59 + 'Feio Lie'!C59</f>
        <v>316675931.6547485</v>
      </c>
      <c r="Y59" s="5">
        <f t="shared" si="6"/>
        <v>2.5726154447991721E-2</v>
      </c>
      <c r="Z59" s="5">
        <f t="shared" si="7"/>
        <v>0.10795401714700437</v>
      </c>
      <c r="AG59" s="3">
        <f t="shared" si="8"/>
        <v>1958</v>
      </c>
      <c r="AH59" s="3">
        <v>1708</v>
      </c>
      <c r="AI59" s="4">
        <f>Taniduna!C59 + Jathua!C59 + Deschon!C59 + Pelines!C59 + 'Candenat'!C59 + Othya!C59 + Yoprioq!C59 + Jshain!C59 + 'Fire Coast'!C59 + 'Rijan bu'!C59 + 'Rinew'!C59 + Enina!C59 + Trevilla!C59</f>
        <v>57532998.789010294</v>
      </c>
      <c r="AJ59" s="5">
        <f t="shared" si="9"/>
        <v>2.3513942528949731E-2</v>
      </c>
      <c r="AK59" s="5">
        <f t="shared" si="10"/>
        <v>1.9612852499819169E-2</v>
      </c>
      <c r="AR59" s="3">
        <f t="shared" si="11"/>
        <v>1958</v>
      </c>
      <c r="AS59" s="3">
        <v>1708</v>
      </c>
      <c r="AT59" s="4">
        <f>Gaeiya!C59 + 'Raledria'!C59 + Arbiya!C59 + Fincen!C59 + 'Curata'!C59</f>
        <v>141773636.66953152</v>
      </c>
      <c r="AU59" s="5">
        <f t="shared" si="12"/>
        <v>1.9252409412533131E-2</v>
      </c>
      <c r="AV59" s="5">
        <f t="shared" si="13"/>
        <v>4.8330271025149682E-2</v>
      </c>
      <c r="BC59" s="3">
        <f t="shared" si="14"/>
        <v>1958</v>
      </c>
      <c r="BD59" s="3">
        <v>1708</v>
      </c>
      <c r="BE59" s="4">
        <f>Etirha!C59 + Laselteh!C59 + Grazail!C59 + 'Disal Nila'!C59 + Pelan!C59 + Peka!C59 + Guise!C59</f>
        <v>55900588.671401404</v>
      </c>
      <c r="BF59" s="5">
        <f t="shared" si="15"/>
        <v>2.0599999534079604E-2</v>
      </c>
      <c r="BG59" s="5">
        <f t="shared" si="16"/>
        <v>1.9056368055591116E-2</v>
      </c>
      <c r="BN59" s="3">
        <f t="shared" si="17"/>
        <v>1958</v>
      </c>
      <c r="BO59" s="3">
        <v>1708</v>
      </c>
      <c r="BP59" s="4">
        <f>Genaire!C59 + 'New Misos'!C59 + Phuris!C59 + Lasri!C59 + Slyiaduun!C59 + Aetintio!C59 + Metndria!C59 + Tomscilus!C59</f>
        <v>39147885.868521847</v>
      </c>
      <c r="BQ59" s="5">
        <f t="shared" si="18"/>
        <v>2.5403621641215735E-2</v>
      </c>
      <c r="BR59" s="5">
        <f t="shared" si="19"/>
        <v>1.3345414412254423E-2</v>
      </c>
      <c r="BY59" s="3">
        <f t="shared" si="20"/>
        <v>1958</v>
      </c>
      <c r="BZ59" s="3">
        <v>1708</v>
      </c>
      <c r="CA59" s="4">
        <f>Ealdorii!C59 + Ukhdari!C59 + Hkuqo!C59 + Acrana!C59 + Zenashan!C59</f>
        <v>136842862.72920504</v>
      </c>
      <c r="CB59" s="7">
        <f t="shared" si="21"/>
        <v>1.9316930519377083E-2</v>
      </c>
      <c r="CC59" s="5">
        <f t="shared" si="22"/>
        <v>4.6649382769068583E-2</v>
      </c>
      <c r="CJ59" s="3">
        <f t="shared" si="23"/>
        <v>1958</v>
      </c>
      <c r="CK59" s="3">
        <v>1708</v>
      </c>
      <c r="CL59" s="4">
        <f>Estijan!C59 + Ikzen!C59 + Urbiqu!C59 + Danocia!C59 + Koruch!C59 + 'New Kizura'!C59 + Lydroa!C59 + Fermori!C59 + Uularin!C59 + 'Niul Spijan'!C59</f>
        <v>167495642.74850839</v>
      </c>
      <c r="CM59" s="7">
        <f t="shared" si="24"/>
        <v>2.4571713139422604E-2</v>
      </c>
      <c r="CN59" s="5">
        <f t="shared" si="25"/>
        <v>5.7098837271392165E-2</v>
      </c>
      <c r="CU59" s="3">
        <f t="shared" si="26"/>
        <v>1958</v>
      </c>
      <c r="CV59" s="3">
        <v>1708</v>
      </c>
      <c r="CW59" s="4">
        <f>Praesyu!C59 + Lycroa!C59 + Emara!C59 + Eldjo!C59 + Easuhura!C59 + Ilicuhe!C59 + Tonder!C59</f>
        <v>190247221.31677198</v>
      </c>
      <c r="CX59" s="7">
        <f t="shared" si="27"/>
        <v>6.1864079005470654E-3</v>
      </c>
      <c r="CY59" s="5">
        <f t="shared" si="28"/>
        <v>6.48547923578605E-2</v>
      </c>
      <c r="DF59" s="3">
        <f t="shared" si="29"/>
        <v>1958</v>
      </c>
      <c r="DG59" s="3">
        <v>1708</v>
      </c>
      <c r="DH59" s="4">
        <f>Verusa!C59 + Darewa!C59 + Siana!C59 + Yaxuto!C59 + 'Merela Sta'!C59 + Palina!C59</f>
        <v>125790927.08661711</v>
      </c>
      <c r="DI59" s="7">
        <f t="shared" si="30"/>
        <v>8.964800742711455E-3</v>
      </c>
      <c r="DJ59" s="5">
        <f t="shared" si="31"/>
        <v>4.2881806105969707E-2</v>
      </c>
      <c r="DQ59" s="3">
        <f t="shared" si="32"/>
        <v>1958</v>
      </c>
      <c r="DR59" s="3">
        <v>1708</v>
      </c>
      <c r="DS59" s="4">
        <f>Sunsokua!C59 + Vayvele!C59 + Selaja!C59 + Sadain!C59</f>
        <v>65833937.899396256</v>
      </c>
      <c r="DT59" s="7">
        <f t="shared" si="33"/>
        <v>2.4921238229376998E-2</v>
      </c>
      <c r="DU59" s="5">
        <f t="shared" si="34"/>
        <v>2.2442621463871125E-2</v>
      </c>
      <c r="EB59" s="3">
        <f t="shared" si="35"/>
        <v>1958</v>
      </c>
      <c r="EC59" s="3">
        <v>1708</v>
      </c>
      <c r="ED59" s="4">
        <f>Pelugrotoa!C59 + Lieri!C59 + 'Rtesania'!C59 + Ozinia!C59</f>
        <v>170942682.66546145</v>
      </c>
      <c r="EE59" s="7">
        <f t="shared" si="36"/>
        <v>3.6692777414538504E-2</v>
      </c>
      <c r="EF59" s="5">
        <f t="shared" si="37"/>
        <v>5.827392438444394E-2</v>
      </c>
      <c r="EM59" s="3">
        <f t="shared" si="38"/>
        <v>1958</v>
      </c>
      <c r="EN59" s="3">
        <v>1708</v>
      </c>
      <c r="EO59" s="4">
        <f>Ocaun!C59 + 'Dual Cenryia'!C59 + Byllu!C59 + Exilium!C59 + Inrea!C59 + Amcha!C59 + Isnti!C59 + Galca!C59 + Otiiric!C59 + Taing!C59 + 'Cruthi Anoso'!C59</f>
        <v>78499543.973501906</v>
      </c>
      <c r="EP59" s="7">
        <f t="shared" si="39"/>
        <v>2.2829254995478505E-2</v>
      </c>
      <c r="EQ59" s="5">
        <f t="shared" si="40"/>
        <v>2.6760294260021248E-2</v>
      </c>
      <c r="EX59" s="3">
        <f t="shared" si="41"/>
        <v>1958</v>
      </c>
      <c r="EY59" s="3">
        <v>1708</v>
      </c>
      <c r="EZ59" s="4">
        <f>Sivoso!C59 + Taoisia!C59 + Seytinemas!C59 + Trian!C59 + 'Chaenia'!C59</f>
        <v>50536231.038956434</v>
      </c>
      <c r="FA59" s="7">
        <f t="shared" si="42"/>
        <v>2.6601848878628171E-2</v>
      </c>
      <c r="FB59" s="5">
        <f t="shared" si="43"/>
        <v>1.7227672225094633E-2</v>
      </c>
      <c r="FI59" s="3">
        <f t="shared" si="44"/>
        <v>1958</v>
      </c>
      <c r="FJ59" s="3">
        <v>1708</v>
      </c>
      <c r="FK59" s="4">
        <f>Migoku!C59 + 'Welenu Fana'!C59 + Haiza!C59 + Ucrua!C59 + Ihner!C59 + Oscairia!C59 + Shinam!C59 + 'Ruylku'!C59 + Taval!C59 + 'Western Migoku'!C59 + 'Pruim Fijan'!C59 + 'Canldives'!C59</f>
        <v>61543648.504415371</v>
      </c>
      <c r="FL59" s="7">
        <f t="shared" si="45"/>
        <v>1.7893489147713038E-2</v>
      </c>
      <c r="FM59" s="5">
        <f t="shared" si="46"/>
        <v>2.0980072755192106E-2</v>
      </c>
      <c r="FT59" s="3">
        <f t="shared" si="47"/>
        <v>1958</v>
      </c>
      <c r="FU59" s="3">
        <v>1708</v>
      </c>
      <c r="FV59" s="4">
        <f>Vesozata!C59 + Etretes!C59 + Kusierna!C59 + Eparia!C59</f>
        <v>38574014.975633055</v>
      </c>
      <c r="FW59" s="7">
        <f t="shared" si="48"/>
        <v>2.4306139756282347E-2</v>
      </c>
      <c r="FX59" s="5">
        <f t="shared" si="49"/>
        <v>1.3149783289019503E-2</v>
      </c>
      <c r="GE59" s="3">
        <f t="shared" si="50"/>
        <v>1958</v>
      </c>
      <c r="GF59" s="3">
        <v>1708</v>
      </c>
      <c r="GG59" s="4">
        <f>Dahe!C59 + Kaastini!C59 + Suenan!C59 + Oyreain!C59 + Sanagara!C59 + 'North Ayre'!C59 + Stinebar!C59 + 'Cloja'!C59 + 'Pha Hii'!C59 + 'Prystr Hii'!C59</f>
        <v>625465088.71000624</v>
      </c>
      <c r="GH59" s="7">
        <f t="shared" si="51"/>
        <v>1.430709715977628E-2</v>
      </c>
      <c r="GI59" s="5">
        <f t="shared" si="52"/>
        <v>0.21321945295503844</v>
      </c>
      <c r="GP59" s="3">
        <f t="shared" si="53"/>
        <v>1958</v>
      </c>
      <c r="GQ59" s="3">
        <v>1708</v>
      </c>
      <c r="GR59" s="4">
        <f>Maalle!C59 + 'United Delet'!C59 + Ohtina!C59 + Astye!C59 + Prstreula!C59 + Veelmit!C59 + Aplasia!C59 + 'Elja and Munusia'!C59 + Walporein!C59 + 'Crila Republic'!C59 + 'Niretui and Anulan'!C59 + 'Rethern'!C59 + Tvecoca!C59</f>
        <v>70001623.768148139</v>
      </c>
      <c r="GS59" s="7">
        <f t="shared" si="54"/>
        <v>1.9816705710237695E-2</v>
      </c>
      <c r="GT59" s="5">
        <f t="shared" si="55"/>
        <v>2.3863374943264327E-2</v>
      </c>
      <c r="HA59" s="3">
        <f t="shared" si="56"/>
        <v>1958</v>
      </c>
      <c r="HB59" s="3">
        <v>1708</v>
      </c>
      <c r="HC59" s="4">
        <f>Andsaudare!C59 + Nia!C59 + Umarcia!C59 + Mendereide!C59 + Iainoa!C59 + Isari!C59 + 'Rkmepuia'!C59 + Hiwush!C59 + Isuibul!C59 + Yutnitu!C59</f>
        <v>22305542.230971642</v>
      </c>
      <c r="HD59" s="7">
        <f t="shared" si="57"/>
        <v>2.4900144877877679E-2</v>
      </c>
      <c r="HE59" s="5">
        <f t="shared" si="58"/>
        <v>7.6039024370844867E-3</v>
      </c>
      <c r="HL59" s="3">
        <f t="shared" si="59"/>
        <v>1958</v>
      </c>
      <c r="HM59" s="3">
        <v>1708</v>
      </c>
      <c r="HN59" s="4">
        <f>Zhanshe!C59 + Volver!C59 + Finae!C59 + Myla!C59 + 'Nheyes Si'!C59 + Onphello!C59 + Hyelen!C59</f>
        <v>40731897.128420763</v>
      </c>
      <c r="HO59" s="7">
        <f t="shared" si="60"/>
        <v>3.1053524865835267E-2</v>
      </c>
      <c r="HP59" s="5">
        <f t="shared" si="61"/>
        <v>1.3885399809372024E-2</v>
      </c>
      <c r="HW59" s="3">
        <f t="shared" si="62"/>
        <v>1958</v>
      </c>
      <c r="HX59" s="3">
        <v>1708</v>
      </c>
      <c r="HY59" s="4">
        <f>Yihnurda!C59 + Ztesh!C59 + Wundry!C59 + Anymna!C59 + Shomjind!C59 + Baluyde!C59 + Letan!C59</f>
        <v>174781713.14720875</v>
      </c>
      <c r="HZ59" s="7">
        <f t="shared" si="63"/>
        <v>1.9216798035725863E-2</v>
      </c>
      <c r="IA59" s="5">
        <f t="shared" si="64"/>
        <v>5.9582640080925273E-2</v>
      </c>
      <c r="IH59" s="3">
        <f t="shared" si="65"/>
        <v>1958</v>
      </c>
      <c r="II59" s="3">
        <v>1708</v>
      </c>
      <c r="IJ59" s="4">
        <f>Iareva!C59 + 'United Mihili'!C59 + 'Mesjan Hyaa'!C59 + Desaki!C59 + 'Far Lands'!C59</f>
        <v>20837226.988254283</v>
      </c>
      <c r="IK59" s="7">
        <f t="shared" si="66"/>
        <v>1.7069328247966087E-2</v>
      </c>
      <c r="IL59" s="5">
        <f t="shared" si="67"/>
        <v>7.1033575170419633E-3</v>
      </c>
      <c r="IS59" s="3">
        <f t="shared" si="68"/>
        <v>1958</v>
      </c>
      <c r="IT59" s="3">
        <v>1708</v>
      </c>
      <c r="IU59" s="4">
        <f>Verste!C59 + Quidic!C59 + Erkizil!C59 + Ashain!C59 + Ahokini!C59</f>
        <v>137370960.11037296</v>
      </c>
      <c r="IV59" s="7">
        <f t="shared" si="69"/>
        <v>2.1970984260640768E-2</v>
      </c>
      <c r="IW59" s="5">
        <f t="shared" si="70"/>
        <v>4.6829409818942534E-2</v>
      </c>
    </row>
    <row r="60" spans="1:257" ht="22.5" customHeight="1">
      <c r="A60" s="3">
        <f t="shared" si="0"/>
        <v>1957</v>
      </c>
      <c r="B60" s="3">
        <v>1707</v>
      </c>
      <c r="C60" s="4">
        <f>Acetoa!C60 + Acrana!C60 + Aetintio!C60 + Ahokini!C60 + Amcha!C60 + Andsaudare!C60 + Anymna!C60 + Aplasia!C60 + Arbiya!C60 + 'Areoix Lie'!C60 + Ashain!C60 + Astye!C60 + Baluyde!C60 + Byllu!C60 + 'Candenat'!C60 + 'Canldives'!C60 + 'Chaenia'!C60 + 'Cloja'!C60 + 'Crila Republic'!C60 + 'Cruthi Anoso'!C60 + 'Curata'!C60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'Raledria'!C60 + 'Reerica'!C60 + 'Rethern'!C60 + 'Rijan bu'!C60 + 'Rinew'!C60 + 'Rkmepuia'!C60 + 'Rtesania'!C60 + 'Ruylku'!C60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2875081289.7058444</v>
      </c>
      <c r="D60" s="5">
        <f t="shared" si="1"/>
        <v>2.0387485032919452E-2</v>
      </c>
      <c r="K60" s="3">
        <f t="shared" si="2"/>
        <v>1957</v>
      </c>
      <c r="L60" s="3">
        <v>1707</v>
      </c>
      <c r="M60" s="4">
        <f>Eldavpir!C60 + Iquir!C60 + Viussi!C60 + Umendel!C60 + 'Reerica'!C60 + Saa!C60 + Sattle!C60</f>
        <v>21490275.158919968</v>
      </c>
      <c r="N60" s="5">
        <f t="shared" si="3"/>
        <v>2.6001660022836232E-2</v>
      </c>
      <c r="O60" s="5">
        <f t="shared" si="4"/>
        <v>7.4746669723271316E-3</v>
      </c>
      <c r="V60" s="3">
        <f t="shared" si="5"/>
        <v>1957</v>
      </c>
      <c r="W60" s="3">
        <v>1707</v>
      </c>
      <c r="X60" s="4">
        <f>'Areoix Lie'!C60 + Jau!C60 + Terressin!C60 + Acetoa!C60 + 'Feio Lie'!C60</f>
        <v>308733408.30932784</v>
      </c>
      <c r="Y60" s="5">
        <f t="shared" si="6"/>
        <v>2.5748616338050003E-2</v>
      </c>
      <c r="Z60" s="5">
        <f t="shared" si="7"/>
        <v>0.10738249711920841</v>
      </c>
      <c r="AG60" s="3">
        <f t="shared" si="8"/>
        <v>1957</v>
      </c>
      <c r="AH60" s="3">
        <v>1707</v>
      </c>
      <c r="AI60" s="4">
        <f>Taniduna!C60 + Jathua!C60 + Deschon!C60 + Pelines!C60 + 'Candenat'!C60 + Othya!C60 + Yoprioq!C60 + Jshain!C60 + 'Fire Coast'!C60 + 'Rijan bu'!C60 + 'Rinew'!C60 + Enina!C60 + Trevilla!C60</f>
        <v>56211250.671246223</v>
      </c>
      <c r="AJ60" s="5">
        <f t="shared" si="9"/>
        <v>2.3152937611355083E-2</v>
      </c>
      <c r="AK60" s="5">
        <f t="shared" si="10"/>
        <v>1.9551186560362373E-2</v>
      </c>
      <c r="AR60" s="3">
        <f t="shared" si="11"/>
        <v>1957</v>
      </c>
      <c r="AS60" s="3">
        <v>1707</v>
      </c>
      <c r="AT60" s="4">
        <f>Gaeiya!C60 + 'Raledria'!C60 + Arbiya!C60 + Fincen!C60 + 'Curata'!C60</f>
        <v>139095709.12983727</v>
      </c>
      <c r="AU60" s="5">
        <f t="shared" si="12"/>
        <v>1.9195485677765557E-2</v>
      </c>
      <c r="AV60" s="5">
        <f t="shared" si="13"/>
        <v>4.8379748297158041E-2</v>
      </c>
      <c r="BC60" s="3">
        <f t="shared" si="14"/>
        <v>1957</v>
      </c>
      <c r="BD60" s="3">
        <v>1707</v>
      </c>
      <c r="BE60" s="4">
        <f>Etirha!C60 + Laselteh!C60 + Grazail!C60 + 'Disal Nila'!C60 + Pelan!C60 + Peka!C60 + Guise!C60</f>
        <v>54772279.734392442</v>
      </c>
      <c r="BF60" s="5">
        <f t="shared" si="15"/>
        <v>2.1781066352826978E-2</v>
      </c>
      <c r="BG60" s="5">
        <f t="shared" si="16"/>
        <v>1.9050689081558565E-2</v>
      </c>
      <c r="BN60" s="3">
        <f t="shared" si="17"/>
        <v>1957</v>
      </c>
      <c r="BO60" s="3">
        <v>1707</v>
      </c>
      <c r="BP60" s="4">
        <f>Genaire!C60 + 'New Misos'!C60 + Phuris!C60 + Lasri!C60 + Slyiaduun!C60 + Aetintio!C60 + Metndria!C60 + Tomscilus!C60</f>
        <v>38178025.747425653</v>
      </c>
      <c r="BQ60" s="5">
        <f t="shared" si="18"/>
        <v>2.5752359149507686E-2</v>
      </c>
      <c r="BR60" s="5">
        <f t="shared" si="19"/>
        <v>1.3278937845730173E-2</v>
      </c>
      <c r="BY60" s="3">
        <f t="shared" si="20"/>
        <v>1957</v>
      </c>
      <c r="BZ60" s="3">
        <v>1707</v>
      </c>
      <c r="CA60" s="4">
        <f>Ealdorii!C60 + Ukhdari!C60 + Hkuqo!C60 + Acrana!C60 + Zenashan!C60</f>
        <v>134249573.05425987</v>
      </c>
      <c r="CB60" s="6">
        <f t="shared" si="21"/>
        <v>1.7624624156421589E-2</v>
      </c>
      <c r="CC60" s="5">
        <f t="shared" si="22"/>
        <v>4.6694183407939474E-2</v>
      </c>
      <c r="CJ60" s="3">
        <f t="shared" si="23"/>
        <v>1957</v>
      </c>
      <c r="CK60" s="3">
        <v>1707</v>
      </c>
      <c r="CL60" s="4">
        <f>Estijan!C60 + Ikzen!C60 + Urbiqu!C60 + Danocia!C60 + Koruch!C60 + 'New Kizura'!C60 + Lydroa!C60 + Fermori!C60 + Uularin!C60 + 'Niul Spijan'!C60</f>
        <v>163478691.24288011</v>
      </c>
      <c r="CM60" s="6">
        <f t="shared" si="24"/>
        <v>2.6294782259232326E-2</v>
      </c>
      <c r="CN60" s="5">
        <f t="shared" si="25"/>
        <v>5.6860545762031638E-2</v>
      </c>
      <c r="CU60" s="3">
        <f t="shared" si="26"/>
        <v>1957</v>
      </c>
      <c r="CV60" s="3">
        <v>1707</v>
      </c>
      <c r="CW60" s="4">
        <f>Praesyu!C60 + Lycroa!C60 + Emara!C60 + Eldjo!C60 + Easuhura!C60 + Ilicuhe!C60 + Tonder!C60</f>
        <v>189077510.71069556</v>
      </c>
      <c r="CX60" s="6">
        <f t="shared" si="27"/>
        <v>5.3010063451125631E-3</v>
      </c>
      <c r="CY60" s="5">
        <f t="shared" si="28"/>
        <v>6.5764231219368571E-2</v>
      </c>
      <c r="DF60" s="3">
        <f t="shared" si="29"/>
        <v>1957</v>
      </c>
      <c r="DG60" s="3">
        <v>1707</v>
      </c>
      <c r="DH60" s="4">
        <f>Verusa!C60 + Darewa!C60 + Siana!C60 + Yaxuto!C60 + 'Merela Sta'!C60 + Palina!C60</f>
        <v>124673256.18695603</v>
      </c>
      <c r="DI60" s="6">
        <f t="shared" si="30"/>
        <v>8.7835062504260722E-3</v>
      </c>
      <c r="DJ60" s="5">
        <f t="shared" si="31"/>
        <v>4.3363384761796291E-2</v>
      </c>
      <c r="DQ60" s="3">
        <f t="shared" si="32"/>
        <v>1957</v>
      </c>
      <c r="DR60" s="3">
        <v>1707</v>
      </c>
      <c r="DS60" s="4">
        <f>Sunsokua!C60 + Vayvele!C60 + Selaja!C60 + Sadain!C60</f>
        <v>64233167.82187964</v>
      </c>
      <c r="DT60" s="6">
        <f t="shared" si="33"/>
        <v>2.4732617897845723E-2</v>
      </c>
      <c r="DU60" s="5">
        <f t="shared" si="34"/>
        <v>2.2341339722067987E-2</v>
      </c>
      <c r="EB60" s="3">
        <f t="shared" si="35"/>
        <v>1957</v>
      </c>
      <c r="EC60" s="3">
        <v>1707</v>
      </c>
      <c r="ED60" s="4">
        <f>Pelugrotoa!C60 + Lieri!C60 + 'Rtesania'!C60 + Ozinia!C60</f>
        <v>164892325.27671719</v>
      </c>
      <c r="EE60" s="6">
        <f t="shared" si="36"/>
        <v>3.7959395310648278E-2</v>
      </c>
      <c r="EF60" s="5">
        <f t="shared" si="37"/>
        <v>5.735223065417662E-2</v>
      </c>
      <c r="EM60" s="3">
        <f t="shared" si="38"/>
        <v>1957</v>
      </c>
      <c r="EN60" s="3">
        <v>1707</v>
      </c>
      <c r="EO60" s="4">
        <f>Ocaun!C60 + 'Dual Cenryia'!C60 + Byllu!C60 + Exilium!C60 + Inrea!C60 + Amcha!C60 + Isnti!C60 + Galca!C60 + Otiiric!C60 + Taing!C60 + 'Cruthi Anoso'!C60</f>
        <v>76747456.713925257</v>
      </c>
      <c r="EP60" s="6">
        <f t="shared" si="39"/>
        <v>2.2668777962597204E-2</v>
      </c>
      <c r="EQ60" s="5">
        <f t="shared" si="40"/>
        <v>2.6694012787992317E-2</v>
      </c>
      <c r="EX60" s="3">
        <f t="shared" si="41"/>
        <v>1957</v>
      </c>
      <c r="EY60" s="3">
        <v>1707</v>
      </c>
      <c r="EZ60" s="4">
        <f>Sivoso!C60 + Taoisia!C60 + Seytinemas!C60 + Trian!C60 + 'Chaenia'!C60</f>
        <v>49226709.550696678</v>
      </c>
      <c r="FA60" s="6">
        <f t="shared" si="42"/>
        <v>2.7481499907215066E-2</v>
      </c>
      <c r="FB60" s="5">
        <f t="shared" si="43"/>
        <v>1.7121849641939399E-2</v>
      </c>
      <c r="FI60" s="3">
        <f t="shared" si="44"/>
        <v>1957</v>
      </c>
      <c r="FJ60" s="3">
        <v>1707</v>
      </c>
      <c r="FK60" s="4">
        <f>Migoku!C60 + 'Welenu Fana'!C60 + Haiza!C60 + Ucrua!C60 + Ihner!C60 + Oscairia!C60 + Shinam!C60 + 'Ruylku'!C60 + Taval!C60 + 'Western Migoku'!C60 + 'Pruim Fijan'!C60 + 'Canldives'!C60</f>
        <v>60461776.365173683</v>
      </c>
      <c r="FL60" s="6">
        <f t="shared" si="45"/>
        <v>1.7462623103743777E-2</v>
      </c>
      <c r="FM60" s="5">
        <f t="shared" si="46"/>
        <v>2.1029588478647731E-2</v>
      </c>
      <c r="FT60" s="3">
        <f t="shared" si="47"/>
        <v>1957</v>
      </c>
      <c r="FU60" s="3">
        <v>1707</v>
      </c>
      <c r="FV60" s="4">
        <f>Vesozata!C60 + Etretes!C60 + Kusierna!C60 + Eparia!C60</f>
        <v>37658677.887854055</v>
      </c>
      <c r="FW60" s="6">
        <f t="shared" si="48"/>
        <v>2.9183818320280053E-2</v>
      </c>
      <c r="FX60" s="5">
        <f t="shared" si="49"/>
        <v>1.3098300219437271E-2</v>
      </c>
      <c r="GE60" s="3">
        <f t="shared" si="50"/>
        <v>1957</v>
      </c>
      <c r="GF60" s="3">
        <v>1707</v>
      </c>
      <c r="GG60" s="4">
        <f>Dahe!C60 + Kaastini!C60 + Suenan!C60 + Oyreain!C60 + Sanagara!C60 + 'North Ayre'!C60 + Stinebar!C60 + 'Cloja'!C60 + 'Pha Hii'!C60 + 'Prystr Hii'!C60</f>
        <v>616642721.38232052</v>
      </c>
      <c r="GH60" s="6">
        <f t="shared" si="51"/>
        <v>1.4548644780096274E-2</v>
      </c>
      <c r="GI60" s="5">
        <f t="shared" si="52"/>
        <v>0.21447836052155955</v>
      </c>
      <c r="GP60" s="3">
        <f t="shared" si="53"/>
        <v>1957</v>
      </c>
      <c r="GQ60" s="3">
        <v>1707</v>
      </c>
      <c r="GR60" s="4">
        <f>Maalle!C60 + 'United Delet'!C60 + Ohtina!C60 + Astye!C60 + Prstreula!C60 + Veelmit!C60 + Aplasia!C60 + 'Elja and Munusia'!C60 + Walporein!C60 + 'Crila Republic'!C60 + 'Niretui and Anulan'!C60 + 'Rethern'!C60 + Tvecoca!C60</f>
        <v>68641377.785036817</v>
      </c>
      <c r="GS60" s="6">
        <f t="shared" si="54"/>
        <v>1.9794418259314835E-2</v>
      </c>
      <c r="GT60" s="5">
        <f t="shared" si="55"/>
        <v>2.387458679196499E-2</v>
      </c>
      <c r="HA60" s="3">
        <f t="shared" si="56"/>
        <v>1957</v>
      </c>
      <c r="HB60" s="3">
        <v>1707</v>
      </c>
      <c r="HC60" s="4">
        <f>Andsaudare!C60 + Nia!C60 + Umarcia!C60 + Mendereide!C60 + Iainoa!C60 + Isari!C60 + 'Rkmepuia'!C60 + Hiwush!C60 + Isuibul!C60 + Yutnitu!C60</f>
        <v>21763624.81988864</v>
      </c>
      <c r="HD60" s="6">
        <f t="shared" si="57"/>
        <v>2.4728075770150973E-2</v>
      </c>
      <c r="HE60" s="5">
        <f t="shared" si="58"/>
        <v>7.5697424270446704E-3</v>
      </c>
      <c r="HL60" s="3">
        <f t="shared" si="59"/>
        <v>1957</v>
      </c>
      <c r="HM60" s="3">
        <v>1707</v>
      </c>
      <c r="HN60" s="4">
        <f>Zhanshe!C60 + Volver!C60 + Finae!C60 + Myla!C60 + 'Nheyes Si'!C60 + Onphello!C60 + Hyelen!C60</f>
        <v>39505123.784646347</v>
      </c>
      <c r="HO60" s="6">
        <f t="shared" si="60"/>
        <v>3.0777167431661645E-2</v>
      </c>
      <c r="HP60" s="5">
        <f t="shared" si="61"/>
        <v>1.3740524111820225E-2</v>
      </c>
      <c r="HW60" s="3">
        <f t="shared" si="62"/>
        <v>1957</v>
      </c>
      <c r="HX60" s="3">
        <v>1707</v>
      </c>
      <c r="HY60" s="4">
        <f>Yihnurda!C60 + Ztesh!C60 + Wundry!C60 + Anymna!C60 + Shomjind!C60 + Baluyde!C60 + Letan!C60</f>
        <v>171486295.6380378</v>
      </c>
      <c r="HZ60" s="6">
        <f t="shared" si="63"/>
        <v>1.8860705051240469E-2</v>
      </c>
      <c r="IA60" s="5">
        <f t="shared" si="64"/>
        <v>5.9645720714763831E-2</v>
      </c>
      <c r="IH60" s="3">
        <f t="shared" si="65"/>
        <v>1957</v>
      </c>
      <c r="II60" s="3">
        <v>1707</v>
      </c>
      <c r="IJ60" s="4">
        <f>Iareva!C60 + 'United Mihili'!C60 + 'Mesjan Hyaa'!C60 + Desaki!C60 + 'Far Lands'!C60</f>
        <v>20487518.804788962</v>
      </c>
      <c r="IK60" s="6">
        <f t="shared" si="66"/>
        <v>1.8133612667280211E-2</v>
      </c>
      <c r="IL60" s="5">
        <f t="shared" si="67"/>
        <v>7.1258920149993681E-3</v>
      </c>
      <c r="IS60" s="3">
        <f t="shared" si="68"/>
        <v>1957</v>
      </c>
      <c r="IT60" s="3">
        <v>1707</v>
      </c>
      <c r="IU60" s="4">
        <f>Verste!C60 + Quidic!C60 + Erkizil!C60 + Ashain!C60 + Ahokini!C60</f>
        <v>134417671.56408644</v>
      </c>
      <c r="IV60" s="6">
        <f t="shared" si="69"/>
        <v>2.2207955762218151E-2</v>
      </c>
      <c r="IW60" s="5">
        <f t="shared" si="70"/>
        <v>4.6752650801688805E-2</v>
      </c>
    </row>
    <row r="61" spans="1:257" ht="22.5" customHeight="1">
      <c r="A61" s="3">
        <f t="shared" si="0"/>
        <v>1956</v>
      </c>
      <c r="B61" s="3">
        <v>1706</v>
      </c>
      <c r="C61" s="4">
        <f>Acetoa!C61 + Acrana!C61 + Aetintio!C61 + Ahokini!C61 + Amcha!C61 + Andsaudare!C61 + Anymna!C61 + Aplasia!C61 + Arbiya!C61 + 'Areoix Lie'!C61 + Ashain!C61 + Astye!C61 + Baluyde!C61 + Byllu!C61 + 'Candenat'!C61 + 'Canldives'!C61 + 'Chaenia'!C61 + 'Cloja'!C61 + 'Crila Republic'!C61 + 'Cruthi Anoso'!C61 + 'Curata'!C61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'Raledria'!C61 + 'Reerica'!C61 + 'Rethern'!C61 + 'Rijan bu'!C61 + 'Rinew'!C61 + 'Rkmepuia'!C61 + 'Rtesania'!C61 + 'Ruylku'!C61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2817636762.3845263</v>
      </c>
      <c r="D61" s="5">
        <f t="shared" si="1"/>
        <v>2.015707605984049E-2</v>
      </c>
      <c r="K61" s="3">
        <f t="shared" si="2"/>
        <v>1956</v>
      </c>
      <c r="L61" s="3">
        <v>1706</v>
      </c>
      <c r="M61" s="4">
        <f>Eldavpir!C61 + Iquir!C61 + Viussi!C61 + Umendel!C61 + 'Reerica'!C61 + Saa!C61 + Sattle!C61</f>
        <v>20945653.400250491</v>
      </c>
      <c r="N61" s="5">
        <f t="shared" si="3"/>
        <v>2.5308667157996512E-2</v>
      </c>
      <c r="O61" s="5">
        <f t="shared" si="4"/>
        <v>7.4337663675726889E-3</v>
      </c>
      <c r="V61" s="3">
        <f t="shared" si="5"/>
        <v>1956</v>
      </c>
      <c r="W61" s="3">
        <v>1706</v>
      </c>
      <c r="X61" s="4">
        <f>'Areoix Lie'!C61 + Jau!C61 + Terressin!C61 + Acetoa!C61 + 'Feio Lie'!C61</f>
        <v>300983499.65268719</v>
      </c>
      <c r="Y61" s="5">
        <f t="shared" si="6"/>
        <v>2.5731920524128406E-2</v>
      </c>
      <c r="Z61" s="5">
        <f t="shared" si="7"/>
        <v>0.10682125661860299</v>
      </c>
      <c r="AG61" s="3">
        <f t="shared" si="8"/>
        <v>1956</v>
      </c>
      <c r="AH61" s="3">
        <v>1706</v>
      </c>
      <c r="AI61" s="4">
        <f>Taniduna!C61 + Jathua!C61 + Deschon!C61 + Pelines!C61 + 'Candenat'!C61 + Othya!C61 + Yoprioq!C61 + Jshain!C61 + 'Fire Coast'!C61 + 'Rijan bu'!C61 + 'Rinew'!C61 + Enina!C61 + Trevilla!C61</f>
        <v>54939245.742163017</v>
      </c>
      <c r="AJ61" s="5">
        <f t="shared" si="9"/>
        <v>2.3032442867071665E-2</v>
      </c>
      <c r="AK61" s="5">
        <f t="shared" si="10"/>
        <v>1.9498342183635022E-2</v>
      </c>
      <c r="AR61" s="3">
        <f t="shared" si="11"/>
        <v>1956</v>
      </c>
      <c r="AS61" s="3">
        <v>1706</v>
      </c>
      <c r="AT61" s="4">
        <f>Gaeiya!C61 + 'Raledria'!C61 + Arbiya!C61 + Fincen!C61 + 'Curata'!C61</f>
        <v>136475986.28965527</v>
      </c>
      <c r="AU61" s="5">
        <f t="shared" si="12"/>
        <v>1.9160971212153204E-2</v>
      </c>
      <c r="AV61" s="5">
        <f t="shared" si="13"/>
        <v>4.8436330797358554E-2</v>
      </c>
      <c r="BC61" s="3">
        <f t="shared" si="14"/>
        <v>1956</v>
      </c>
      <c r="BD61" s="3">
        <v>1706</v>
      </c>
      <c r="BE61" s="4">
        <f>Etirha!C61 + Laselteh!C61 + Grazail!C61 + 'Disal Nila'!C61 + Pelan!C61 + Peka!C61 + Guise!C61</f>
        <v>53604711.946658105</v>
      </c>
      <c r="BF61" s="5">
        <f t="shared" si="15"/>
        <v>2.208644335505942E-2</v>
      </c>
      <c r="BG61" s="5">
        <f t="shared" si="16"/>
        <v>1.9024706329176792E-2</v>
      </c>
      <c r="BN61" s="3">
        <f t="shared" si="17"/>
        <v>1956</v>
      </c>
      <c r="BO61" s="3">
        <v>1706</v>
      </c>
      <c r="BP61" s="4">
        <f>Genaire!C61 + 'New Misos'!C61 + Phuris!C61 + Lasri!C61 + Slyiaduun!C61 + Aetintio!C61 + Metndria!C61 + Tomscilus!C61</f>
        <v>37219534.916868806</v>
      </c>
      <c r="BQ61" s="5">
        <f t="shared" si="18"/>
        <v>2.5989731083403543E-2</v>
      </c>
      <c r="BR61" s="5">
        <f t="shared" si="19"/>
        <v>1.3209486550484399E-2</v>
      </c>
      <c r="BY61" s="3">
        <f t="shared" si="20"/>
        <v>1956</v>
      </c>
      <c r="BZ61" s="3">
        <v>1706</v>
      </c>
      <c r="CA61" s="4">
        <f>Ealdorii!C61 + Ukhdari!C61 + Hkuqo!C61 + Acrana!C61 + Zenashan!C61</f>
        <v>131924454.1331225</v>
      </c>
      <c r="CB61" s="7">
        <f t="shared" si="21"/>
        <v>1.5549568182165201E-2</v>
      </c>
      <c r="CC61" s="5">
        <f t="shared" si="22"/>
        <v>4.682095857575222E-2</v>
      </c>
      <c r="CJ61" s="3">
        <f t="shared" si="23"/>
        <v>1956</v>
      </c>
      <c r="CK61" s="3">
        <v>1706</v>
      </c>
      <c r="CL61" s="4">
        <f>Estijan!C61 + Ikzen!C61 + Urbiqu!C61 + Danocia!C61 + Koruch!C61 + 'New Kizura'!C61 + Lydroa!C61 + Fermori!C61 + Uularin!C61 + 'Niul Spijan'!C61</f>
        <v>159290190.37104189</v>
      </c>
      <c r="CM61" s="7">
        <f t="shared" si="24"/>
        <v>2.8077558777184871E-2</v>
      </c>
      <c r="CN61" s="5">
        <f t="shared" si="25"/>
        <v>5.6533259537768402E-2</v>
      </c>
      <c r="CU61" s="3">
        <f t="shared" si="26"/>
        <v>1956</v>
      </c>
      <c r="CV61" s="3">
        <v>1706</v>
      </c>
      <c r="CW61" s="4">
        <f>Praesyu!C61 + Lycroa!C61 + Emara!C61 + Eldjo!C61 + Easuhura!C61 + Ilicuhe!C61 + Tonder!C61</f>
        <v>188080494.81429309</v>
      </c>
      <c r="CX61" s="7">
        <f t="shared" si="27"/>
        <v>5.0681265098517598E-3</v>
      </c>
      <c r="CY61" s="5">
        <f t="shared" si="28"/>
        <v>6.6751150228151909E-2</v>
      </c>
      <c r="DF61" s="3">
        <f t="shared" si="29"/>
        <v>1956</v>
      </c>
      <c r="DG61" s="3">
        <v>1706</v>
      </c>
      <c r="DH61" s="4">
        <f>Verusa!C61 + Darewa!C61 + Siana!C61 + Yaxuto!C61 + 'Merela Sta'!C61 + Palina!C61</f>
        <v>123587722.65256134</v>
      </c>
      <c r="DI61" s="7">
        <f t="shared" si="30"/>
        <v>5.9177866873452306E-3</v>
      </c>
      <c r="DJ61" s="5">
        <f t="shared" si="31"/>
        <v>4.3862191288266267E-2</v>
      </c>
      <c r="DQ61" s="3">
        <f t="shared" si="32"/>
        <v>1956</v>
      </c>
      <c r="DR61" s="3">
        <v>1706</v>
      </c>
      <c r="DS61" s="4">
        <f>Sunsokua!C61 + Vayvele!C61 + Selaja!C61 + Sadain!C61</f>
        <v>62682856.678895101</v>
      </c>
      <c r="DT61" s="7">
        <f t="shared" si="33"/>
        <v>2.4444797194197589E-2</v>
      </c>
      <c r="DU61" s="5">
        <f t="shared" si="34"/>
        <v>2.2246606629964426E-2</v>
      </c>
      <c r="EB61" s="3">
        <f t="shared" si="35"/>
        <v>1956</v>
      </c>
      <c r="EC61" s="3">
        <v>1706</v>
      </c>
      <c r="ED61" s="4">
        <f>Pelugrotoa!C61 + Lieri!C61 + 'Rtesania'!C61 + Ozinia!C61</f>
        <v>158862019.09407735</v>
      </c>
      <c r="EE61" s="7">
        <f t="shared" si="36"/>
        <v>3.7450676705052116E-2</v>
      </c>
      <c r="EF61" s="5">
        <f t="shared" si="37"/>
        <v>5.6381298403998199E-2</v>
      </c>
      <c r="EM61" s="3">
        <f t="shared" si="38"/>
        <v>1956</v>
      </c>
      <c r="EN61" s="3">
        <v>1706</v>
      </c>
      <c r="EO61" s="4">
        <f>Ocaun!C61 + 'Dual Cenryia'!C61 + Byllu!C61 + Exilium!C61 + Inrea!C61 + Amcha!C61 + Isnti!C61 + Galca!C61 + Otiiric!C61 + Taing!C61 + 'Cruthi Anoso'!C61</f>
        <v>75046249.937173888</v>
      </c>
      <c r="EP61" s="7">
        <f t="shared" si="39"/>
        <v>2.2659826704448143E-2</v>
      </c>
      <c r="EQ61" s="5">
        <f t="shared" si="40"/>
        <v>2.6634465783184666E-2</v>
      </c>
      <c r="EX61" s="3">
        <f t="shared" si="41"/>
        <v>1956</v>
      </c>
      <c r="EY61" s="3">
        <v>1706</v>
      </c>
      <c r="EZ61" s="4">
        <f>Sivoso!C61 + Taoisia!C61 + Seytinemas!C61 + Trian!C61 + 'Chaenia'!C61</f>
        <v>47910068.994081169</v>
      </c>
      <c r="FA61" s="7">
        <f t="shared" si="42"/>
        <v>2.8157984430694213E-2</v>
      </c>
      <c r="FB61" s="5">
        <f t="shared" si="43"/>
        <v>1.7003635682810853E-2</v>
      </c>
      <c r="FI61" s="3">
        <f t="shared" si="44"/>
        <v>1956</v>
      </c>
      <c r="FJ61" s="3">
        <v>1706</v>
      </c>
      <c r="FK61" s="4">
        <f>Migoku!C61 + 'Welenu Fana'!C61 + Haiza!C61 + Ucrua!C61 + Ihner!C61 + Oscairia!C61 + Shinam!C61 + 'Ruylku'!C61 + Taval!C61 + 'Western Migoku'!C61 + 'Pruim Fijan'!C61 + 'Canldives'!C61</f>
        <v>59424076.120591611</v>
      </c>
      <c r="FL61" s="7">
        <f t="shared" si="45"/>
        <v>1.7103217044770247E-2</v>
      </c>
      <c r="FM61" s="5">
        <f t="shared" si="46"/>
        <v>2.1090041453853639E-2</v>
      </c>
      <c r="FT61" s="3">
        <f t="shared" si="47"/>
        <v>1956</v>
      </c>
      <c r="FU61" s="3">
        <v>1706</v>
      </c>
      <c r="FV61" s="4">
        <f>Vesozata!C61 + Etretes!C61 + Kusierna!C61 + Eparia!C61</f>
        <v>36590818.100226626</v>
      </c>
      <c r="FW61" s="7">
        <f t="shared" si="48"/>
        <v>2.709162991689985E-2</v>
      </c>
      <c r="FX61" s="5">
        <f t="shared" si="49"/>
        <v>1.298635033043093E-2</v>
      </c>
      <c r="GE61" s="3">
        <f t="shared" si="50"/>
        <v>1956</v>
      </c>
      <c r="GF61" s="3">
        <v>1706</v>
      </c>
      <c r="GG61" s="4">
        <f>Dahe!C61 + Kaastini!C61 + Suenan!C61 + Oyreain!C61 + Sanagara!C61 + 'North Ayre'!C61 + Stinebar!C61 + 'Cloja'!C61 + 'Pha Hii'!C61 + 'Prystr Hii'!C61</f>
        <v>607800054.29505849</v>
      </c>
      <c r="GH61" s="7">
        <f t="shared" si="51"/>
        <v>1.478039889647526E-2</v>
      </c>
      <c r="GI61" s="5">
        <f t="shared" si="52"/>
        <v>0.21571270733303674</v>
      </c>
      <c r="GP61" s="3">
        <f t="shared" si="53"/>
        <v>1956</v>
      </c>
      <c r="GQ61" s="3">
        <v>1706</v>
      </c>
      <c r="GR61" s="4">
        <f>Maalle!C61 + 'United Delet'!C61 + Ohtina!C61 + Astye!C61 + Prstreula!C61 + Veelmit!C61 + Aplasia!C61 + 'Elja and Munusia'!C61 + Walporein!C61 + 'Crila Republic'!C61 + 'Niretui and Anulan'!C61 + 'Rethern'!C61 + Tvecoca!C61</f>
        <v>67309034.601503953</v>
      </c>
      <c r="GS61" s="7">
        <f t="shared" si="54"/>
        <v>1.9546602252184301E-2</v>
      </c>
      <c r="GT61" s="5">
        <f t="shared" si="55"/>
        <v>2.3888471182687603E-2</v>
      </c>
      <c r="HA61" s="3">
        <f t="shared" si="56"/>
        <v>1956</v>
      </c>
      <c r="HB61" s="3">
        <v>1706</v>
      </c>
      <c r="HC61" s="4">
        <f>Andsaudare!C61 + Nia!C61 + Umarcia!C61 + Mendereide!C61 + Iainoa!C61 + Isari!C61 + 'Rkmepuia'!C61 + Hiwush!C61 + Isuibul!C61 + Yutnitu!C61</f>
        <v>21238439.088859584</v>
      </c>
      <c r="HD61" s="7">
        <f t="shared" si="57"/>
        <v>2.4687249969572115E-2</v>
      </c>
      <c r="HE61" s="5">
        <f t="shared" si="58"/>
        <v>7.537678160788118E-3</v>
      </c>
      <c r="HL61" s="3">
        <f t="shared" si="59"/>
        <v>1956</v>
      </c>
      <c r="HM61" s="3">
        <v>1706</v>
      </c>
      <c r="HN61" s="4">
        <f>Zhanshe!C61 + Volver!C61 + Finae!C61 + Myla!C61 + 'Nheyes Si'!C61 + Onphello!C61 + Hyelen!C61</f>
        <v>38325571.261031501</v>
      </c>
      <c r="HO61" s="7">
        <f t="shared" si="60"/>
        <v>3.0377341236860964E-2</v>
      </c>
      <c r="HP61" s="5">
        <f t="shared" si="61"/>
        <v>1.3602026979729322E-2</v>
      </c>
      <c r="HW61" s="3">
        <f t="shared" si="62"/>
        <v>1956</v>
      </c>
      <c r="HX61" s="3">
        <v>1706</v>
      </c>
      <c r="HY61" s="4">
        <f>Yihnurda!C61 + Ztesh!C61 + Wundry!C61 + Anymna!C61 + Shomjind!C61 + Baluyde!C61 + Letan!C61</f>
        <v>168311816.11760503</v>
      </c>
      <c r="HZ61" s="7">
        <f t="shared" si="63"/>
        <v>1.8375776620396526E-2</v>
      </c>
      <c r="IA61" s="5">
        <f t="shared" si="64"/>
        <v>5.9735100835057647E-2</v>
      </c>
      <c r="IH61" s="3">
        <f t="shared" si="65"/>
        <v>1956</v>
      </c>
      <c r="II61" s="3">
        <v>1706</v>
      </c>
      <c r="IJ61" s="4">
        <f>Iareva!C61 + 'United Mihili'!C61 + 'Mesjan Hyaa'!C61 + Desaki!C61 + 'Far Lands'!C61</f>
        <v>20122622.954286214</v>
      </c>
      <c r="IK61" s="7">
        <f t="shared" si="66"/>
        <v>1.926705416866728E-2</v>
      </c>
      <c r="IL61" s="5">
        <f t="shared" si="67"/>
        <v>7.1416668120331886E-3</v>
      </c>
      <c r="IS61" s="3">
        <f t="shared" si="68"/>
        <v>1956</v>
      </c>
      <c r="IT61" s="3">
        <v>1706</v>
      </c>
      <c r="IU61" s="4">
        <f>Verste!C61 + Quidic!C61 + Erkizil!C61 + Ashain!C61 + Ahokini!C61</f>
        <v>131497383.48872148</v>
      </c>
      <c r="IV61" s="7">
        <f t="shared" si="69"/>
        <v>2.2482738534115341E-2</v>
      </c>
      <c r="IW61" s="5">
        <f t="shared" si="70"/>
        <v>4.6669388064569793E-2</v>
      </c>
    </row>
    <row r="62" spans="1:257" ht="22.5" customHeight="1">
      <c r="A62" s="3">
        <f t="shared" si="0"/>
        <v>1955</v>
      </c>
      <c r="B62" s="3">
        <v>1705</v>
      </c>
      <c r="C62" s="4">
        <f>Acetoa!C62 + Acrana!C62 + Aetintio!C62 + Ahokini!C62 + Amcha!C62 + Andsaudare!C62 + Anymna!C62 + Aplasia!C62 + Arbiya!C62 + 'Areoix Lie'!C62 + Ashain!C62 + Astye!C62 + Baluyde!C62 + Byllu!C62 + 'Candenat'!C62 + 'Canldives'!C62 + 'Chaenia'!C62 + 'Cloja'!C62 + 'Crila Republic'!C62 + 'Cruthi Anoso'!C62 + 'Curata'!C62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'Raledria'!C62 + 'Reerica'!C62 + 'Rethern'!C62 + 'Rijan bu'!C62 + 'Rinew'!C62 + 'Rkmepuia'!C62 + 'Rtesania'!C62 + 'Ruylku'!C62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2761963650.9968677</v>
      </c>
      <c r="D62" s="5">
        <f t="shared" si="1"/>
        <v>2.0048118408649885E-2</v>
      </c>
      <c r="K62" s="3">
        <f t="shared" si="2"/>
        <v>1955</v>
      </c>
      <c r="L62" s="3">
        <v>1705</v>
      </c>
      <c r="M62" s="4">
        <f>Eldavpir!C62 + Iquir!C62 + Viussi!C62 + Umendel!C62 + 'Reerica'!C62 + Saa!C62 + Sattle!C62</f>
        <v>20428631.95364254</v>
      </c>
      <c r="N62" s="5">
        <f t="shared" si="3"/>
        <v>2.4550315033656095E-2</v>
      </c>
      <c r="O62" s="5">
        <f t="shared" si="4"/>
        <v>7.3964159326533104E-3</v>
      </c>
      <c r="V62" s="3">
        <f t="shared" si="5"/>
        <v>1955</v>
      </c>
      <c r="W62" s="3">
        <v>1705</v>
      </c>
      <c r="X62" s="4">
        <f>'Areoix Lie'!C62 + Jau!C62 + Terressin!C62 + Acetoa!C62 + 'Feio Lie'!C62</f>
        <v>293432907.40029877</v>
      </c>
      <c r="Y62" s="5">
        <f t="shared" si="6"/>
        <v>2.5723343589769864E-2</v>
      </c>
      <c r="Z62" s="5">
        <f t="shared" si="7"/>
        <v>0.10624068397655809</v>
      </c>
      <c r="AG62" s="3">
        <f t="shared" si="8"/>
        <v>1955</v>
      </c>
      <c r="AH62" s="3">
        <v>1705</v>
      </c>
      <c r="AI62" s="4">
        <f>Taniduna!C62 + Jathua!C62 + Deschon!C62 + Pelines!C62 + 'Candenat'!C62 + Othya!C62 + Yoprioq!C62 + Jshain!C62 + 'Fire Coast'!C62 + 'Rijan bu'!C62 + 'Rinew'!C62 + Enina!C62 + Trevilla!C62</f>
        <v>53702349.446704283</v>
      </c>
      <c r="AJ62" s="5">
        <f t="shared" si="9"/>
        <v>2.2913762168363834E-2</v>
      </c>
      <c r="AK62" s="5">
        <f t="shared" si="10"/>
        <v>1.9443539536561839E-2</v>
      </c>
      <c r="AR62" s="3">
        <f t="shared" si="11"/>
        <v>1955</v>
      </c>
      <c r="AS62" s="3">
        <v>1705</v>
      </c>
      <c r="AT62" s="4">
        <f>Gaeiya!C62 + 'Raledria'!C62 + Arbiya!C62 + Fincen!C62 + 'Curata'!C62</f>
        <v>133910137.99060188</v>
      </c>
      <c r="AU62" s="5">
        <f t="shared" si="12"/>
        <v>2.0029568314875991E-2</v>
      </c>
      <c r="AV62" s="5">
        <f t="shared" si="13"/>
        <v>4.8483671369921932E-2</v>
      </c>
      <c r="BC62" s="3">
        <f t="shared" si="14"/>
        <v>1955</v>
      </c>
      <c r="BD62" s="3">
        <v>1705</v>
      </c>
      <c r="BE62" s="4">
        <f>Etirha!C62 + Laselteh!C62 + Grazail!C62 + 'Disal Nila'!C62 + Pelan!C62 + Peka!C62 + Guise!C62</f>
        <v>52446358.422187321</v>
      </c>
      <c r="BF62" s="5">
        <f t="shared" si="15"/>
        <v>1.995609480207558E-2</v>
      </c>
      <c r="BG62" s="5">
        <f t="shared" si="16"/>
        <v>1.8988793861663605E-2</v>
      </c>
      <c r="BN62" s="3">
        <f t="shared" si="17"/>
        <v>1955</v>
      </c>
      <c r="BO62" s="3">
        <v>1705</v>
      </c>
      <c r="BP62" s="4">
        <f>Genaire!C62 + 'New Misos'!C62 + Phuris!C62 + Lasri!C62 + Slyiaduun!C62 + Aetintio!C62 + Metndria!C62 + Tomscilus!C62</f>
        <v>36276712.903906442</v>
      </c>
      <c r="BQ62" s="5">
        <f t="shared" si="18"/>
        <v>2.553245910978515E-2</v>
      </c>
      <c r="BR62" s="5">
        <f t="shared" si="19"/>
        <v>1.3134391863127233E-2</v>
      </c>
      <c r="BY62" s="3">
        <f t="shared" si="20"/>
        <v>1955</v>
      </c>
      <c r="BZ62" s="3">
        <v>1705</v>
      </c>
      <c r="CA62" s="4">
        <f>Ealdorii!C62 + Ukhdari!C62 + Hkuqo!C62 + Acrana!C62 + Zenashan!C62</f>
        <v>129904495.32588293</v>
      </c>
      <c r="CB62" s="6">
        <f t="shared" si="21"/>
        <v>1.3726339092572511E-2</v>
      </c>
      <c r="CC62" s="5">
        <f t="shared" si="22"/>
        <v>4.7033383396988905E-2</v>
      </c>
      <c r="CJ62" s="3">
        <f t="shared" si="23"/>
        <v>1955</v>
      </c>
      <c r="CK62" s="3">
        <v>1705</v>
      </c>
      <c r="CL62" s="4">
        <f>Estijan!C62 + Ikzen!C62 + Urbiqu!C62 + Danocia!C62 + Koruch!C62 + 'New Kizura'!C62 + Lydroa!C62 + Fermori!C62 + Uularin!C62 + 'Niul Spijan'!C62</f>
        <v>154939857.41747412</v>
      </c>
      <c r="CM62" s="6">
        <f t="shared" si="24"/>
        <v>2.672583435656856E-2</v>
      </c>
      <c r="CN62" s="5">
        <f t="shared" si="25"/>
        <v>5.6097717781894818E-2</v>
      </c>
      <c r="CU62" s="3">
        <f t="shared" si="26"/>
        <v>1955</v>
      </c>
      <c r="CV62" s="3">
        <v>1705</v>
      </c>
      <c r="CW62" s="4">
        <f>Praesyu!C62 + Lycroa!C62 + Emara!C62 + Eldjo!C62 + Easuhura!C62 + Ilicuhe!C62 + Tonder!C62</f>
        <v>187132085.72976223</v>
      </c>
      <c r="CX62" s="6">
        <f t="shared" si="27"/>
        <v>5.346619651473E-3</v>
      </c>
      <c r="CY62" s="5">
        <f t="shared" si="28"/>
        <v>6.7753276065824097E-2</v>
      </c>
      <c r="DF62" s="3">
        <f t="shared" si="29"/>
        <v>1955</v>
      </c>
      <c r="DG62" s="3">
        <v>1705</v>
      </c>
      <c r="DH62" s="4">
        <f>Verusa!C62 + Darewa!C62 + Siana!C62 + Yaxuto!C62 + 'Merela Sta'!C62 + Palina!C62</f>
        <v>122860659.47750689</v>
      </c>
      <c r="DI62" s="6">
        <f t="shared" si="30"/>
        <v>1.0649243737979017E-2</v>
      </c>
      <c r="DJ62" s="5">
        <f t="shared" si="31"/>
        <v>4.4483083415367594E-2</v>
      </c>
      <c r="DQ62" s="3">
        <f t="shared" si="32"/>
        <v>1955</v>
      </c>
      <c r="DR62" s="3">
        <v>1705</v>
      </c>
      <c r="DS62" s="4">
        <f>Sunsokua!C62 + Vayvele!C62 + Selaja!C62 + Sadain!C62</f>
        <v>61187149.225194126</v>
      </c>
      <c r="DT62" s="6">
        <f t="shared" si="33"/>
        <v>2.3877527128889128E-2</v>
      </c>
      <c r="DU62" s="5">
        <f t="shared" si="34"/>
        <v>2.2153495468019653E-2</v>
      </c>
      <c r="EB62" s="3">
        <f t="shared" si="35"/>
        <v>1955</v>
      </c>
      <c r="EC62" s="3">
        <v>1705</v>
      </c>
      <c r="ED62" s="4">
        <f>Pelugrotoa!C62 + Lieri!C62 + 'Rtesania'!C62 + Ozinia!C62</f>
        <v>153127298.15611458</v>
      </c>
      <c r="EE62" s="6">
        <f t="shared" si="36"/>
        <v>3.6222971098715882E-2</v>
      </c>
      <c r="EF62" s="5">
        <f t="shared" si="37"/>
        <v>5.5441460317860007E-2</v>
      </c>
      <c r="EM62" s="3">
        <f t="shared" si="38"/>
        <v>1955</v>
      </c>
      <c r="EN62" s="3">
        <v>1705</v>
      </c>
      <c r="EO62" s="4">
        <f>Ocaun!C62 + 'Dual Cenryia'!C62 + Byllu!C62 + Exilium!C62 + Inrea!C62 + Amcha!C62 + Isnti!C62 + Galca!C62 + Otiiric!C62 + Taing!C62 + 'Cruthi Anoso'!C62</f>
        <v>73383394.925185114</v>
      </c>
      <c r="EP62" s="6">
        <f t="shared" si="39"/>
        <v>2.242141361989472E-2</v>
      </c>
      <c r="EQ62" s="5">
        <f t="shared" si="40"/>
        <v>2.6569283378765341E-2</v>
      </c>
      <c r="EX62" s="3">
        <f t="shared" si="41"/>
        <v>1955</v>
      </c>
      <c r="EY62" s="3">
        <v>1705</v>
      </c>
      <c r="EZ62" s="4">
        <f>Sivoso!C62 + Taoisia!C62 + Seytinemas!C62 + Trian!C62 + 'Chaenia'!C62</f>
        <v>46597964.242440484</v>
      </c>
      <c r="FA62" s="6">
        <f t="shared" si="42"/>
        <v>2.8322373205030973E-2</v>
      </c>
      <c r="FB62" s="5">
        <f t="shared" si="43"/>
        <v>1.6871316979722748E-2</v>
      </c>
      <c r="FI62" s="3">
        <f t="shared" si="44"/>
        <v>1955</v>
      </c>
      <c r="FJ62" s="3">
        <v>1705</v>
      </c>
      <c r="FK62" s="4">
        <f>Migoku!C62 + 'Welenu Fana'!C62 + Haiza!C62 + Ucrua!C62 + Ihner!C62 + Oscairia!C62 + Shinam!C62 + 'Ruylku'!C62 + Taval!C62 + 'Western Migoku'!C62 + 'Pruim Fijan'!C62 + 'Canldives'!C62</f>
        <v>58424823.680383578</v>
      </c>
      <c r="FL62" s="6">
        <f t="shared" si="45"/>
        <v>1.6936573227091929E-2</v>
      </c>
      <c r="FM62" s="5">
        <f t="shared" si="46"/>
        <v>2.115336444029467E-2</v>
      </c>
      <c r="FT62" s="3">
        <f t="shared" si="47"/>
        <v>1955</v>
      </c>
      <c r="FU62" s="3">
        <v>1705</v>
      </c>
      <c r="FV62" s="4">
        <f>Vesozata!C62 + Etretes!C62 + Kusierna!C62 + Eparia!C62</f>
        <v>35625660.880117506</v>
      </c>
      <c r="FW62" s="6">
        <f t="shared" si="48"/>
        <v>2.4574321092040771E-2</v>
      </c>
      <c r="FX62" s="5">
        <f t="shared" si="49"/>
        <v>1.2898671156392387E-2</v>
      </c>
      <c r="GE62" s="3">
        <f t="shared" si="50"/>
        <v>1955</v>
      </c>
      <c r="GF62" s="3">
        <v>1705</v>
      </c>
      <c r="GG62" s="4">
        <f>Dahe!C62 + Kaastini!C62 + Suenan!C62 + Oyreain!C62 + Sanagara!C62 + 'North Ayre'!C62 + Stinebar!C62 + 'Cloja'!C62 + 'Pha Hii'!C62 + 'Prystr Hii'!C62</f>
        <v>598947373.20114946</v>
      </c>
      <c r="GH62" s="6">
        <f t="shared" si="51"/>
        <v>1.4976109459437805E-2</v>
      </c>
      <c r="GI62" s="5">
        <f t="shared" si="52"/>
        <v>0.21685563203736338</v>
      </c>
      <c r="GP62" s="3">
        <f t="shared" si="53"/>
        <v>1955</v>
      </c>
      <c r="GQ62" s="3">
        <v>1705</v>
      </c>
      <c r="GR62" s="4">
        <f>Maalle!C62 + 'United Delet'!C62 + Ohtina!C62 + Astye!C62 + Prstreula!C62 + Veelmit!C62 + Aplasia!C62 + 'Elja and Munusia'!C62 + Walporein!C62 + 'Crila Republic'!C62 + 'Niretui and Anulan'!C62 + 'Rethern'!C62 + Tvecoca!C62</f>
        <v>66018595.376432925</v>
      </c>
      <c r="GS62" s="6">
        <f t="shared" si="54"/>
        <v>1.9361708118930423E-2</v>
      </c>
      <c r="GT62" s="5">
        <f t="shared" si="55"/>
        <v>2.3902774879968107E-2</v>
      </c>
      <c r="HA62" s="3">
        <f t="shared" si="56"/>
        <v>1955</v>
      </c>
      <c r="HB62" s="3">
        <v>1705</v>
      </c>
      <c r="HC62" s="4">
        <f>Andsaudare!C62 + Nia!C62 + Umarcia!C62 + Mendereide!C62 + Iainoa!C62 + Isari!C62 + 'Rkmepuia'!C62 + Hiwush!C62 + Isuibul!C62 + Yutnitu!C62</f>
        <v>20726752.567176234</v>
      </c>
      <c r="HD62" s="6">
        <f t="shared" si="57"/>
        <v>2.4378896497915938E-2</v>
      </c>
      <c r="HE62" s="5">
        <f t="shared" si="58"/>
        <v>7.5043538533519031E-3</v>
      </c>
      <c r="HL62" s="3">
        <f t="shared" si="59"/>
        <v>1955</v>
      </c>
      <c r="HM62" s="3">
        <v>1705</v>
      </c>
      <c r="HN62" s="4">
        <f>Zhanshe!C62 + Volver!C62 + Finae!C62 + Myla!C62 + 'Nheyes Si'!C62 + Onphello!C62 + Hyelen!C62</f>
        <v>37195665.827652648</v>
      </c>
      <c r="HO62" s="6">
        <f t="shared" si="60"/>
        <v>2.9510593643324361E-2</v>
      </c>
      <c r="HP62" s="5">
        <f t="shared" si="61"/>
        <v>1.3467109103419129E-2</v>
      </c>
      <c r="HW62" s="3">
        <f t="shared" si="62"/>
        <v>1955</v>
      </c>
      <c r="HX62" s="3">
        <v>1705</v>
      </c>
      <c r="HY62" s="4">
        <f>Yihnurda!C62 + Ztesh!C62 + Wundry!C62 + Anymna!C62 + Shomjind!C62 + Baluyde!C62 + Letan!C62</f>
        <v>165274763.97383311</v>
      </c>
      <c r="HZ62" s="6">
        <f t="shared" si="63"/>
        <v>1.7858723282626009E-2</v>
      </c>
      <c r="IA62" s="5">
        <f t="shared" si="64"/>
        <v>5.9839586923666054E-2</v>
      </c>
      <c r="IH62" s="3">
        <f t="shared" si="65"/>
        <v>1955</v>
      </c>
      <c r="II62" s="3">
        <v>1705</v>
      </c>
      <c r="IJ62" s="4">
        <f>Iareva!C62 + 'United Mihili'!C62 + 'Mesjan Hyaa'!C62 + Desaki!C62 + 'Far Lands'!C62</f>
        <v>19742247.992797717</v>
      </c>
      <c r="IK62" s="6">
        <f t="shared" si="66"/>
        <v>1.9261059818068527E-2</v>
      </c>
      <c r="IL62" s="5">
        <f t="shared" si="67"/>
        <v>7.1479029007757598E-3</v>
      </c>
      <c r="IS62" s="3">
        <f t="shared" si="68"/>
        <v>1955</v>
      </c>
      <c r="IT62" s="3">
        <v>1705</v>
      </c>
      <c r="IU62" s="4">
        <f>Verste!C62 + Quidic!C62 + Erkizil!C62 + Ashain!C62 + Ahokini!C62</f>
        <v>128605969.11126636</v>
      </c>
      <c r="IV62" s="6">
        <f t="shared" si="69"/>
        <v>2.2878155930079525E-2</v>
      </c>
      <c r="IW62" s="5">
        <f t="shared" si="70"/>
        <v>4.656323737817801E-2</v>
      </c>
    </row>
    <row r="63" spans="1:257" ht="22.5" customHeight="1">
      <c r="A63" s="3">
        <f t="shared" si="0"/>
        <v>1954</v>
      </c>
      <c r="B63" s="3">
        <v>1704</v>
      </c>
      <c r="C63" s="4">
        <f>Acetoa!C63 + Acrana!C63 + Aetintio!C63 + Ahokini!C63 + Amcha!C63 + Andsaudare!C63 + Anymna!C63 + Aplasia!C63 + Arbiya!C63 + 'Areoix Lie'!C63 + Ashain!C63 + Astye!C63 + Baluyde!C63 + Byllu!C63 + 'Candenat'!C63 + 'Canldives'!C63 + 'Chaenia'!C63 + 'Cloja'!C63 + 'Crila Republic'!C63 + 'Cruthi Anoso'!C63 + 'Curata'!C63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'Raledria'!C63 + 'Reerica'!C63 + 'Rethern'!C63 + 'Rijan bu'!C63 + 'Rinew'!C63 + 'Rkmepuia'!C63 + 'Rtesania'!C63 + 'Ruylku'!C63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2707679766.426837</v>
      </c>
      <c r="D63" s="5">
        <f t="shared" si="1"/>
        <v>1.9579967740173936E-2</v>
      </c>
      <c r="K63" s="3">
        <f t="shared" si="2"/>
        <v>1954</v>
      </c>
      <c r="L63" s="3">
        <v>1704</v>
      </c>
      <c r="M63" s="4">
        <f>Eldavpir!C63 + Iquir!C63 + Viussi!C63 + Umendel!C63 + 'Reerica'!C63 + Saa!C63 + Sattle!C63</f>
        <v>19939120.269531582</v>
      </c>
      <c r="N63" s="5">
        <f t="shared" si="3"/>
        <v>2.37551849698849E-2</v>
      </c>
      <c r="O63" s="5">
        <f t="shared" si="4"/>
        <v>7.3639137525646345E-3</v>
      </c>
      <c r="V63" s="3">
        <f t="shared" si="5"/>
        <v>1954</v>
      </c>
      <c r="W63" s="3">
        <v>1704</v>
      </c>
      <c r="X63" s="4">
        <f>'Areoix Lie'!C63 + Jau!C63 + Terressin!C63 + Acetoa!C63 + 'Feio Lie'!C63</f>
        <v>286074124.40605915</v>
      </c>
      <c r="Y63" s="5">
        <f t="shared" si="6"/>
        <v>2.5704230312683179E-2</v>
      </c>
      <c r="Z63" s="5">
        <f t="shared" si="7"/>
        <v>0.10565286484508249</v>
      </c>
      <c r="AG63" s="3">
        <f t="shared" si="8"/>
        <v>1954</v>
      </c>
      <c r="AH63" s="3">
        <v>1704</v>
      </c>
      <c r="AI63" s="4">
        <f>Taniduna!C63 + Jathua!C63 + Deschon!C63 + Pelines!C63 + 'Candenat'!C63 + Othya!C63 + Yoprioq!C63 + Jshain!C63 + 'Fire Coast'!C63 + 'Rijan bu'!C63 + 'Rinew'!C63 + Enina!C63 + Trevilla!C63</f>
        <v>52499390.889869839</v>
      </c>
      <c r="AJ63" s="5">
        <f t="shared" si="9"/>
        <v>2.2389599572588861E-2</v>
      </c>
      <c r="AK63" s="5">
        <f t="shared" si="10"/>
        <v>1.9389069394698082E-2</v>
      </c>
      <c r="AR63" s="3">
        <f t="shared" si="11"/>
        <v>1954</v>
      </c>
      <c r="AS63" s="3">
        <v>1704</v>
      </c>
      <c r="AT63" s="4">
        <f>Gaeiya!C63 + 'Raledria'!C63 + Arbiya!C63 + Fincen!C63 + 'Curata'!C63</f>
        <v>131280643.37568767</v>
      </c>
      <c r="AU63" s="5">
        <f t="shared" si="12"/>
        <v>2.0031351762447538E-2</v>
      </c>
      <c r="AV63" s="5">
        <f t="shared" si="13"/>
        <v>4.8484553086176392E-2</v>
      </c>
      <c r="BC63" s="3">
        <f t="shared" si="14"/>
        <v>1954</v>
      </c>
      <c r="BD63" s="3">
        <v>1704</v>
      </c>
      <c r="BE63" s="4">
        <f>Etirha!C63 + Laselteh!C63 + Grazail!C63 + 'Disal Nila'!C63 + Pelan!C63 + Peka!C63 + Guise!C63</f>
        <v>51420211.800748773</v>
      </c>
      <c r="BF63" s="5">
        <f t="shared" si="15"/>
        <v>2.0600849646407331E-2</v>
      </c>
      <c r="BG63" s="5">
        <f t="shared" si="16"/>
        <v>1.8990507089619742E-2</v>
      </c>
      <c r="BN63" s="3">
        <f t="shared" si="17"/>
        <v>1954</v>
      </c>
      <c r="BO63" s="3">
        <v>1704</v>
      </c>
      <c r="BP63" s="4">
        <f>Genaire!C63 + 'New Misos'!C63 + Phuris!C63 + Lasri!C63 + Slyiaduun!C63 + Aetintio!C63 + Metndria!C63 + Tomscilus!C63</f>
        <v>35373539.454223119</v>
      </c>
      <c r="BQ63" s="5">
        <f t="shared" si="18"/>
        <v>2.5065324663524766E-2</v>
      </c>
      <c r="BR63" s="5">
        <f t="shared" si="19"/>
        <v>1.3064151785166036E-2</v>
      </c>
      <c r="BY63" s="3">
        <f t="shared" si="20"/>
        <v>1954</v>
      </c>
      <c r="BZ63" s="3">
        <v>1704</v>
      </c>
      <c r="CA63" s="4">
        <f>Ealdorii!C63 + Ukhdari!C63 + Hkuqo!C63 + Acrana!C63 + Zenashan!C63</f>
        <v>128145526.37762742</v>
      </c>
      <c r="CB63" s="7">
        <f t="shared" si="21"/>
        <v>1.2342442403616989E-2</v>
      </c>
      <c r="CC63" s="5">
        <f t="shared" si="22"/>
        <v>4.7326692013780272E-2</v>
      </c>
      <c r="CJ63" s="3">
        <f t="shared" si="23"/>
        <v>1954</v>
      </c>
      <c r="CK63" s="3">
        <v>1704</v>
      </c>
      <c r="CL63" s="4">
        <f>Estijan!C63 + Ikzen!C63 + Urbiqu!C63 + Danocia!C63 + Koruch!C63 + 'New Kizura'!C63 + Lydroa!C63 + Fermori!C63 + Uularin!C63 + 'Niul Spijan'!C63</f>
        <v>150906748.64977199</v>
      </c>
      <c r="CM63" s="7">
        <f t="shared" si="24"/>
        <v>2.274943765049323E-2</v>
      </c>
      <c r="CN63" s="5">
        <f t="shared" si="25"/>
        <v>5.5732864174301747E-2</v>
      </c>
      <c r="CU63" s="3">
        <f t="shared" si="26"/>
        <v>1954</v>
      </c>
      <c r="CV63" s="3">
        <v>1704</v>
      </c>
      <c r="CW63" s="4">
        <f>Praesyu!C63 + Lycroa!C63 + Emara!C63 + Eldjo!C63 + Easuhura!C63 + Ilicuhe!C63 + Tonder!C63</f>
        <v>186136882.6153073</v>
      </c>
      <c r="CX63" s="7">
        <f t="shared" si="27"/>
        <v>5.6026430466782481E-3</v>
      </c>
      <c r="CY63" s="5">
        <f t="shared" si="28"/>
        <v>6.8744053459815532E-2</v>
      </c>
      <c r="DF63" s="3">
        <f t="shared" si="29"/>
        <v>1954</v>
      </c>
      <c r="DG63" s="3">
        <v>1704</v>
      </c>
      <c r="DH63" s="4">
        <f>Verusa!C63 + Darewa!C63 + Siana!C63 + Yaxuto!C63 + 'Merela Sta'!C63 + Palina!C63</f>
        <v>121566072.73864418</v>
      </c>
      <c r="DI63" s="7">
        <f t="shared" si="30"/>
        <v>1.1079965330683174E-2</v>
      </c>
      <c r="DJ63" s="5">
        <f t="shared" si="31"/>
        <v>4.4896768903756906E-2</v>
      </c>
      <c r="DQ63" s="3">
        <f t="shared" si="32"/>
        <v>1954</v>
      </c>
      <c r="DR63" s="3">
        <v>1704</v>
      </c>
      <c r="DS63" s="4">
        <f>Sunsokua!C63 + Vayvele!C63 + Selaja!C63 + Sadain!C63</f>
        <v>59760222.882098362</v>
      </c>
      <c r="DT63" s="7">
        <f t="shared" si="33"/>
        <v>2.315041484017873E-2</v>
      </c>
      <c r="DU63" s="5">
        <f t="shared" si="34"/>
        <v>2.2070639084828099E-2</v>
      </c>
      <c r="EB63" s="3">
        <f t="shared" si="35"/>
        <v>1954</v>
      </c>
      <c r="EC63" s="3">
        <v>1704</v>
      </c>
      <c r="ED63" s="4">
        <f>Pelugrotoa!C63 + Lieri!C63 + 'Rtesania'!C63 + Ozinia!C63</f>
        <v>147774467.87707517</v>
      </c>
      <c r="EE63" s="7">
        <f t="shared" si="36"/>
        <v>3.5021115185245019E-2</v>
      </c>
      <c r="EF63" s="5">
        <f t="shared" si="37"/>
        <v>5.4576050576351683E-2</v>
      </c>
      <c r="EM63" s="3">
        <f t="shared" si="38"/>
        <v>1954</v>
      </c>
      <c r="EN63" s="3">
        <v>1704</v>
      </c>
      <c r="EO63" s="4">
        <f>Ocaun!C63 + 'Dual Cenryia'!C63 + Byllu!C63 + Exilium!C63 + Inrea!C63 + Amcha!C63 + Isnti!C63 + Galca!C63 + Otiiric!C63 + Taing!C63 + 'Cruthi Anoso'!C63</f>
        <v>71774117.744042903</v>
      </c>
      <c r="EP63" s="7">
        <f t="shared" si="39"/>
        <v>2.1906847294745777E-2</v>
      </c>
      <c r="EQ63" s="5">
        <f t="shared" si="40"/>
        <v>2.6507609442588891E-2</v>
      </c>
      <c r="EX63" s="3">
        <f t="shared" si="41"/>
        <v>1954</v>
      </c>
      <c r="EY63" s="3">
        <v>1704</v>
      </c>
      <c r="EZ63" s="4">
        <f>Sivoso!C63 + Taoisia!C63 + Seytinemas!C63 + Trian!C63 + 'Chaenia'!C63</f>
        <v>45314548.68302238</v>
      </c>
      <c r="FA63" s="7">
        <f t="shared" si="42"/>
        <v>2.801761539276474E-2</v>
      </c>
      <c r="FB63" s="5">
        <f t="shared" si="43"/>
        <v>1.6735564243928771E-2</v>
      </c>
      <c r="FI63" s="3">
        <f t="shared" si="44"/>
        <v>1954</v>
      </c>
      <c r="FJ63" s="3">
        <v>1704</v>
      </c>
      <c r="FK63" s="4">
        <f>Migoku!C63 + 'Welenu Fana'!C63 + Haiza!C63 + Ucrua!C63 + Ihner!C63 + Oscairia!C63 + Shinam!C63 + 'Ruylku'!C63 + Taval!C63 + 'Western Migoku'!C63 + 'Pruim Fijan'!C63 + 'Canldives'!C63</f>
        <v>57451787.278120384</v>
      </c>
      <c r="FL63" s="7">
        <f t="shared" si="45"/>
        <v>1.6827057278964268E-2</v>
      </c>
      <c r="FM63" s="5">
        <f t="shared" si="46"/>
        <v>2.1218087895946453E-2</v>
      </c>
      <c r="FT63" s="3">
        <f t="shared" si="47"/>
        <v>1954</v>
      </c>
      <c r="FU63" s="3">
        <v>1704</v>
      </c>
      <c r="FV63" s="4">
        <f>Vesozata!C63 + Etretes!C63 + Kusierna!C63 + Eparia!C63</f>
        <v>34771182.672376521</v>
      </c>
      <c r="FW63" s="7">
        <f t="shared" si="48"/>
        <v>2.2222667909041347E-2</v>
      </c>
      <c r="FX63" s="5">
        <f t="shared" si="49"/>
        <v>1.2841689443305909E-2</v>
      </c>
      <c r="GE63" s="3">
        <f t="shared" si="50"/>
        <v>1954</v>
      </c>
      <c r="GF63" s="3">
        <v>1704</v>
      </c>
      <c r="GG63" s="4">
        <f>Dahe!C63 + Kaastini!C63 + Suenan!C63 + Oyreain!C63 + Sanagara!C63 + 'North Ayre'!C63 + Stinebar!C63 + 'Cloja'!C63 + 'Pha Hii'!C63 + 'Prystr Hii'!C63</f>
        <v>590109823.8855499</v>
      </c>
      <c r="GH63" s="7">
        <f t="shared" si="51"/>
        <v>1.5071581756922052E-2</v>
      </c>
      <c r="GI63" s="5">
        <f t="shared" si="52"/>
        <v>0.21793929666368284</v>
      </c>
      <c r="GP63" s="3">
        <f t="shared" si="53"/>
        <v>1954</v>
      </c>
      <c r="GQ63" s="3">
        <v>1704</v>
      </c>
      <c r="GR63" s="4">
        <f>Maalle!C63 + 'United Delet'!C63 + Ohtina!C63 + Astye!C63 + Prstreula!C63 + Veelmit!C63 + Aplasia!C63 + 'Elja and Munusia'!C63 + Walporein!C63 + 'Crila Republic'!C63 + 'Niretui and Anulan'!C63 + 'Rethern'!C63 + Tvecoca!C63</f>
        <v>64764641.295247123</v>
      </c>
      <c r="GS63" s="7">
        <f t="shared" si="54"/>
        <v>1.9097552581728024E-2</v>
      </c>
      <c r="GT63" s="5">
        <f t="shared" si="55"/>
        <v>2.3918870354714489E-2</v>
      </c>
      <c r="HA63" s="3">
        <f t="shared" si="56"/>
        <v>1954</v>
      </c>
      <c r="HB63" s="3">
        <v>1704</v>
      </c>
      <c r="HC63" s="4">
        <f>Andsaudare!C63 + Nia!C63 + Umarcia!C63 + Mendereide!C63 + Iainoa!C63 + Isari!C63 + 'Rkmepuia'!C63 + Hiwush!C63 + Isuibul!C63 + Yutnitu!C63</f>
        <v>20233482.58933837</v>
      </c>
      <c r="HD63" s="7">
        <f t="shared" si="57"/>
        <v>2.4397728454556362E-2</v>
      </c>
      <c r="HE63" s="5">
        <f t="shared" si="58"/>
        <v>7.4726276128433333E-3</v>
      </c>
      <c r="HL63" s="3">
        <f t="shared" si="59"/>
        <v>1954</v>
      </c>
      <c r="HM63" s="3">
        <v>1704</v>
      </c>
      <c r="HN63" s="4">
        <f>Zhanshe!C63 + Volver!C63 + Finae!C63 + Myla!C63 + 'Nheyes Si'!C63 + Onphello!C63 + Hyelen!C63</f>
        <v>36129463.899950065</v>
      </c>
      <c r="HO63" s="7">
        <f t="shared" si="60"/>
        <v>2.8842171223152691E-2</v>
      </c>
      <c r="HP63" s="5">
        <f t="shared" si="61"/>
        <v>1.3343329720127117E-2</v>
      </c>
      <c r="HW63" s="3">
        <f t="shared" si="62"/>
        <v>1954</v>
      </c>
      <c r="HX63" s="3">
        <v>1704</v>
      </c>
      <c r="HY63" s="4">
        <f>Yihnurda!C63 + Ztesh!C63 + Wundry!C63 + Anymna!C63 + Shomjind!C63 + Baluyde!C63 + Letan!C63</f>
        <v>162374954.59175009</v>
      </c>
      <c r="HZ63" s="7">
        <f t="shared" si="63"/>
        <v>1.7399628185785009E-2</v>
      </c>
      <c r="IA63" s="5">
        <f t="shared" si="64"/>
        <v>5.9968300758854731E-2</v>
      </c>
      <c r="IH63" s="3">
        <f t="shared" si="65"/>
        <v>1954</v>
      </c>
      <c r="II63" s="3">
        <v>1704</v>
      </c>
      <c r="IJ63" s="4">
        <f>Iareva!C63 + 'United Mihili'!C63 + 'Mesjan Hyaa'!C63 + Desaki!C63 + 'Far Lands'!C63</f>
        <v>19369177.113782391</v>
      </c>
      <c r="IK63" s="7">
        <f t="shared" si="66"/>
        <v>1.9418819270710954E-2</v>
      </c>
      <c r="IL63" s="5">
        <f t="shared" si="67"/>
        <v>7.1534224076072097E-3</v>
      </c>
      <c r="IS63" s="3">
        <f t="shared" si="68"/>
        <v>1954</v>
      </c>
      <c r="IT63" s="3">
        <v>1704</v>
      </c>
      <c r="IU63" s="4">
        <f>Verste!C63 + Quidic!C63 + Erkizil!C63 + Ashain!C63 + Ahokini!C63</f>
        <v>125729509.78147335</v>
      </c>
      <c r="IV63" s="7">
        <f t="shared" si="69"/>
        <v>2.2834033082274018E-2</v>
      </c>
      <c r="IW63" s="5">
        <f t="shared" si="70"/>
        <v>4.6434409024443485E-2</v>
      </c>
    </row>
    <row r="64" spans="1:257" ht="22.5" customHeight="1">
      <c r="A64" s="3">
        <f t="shared" si="0"/>
        <v>1953</v>
      </c>
      <c r="B64" s="3">
        <v>1703</v>
      </c>
      <c r="C64" s="4">
        <f>Acetoa!C64 + Acrana!C64 + Aetintio!C64 + Ahokini!C64 + Amcha!C64 + Andsaudare!C64 + Anymna!C64 + Aplasia!C64 + Arbiya!C64 + 'Areoix Lie'!C64 + Ashain!C64 + Astye!C64 + Baluyde!C64 + Byllu!C64 + 'Candenat'!C64 + 'Canldives'!C64 + 'Chaenia'!C64 + 'Cloja'!C64 + 'Crila Republic'!C64 + 'Cruthi Anoso'!C64 + 'Curata'!C64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'Raledria'!C64 + 'Reerica'!C64 + 'Rethern'!C64 + 'Rijan bu'!C64 + 'Rinew'!C64 + 'Rkmepuia'!C64 + 'Rtesania'!C64 + 'Ruylku'!C64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2655681606.2483215</v>
      </c>
      <c r="D64" s="5">
        <f t="shared" si="1"/>
        <v>1.9381213603339418E-2</v>
      </c>
      <c r="K64" s="3">
        <f t="shared" si="2"/>
        <v>1953</v>
      </c>
      <c r="L64" s="3">
        <v>1703</v>
      </c>
      <c r="M64" s="4">
        <f>Eldavpir!C64 + Iquir!C64 + Viussi!C64 + Umendel!C64 + 'Reerica'!C64 + Saa!C64 + Sattle!C64</f>
        <v>19476453.513754968</v>
      </c>
      <c r="N64" s="5">
        <f t="shared" si="3"/>
        <v>2.3004719629022369E-2</v>
      </c>
      <c r="O64" s="5">
        <f t="shared" si="4"/>
        <v>7.3338812408575331E-3</v>
      </c>
      <c r="V64" s="3">
        <f t="shared" si="5"/>
        <v>1953</v>
      </c>
      <c r="W64" s="3">
        <v>1703</v>
      </c>
      <c r="X64" s="4">
        <f>'Areoix Lie'!C64 + Jau!C64 + Terressin!C64 + Acetoa!C64 + 'Feio Lie'!C64</f>
        <v>278905083.89426279</v>
      </c>
      <c r="Y64" s="5">
        <f t="shared" si="6"/>
        <v>2.5586401507759069E-2</v>
      </c>
      <c r="Z64" s="5">
        <f t="shared" si="7"/>
        <v>0.1050220339810508</v>
      </c>
      <c r="AG64" s="3">
        <f t="shared" si="8"/>
        <v>1953</v>
      </c>
      <c r="AH64" s="3">
        <v>1703</v>
      </c>
      <c r="AI64" s="4">
        <f>Taniduna!C64 + Jathua!C64 + Deschon!C64 + Pelines!C64 + 'Candenat'!C64 + Othya!C64 + Yoprioq!C64 + Jshain!C64 + 'Fire Coast'!C64 + 'Rijan bu'!C64 + 'Rinew'!C64 + Enina!C64 + Trevilla!C64</f>
        <v>51349691.851146832</v>
      </c>
      <c r="AJ64" s="5">
        <f t="shared" si="9"/>
        <v>2.2261433717245139E-2</v>
      </c>
      <c r="AK64" s="5">
        <f t="shared" si="10"/>
        <v>1.9335786236697437E-2</v>
      </c>
      <c r="AR64" s="3">
        <f t="shared" si="11"/>
        <v>1953</v>
      </c>
      <c r="AS64" s="3">
        <v>1703</v>
      </c>
      <c r="AT64" s="4">
        <f>Gaeiya!C64 + 'Raledria'!C64 + Arbiya!C64 + Fincen!C64 + 'Curata'!C64</f>
        <v>128702557.18008684</v>
      </c>
      <c r="AU64" s="5">
        <f t="shared" si="12"/>
        <v>2.0035522837973593E-2</v>
      </c>
      <c r="AV64" s="5">
        <f t="shared" si="13"/>
        <v>4.8463097713699499E-2</v>
      </c>
      <c r="BC64" s="3">
        <f t="shared" si="14"/>
        <v>1953</v>
      </c>
      <c r="BD64" s="3">
        <v>1703</v>
      </c>
      <c r="BE64" s="4">
        <f>Etirha!C64 + Laselteh!C64 + Grazail!C64 + 'Disal Nila'!C64 + Pelan!C64 + Peka!C64 + Guise!C64</f>
        <v>50382293.74251803</v>
      </c>
      <c r="BF64" s="5">
        <f t="shared" si="15"/>
        <v>2.0786520360178959E-2</v>
      </c>
      <c r="BG64" s="5">
        <f t="shared" si="16"/>
        <v>1.897151135285869E-2</v>
      </c>
      <c r="BN64" s="3">
        <f t="shared" si="17"/>
        <v>1953</v>
      </c>
      <c r="BO64" s="3">
        <v>1703</v>
      </c>
      <c r="BP64" s="4">
        <f>Genaire!C64 + 'New Misos'!C64 + Phuris!C64 + Lasri!C64 + Slyiaduun!C64 + Aetintio!C64 + Metndria!C64 + Tomscilus!C64</f>
        <v>34508570.920428313</v>
      </c>
      <c r="BQ64" s="5">
        <f t="shared" si="18"/>
        <v>2.5478843057716145E-2</v>
      </c>
      <c r="BR64" s="5">
        <f t="shared" si="19"/>
        <v>1.2994242547463562E-2</v>
      </c>
      <c r="BY64" s="3">
        <f t="shared" si="20"/>
        <v>1953</v>
      </c>
      <c r="BZ64" s="3">
        <v>1703</v>
      </c>
      <c r="CA64" s="4">
        <f>Ealdorii!C64 + Ukhdari!C64 + Hkuqo!C64 + Acrana!C64 + Zenashan!C64</f>
        <v>126583180.75983255</v>
      </c>
      <c r="CB64" s="6">
        <f t="shared" si="21"/>
        <v>1.1870086167691567E-2</v>
      </c>
      <c r="CC64" s="5">
        <f t="shared" si="22"/>
        <v>4.7665044055735455E-2</v>
      </c>
      <c r="CJ64" s="3">
        <f t="shared" si="23"/>
        <v>1953</v>
      </c>
      <c r="CK64" s="3">
        <v>1703</v>
      </c>
      <c r="CL64" s="4">
        <f>Estijan!C64 + Ikzen!C64 + Urbiqu!C64 + Danocia!C64 + Koruch!C64 + 'New Kizura'!C64 + Lydroa!C64 + Fermori!C64 + Uularin!C64 + 'Niul Spijan'!C64</f>
        <v>147550067.58687824</v>
      </c>
      <c r="CM64" s="6">
        <f t="shared" si="24"/>
        <v>2.0267509603920708E-2</v>
      </c>
      <c r="CN64" s="5">
        <f t="shared" si="25"/>
        <v>5.5560149695551064E-2</v>
      </c>
      <c r="CU64" s="3">
        <f t="shared" si="26"/>
        <v>1953</v>
      </c>
      <c r="CV64" s="3">
        <v>1703</v>
      </c>
      <c r="CW64" s="4">
        <f>Praesyu!C64 + Lycroa!C64 + Emara!C64 + Eldjo!C64 + Easuhura!C64 + Ilicuhe!C64 + Tonder!C64</f>
        <v>185099834.3156375</v>
      </c>
      <c r="CX64" s="6">
        <f t="shared" si="27"/>
        <v>7.6309143218865191E-3</v>
      </c>
      <c r="CY64" s="5">
        <f t="shared" si="28"/>
        <v>6.9699558064540659E-2</v>
      </c>
      <c r="DF64" s="3">
        <f t="shared" si="29"/>
        <v>1953</v>
      </c>
      <c r="DG64" s="3">
        <v>1703</v>
      </c>
      <c r="DH64" s="4">
        <f>Verusa!C64 + Darewa!C64 + Siana!C64 + Yaxuto!C64 + 'Merela Sta'!C64 + Palina!C64</f>
        <v>120233885.45621598</v>
      </c>
      <c r="DI64" s="6">
        <f t="shared" si="30"/>
        <v>1.109581386208704E-2</v>
      </c>
      <c r="DJ64" s="5">
        <f t="shared" si="31"/>
        <v>4.5274209518689351E-2</v>
      </c>
      <c r="DQ64" s="3">
        <f t="shared" si="32"/>
        <v>1953</v>
      </c>
      <c r="DR64" s="3">
        <v>1703</v>
      </c>
      <c r="DS64" s="4">
        <f>Sunsokua!C64 + Vayvele!C64 + Selaja!C64 + Sadain!C64</f>
        <v>58408052.242673635</v>
      </c>
      <c r="DT64" s="6">
        <f t="shared" si="33"/>
        <v>2.2458656041418341E-2</v>
      </c>
      <c r="DU64" s="5">
        <f t="shared" si="34"/>
        <v>2.1993620057935568E-2</v>
      </c>
      <c r="EB64" s="3">
        <f t="shared" si="35"/>
        <v>1953</v>
      </c>
      <c r="EC64" s="3">
        <v>1703</v>
      </c>
      <c r="ED64" s="4">
        <f>Pelugrotoa!C64 + Lieri!C64 + 'Rtesania'!C64 + Ozinia!C64</f>
        <v>142774350.88908976</v>
      </c>
      <c r="EE64" s="6">
        <f t="shared" si="36"/>
        <v>3.4538713112929685E-2</v>
      </c>
      <c r="EF64" s="5">
        <f t="shared" si="37"/>
        <v>5.3761848014147649E-2</v>
      </c>
      <c r="EM64" s="3">
        <f t="shared" si="38"/>
        <v>1953</v>
      </c>
      <c r="EN64" s="3">
        <v>1703</v>
      </c>
      <c r="EO64" s="4">
        <f>Ocaun!C64 + 'Dual Cenryia'!C64 + Byllu!C64 + Exilium!C64 + Inrea!C64 + Amcha!C64 + Isnti!C64 + Galca!C64 + Otiiric!C64 + Taing!C64 + 'Cruthi Anoso'!C64</f>
        <v>70235479.813104033</v>
      </c>
      <c r="EP64" s="6">
        <f t="shared" si="39"/>
        <v>2.1588814534206763E-2</v>
      </c>
      <c r="EQ64" s="5">
        <f t="shared" si="40"/>
        <v>2.6447251676501093E-2</v>
      </c>
      <c r="EX64" s="3">
        <f t="shared" si="41"/>
        <v>1953</v>
      </c>
      <c r="EY64" s="3">
        <v>1703</v>
      </c>
      <c r="EZ64" s="4">
        <f>Sivoso!C64 + Taoisia!C64 + Seytinemas!C64 + Trian!C64 + 'Chaenia'!C64</f>
        <v>44079544.946036249</v>
      </c>
      <c r="FA64" s="6">
        <f t="shared" si="42"/>
        <v>2.719366938910937E-2</v>
      </c>
      <c r="FB64" s="5">
        <f t="shared" si="43"/>
        <v>1.6598203957253511E-2</v>
      </c>
      <c r="FI64" s="3">
        <f t="shared" si="44"/>
        <v>1953</v>
      </c>
      <c r="FJ64" s="3">
        <v>1703</v>
      </c>
      <c r="FK64" s="4">
        <f>Migoku!C64 + 'Welenu Fana'!C64 + Haiza!C64 + Ucrua!C64 + Ihner!C64 + Oscairia!C64 + Shinam!C64 + 'Ruylku'!C64 + Taval!C64 + 'Western Migoku'!C64 + 'Pruim Fijan'!C64 + 'Canldives'!C64</f>
        <v>56501041.024480343</v>
      </c>
      <c r="FL64" s="6">
        <f t="shared" si="45"/>
        <v>1.6404071786542133E-2</v>
      </c>
      <c r="FM64" s="5">
        <f t="shared" si="46"/>
        <v>2.1275532763997001E-2</v>
      </c>
      <c r="FT64" s="3">
        <f t="shared" si="47"/>
        <v>1953</v>
      </c>
      <c r="FU64" s="3">
        <v>1703</v>
      </c>
      <c r="FV64" s="4">
        <f>Vesozata!C64 + Etretes!C64 + Kusierna!C64 + Eparia!C64</f>
        <v>34015272.566300109</v>
      </c>
      <c r="FW64" s="6">
        <f t="shared" si="48"/>
        <v>2.1065246396025458E-2</v>
      </c>
      <c r="FX64" s="5">
        <f t="shared" si="49"/>
        <v>1.2808490478025883E-2</v>
      </c>
      <c r="GE64" s="3">
        <f t="shared" si="50"/>
        <v>1953</v>
      </c>
      <c r="GF64" s="3">
        <v>1703</v>
      </c>
      <c r="GG64" s="4">
        <f>Dahe!C64 + Kaastini!C64 + Suenan!C64 + Oyreain!C64 + Sanagara!C64 + 'North Ayre'!C64 + Stinebar!C64 + 'Cloja'!C64 + 'Pha Hii'!C64 + 'Prystr Hii'!C64</f>
        <v>581347990.12318599</v>
      </c>
      <c r="GH64" s="6">
        <f t="shared" si="51"/>
        <v>1.5120621329353478E-2</v>
      </c>
      <c r="GI64" s="5">
        <f t="shared" si="52"/>
        <v>0.21890726235983374</v>
      </c>
      <c r="GP64" s="3">
        <f t="shared" si="53"/>
        <v>1953</v>
      </c>
      <c r="GQ64" s="3">
        <v>1703</v>
      </c>
      <c r="GR64" s="4">
        <f>Maalle!C64 + 'United Delet'!C64 + Ohtina!C64 + Astye!C64 + Prstreula!C64 + Veelmit!C64 + Aplasia!C64 + 'Elja and Munusia'!C64 + Walporein!C64 + 'Crila Republic'!C64 + 'Niretui and Anulan'!C64 + 'Rethern'!C64 + Tvecoca!C64</f>
        <v>63550973.24213545</v>
      </c>
      <c r="GS64" s="6">
        <f t="shared" si="54"/>
        <v>1.8816990993614339E-2</v>
      </c>
      <c r="GT64" s="5">
        <f t="shared" si="55"/>
        <v>2.3930192946553498E-2</v>
      </c>
      <c r="HA64" s="3">
        <f t="shared" si="56"/>
        <v>1953</v>
      </c>
      <c r="HB64" s="3">
        <v>1703</v>
      </c>
      <c r="HC64" s="4">
        <f>Andsaudare!C64 + Nia!C64 + Umarcia!C64 + Mendereide!C64 + Iainoa!C64 + Isari!C64 + 'Rkmepuia'!C64 + Hiwush!C64 + Isuibul!C64 + Yutnitu!C64</f>
        <v>19751588.69188761</v>
      </c>
      <c r="HD64" s="6">
        <f t="shared" si="57"/>
        <v>2.4154562727734068E-2</v>
      </c>
      <c r="HE64" s="5">
        <f t="shared" si="58"/>
        <v>7.4374837124359409E-3</v>
      </c>
      <c r="HL64" s="3">
        <f t="shared" si="59"/>
        <v>1953</v>
      </c>
      <c r="HM64" s="3">
        <v>1703</v>
      </c>
      <c r="HN64" s="4">
        <f>Zhanshe!C64 + Volver!C64 + Finae!C64 + Myla!C64 + 'Nheyes Si'!C64 + Onphello!C64 + Hyelen!C64</f>
        <v>35116624.211658306</v>
      </c>
      <c r="HO64" s="6">
        <f t="shared" si="60"/>
        <v>2.8250555151281189E-2</v>
      </c>
      <c r="HP64" s="5">
        <f t="shared" si="61"/>
        <v>1.3223205722039669E-2</v>
      </c>
      <c r="HW64" s="3">
        <f t="shared" si="62"/>
        <v>1953</v>
      </c>
      <c r="HX64" s="3">
        <v>1703</v>
      </c>
      <c r="HY64" s="4">
        <f>Yihnurda!C64 + Ztesh!C64 + Wundry!C64 + Anymna!C64 + Shomjind!C64 + Baluyde!C64 + Letan!C64</f>
        <v>159598008.5832105</v>
      </c>
      <c r="HZ64" s="6">
        <f t="shared" si="63"/>
        <v>1.6936707496371849E-2</v>
      </c>
      <c r="IA64" s="5">
        <f t="shared" si="64"/>
        <v>6.0096815901313723E-2</v>
      </c>
      <c r="IH64" s="3">
        <f t="shared" si="65"/>
        <v>1953</v>
      </c>
      <c r="II64" s="3">
        <v>1703</v>
      </c>
      <c r="IJ64" s="4">
        <f>Iareva!C64 + 'United Mihili'!C64 + 'Mesjan Hyaa'!C64 + Desaki!C64 + 'Far Lands'!C64</f>
        <v>19000215.365495253</v>
      </c>
      <c r="IK64" s="6">
        <f t="shared" si="66"/>
        <v>1.9199097048289693E-2</v>
      </c>
      <c r="IL64" s="5">
        <f t="shared" si="67"/>
        <v>7.1545532117974174E-3</v>
      </c>
      <c r="IS64" s="3">
        <f t="shared" si="68"/>
        <v>1953</v>
      </c>
      <c r="IT64" s="3">
        <v>1703</v>
      </c>
      <c r="IU64" s="4">
        <f>Verste!C64 + Quidic!C64 + Erkizil!C64 + Ashain!C64 + Ahokini!C64</f>
        <v>122922689.03351988</v>
      </c>
      <c r="IV64" s="6">
        <f t="shared" si="69"/>
        <v>2.276663818591779E-2</v>
      </c>
      <c r="IW64" s="5">
        <f t="shared" si="70"/>
        <v>4.6286681635443729E-2</v>
      </c>
    </row>
    <row r="65" spans="1:257" ht="22.5" customHeight="1">
      <c r="A65" s="3">
        <f t="shared" si="0"/>
        <v>1952</v>
      </c>
      <c r="B65" s="3">
        <v>1702</v>
      </c>
      <c r="C65" s="4">
        <f>Acetoa!C65 + Acrana!C65 + Aetintio!C65 + Ahokini!C65 + Amcha!C65 + Andsaudare!C65 + Anymna!C65 + Aplasia!C65 + Arbiya!C65 + 'Areoix Lie'!C65 + Ashain!C65 + Astye!C65 + Baluyde!C65 + Byllu!C65 + 'Candenat'!C65 + 'Canldives'!C65 + 'Chaenia'!C65 + 'Cloja'!C65 + 'Crila Republic'!C65 + 'Cruthi Anoso'!C65 + 'Curata'!C65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'Raledria'!C65 + 'Reerica'!C65 + 'Rethern'!C65 + 'Rijan bu'!C65 + 'Rinew'!C65 + 'Rkmepuia'!C65 + 'Rtesania'!C65 + 'Ruylku'!C65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2605189864.9975491</v>
      </c>
      <c r="D65" s="5">
        <f t="shared" si="1"/>
        <v>1.9074876490621874E-2</v>
      </c>
      <c r="K65" s="3">
        <f t="shared" si="2"/>
        <v>1952</v>
      </c>
      <c r="L65" s="3">
        <v>1702</v>
      </c>
      <c r="M65" s="4">
        <f>Eldavpir!C65 + Iquir!C65 + Viussi!C65 + Umendel!C65 + 'Reerica'!C65 + Saa!C65 + Sattle!C65</f>
        <v>19038478.650242999</v>
      </c>
      <c r="N65" s="5">
        <f t="shared" si="3"/>
        <v>2.2285246002083911E-2</v>
      </c>
      <c r="O65" s="5">
        <f t="shared" si="4"/>
        <v>7.3079044664028396E-3</v>
      </c>
      <c r="V65" s="3">
        <f t="shared" si="5"/>
        <v>1952</v>
      </c>
      <c r="W65" s="3">
        <v>1702</v>
      </c>
      <c r="X65" s="4">
        <f>'Areoix Lie'!C65 + Jau!C65 + Terressin!C65 + Acetoa!C65 + 'Feio Lie'!C65</f>
        <v>271946940.29116642</v>
      </c>
      <c r="Y65" s="5">
        <f t="shared" si="6"/>
        <v>2.5549361133947492E-2</v>
      </c>
      <c r="Z65" s="5">
        <f t="shared" si="7"/>
        <v>0.10438661072075922</v>
      </c>
      <c r="AG65" s="3">
        <f t="shared" si="8"/>
        <v>1952</v>
      </c>
      <c r="AH65" s="3">
        <v>1702</v>
      </c>
      <c r="AI65" s="4">
        <f>Taniduna!C65 + Jathua!C65 + Deschon!C65 + Pelines!C65 + 'Candenat'!C65 + Othya!C65 + Yoprioq!C65 + Jshain!C65 + 'Fire Coast'!C65 + 'Rijan bu'!C65 + 'Rinew'!C65 + Enina!C65 + Trevilla!C65</f>
        <v>50231467.369774632</v>
      </c>
      <c r="AJ65" s="5">
        <f t="shared" si="9"/>
        <v>2.176875504091462E-2</v>
      </c>
      <c r="AK65" s="5">
        <f t="shared" si="10"/>
        <v>1.9281307686885959E-2</v>
      </c>
      <c r="AR65" s="3">
        <f t="shared" si="11"/>
        <v>1952</v>
      </c>
      <c r="AS65" s="3">
        <v>1702</v>
      </c>
      <c r="AT65" s="4">
        <f>Gaeiya!C65 + 'Raledria'!C65 + Arbiya!C65 + Fincen!C65 + 'Curata'!C65</f>
        <v>126174583.43215999</v>
      </c>
      <c r="AU65" s="5">
        <f t="shared" si="12"/>
        <v>2.0914819897308486E-2</v>
      </c>
      <c r="AV65" s="5">
        <f t="shared" si="13"/>
        <v>4.8432010705783506E-2</v>
      </c>
      <c r="BC65" s="3">
        <f t="shared" si="14"/>
        <v>1952</v>
      </c>
      <c r="BD65" s="3">
        <v>1702</v>
      </c>
      <c r="BE65" s="4">
        <f>Etirha!C65 + Laselteh!C65 + Grazail!C65 + 'Disal Nila'!C65 + Pelan!C65 + Peka!C65 + Guise!C65</f>
        <v>49356347.030073352</v>
      </c>
      <c r="BF65" s="5">
        <f t="shared" si="15"/>
        <v>2.1342238328561802E-2</v>
      </c>
      <c r="BG65" s="5">
        <f t="shared" si="16"/>
        <v>1.89453934598812E-2</v>
      </c>
      <c r="BN65" s="3">
        <f t="shared" si="17"/>
        <v>1952</v>
      </c>
      <c r="BO65" s="3">
        <v>1702</v>
      </c>
      <c r="BP65" s="4">
        <f>Genaire!C65 + 'New Misos'!C65 + Phuris!C65 + Lasri!C65 + Slyiaduun!C65 + Aetintio!C65 + Metndria!C65 + Tomscilus!C65</f>
        <v>33651177.841497503</v>
      </c>
      <c r="BQ65" s="5">
        <f t="shared" si="18"/>
        <v>2.5678515556064183E-2</v>
      </c>
      <c r="BR65" s="5">
        <f t="shared" si="19"/>
        <v>1.2916977105439938E-2</v>
      </c>
      <c r="BY65" s="3">
        <f t="shared" si="20"/>
        <v>1952</v>
      </c>
      <c r="BZ65" s="3">
        <v>1702</v>
      </c>
      <c r="CA65" s="4">
        <f>Ealdorii!C65 + Ukhdari!C65 + Hkuqo!C65 + Acrana!C65 + Zenashan!C65</f>
        <v>125098253.70888039</v>
      </c>
      <c r="CB65" s="7">
        <f t="shared" si="21"/>
        <v>1.160001591562892E-2</v>
      </c>
      <c r="CC65" s="5">
        <f t="shared" si="22"/>
        <v>4.8018862421375992E-2</v>
      </c>
      <c r="CJ65" s="3">
        <f t="shared" si="23"/>
        <v>1952</v>
      </c>
      <c r="CK65" s="3">
        <v>1702</v>
      </c>
      <c r="CL65" s="4">
        <f>Estijan!C65 + Ikzen!C65 + Urbiqu!C65 + Danocia!C65 + Koruch!C65 + 'New Kizura'!C65 + Lydroa!C65 + Fermori!C65 + Uularin!C65 + 'Niul Spijan'!C65</f>
        <v>144619000.60324261</v>
      </c>
      <c r="CM65" s="7">
        <f t="shared" si="24"/>
        <v>1.8819983817047109E-2</v>
      </c>
      <c r="CN65" s="5">
        <f t="shared" si="25"/>
        <v>5.5511885159041437E-2</v>
      </c>
      <c r="CU65" s="3">
        <f t="shared" si="26"/>
        <v>1952</v>
      </c>
      <c r="CV65" s="3">
        <v>1702</v>
      </c>
      <c r="CW65" s="4">
        <f>Praesyu!C65 + Lycroa!C65 + Emara!C65 + Eldjo!C65 + Easuhura!C65 + Ilicuhe!C65 + Tonder!C65</f>
        <v>183698050.23321027</v>
      </c>
      <c r="CX65" s="7">
        <f t="shared" si="27"/>
        <v>5.8918982533503472E-3</v>
      </c>
      <c r="CY65" s="5">
        <f t="shared" si="28"/>
        <v>7.0512346413332566E-2</v>
      </c>
      <c r="DF65" s="3">
        <f t="shared" si="29"/>
        <v>1952</v>
      </c>
      <c r="DG65" s="3">
        <v>1702</v>
      </c>
      <c r="DH65" s="4">
        <f>Verusa!C65 + Darewa!C65 + Siana!C65 + Yaxuto!C65 + 'Merela Sta'!C65 + Palina!C65</f>
        <v>118914433.04166999</v>
      </c>
      <c r="DI65" s="7">
        <f t="shared" si="30"/>
        <v>1.1610242274599222E-2</v>
      </c>
      <c r="DJ65" s="5">
        <f t="shared" si="31"/>
        <v>4.5645207913390169E-2</v>
      </c>
      <c r="DQ65" s="3">
        <f t="shared" si="32"/>
        <v>1952</v>
      </c>
      <c r="DR65" s="3">
        <v>1702</v>
      </c>
      <c r="DS65" s="4">
        <f>Sunsokua!C65 + Vayvele!C65 + Selaja!C65 + Sadain!C65</f>
        <v>57125099.286467001</v>
      </c>
      <c r="DT65" s="7">
        <f t="shared" si="33"/>
        <v>2.1871170857457153E-2</v>
      </c>
      <c r="DU65" s="5">
        <f t="shared" si="34"/>
        <v>2.192742266273201E-2</v>
      </c>
      <c r="EB65" s="3">
        <f t="shared" si="35"/>
        <v>1952</v>
      </c>
      <c r="EC65" s="3">
        <v>1702</v>
      </c>
      <c r="ED65" s="4">
        <f>Pelugrotoa!C65 + Lieri!C65 + 'Rtesania'!C65 + Ozinia!C65</f>
        <v>138007741.11147699</v>
      </c>
      <c r="EE65" s="7">
        <f t="shared" si="36"/>
        <v>3.4351550999723042E-2</v>
      </c>
      <c r="EF65" s="5">
        <f t="shared" si="37"/>
        <v>5.2974158607670935E-2</v>
      </c>
      <c r="EM65" s="3">
        <f t="shared" si="38"/>
        <v>1952</v>
      </c>
      <c r="EN65" s="3">
        <v>1702</v>
      </c>
      <c r="EO65" s="4">
        <f>Ocaun!C65 + 'Dual Cenryia'!C65 + Byllu!C65 + Exilium!C65 + Inrea!C65 + Amcha!C65 + Isnti!C65 + Galca!C65 + Otiiric!C65 + Taing!C65 + 'Cruthi Anoso'!C65</f>
        <v>68751222.423209369</v>
      </c>
      <c r="EP65" s="7">
        <f t="shared" si="39"/>
        <v>2.1357492311743262E-2</v>
      </c>
      <c r="EQ65" s="5">
        <f t="shared" si="40"/>
        <v>2.6390100524697861E-2</v>
      </c>
      <c r="EX65" s="3">
        <f t="shared" si="41"/>
        <v>1952</v>
      </c>
      <c r="EY65" s="3">
        <v>1702</v>
      </c>
      <c r="EZ65" s="4">
        <f>Sivoso!C65 + Taoisia!C65 + Seytinemas!C65 + Trian!C65 + 'Chaenia'!C65</f>
        <v>42912594.050790004</v>
      </c>
      <c r="FA65" s="7">
        <f t="shared" si="42"/>
        <v>2.613268655515856E-2</v>
      </c>
      <c r="FB65" s="5">
        <f t="shared" si="43"/>
        <v>1.647196414639452E-2</v>
      </c>
      <c r="FI65" s="3">
        <f t="shared" si="44"/>
        <v>1952</v>
      </c>
      <c r="FJ65" s="3">
        <v>1702</v>
      </c>
      <c r="FK65" s="4">
        <f>Migoku!C65 + 'Welenu Fana'!C65 + Haiza!C65 + Ucrua!C65 + Ihner!C65 + Oscairia!C65 + Shinam!C65 + 'Ruylku'!C65 + Taval!C65 + 'Western Migoku'!C65 + 'Pruim Fijan'!C65 + 'Canldives'!C65</f>
        <v>55589152.575085595</v>
      </c>
      <c r="FL65" s="7">
        <f t="shared" si="45"/>
        <v>1.606533993693712E-2</v>
      </c>
      <c r="FM65" s="5">
        <f t="shared" si="46"/>
        <v>2.133785077316731E-2</v>
      </c>
      <c r="FT65" s="3">
        <f t="shared" si="47"/>
        <v>1952</v>
      </c>
      <c r="FU65" s="3">
        <v>1702</v>
      </c>
      <c r="FV65" s="4">
        <f>Vesozata!C65 + Etretes!C65 + Kusierna!C65 + Eparia!C65</f>
        <v>33313515.161113523</v>
      </c>
      <c r="FW65" s="7">
        <f t="shared" si="48"/>
        <v>2.3384164473413946E-2</v>
      </c>
      <c r="FX65" s="5">
        <f t="shared" si="49"/>
        <v>1.278736556160557E-2</v>
      </c>
      <c r="GE65" s="3">
        <f t="shared" si="50"/>
        <v>1952</v>
      </c>
      <c r="GF65" s="3">
        <v>1702</v>
      </c>
      <c r="GG65" s="4">
        <f>Dahe!C65 + Kaastini!C65 + Suenan!C65 + Oyreain!C65 + Sanagara!C65 + 'North Ayre'!C65 + Stinebar!C65 + 'Cloja'!C65 + 'Pha Hii'!C65 + 'Prystr Hii'!C65</f>
        <v>572688582.92119062</v>
      </c>
      <c r="GH65" s="7">
        <f t="shared" si="51"/>
        <v>1.5060338542681823E-2</v>
      </c>
      <c r="GI65" s="5">
        <f t="shared" si="52"/>
        <v>0.21982604439532064</v>
      </c>
      <c r="GP65" s="3">
        <f t="shared" si="53"/>
        <v>1952</v>
      </c>
      <c r="GQ65" s="3">
        <v>1702</v>
      </c>
      <c r="GR65" s="4">
        <f>Maalle!C65 + 'United Delet'!C65 + Ohtina!C65 + Astye!C65 + Prstreula!C65 + Veelmit!C65 + Aplasia!C65 + 'Elja and Munusia'!C65 + Walporein!C65 + 'Crila Republic'!C65 + 'Niretui and Anulan'!C65 + 'Rethern'!C65 + Tvecoca!C65</f>
        <v>62377221.624618322</v>
      </c>
      <c r="GS65" s="7">
        <f t="shared" si="54"/>
        <v>1.8415522404993008E-2</v>
      </c>
      <c r="GT65" s="5">
        <f t="shared" si="55"/>
        <v>2.3943445528749208E-2</v>
      </c>
      <c r="HA65" s="3">
        <f t="shared" si="56"/>
        <v>1952</v>
      </c>
      <c r="HB65" s="3">
        <v>1702</v>
      </c>
      <c r="HC65" s="4">
        <f>Andsaudare!C65 + Nia!C65 + Umarcia!C65 + Mendereide!C65 + Iainoa!C65 + Isari!C65 + 'Rkmepuia'!C65 + Hiwush!C65 + Isuibul!C65 + Yutnitu!C65</f>
        <v>19285749.837681934</v>
      </c>
      <c r="HD65" s="7">
        <f t="shared" si="57"/>
        <v>2.4065025408591158E-2</v>
      </c>
      <c r="HE65" s="5">
        <f t="shared" si="58"/>
        <v>7.4028193095630971E-3</v>
      </c>
      <c r="HL65" s="3">
        <f t="shared" si="59"/>
        <v>1952</v>
      </c>
      <c r="HM65" s="3">
        <v>1702</v>
      </c>
      <c r="HN65" s="4">
        <f>Zhanshe!C65 + Volver!C65 + Finae!C65 + Myla!C65 + 'Nheyes Si'!C65 + Onphello!C65 + Hyelen!C65</f>
        <v>34151816.437863998</v>
      </c>
      <c r="HO65" s="7">
        <f t="shared" si="60"/>
        <v>2.7839416106690249E-2</v>
      </c>
      <c r="HP65" s="5">
        <f t="shared" si="61"/>
        <v>1.310914682139535E-2</v>
      </c>
      <c r="HW65" s="3">
        <f t="shared" si="62"/>
        <v>1952</v>
      </c>
      <c r="HX65" s="3">
        <v>1702</v>
      </c>
      <c r="HY65" s="4">
        <f>Yihnurda!C65 + Ztesh!C65 + Wundry!C65 + Anymna!C65 + Shomjind!C65 + Baluyde!C65 + Letan!C65</f>
        <v>156939962.34645694</v>
      </c>
      <c r="HZ65" s="7">
        <f t="shared" si="63"/>
        <v>1.660612637655531E-2</v>
      </c>
      <c r="IA65" s="5">
        <f t="shared" si="64"/>
        <v>6.0241276252087902E-2</v>
      </c>
      <c r="IH65" s="3">
        <f t="shared" si="65"/>
        <v>1952</v>
      </c>
      <c r="II65" s="3">
        <v>1702</v>
      </c>
      <c r="IJ65" s="4">
        <f>Iareva!C65 + 'United Mihili'!C65 + 'Mesjan Hyaa'!C65 + Desaki!C65 + 'Far Lands'!C65</f>
        <v>18642300.03786495</v>
      </c>
      <c r="IK65" s="7">
        <f t="shared" si="66"/>
        <v>1.8595051267007067E-2</v>
      </c>
      <c r="IL65" s="5">
        <f t="shared" si="67"/>
        <v>7.1558316299078989E-3</v>
      </c>
      <c r="IS65" s="3">
        <f t="shared" si="68"/>
        <v>1952</v>
      </c>
      <c r="IT65" s="3">
        <v>1702</v>
      </c>
      <c r="IU65" s="4">
        <f>Verste!C65 + Quidic!C65 + Erkizil!C65 + Ashain!C65 + Ahokini!C65</f>
        <v>120186447.6646872</v>
      </c>
      <c r="IV65" s="7">
        <f t="shared" si="69"/>
        <v>2.2246820951744833E-2</v>
      </c>
      <c r="IW65" s="5">
        <f t="shared" si="70"/>
        <v>4.6133469686594326E-2</v>
      </c>
    </row>
    <row r="66" spans="1:257" ht="22.5" customHeight="1">
      <c r="A66" s="3">
        <f t="shared" si="0"/>
        <v>1951</v>
      </c>
      <c r="B66" s="3">
        <v>1701</v>
      </c>
      <c r="C66" s="4">
        <f>Acetoa!C66 + Acrana!C66 + Aetintio!C66 + Ahokini!C66 + Amcha!C66 + Andsaudare!C66 + Anymna!C66 + Aplasia!C66 + Arbiya!C66 + 'Areoix Lie'!C66 + Ashain!C66 + Astye!C66 + Baluyde!C66 + Byllu!C66 + 'Candenat'!C66 + 'Canldives'!C66 + 'Chaenia'!C66 + 'Cloja'!C66 + 'Crila Republic'!C66 + 'Cruthi Anoso'!C66 + 'Curata'!C66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'Raledria'!C66 + 'Reerica'!C66 + 'Rethern'!C66 + 'Rijan bu'!C66 + 'Rinew'!C66 + 'Rkmepuia'!C66 + 'Rtesania'!C66 + 'Ruylku'!C66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2556426348.149231</v>
      </c>
      <c r="D66" s="5"/>
      <c r="K66" s="3">
        <f t="shared" si="2"/>
        <v>1951</v>
      </c>
      <c r="L66" s="3">
        <v>1701</v>
      </c>
      <c r="M66" s="4">
        <f>Eldavpir!C66 + Iquir!C66 + Viussi!C66 + Umendel!C66 + 'Reerica'!C66 + Saa!C66 + Sattle!C66</f>
        <v>18623450.474999998</v>
      </c>
      <c r="N66" s="7">
        <f t="shared" si="3"/>
        <v>2.154391715288877E-2</v>
      </c>
      <c r="O66" s="5">
        <f t="shared" si="4"/>
        <v>7.2849548309822289E-3</v>
      </c>
      <c r="V66" s="3">
        <f t="shared" si="5"/>
        <v>1951</v>
      </c>
      <c r="W66" s="3">
        <v>1701</v>
      </c>
      <c r="X66" s="4">
        <f>'Areoix Lie'!C66 + Jau!C66 + Terressin!C66 + Acetoa!C66 + 'Feio Lie'!C66</f>
        <v>265171965.97000006</v>
      </c>
      <c r="Y66" s="7">
        <f t="shared" si="6"/>
        <v>2.5586548892234183E-2</v>
      </c>
      <c r="Z66" s="5">
        <f t="shared" si="7"/>
        <v>0.10372759855255595</v>
      </c>
      <c r="AG66" s="3">
        <f t="shared" si="8"/>
        <v>1951</v>
      </c>
      <c r="AH66" s="3">
        <v>1701</v>
      </c>
      <c r="AI66" s="4">
        <f>Taniduna!C66 + Jathua!C66 + Deschon!C66 + Pelines!C66 + 'Candenat'!C66 + Othya!C66 + Yoprioq!C66 + Jshain!C66 + 'Fire Coast'!C66 + 'Rijan bu'!C66 + 'Rinew'!C66 + Enina!C66 + Trevilla!C66</f>
        <v>49161287.348000005</v>
      </c>
      <c r="AJ66" s="7">
        <f t="shared" si="9"/>
        <v>2.1641065204575146E-2</v>
      </c>
      <c r="AK66" s="5">
        <f t="shared" si="10"/>
        <v>1.9230472797931834E-2</v>
      </c>
      <c r="AR66" s="3">
        <f t="shared" si="11"/>
        <v>1951</v>
      </c>
      <c r="AS66" s="3">
        <v>1701</v>
      </c>
      <c r="AT66" s="4">
        <f>Gaeiya!C66 + 'Raledria'!C66 + Arbiya!C66 + Fincen!C66 + 'Curata'!C66</f>
        <v>123589726.55999999</v>
      </c>
      <c r="AU66" s="7">
        <f t="shared" si="12"/>
        <v>2.1753726135499505E-2</v>
      </c>
      <c r="AV66" s="5">
        <f t="shared" si="13"/>
        <v>4.8344724130024282E-2</v>
      </c>
      <c r="BC66" s="3">
        <f t="shared" si="14"/>
        <v>1951</v>
      </c>
      <c r="BD66" s="3">
        <v>1701</v>
      </c>
      <c r="BE66" s="4">
        <f>Etirha!C66 + Laselteh!C66 + Grazail!C66 + 'Disal Nila'!C66 + Pelan!C66 + Peka!C66 + Guise!C66</f>
        <v>48324983.710499994</v>
      </c>
      <c r="BF66" s="7">
        <f t="shared" si="15"/>
        <v>2.1867198041312937E-2</v>
      </c>
      <c r="BG66" s="5">
        <f t="shared" si="16"/>
        <v>1.8903335019014221E-2</v>
      </c>
      <c r="BN66" s="3">
        <f t="shared" si="17"/>
        <v>1951</v>
      </c>
      <c r="BO66" s="3">
        <v>1701</v>
      </c>
      <c r="BP66" s="4">
        <f>Genaire!C66 + 'New Misos'!C66 + Phuris!C66 + Lasri!C66 + Slyiaduun!C66 + Aetintio!C66 + Metndria!C66 + Tomscilus!C66</f>
        <v>32808699.149999999</v>
      </c>
      <c r="BQ66" s="7">
        <f t="shared" si="18"/>
        <v>2.5121283748949327E-2</v>
      </c>
      <c r="BR66" s="5">
        <f t="shared" si="19"/>
        <v>1.2833813567033692E-2</v>
      </c>
      <c r="BY66" s="3">
        <f t="shared" si="20"/>
        <v>1951</v>
      </c>
      <c r="BZ66" s="3">
        <v>1701</v>
      </c>
      <c r="CA66" s="4">
        <f>Ealdorii!C66 + Ukhdari!C66 + Hkuqo!C66 + Acrana!C66 + Zenashan!C66</f>
        <v>123663752.215</v>
      </c>
      <c r="CB66" s="7">
        <f t="shared" si="21"/>
        <v>1.1213467710143659E-2</v>
      </c>
      <c r="CC66" s="5">
        <f t="shared" si="22"/>
        <v>4.8373680823829916E-2</v>
      </c>
      <c r="CJ66" s="3">
        <f t="shared" si="23"/>
        <v>1951</v>
      </c>
      <c r="CK66" s="3">
        <v>1701</v>
      </c>
      <c r="CL66" s="4">
        <f>Estijan!C66 + Ikzen!C66 + Urbiqu!C66 + Danocia!C66 + Koruch!C66 + 'New Kizura'!C66 + Lydroa!C66 + Fermori!C66 + Uularin!C66 + 'Niul Spijan'!C66</f>
        <v>141947550.00919998</v>
      </c>
      <c r="CM66" s="7">
        <f t="shared" si="24"/>
        <v>1.6003378050874619E-2</v>
      </c>
      <c r="CN66" s="5">
        <f t="shared" si="25"/>
        <v>5.5525773356218673E-2</v>
      </c>
      <c r="CU66" s="3">
        <f t="shared" si="26"/>
        <v>1951</v>
      </c>
      <c r="CV66" s="3">
        <v>1701</v>
      </c>
      <c r="CW66" s="4">
        <f>Praesyu!C66 + Lycroa!C66 + Emara!C66 + Eldjo!C66 + Easuhura!C66 + Ilicuhe!C66 + Tonder!C66</f>
        <v>182622059.639</v>
      </c>
      <c r="CX66" s="7">
        <f t="shared" si="27"/>
        <v>6.1687866238249872E-3</v>
      </c>
      <c r="CY66" s="5">
        <f t="shared" si="28"/>
        <v>7.143646433280286E-2</v>
      </c>
      <c r="DF66" s="3">
        <f t="shared" si="29"/>
        <v>1951</v>
      </c>
      <c r="DG66" s="3">
        <v>1701</v>
      </c>
      <c r="DH66" s="4">
        <f>Verusa!C66 + Darewa!C66 + Siana!C66 + Yaxuto!C66 + 'Merela Sta'!C66 + Palina!C66</f>
        <v>117549653.09</v>
      </c>
      <c r="DI66" s="7">
        <f t="shared" si="30"/>
        <v>1.1746389505004553E-2</v>
      </c>
      <c r="DJ66" s="5">
        <f t="shared" si="31"/>
        <v>4.598202219872366E-2</v>
      </c>
      <c r="DQ66" s="3">
        <f t="shared" si="32"/>
        <v>1951</v>
      </c>
      <c r="DR66" s="3">
        <v>1701</v>
      </c>
      <c r="DS66" s="4">
        <f>Sunsokua!C66 + Vayvele!C66 + Selaja!C66 + Sadain!C66</f>
        <v>55902447.309999995</v>
      </c>
      <c r="DT66" s="7">
        <f t="shared" si="33"/>
        <v>2.1547445238134302E-2</v>
      </c>
      <c r="DU66" s="5">
        <f t="shared" si="34"/>
        <v>2.1867419474248313E-2</v>
      </c>
      <c r="EB66" s="3">
        <f t="shared" si="35"/>
        <v>1951</v>
      </c>
      <c r="EC66" s="3">
        <v>1701</v>
      </c>
      <c r="ED66" s="4">
        <f>Pelugrotoa!C66 + Lieri!C66 + 'Rtesania'!C66 + Ozinia!C66</f>
        <v>133424405.83</v>
      </c>
      <c r="EE66" s="7">
        <f t="shared" si="36"/>
        <v>3.3353282774890219E-2</v>
      </c>
      <c r="EF66" s="5">
        <f t="shared" si="37"/>
        <v>5.2191766027836047E-2</v>
      </c>
      <c r="EM66" s="3">
        <f t="shared" si="38"/>
        <v>1951</v>
      </c>
      <c r="EN66" s="3">
        <v>1701</v>
      </c>
      <c r="EO66" s="4">
        <f>Ocaun!C66 + 'Dual Cenryia'!C66 + Byllu!C66 + Exilium!C66 + Inrea!C66 + Amcha!C66 + Isnti!C66 + Galca!C66 + Otiiric!C66 + Taing!C66 + 'Cruthi Anoso'!C66</f>
        <v>67313573.29900001</v>
      </c>
      <c r="EP66" s="7">
        <f t="shared" si="39"/>
        <v>2.1129172066271327E-2</v>
      </c>
      <c r="EQ66" s="5">
        <f t="shared" si="40"/>
        <v>2.6331121703440756E-2</v>
      </c>
      <c r="EX66" s="3">
        <f t="shared" si="41"/>
        <v>1951</v>
      </c>
      <c r="EY66" s="3">
        <v>1701</v>
      </c>
      <c r="EZ66" s="4">
        <f>Sivoso!C66 + Taoisia!C66 + Seytinemas!C66 + Trian!C66 + 'Chaenia'!C66</f>
        <v>41819732.100000001</v>
      </c>
      <c r="FA66" s="7">
        <f t="shared" si="42"/>
        <v>2.4862814053110915E-2</v>
      </c>
      <c r="FB66" s="5">
        <f t="shared" si="43"/>
        <v>1.63586688622092E-2</v>
      </c>
      <c r="FI66" s="3">
        <f t="shared" si="44"/>
        <v>1951</v>
      </c>
      <c r="FJ66" s="3">
        <v>1701</v>
      </c>
      <c r="FK66" s="4">
        <f>Migoku!C66 + 'Welenu Fana'!C66 + Haiza!C66 + Ucrua!C66 + Ihner!C66 + Oscairia!C66 + Shinam!C66 + 'Ruylku'!C66 + Taval!C66 + 'Western Migoku'!C66 + 'Pruim Fijan'!C66 + 'Canldives'!C66</f>
        <v>54710214.382999994</v>
      </c>
      <c r="FL66" s="7">
        <f t="shared" si="45"/>
        <v>1.5516956301015678E-2</v>
      </c>
      <c r="FM66" s="5">
        <f t="shared" si="46"/>
        <v>2.1401052458486981E-2</v>
      </c>
      <c r="FT66" s="3">
        <f t="shared" si="47"/>
        <v>1951</v>
      </c>
      <c r="FU66" s="3">
        <v>1701</v>
      </c>
      <c r="FV66" s="4">
        <f>Vesozata!C66 + Etretes!C66 + Kusierna!C66 + Eparia!C66</f>
        <v>32552306.668000001</v>
      </c>
      <c r="FW66" s="7">
        <f t="shared" si="48"/>
        <v>2.4591818576689479E-2</v>
      </c>
      <c r="FX66" s="5">
        <f t="shared" si="49"/>
        <v>1.2733520248516764E-2</v>
      </c>
      <c r="GE66" s="3">
        <f t="shared" si="50"/>
        <v>1951</v>
      </c>
      <c r="GF66" s="3">
        <v>1701</v>
      </c>
      <c r="GG66" s="4">
        <f>Dahe!C66 + Kaastini!C66 + Suenan!C66 + Oyreain!C66 + Sanagara!C66 + 'North Ayre'!C66 + Stinebar!C66 + 'Cloja'!C66 + 'Pha Hii'!C66 + 'Prystr Hii'!C66</f>
        <v>564191665.43675363</v>
      </c>
      <c r="GH66" s="7">
        <f t="shared" si="51"/>
        <v>1.5117127949363469E-2</v>
      </c>
      <c r="GI66" s="5">
        <f t="shared" si="52"/>
        <v>0.22069545083714615</v>
      </c>
      <c r="GP66" s="3">
        <f t="shared" si="53"/>
        <v>1951</v>
      </c>
      <c r="GQ66" s="3">
        <v>1701</v>
      </c>
      <c r="GR66" s="4">
        <f>Maalle!C66 + 'United Delet'!C66 + Ohtina!C66 + Astye!C66 + Prstreula!C66 + Veelmit!C66 + Aplasia!C66 + 'Elja and Munusia'!C66 + Walporein!C66 + 'Crila Republic'!C66 + 'Niretui and Anulan'!C66 + 'Rethern'!C66 + Tvecoca!C66</f>
        <v>61249284.06169048</v>
      </c>
      <c r="GS66" s="7">
        <f t="shared" si="54"/>
        <v>1.8016680239391781E-2</v>
      </c>
      <c r="GT66" s="5">
        <f t="shared" si="55"/>
        <v>2.3958947264814789E-2</v>
      </c>
      <c r="HA66" s="3">
        <f t="shared" si="56"/>
        <v>1951</v>
      </c>
      <c r="HB66" s="3">
        <v>1701</v>
      </c>
      <c r="HC66" s="4">
        <f>Andsaudare!C66 + Nia!C66 + Umarcia!C66 + Mendereide!C66 + Iainoa!C66 + Isari!C66 + 'Rkmepuia'!C66 + Hiwush!C66 + Isuibul!C66 + Yutnitu!C66</f>
        <v>18832544.183399998</v>
      </c>
      <c r="HD66" s="7">
        <f t="shared" si="57"/>
        <v>1.9025784059568302E-2</v>
      </c>
      <c r="HE66" s="5">
        <f t="shared" si="58"/>
        <v>7.3667462381750773E-3</v>
      </c>
      <c r="HL66" s="3">
        <f t="shared" si="59"/>
        <v>1951</v>
      </c>
      <c r="HM66" s="3">
        <v>1701</v>
      </c>
      <c r="HN66" s="4">
        <f>Zhanshe!C66 + Volver!C66 + Finae!C66 + Myla!C66 + 'Nheyes Si'!C66 + Onphello!C66 + Hyelen!C66</f>
        <v>33226801.680000003</v>
      </c>
      <c r="HO66" s="7">
        <f t="shared" si="60"/>
        <v>2.7383080405179876E-2</v>
      </c>
      <c r="HP66" s="5">
        <f t="shared" si="61"/>
        <v>1.2997363176160001E-2</v>
      </c>
      <c r="HW66" s="3">
        <f t="shared" si="62"/>
        <v>1951</v>
      </c>
      <c r="HX66" s="3">
        <v>1701</v>
      </c>
      <c r="HY66" s="4">
        <f>Yihnurda!C66 + Ztesh!C66 + Wundry!C66 + Anymna!C66 + Shomjind!C66 + Baluyde!C66 + Letan!C66</f>
        <v>154376368.85568571</v>
      </c>
      <c r="HZ66" s="7">
        <f t="shared" si="63"/>
        <v>1.640782633002812E-2</v>
      </c>
      <c r="IA66" s="5">
        <f t="shared" si="64"/>
        <v>6.0387567577469679E-2</v>
      </c>
      <c r="IH66" s="3">
        <f t="shared" si="65"/>
        <v>1951</v>
      </c>
      <c r="II66" s="3">
        <v>1701</v>
      </c>
      <c r="IJ66" s="4">
        <f>Iareva!C66 + 'United Mihili'!C66 + 'Mesjan Hyaa'!C66 + Desaki!C66 + 'Far Lands'!C66</f>
        <v>18301973.895</v>
      </c>
      <c r="IK66" s="7">
        <f t="shared" si="66"/>
        <v>1.7570371579956202E-2</v>
      </c>
      <c r="IL66" s="5">
        <f t="shared" si="67"/>
        <v>7.159202496973961E-3</v>
      </c>
      <c r="IS66" s="3">
        <f t="shared" si="68"/>
        <v>1951</v>
      </c>
      <c r="IT66" s="3">
        <v>1701</v>
      </c>
      <c r="IU66" s="4">
        <f>Verste!C66 + Quidic!C66 + Erkizil!C66 + Ashain!C66 + Ahokini!C66</f>
        <v>117570869.58</v>
      </c>
      <c r="IV66" s="7">
        <f t="shared" si="69"/>
        <v>2.2026561714926486E-2</v>
      </c>
      <c r="IW66" s="5">
        <f t="shared" si="70"/>
        <v>4.5990321475569779E-2</v>
      </c>
    </row>
    <row r="67" spans="1:257" ht="22.5" customHeight="1">
      <c r="A67" s="3">
        <f t="shared" si="0"/>
        <v>1950</v>
      </c>
      <c r="B67" s="3">
        <v>1700</v>
      </c>
      <c r="C67" s="4">
        <f>Acetoa!C67 + Acrana!C67 + Aetintio!C67 + Ahokini!C67 + Amcha!C67 + Andsaudare!C67 + Anymna!C67 + Aplasia!C67 + Arbiya!C67 + 'Areoix Lie'!C67 + Ashain!C67 + Astye!C67 + Baluyde!C67 + Byllu!C67 + 'Candenat'!C67 + 'Canldives'!C67 + 'Chaenia'!C67 + 'Cloja'!C67 + 'Crila Republic'!C67 + 'Cruthi Anoso'!C67 + 'Curata'!C67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'Raledria'!C67 + 'Reerica'!C67 + 'Rethern'!C67 + 'Rijan bu'!C67 + 'Rinew'!C67 + 'Rkmepuia'!C67 + 'Rtesania'!C67 + 'Ruylku'!C67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2509352198.1097956</v>
      </c>
      <c r="D67" s="5"/>
      <c r="K67" s="3">
        <f t="shared" si="2"/>
        <v>1950</v>
      </c>
      <c r="L67" s="3">
        <v>1700</v>
      </c>
      <c r="M67" s="4">
        <f>Eldavpir!C67 + Iquir!C67 + Viussi!C67 + Umendel!C67 + 'Reerica'!C67 + Saa!C67 + Sattle!C67</f>
        <v>18230690</v>
      </c>
      <c r="N67" s="5"/>
      <c r="O67" s="5">
        <f t="shared" si="4"/>
        <v>7.2650981451438026E-3</v>
      </c>
      <c r="V67" s="3">
        <f t="shared" si="5"/>
        <v>1950</v>
      </c>
      <c r="W67" s="3">
        <v>1700</v>
      </c>
      <c r="X67" s="4">
        <f>'Areoix Lie'!C67 + Jau!C67 + Terressin!C67 + Acetoa!C67 + 'Feio Lie'!C67</f>
        <v>258556400</v>
      </c>
      <c r="Y67" s="5"/>
      <c r="Z67" s="5">
        <f t="shared" si="7"/>
        <v>0.10303711061155992</v>
      </c>
      <c r="AG67" s="3">
        <f t="shared" si="8"/>
        <v>1950</v>
      </c>
      <c r="AH67" s="3">
        <v>1700</v>
      </c>
      <c r="AI67" s="4">
        <f>Taniduna!C67 + Jathua!C67 + Deschon!C67 + Pelines!C67 + 'Candenat'!C67 + Othya!C67 + Yoprioq!C67 + Jshain!C67 + 'Fire Coast'!C67 + 'Rijan bu'!C67 + 'Rinew'!C67 + Enina!C67 + Trevilla!C67</f>
        <v>48119921</v>
      </c>
      <c r="AJ67" s="5"/>
      <c r="AK67" s="5">
        <f t="shared" si="10"/>
        <v>1.9176232430125593E-2</v>
      </c>
      <c r="AR67" s="3">
        <f t="shared" si="11"/>
        <v>1950</v>
      </c>
      <c r="AS67" s="3">
        <v>1700</v>
      </c>
      <c r="AT67" s="4">
        <f>Gaeiya!C67 + 'Raledria'!C67 + Arbiya!C67 + Fincen!C67 + 'Curata'!C67</f>
        <v>120958430</v>
      </c>
      <c r="AU67" s="5"/>
      <c r="AV67" s="5">
        <f t="shared" si="13"/>
        <v>4.8203050209975951E-2</v>
      </c>
      <c r="BC67" s="3">
        <f t="shared" si="14"/>
        <v>1950</v>
      </c>
      <c r="BD67" s="3">
        <v>1700</v>
      </c>
      <c r="BE67" s="4">
        <f>Etirha!C67 + Laselteh!C67 + Grazail!C67 + 'Disal Nila'!C67 + Pelan!C67 + Peka!C67 + Guise!C67</f>
        <v>47290865</v>
      </c>
      <c r="BF67" s="5"/>
      <c r="BG67" s="5">
        <f t="shared" si="16"/>
        <v>1.8845845965991741E-2</v>
      </c>
      <c r="BN67" s="3">
        <f t="shared" si="17"/>
        <v>1950</v>
      </c>
      <c r="BO67" s="3">
        <v>1700</v>
      </c>
      <c r="BP67" s="4">
        <f>Genaire!C67 + 'New Misos'!C67 + Phuris!C67 + Lasri!C67 + Slyiaduun!C67 + Aetintio!C67 + Metndria!C67 + Tomscilus!C67</f>
        <v>32004700</v>
      </c>
      <c r="BQ67" s="5"/>
      <c r="BR67" s="5">
        <f t="shared" si="19"/>
        <v>1.2754168196918705E-2</v>
      </c>
      <c r="BY67" s="3">
        <f t="shared" si="20"/>
        <v>1950</v>
      </c>
      <c r="BZ67" s="3">
        <v>1700</v>
      </c>
      <c r="CA67" s="4">
        <f>Ealdorii!C67 + Ukhdari!C67 + Hkuqo!C67 + Acrana!C67 + Zenashan!C67</f>
        <v>122292430</v>
      </c>
      <c r="CB67" s="5"/>
      <c r="CC67" s="5">
        <f t="shared" si="22"/>
        <v>4.873466151627439E-2</v>
      </c>
      <c r="CJ67" s="3">
        <f t="shared" si="23"/>
        <v>1950</v>
      </c>
      <c r="CK67" s="3">
        <v>1700</v>
      </c>
      <c r="CL67" s="4">
        <f>Estijan!C67 + Ikzen!C67 + Urbiqu!C67 + Danocia!C67 + Koruch!C67 + 'New Kizura'!C67 + Lydroa!C67 + Fermori!C67 + Uularin!C67 + 'Niul Spijan'!C67</f>
        <v>139711691</v>
      </c>
      <c r="CM67" s="5"/>
      <c r="CN67" s="5">
        <f t="shared" si="25"/>
        <v>5.5676397719395379E-2</v>
      </c>
      <c r="CU67" s="3">
        <f t="shared" si="26"/>
        <v>1950</v>
      </c>
      <c r="CV67" s="3">
        <v>1700</v>
      </c>
      <c r="CW67" s="4">
        <f>Praesyu!C67 + Lycroa!C67 + Emara!C67 + Eldjo!C67 + Easuhura!C67 + Ilicuhe!C67 + Tonder!C67</f>
        <v>181502410</v>
      </c>
      <c r="CX67" s="7"/>
      <c r="CY67" s="5">
        <f t="shared" si="28"/>
        <v>7.2330384764928257E-2</v>
      </c>
      <c r="DF67" s="3">
        <f t="shared" si="29"/>
        <v>1950</v>
      </c>
      <c r="DG67" s="3">
        <v>1700</v>
      </c>
      <c r="DH67" s="4">
        <f>Verusa!C67 + Darewa!C67 + Siana!C67 + Yaxuto!C67 + 'Merela Sta'!C67 + Palina!C67</f>
        <v>116184900</v>
      </c>
      <c r="DI67" s="5"/>
      <c r="DJ67" s="5">
        <f t="shared" si="31"/>
        <v>4.6300754468630544E-2</v>
      </c>
      <c r="DQ67" s="3">
        <f t="shared" si="32"/>
        <v>1950</v>
      </c>
      <c r="DR67" s="3">
        <v>1700</v>
      </c>
      <c r="DS67" s="4">
        <f>Sunsokua!C67 + Vayvele!C67 + Selaja!C67 + Sadain!C67</f>
        <v>54723300</v>
      </c>
      <c r="DT67" s="5"/>
      <c r="DU67" s="5">
        <f t="shared" si="34"/>
        <v>2.1807739878531632E-2</v>
      </c>
      <c r="EB67" s="3">
        <f t="shared" si="35"/>
        <v>1950</v>
      </c>
      <c r="EC67" s="3">
        <v>1700</v>
      </c>
      <c r="ED67" s="4">
        <f>Pelugrotoa!C67 + Lieri!C67 + 'Rtesania'!C67 + Ozinia!C67</f>
        <v>129117900</v>
      </c>
      <c r="EE67" s="5"/>
      <c r="EF67" s="5">
        <f t="shared" si="37"/>
        <v>5.1454674276994621E-2</v>
      </c>
      <c r="EM67" s="3">
        <f t="shared" si="38"/>
        <v>1950</v>
      </c>
      <c r="EN67" s="3">
        <v>1700</v>
      </c>
      <c r="EO67" s="4">
        <f>Ocaun!C67 + 'Dual Cenryia'!C67 + Byllu!C67 + Exilium!C67 + Inrea!C67 + Amcha!C67 + Isnti!C67 + Galca!C67 + Otiiric!C67 + Taing!C67 + 'Cruthi Anoso'!C67</f>
        <v>65920723</v>
      </c>
      <c r="EP67" s="5"/>
      <c r="EQ67" s="5">
        <f t="shared" si="40"/>
        <v>2.6270016241504761E-2</v>
      </c>
      <c r="EX67" s="3">
        <f t="shared" si="41"/>
        <v>1950</v>
      </c>
      <c r="EY67" s="3">
        <v>1700</v>
      </c>
      <c r="EZ67" s="4">
        <f>Sivoso!C67 + Taoisia!C67 + Seytinemas!C67 + Trian!C67 + 'Chaenia'!C67</f>
        <v>40805200</v>
      </c>
      <c r="FA67" s="5"/>
      <c r="FB67" s="5">
        <f t="shared" si="43"/>
        <v>1.6261248632510449E-2</v>
      </c>
      <c r="FI67" s="3">
        <f t="shared" si="44"/>
        <v>1950</v>
      </c>
      <c r="FJ67" s="3">
        <v>1700</v>
      </c>
      <c r="FK67" s="4">
        <f>Migoku!C67 + 'Welenu Fana'!C67 + Haiza!C67 + Ucrua!C67 + Ihner!C67 + Oscairia!C67 + Shinam!C67 + 'Ruylku'!C67 + Taval!C67 + 'Western Migoku'!C67 + 'Pruim Fijan'!C67 + 'Canldives'!C67</f>
        <v>53874250</v>
      </c>
      <c r="FL67" s="5"/>
      <c r="FM67" s="5">
        <f t="shared" si="46"/>
        <v>2.1469385620950909E-2</v>
      </c>
      <c r="FT67" s="3">
        <f t="shared" si="47"/>
        <v>1950</v>
      </c>
      <c r="FU67" s="3">
        <v>1700</v>
      </c>
      <c r="FV67" s="4">
        <f>Vesozata!C67 + Etretes!C67 + Kusierna!C67 + Eparia!C67</f>
        <v>31771000</v>
      </c>
      <c r="FW67" s="5"/>
      <c r="FX67" s="5">
        <f t="shared" si="49"/>
        <v>1.2661036591010201E-2</v>
      </c>
      <c r="GE67" s="3">
        <f t="shared" si="50"/>
        <v>1950</v>
      </c>
      <c r="GF67" s="3">
        <v>1700</v>
      </c>
      <c r="GG67" s="4">
        <f>Dahe!C67 + Kaastini!C67 + Suenan!C67 + Oyreain!C67 + Sanagara!C67 + 'North Ayre'!C67 + Stinebar!C67 + 'Cloja'!C67 + 'Pha Hii'!C67 + 'Prystr Hii'!C67</f>
        <v>555789721.10979581</v>
      </c>
      <c r="GH67" s="5"/>
      <c r="GI67" s="5">
        <f t="shared" si="52"/>
        <v>0.22148733108427432</v>
      </c>
      <c r="GP67" s="3">
        <f t="shared" si="53"/>
        <v>1950</v>
      </c>
      <c r="GQ67" s="3">
        <v>1700</v>
      </c>
      <c r="GR67" s="4">
        <f>Maalle!C67 + 'United Delet'!C67 + Ohtina!C67 + Astye!C67 + Prstreula!C67 + Veelmit!C67 + Aplasia!C67 + 'Elja and Munusia'!C67 + Walporein!C67 + 'Crila Republic'!C67 + 'Niretui and Anulan'!C67 + 'Rethern'!C67 + Tvecoca!C67</f>
        <v>60165305</v>
      </c>
      <c r="GS67" s="5"/>
      <c r="GT67" s="5">
        <f t="shared" si="55"/>
        <v>2.3976429074133297E-2</v>
      </c>
      <c r="HA67" s="3">
        <f t="shared" si="56"/>
        <v>1950</v>
      </c>
      <c r="HB67" s="3">
        <v>1700</v>
      </c>
      <c r="HC67" s="4">
        <f>Andsaudare!C67 + Nia!C67 + Umarcia!C67 + Mendereide!C67 + Iainoa!C67 + Isari!C67 + 'Rkmepuia'!C67 + Hiwush!C67 + Isuibul!C67 + Yutnitu!C67</f>
        <v>18480930</v>
      </c>
      <c r="HD67" s="5"/>
      <c r="HE67" s="5">
        <f t="shared" si="58"/>
        <v>7.3648210936356475E-3</v>
      </c>
      <c r="HL67" s="3">
        <f t="shared" si="59"/>
        <v>1950</v>
      </c>
      <c r="HM67" s="3">
        <v>1700</v>
      </c>
      <c r="HN67" s="4">
        <f>Zhanshe!C67 + Volver!C67 + Finae!C67 + Myla!C67 + 'Nheyes Si'!C67 + Onphello!C67 + Hyelen!C67</f>
        <v>32341200</v>
      </c>
      <c r="HO67" s="5"/>
      <c r="HP67" s="5">
        <f t="shared" si="61"/>
        <v>1.2888266551168648E-2</v>
      </c>
      <c r="HW67" s="3">
        <f t="shared" si="62"/>
        <v>1950</v>
      </c>
      <c r="HX67" s="3">
        <v>1700</v>
      </c>
      <c r="HY67" s="4">
        <f>Yihnurda!C67 + Ztesh!C67 + Wundry!C67 + Anymna!C67 + Shomjind!C67 + Baluyde!C67 + Letan!C67</f>
        <v>151884278</v>
      </c>
      <c r="HZ67" s="5"/>
      <c r="IA67" s="5">
        <f t="shared" si="64"/>
        <v>6.0527285932364915E-2</v>
      </c>
      <c r="IH67" s="3">
        <f t="shared" si="65"/>
        <v>1950</v>
      </c>
      <c r="II67" s="3">
        <v>1700</v>
      </c>
      <c r="IJ67" s="4">
        <f>Iareva!C67 + 'United Mihili'!C67 + 'Mesjan Hyaa'!C67 + Desaki!C67 + 'Far Lands'!C67</f>
        <v>17985954</v>
      </c>
      <c r="IK67" s="5"/>
      <c r="IL67" s="5">
        <f t="shared" si="67"/>
        <v>7.1675685914269708E-3</v>
      </c>
      <c r="IS67" s="3">
        <f t="shared" si="68"/>
        <v>1950</v>
      </c>
      <c r="IT67" s="3">
        <v>1700</v>
      </c>
      <c r="IU67" s="4">
        <f>Verste!C67 + Quidic!C67 + Erkizil!C67 + Ashain!C67 + Ahokini!C67</f>
        <v>115037000</v>
      </c>
      <c r="IV67" s="7"/>
      <c r="IW67" s="5">
        <f t="shared" si="70"/>
        <v>4.5843305729125317E-2</v>
      </c>
    </row>
  </sheetData>
  <dataValidations count="1"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 xr:uid="{00000000-0002-0000-01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7"/>
  <sheetViews>
    <sheetView workbookViewId="0">
      <selection activeCell="H30" sqref="H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11202505.000434494</v>
      </c>
      <c r="D2" s="11">
        <v>1.2200000000000001E-2</v>
      </c>
      <c r="E2" s="10">
        <f t="shared" ref="E2:E66" si="2">SUM(C2-C3)</f>
        <v>135023.27702558786</v>
      </c>
      <c r="F2" s="3"/>
      <c r="G2" s="27">
        <v>6.35</v>
      </c>
      <c r="H2" s="10"/>
      <c r="I2" s="10">
        <f>IF(H2&lt;&gt;"",H2,66664)</f>
        <v>8333</v>
      </c>
      <c r="J2" s="10">
        <f t="shared" ref="J2:J33" si="3">IF(I2="","",I2*C2)</f>
        <v>93350474168.620636</v>
      </c>
      <c r="K2" s="11">
        <f t="shared" ref="K2:K33" si="4">IFERROR(J2/J3-1,"")</f>
        <v>7.6474699999999896E-2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11067481.723408906</v>
      </c>
      <c r="D3" s="11">
        <v>1.23E-2</v>
      </c>
      <c r="E3" s="10">
        <f t="shared" si="2"/>
        <v>134475.9707576111</v>
      </c>
      <c r="F3" s="3"/>
      <c r="G3" s="27">
        <v>6.35</v>
      </c>
      <c r="H3" s="10"/>
      <c r="I3" s="10">
        <f t="shared" ref="I3:I34" si="5">IF(H3&lt;&gt;"",H3,I2/(1+IF(G2="",0,G2)/100))</f>
        <v>7835.4489891866488</v>
      </c>
      <c r="J3" s="10">
        <f t="shared" si="3"/>
        <v>86718688482.526016</v>
      </c>
      <c r="K3" s="11">
        <f t="shared" si="4"/>
        <v>7.6581049999999928E-2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10933005.752651295</v>
      </c>
      <c r="D4" s="11">
        <v>1.2E-2</v>
      </c>
      <c r="E4" s="10">
        <f t="shared" si="2"/>
        <v>129640.3844187893</v>
      </c>
      <c r="F4" s="3"/>
      <c r="G4" s="27">
        <v>6.75</v>
      </c>
      <c r="H4" s="10"/>
      <c r="I4" s="10">
        <f t="shared" si="5"/>
        <v>7367.6060076978365</v>
      </c>
      <c r="J4" s="10">
        <f t="shared" si="3"/>
        <v>80550078865.42868</v>
      </c>
      <c r="K4" s="11">
        <f t="shared" si="4"/>
        <v>8.0309999999999659E-2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10803365.368232505</v>
      </c>
      <c r="D5" s="11">
        <v>1.15E-2</v>
      </c>
      <c r="E5" s="10">
        <f t="shared" si="2"/>
        <v>122826.20042973198</v>
      </c>
      <c r="F5" s="3"/>
      <c r="G5" s="27">
        <v>6.9</v>
      </c>
      <c r="H5" s="10"/>
      <c r="I5" s="10">
        <f t="shared" si="5"/>
        <v>6901.7386488972716</v>
      </c>
      <c r="J5" s="10">
        <f t="shared" si="3"/>
        <v>74562004300.088593</v>
      </c>
      <c r="K5" s="11">
        <f t="shared" si="4"/>
        <v>8.129350000000013E-2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10680539.167802773</v>
      </c>
      <c r="D6" s="11">
        <v>1.3299999999999999E-2</v>
      </c>
      <c r="E6" s="10">
        <f t="shared" si="2"/>
        <v>140186.68798162229</v>
      </c>
      <c r="F6" s="3"/>
      <c r="G6" s="27">
        <v>3.86</v>
      </c>
      <c r="H6" s="10"/>
      <c r="I6" s="10">
        <f t="shared" si="5"/>
        <v>6456.2569213257921</v>
      </c>
      <c r="J6" s="10">
        <f t="shared" si="3"/>
        <v>68956304925.617874</v>
      </c>
      <c r="K6" s="11">
        <f t="shared" si="4"/>
        <v>5.2413380000000176E-2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10540352.479821151</v>
      </c>
      <c r="D7" s="11">
        <v>1.6E-2</v>
      </c>
      <c r="E7" s="10">
        <f t="shared" si="2"/>
        <v>165989.80283182859</v>
      </c>
      <c r="F7" s="3"/>
      <c r="G7" s="27">
        <v>7.33</v>
      </c>
      <c r="H7" s="10"/>
      <c r="I7" s="10">
        <f t="shared" si="5"/>
        <v>6216.3074536162067</v>
      </c>
      <c r="J7" s="10">
        <f t="shared" si="3"/>
        <v>65522071684.054291</v>
      </c>
      <c r="K7" s="11">
        <f t="shared" si="4"/>
        <v>9.0472799999999909E-2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10374362.676989323</v>
      </c>
      <c r="D8" s="11">
        <v>1.7000000000000001E-2</v>
      </c>
      <c r="E8" s="10">
        <f t="shared" si="2"/>
        <v>173416.09194573946</v>
      </c>
      <c r="F8" s="3"/>
      <c r="G8" s="27">
        <v>1.45</v>
      </c>
      <c r="H8" s="10"/>
      <c r="I8" s="10">
        <f t="shared" si="5"/>
        <v>5791.7706639487624</v>
      </c>
      <c r="J8" s="10">
        <f t="shared" si="3"/>
        <v>60085929409.751709</v>
      </c>
      <c r="K8" s="11">
        <f t="shared" si="4"/>
        <v>3.17464999999999E-2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10200946.585043583</v>
      </c>
      <c r="D9" s="11">
        <v>1.7600000000000001E-2</v>
      </c>
      <c r="E9" s="10">
        <f t="shared" si="2"/>
        <v>176431.46609352157</v>
      </c>
      <c r="F9" s="3"/>
      <c r="G9" s="27">
        <v>4.34</v>
      </c>
      <c r="H9" s="10"/>
      <c r="I9" s="10">
        <f t="shared" si="5"/>
        <v>5708.9903045330339</v>
      </c>
      <c r="J9" s="10">
        <f t="shared" si="3"/>
        <v>58237105151.073174</v>
      </c>
      <c r="K9" s="11">
        <f t="shared" si="4"/>
        <v>6.1763840000000014E-2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10024515.118950062</v>
      </c>
      <c r="D10" s="11">
        <v>1.77E-2</v>
      </c>
      <c r="E10" s="10">
        <f t="shared" si="2"/>
        <v>174347.95873579383</v>
      </c>
      <c r="F10" s="3"/>
      <c r="G10" s="27">
        <v>6.52</v>
      </c>
      <c r="H10" s="10"/>
      <c r="I10" s="10">
        <f t="shared" si="5"/>
        <v>5471.5260729662959</v>
      </c>
      <c r="J10" s="10">
        <f t="shared" si="3"/>
        <v>54849395842.180092</v>
      </c>
      <c r="K10" s="11">
        <f t="shared" si="4"/>
        <v>8.4054040000000052E-2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9850167.1602142677</v>
      </c>
      <c r="D11" s="11">
        <v>1.7299999999999999E-2</v>
      </c>
      <c r="E11" s="10">
        <f t="shared" si="2"/>
        <v>167509.96940106899</v>
      </c>
      <c r="F11" s="3"/>
      <c r="G11" s="27">
        <v>5.32</v>
      </c>
      <c r="H11" s="10"/>
      <c r="I11" s="10">
        <f t="shared" si="5"/>
        <v>5136.6185439037708</v>
      </c>
      <c r="J11" s="10">
        <f t="shared" si="3"/>
        <v>50596551295.708549</v>
      </c>
      <c r="K11" s="11">
        <f t="shared" si="4"/>
        <v>7.1420360000000072E-2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9682657.1908131987</v>
      </c>
      <c r="D12" s="11">
        <v>1.7100000000000001E-2</v>
      </c>
      <c r="E12" s="10">
        <f t="shared" si="2"/>
        <v>162789.73351971805</v>
      </c>
      <c r="F12" s="3"/>
      <c r="G12" s="27">
        <v>4.9400000000000004</v>
      </c>
      <c r="H12" s="10"/>
      <c r="I12" s="10">
        <f t="shared" si="5"/>
        <v>4877.1539535736529</v>
      </c>
      <c r="J12" s="10">
        <f t="shared" si="3"/>
        <v>47223809799.272949</v>
      </c>
      <c r="K12" s="11">
        <f t="shared" si="4"/>
        <v>6.7344740000000014E-2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9519867.4572934806</v>
      </c>
      <c r="D13" s="11">
        <v>1.7100000000000001E-2</v>
      </c>
      <c r="E13" s="10">
        <f t="shared" si="2"/>
        <v>160052.83012458682</v>
      </c>
      <c r="F13" s="3"/>
      <c r="G13" s="27">
        <v>6.57</v>
      </c>
      <c r="H13" s="10"/>
      <c r="I13" s="10">
        <f t="shared" si="5"/>
        <v>4647.5642782291334</v>
      </c>
      <c r="J13" s="10">
        <f t="shared" si="3"/>
        <v>44244195927.993187</v>
      </c>
      <c r="K13" s="11">
        <f t="shared" si="4"/>
        <v>8.3923469999999778E-2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9359814.6271688938</v>
      </c>
      <c r="D14" s="11">
        <v>1.7000000000000001E-2</v>
      </c>
      <c r="E14" s="10">
        <f t="shared" si="2"/>
        <v>156457.07833025604</v>
      </c>
      <c r="F14" s="3"/>
      <c r="G14" s="27">
        <v>5.09</v>
      </c>
      <c r="H14" s="10"/>
      <c r="I14" s="10">
        <f t="shared" si="5"/>
        <v>4361.043706699008</v>
      </c>
      <c r="J14" s="10">
        <f t="shared" si="3"/>
        <v>40818560675.684227</v>
      </c>
      <c r="K14" s="11">
        <f t="shared" si="4"/>
        <v>6.8765299999999696E-2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9203357.5488386378</v>
      </c>
      <c r="D15" s="11">
        <v>1.7500000000000002E-2</v>
      </c>
      <c r="E15" s="10">
        <f t="shared" si="2"/>
        <v>158288.70477118157</v>
      </c>
      <c r="F15" s="3"/>
      <c r="G15" s="27">
        <v>3.72</v>
      </c>
      <c r="H15" s="10"/>
      <c r="I15" s="10">
        <f t="shared" si="5"/>
        <v>4149.8179719278796</v>
      </c>
      <c r="J15" s="10">
        <f t="shared" si="3"/>
        <v>38192258558.248695</v>
      </c>
      <c r="K15" s="11">
        <f t="shared" si="4"/>
        <v>5.5350999999999928E-2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9045068.8440674562</v>
      </c>
      <c r="D16" s="11">
        <v>1.8700000000000001E-2</v>
      </c>
      <c r="E16" s="10">
        <f t="shared" si="2"/>
        <v>166037.87904590182</v>
      </c>
      <c r="F16" s="3"/>
      <c r="G16" s="27">
        <v>3.05</v>
      </c>
      <c r="H16" s="10"/>
      <c r="I16" s="10">
        <f t="shared" si="5"/>
        <v>4000.9814615579253</v>
      </c>
      <c r="J16" s="10">
        <f t="shared" si="3"/>
        <v>36189152763.629066</v>
      </c>
      <c r="K16" s="11">
        <f t="shared" si="4"/>
        <v>4.9770349999999963E-2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8879030.9650215544</v>
      </c>
      <c r="D17" s="11">
        <v>2.1700000000000001E-2</v>
      </c>
      <c r="E17" s="10">
        <f t="shared" si="2"/>
        <v>188582.72677005827</v>
      </c>
      <c r="F17" s="3"/>
      <c r="G17" s="27">
        <v>4.38</v>
      </c>
      <c r="H17" s="10"/>
      <c r="I17" s="10">
        <f t="shared" si="5"/>
        <v>3882.5632814729988</v>
      </c>
      <c r="J17" s="10">
        <f t="shared" si="3"/>
        <v>34473399599.854454</v>
      </c>
      <c r="K17" s="11">
        <f t="shared" si="4"/>
        <v>6.6450460000000211E-2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8690448.2382514961</v>
      </c>
      <c r="D18" s="11">
        <v>2.1000000000000001E-2</v>
      </c>
      <c r="E18" s="10">
        <f t="shared" si="2"/>
        <v>178745.75220693462</v>
      </c>
      <c r="F18" s="3"/>
      <c r="G18" s="27">
        <v>3.35</v>
      </c>
      <c r="H18" s="10"/>
      <c r="I18" s="10">
        <f t="shared" si="5"/>
        <v>3719.6429215108246</v>
      </c>
      <c r="J18" s="10">
        <f t="shared" si="3"/>
        <v>32325364274.168392</v>
      </c>
      <c r="K18" s="11">
        <f t="shared" si="4"/>
        <v>5.5203499999999961E-2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8511702.4860445615</v>
      </c>
      <c r="D19" s="11">
        <v>2.1700000000000001E-2</v>
      </c>
      <c r="E19" s="10">
        <f t="shared" si="2"/>
        <v>180780.99632687494</v>
      </c>
      <c r="F19" s="3"/>
      <c r="G19" s="27">
        <v>-0.51</v>
      </c>
      <c r="H19" s="10"/>
      <c r="I19" s="10">
        <f t="shared" si="5"/>
        <v>3599.0739443742859</v>
      </c>
      <c r="J19" s="10">
        <f t="shared" si="3"/>
        <v>30634246639.788815</v>
      </c>
      <c r="K19" s="11">
        <f t="shared" si="4"/>
        <v>1.6489329999999969E-2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8330921.4897176865</v>
      </c>
      <c r="D20" s="11">
        <v>2.23E-2</v>
      </c>
      <c r="E20" s="10">
        <f t="shared" si="2"/>
        <v>181727.03631096985</v>
      </c>
      <c r="F20" s="3"/>
      <c r="G20" s="27">
        <v>5.19</v>
      </c>
      <c r="H20" s="10"/>
      <c r="I20" s="10">
        <f t="shared" si="5"/>
        <v>3617.5233132719732</v>
      </c>
      <c r="J20" s="10">
        <f t="shared" si="3"/>
        <v>30137302710.092209</v>
      </c>
      <c r="K20" s="11">
        <f t="shared" si="4"/>
        <v>7.535737000000009E-2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8149194.4534067167</v>
      </c>
      <c r="D21" s="11">
        <v>2.2700000000000001E-2</v>
      </c>
      <c r="E21" s="10">
        <f t="shared" si="2"/>
        <v>180880.72170952614</v>
      </c>
      <c r="F21" s="3"/>
      <c r="G21" s="27">
        <v>5.86</v>
      </c>
      <c r="H21" s="10"/>
      <c r="I21" s="10">
        <f t="shared" si="5"/>
        <v>3439.0372785169434</v>
      </c>
      <c r="J21" s="10">
        <f t="shared" si="3"/>
        <v>28025383515.149204</v>
      </c>
      <c r="K21" s="11">
        <f t="shared" si="4"/>
        <v>8.2630219999999976E-2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7968313.7316971906</v>
      </c>
      <c r="D22" s="11">
        <v>2.3099999999999999E-2</v>
      </c>
      <c r="E22" s="10">
        <f t="shared" si="2"/>
        <v>179912.07819587924</v>
      </c>
      <c r="F22" s="3"/>
      <c r="G22" s="27">
        <v>4.63</v>
      </c>
      <c r="H22" s="10"/>
      <c r="I22" s="10">
        <f t="shared" si="5"/>
        <v>3248.6654813120567</v>
      </c>
      <c r="J22" s="10">
        <f t="shared" si="3"/>
        <v>25886385764.429523</v>
      </c>
      <c r="K22" s="11">
        <f t="shared" si="4"/>
        <v>7.046952999999978E-2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7788401.6535013113</v>
      </c>
      <c r="D23" s="11">
        <v>2.3699999999999999E-2</v>
      </c>
      <c r="E23" s="10">
        <f t="shared" si="2"/>
        <v>180311.73115950171</v>
      </c>
      <c r="F23" s="3"/>
      <c r="G23" s="27">
        <v>4.37</v>
      </c>
      <c r="H23" s="10"/>
      <c r="I23" s="10">
        <f t="shared" si="5"/>
        <v>3104.9082302514162</v>
      </c>
      <c r="J23" s="10">
        <f t="shared" si="3"/>
        <v>24182272394.459961</v>
      </c>
      <c r="K23" s="11">
        <f t="shared" si="4"/>
        <v>6.8435690000000493E-2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7608089.9223418096</v>
      </c>
      <c r="D24" s="11">
        <v>2.4199999999999999E-2</v>
      </c>
      <c r="E24" s="10">
        <f t="shared" si="2"/>
        <v>179765.45217796508</v>
      </c>
      <c r="F24" s="3"/>
      <c r="G24" s="27">
        <v>2.1800000000000002</v>
      </c>
      <c r="H24" s="10"/>
      <c r="I24" s="10">
        <f t="shared" si="5"/>
        <v>2974.9048867025158</v>
      </c>
      <c r="J24" s="10">
        <f t="shared" si="3"/>
        <v>22633343888.446812</v>
      </c>
      <c r="K24" s="11">
        <f t="shared" si="4"/>
        <v>4.6527559999999912E-2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7428324.4701638445</v>
      </c>
      <c r="D25" s="11">
        <v>2.4E-2</v>
      </c>
      <c r="E25" s="10">
        <f t="shared" si="2"/>
        <v>174101.35476946551</v>
      </c>
      <c r="F25" s="3"/>
      <c r="G25" s="27">
        <v>0.42</v>
      </c>
      <c r="H25" s="10"/>
      <c r="I25" s="10">
        <f t="shared" si="5"/>
        <v>2911.4355908225834</v>
      </c>
      <c r="J25" s="10">
        <f t="shared" si="3"/>
        <v>21627088242.613327</v>
      </c>
      <c r="K25" s="11">
        <f t="shared" si="4"/>
        <v>2.8300800000000015E-2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7254223.115394379</v>
      </c>
      <c r="D26" s="11">
        <v>2.3400000000000001E-2</v>
      </c>
      <c r="E26" s="10">
        <f t="shared" si="2"/>
        <v>165867.52091091406</v>
      </c>
      <c r="F26" s="3"/>
      <c r="G26" s="27">
        <v>-0.44</v>
      </c>
      <c r="H26" s="10"/>
      <c r="I26" s="10">
        <f t="shared" si="5"/>
        <v>2899.2587042646719</v>
      </c>
      <c r="J26" s="10">
        <f t="shared" si="3"/>
        <v>21031869509.985138</v>
      </c>
      <c r="K26" s="11">
        <f t="shared" si="4"/>
        <v>1.8897040000000143E-2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7088355.594483465</v>
      </c>
      <c r="D27" s="11">
        <v>2.3900000000000001E-2</v>
      </c>
      <c r="E27" s="10">
        <f t="shared" si="2"/>
        <v>165457.26995620225</v>
      </c>
      <c r="F27" s="3"/>
      <c r="G27" s="27">
        <v>3.08</v>
      </c>
      <c r="H27" s="10"/>
      <c r="I27" s="10">
        <f t="shared" si="5"/>
        <v>2912.0718202738767</v>
      </c>
      <c r="J27" s="10">
        <f t="shared" si="3"/>
        <v>20641800578.775982</v>
      </c>
      <c r="K27" s="11">
        <f t="shared" si="4"/>
        <v>5.5436119999999978E-2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6922898.3245272627</v>
      </c>
      <c r="D28" s="11">
        <v>2.46E-2</v>
      </c>
      <c r="E28" s="10">
        <f t="shared" si="2"/>
        <v>166214.42395409942</v>
      </c>
      <c r="F28" s="3"/>
      <c r="G28" s="27">
        <v>6.18</v>
      </c>
      <c r="H28" s="10"/>
      <c r="I28" s="10">
        <f t="shared" si="5"/>
        <v>2825.0599731023253</v>
      </c>
      <c r="J28" s="10">
        <f t="shared" si="3"/>
        <v>19557602954.479122</v>
      </c>
      <c r="K28" s="11">
        <f t="shared" si="4"/>
        <v>8.7920279999999851E-2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6756683.9005731633</v>
      </c>
      <c r="D29" s="11">
        <v>2.4899999999999999E-2</v>
      </c>
      <c r="E29" s="10">
        <f t="shared" si="2"/>
        <v>164153.99465730414</v>
      </c>
      <c r="F29" s="3"/>
      <c r="G29" s="27">
        <v>6.7</v>
      </c>
      <c r="H29" s="10"/>
      <c r="I29" s="10">
        <f t="shared" si="5"/>
        <v>2660.6328622172964</v>
      </c>
      <c r="J29" s="10">
        <f t="shared" si="3"/>
        <v>17977055225.479504</v>
      </c>
      <c r="K29" s="11">
        <f t="shared" si="4"/>
        <v>9.3568299999999827E-2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6592529.9059158592</v>
      </c>
      <c r="D30" s="12">
        <v>2.52E-2</v>
      </c>
      <c r="E30" s="10">
        <f t="shared" si="2"/>
        <v>162048.14048876241</v>
      </c>
      <c r="F30" s="3"/>
      <c r="G30" s="27">
        <v>4.3600000000000003</v>
      </c>
      <c r="H30" s="10"/>
      <c r="I30" s="10">
        <f t="shared" si="5"/>
        <v>2493.5640695569791</v>
      </c>
      <c r="J30" s="10">
        <f t="shared" si="3"/>
        <v>16438895700.871639</v>
      </c>
      <c r="K30" s="11">
        <f t="shared" si="4"/>
        <v>6.9898720000000081E-2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6430481.7654270967</v>
      </c>
      <c r="D31" s="13">
        <v>2.5399999999999999E-2</v>
      </c>
      <c r="E31" s="10">
        <f t="shared" si="2"/>
        <v>159288.31367451604</v>
      </c>
      <c r="F31" s="3"/>
      <c r="G31" s="27">
        <v>3.51</v>
      </c>
      <c r="H31" s="10"/>
      <c r="I31" s="10">
        <f t="shared" si="5"/>
        <v>2389.3868048648706</v>
      </c>
      <c r="J31" s="10">
        <f t="shared" si="3"/>
        <v>15364908279.235662</v>
      </c>
      <c r="K31" s="11">
        <f t="shared" si="4"/>
        <v>6.13915399999998E-2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6271193.4517525807</v>
      </c>
      <c r="D32" s="12">
        <v>2.5399999999999999E-2</v>
      </c>
      <c r="E32" s="10">
        <f t="shared" si="2"/>
        <v>155342.61134631932</v>
      </c>
      <c r="F32" s="3"/>
      <c r="G32" s="27">
        <v>-6.86</v>
      </c>
      <c r="H32" s="10"/>
      <c r="I32" s="10">
        <f t="shared" si="5"/>
        <v>2308.3632546274475</v>
      </c>
      <c r="J32" s="10">
        <f t="shared" si="3"/>
        <v>14476192526.685925</v>
      </c>
      <c r="K32" s="11">
        <f t="shared" si="4"/>
        <v>-4.4942439999999806E-2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6115850.8404062614</v>
      </c>
      <c r="D33" s="13">
        <v>2.5600000000000001E-2</v>
      </c>
      <c r="E33" s="10">
        <f t="shared" si="2"/>
        <v>152657.74328627251</v>
      </c>
      <c r="F33" s="3"/>
      <c r="G33" s="27">
        <v>-7.04</v>
      </c>
      <c r="H33" s="10"/>
      <c r="I33" s="10">
        <f t="shared" si="5"/>
        <v>2478.3801316592735</v>
      </c>
      <c r="J33" s="10">
        <f t="shared" si="3"/>
        <v>15157403211.054548</v>
      </c>
      <c r="K33" s="11">
        <f t="shared" si="4"/>
        <v>-4.6602239999999906E-2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5963193.0971199889</v>
      </c>
      <c r="D34" s="12">
        <v>2.6499999999999999E-2</v>
      </c>
      <c r="E34" s="10">
        <f t="shared" si="2"/>
        <v>153945.0726484945</v>
      </c>
      <c r="F34" s="3"/>
      <c r="G34" s="27">
        <v>0.6</v>
      </c>
      <c r="H34" s="10"/>
      <c r="I34" s="10">
        <f t="shared" si="5"/>
        <v>2666.0715702014559</v>
      </c>
      <c r="J34" s="10">
        <f t="shared" ref="J34:J65" si="6">IF(I34="","",I34*C34)</f>
        <v>15898299583.853172</v>
      </c>
      <c r="K34" s="11">
        <f t="shared" ref="K34:K65" si="7">IFERROR(J34/J35-1,"")</f>
        <v>4.6003500000000086E-2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5809248.0244714944</v>
      </c>
      <c r="D35" s="11">
        <v>2.8199999999999999E-2</v>
      </c>
      <c r="E35" s="10">
        <f t="shared" si="2"/>
        <v>159327.75169237144</v>
      </c>
      <c r="F35" s="3"/>
      <c r="G35" s="27">
        <v>1</v>
      </c>
      <c r="H35" s="10"/>
      <c r="I35" s="10">
        <f t="shared" ref="I35:I66" si="8">IF(H35&lt;&gt;"",H35,I34/(1+IF(G34="",0,G34)/100))</f>
        <v>2616.3607165863159</v>
      </c>
      <c r="J35" s="10">
        <f t="shared" si="6"/>
        <v>15199088324.133879</v>
      </c>
      <c r="K35" s="11">
        <f t="shared" si="7"/>
        <v>6.6243399999999841E-2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5649920.2727791229</v>
      </c>
      <c r="D36" s="11">
        <v>2.9499999999999998E-2</v>
      </c>
      <c r="E36" s="10">
        <f t="shared" si="2"/>
        <v>161896.69552888256</v>
      </c>
      <c r="F36" s="3"/>
      <c r="G36" s="27">
        <v>-1.38</v>
      </c>
      <c r="H36" s="10"/>
      <c r="I36" s="10">
        <f t="shared" si="8"/>
        <v>2523.0093699000154</v>
      </c>
      <c r="J36" s="10">
        <f t="shared" si="6"/>
        <v>14254801787.409779</v>
      </c>
      <c r="K36" s="11">
        <f t="shared" si="7"/>
        <v>6.4708900000000069E-2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5488023.5772502404</v>
      </c>
      <c r="D37" s="11">
        <v>3.04E-2</v>
      </c>
      <c r="E37" s="10">
        <f t="shared" si="2"/>
        <v>161913.73908036388</v>
      </c>
      <c r="F37" s="3"/>
      <c r="G37" s="27">
        <v>-0.1</v>
      </c>
      <c r="H37" s="10"/>
      <c r="I37" s="10">
        <f t="shared" si="8"/>
        <v>2439.5758749758415</v>
      </c>
      <c r="J37" s="10">
        <f t="shared" si="6"/>
        <v>13388449920.358303</v>
      </c>
      <c r="K37" s="11">
        <f t="shared" si="7"/>
        <v>8.3980799999999967E-2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5326109.8381698765</v>
      </c>
      <c r="D38" s="11">
        <v>3.1399999999999997E-2</v>
      </c>
      <c r="E38" s="10">
        <f t="shared" si="2"/>
        <v>162148.38948859274</v>
      </c>
      <c r="F38" s="3"/>
      <c r="G38" s="27">
        <v>1.9</v>
      </c>
      <c r="H38" s="10"/>
      <c r="I38" s="10">
        <f t="shared" si="8"/>
        <v>2318.9884743116363</v>
      </c>
      <c r="J38" s="10">
        <f t="shared" si="6"/>
        <v>12351187327.633759</v>
      </c>
      <c r="K38" s="11">
        <f t="shared" si="7"/>
        <v>8.9158400000000304E-2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5163961.4486812837</v>
      </c>
      <c r="D39" s="11">
        <v>3.2199999999999999E-2</v>
      </c>
      <c r="E39" s="10">
        <f t="shared" si="2"/>
        <v>161092.38388639502</v>
      </c>
      <c r="F39" s="3"/>
      <c r="G39" s="27">
        <v>5.19</v>
      </c>
      <c r="H39" s="10"/>
      <c r="I39" s="10">
        <f t="shared" si="8"/>
        <v>2196.01181279511</v>
      </c>
      <c r="J39" s="10">
        <f t="shared" si="6"/>
        <v>11340120342.122648</v>
      </c>
      <c r="K39" s="11">
        <f t="shared" si="7"/>
        <v>8.5771179999999836E-2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5002869.0647948887</v>
      </c>
      <c r="D40" s="11">
        <v>3.2800000000000003E-2</v>
      </c>
      <c r="E40" s="10">
        <f t="shared" si="2"/>
        <v>158882.75108953565</v>
      </c>
      <c r="F40" s="3"/>
      <c r="G40" s="27">
        <v>5.56</v>
      </c>
      <c r="H40" s="10"/>
      <c r="I40" s="10">
        <f t="shared" si="8"/>
        <v>2087.6621473477612</v>
      </c>
      <c r="J40" s="10">
        <f t="shared" si="6"/>
        <v>10444300374.709383</v>
      </c>
      <c r="K40" s="11">
        <f t="shared" si="7"/>
        <v>9.022368000000025E-2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4843986.3137053531</v>
      </c>
      <c r="D41" s="11">
        <v>3.2899999999999999E-2</v>
      </c>
      <c r="E41" s="10">
        <f t="shared" si="2"/>
        <v>154290.97659105994</v>
      </c>
      <c r="F41" s="3"/>
      <c r="G41" s="27">
        <v>8.7799999999999994</v>
      </c>
      <c r="H41" s="10"/>
      <c r="I41" s="10">
        <f t="shared" si="8"/>
        <v>1977.7019205643815</v>
      </c>
      <c r="J41" s="10">
        <f t="shared" si="6"/>
        <v>9579961035.8026543</v>
      </c>
      <c r="K41" s="11">
        <f t="shared" si="7"/>
        <v>0.12358861999999982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4689695.3371142931</v>
      </c>
      <c r="D42" s="11">
        <v>3.2599999999999997E-2</v>
      </c>
      <c r="E42" s="10">
        <f t="shared" si="2"/>
        <v>148057.39685253333</v>
      </c>
      <c r="F42" s="3"/>
      <c r="G42" s="27">
        <v>5.45</v>
      </c>
      <c r="H42" s="10"/>
      <c r="I42" s="10">
        <f t="shared" si="8"/>
        <v>1818.074940765197</v>
      </c>
      <c r="J42" s="10">
        <f t="shared" si="6"/>
        <v>8526217572.2308893</v>
      </c>
      <c r="K42" s="11">
        <f t="shared" si="7"/>
        <v>8.8876700000000142E-2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4541637.9402617598</v>
      </c>
      <c r="D43" s="11">
        <v>3.2199999999999999E-2</v>
      </c>
      <c r="E43" s="10">
        <f t="shared" si="2"/>
        <v>141678.6879252363</v>
      </c>
      <c r="F43" s="3"/>
      <c r="G43" s="27">
        <v>3.39</v>
      </c>
      <c r="H43" s="10"/>
      <c r="I43" s="10">
        <f t="shared" si="8"/>
        <v>1724.1108968849662</v>
      </c>
      <c r="J43" s="10">
        <f t="shared" si="6"/>
        <v>7830287462.5114937</v>
      </c>
      <c r="K43" s="11">
        <f t="shared" si="7"/>
        <v>6.7191580000000029E-2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4399959.2523365235</v>
      </c>
      <c r="D44" s="11">
        <v>3.1800000000000002E-2</v>
      </c>
      <c r="E44" s="10">
        <f t="shared" si="2"/>
        <v>135606.42006619647</v>
      </c>
      <c r="F44" s="3"/>
      <c r="G44" s="27">
        <v>8.7799999999999994</v>
      </c>
      <c r="H44" s="10"/>
      <c r="I44" s="10">
        <f t="shared" si="8"/>
        <v>1667.5799370199886</v>
      </c>
      <c r="J44" s="10">
        <f t="shared" si="6"/>
        <v>7337283772.9018564</v>
      </c>
      <c r="K44" s="11">
        <f t="shared" si="7"/>
        <v>0.12239204000000026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4264352.832270327</v>
      </c>
      <c r="D45" s="11">
        <v>3.15E-2</v>
      </c>
      <c r="E45" s="10">
        <f t="shared" si="2"/>
        <v>130225.02590064565</v>
      </c>
      <c r="F45" s="3"/>
      <c r="G45" s="27">
        <v>5.43</v>
      </c>
      <c r="H45" s="10"/>
      <c r="I45" s="10">
        <f t="shared" si="8"/>
        <v>1532.983946515893</v>
      </c>
      <c r="J45" s="10">
        <f t="shared" si="6"/>
        <v>6537184434.149992</v>
      </c>
      <c r="K45" s="11">
        <f t="shared" si="7"/>
        <v>8.751045000000035E-2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4134127.8063696814</v>
      </c>
      <c r="D46" s="11">
        <v>2.7799999999999998E-2</v>
      </c>
      <c r="E46" s="10">
        <f t="shared" si="2"/>
        <v>111820.15277006943</v>
      </c>
      <c r="F46" s="3"/>
      <c r="G46" s="27">
        <v>5.39</v>
      </c>
      <c r="H46" s="10"/>
      <c r="I46" s="10">
        <f t="shared" si="8"/>
        <v>1454.0301114634287</v>
      </c>
      <c r="J46" s="10">
        <f t="shared" si="6"/>
        <v>6011146315.0997677</v>
      </c>
      <c r="K46" s="11">
        <f t="shared" si="7"/>
        <v>8.3198419999999995E-2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4022307.6535996119</v>
      </c>
      <c r="D47" s="11">
        <v>2.4E-2</v>
      </c>
      <c r="E47" s="10">
        <f t="shared" si="2"/>
        <v>94272.835631241091</v>
      </c>
      <c r="F47" s="3"/>
      <c r="G47" s="27">
        <v>3.69</v>
      </c>
      <c r="H47" s="10"/>
      <c r="I47" s="10">
        <f t="shared" si="8"/>
        <v>1379.6661082298403</v>
      </c>
      <c r="J47" s="10">
        <f t="shared" si="6"/>
        <v>5549441546.5448771</v>
      </c>
      <c r="K47" s="11">
        <f t="shared" si="7"/>
        <v>6.1785599999999885E-2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3928034.8179683709</v>
      </c>
      <c r="D48" s="11">
        <v>2.4E-2</v>
      </c>
      <c r="E48" s="10">
        <f t="shared" si="2"/>
        <v>92063.316046133637</v>
      </c>
      <c r="F48" s="3"/>
      <c r="G48" s="27">
        <v>4.6900000000000004</v>
      </c>
      <c r="H48" s="10"/>
      <c r="I48" s="10">
        <f t="shared" si="8"/>
        <v>1330.5681437263386</v>
      </c>
      <c r="J48" s="10">
        <f t="shared" si="6"/>
        <v>5226517996.2366018</v>
      </c>
      <c r="K48" s="11">
        <f t="shared" si="7"/>
        <v>7.2025599999999912E-2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3835971.5019222372</v>
      </c>
      <c r="D49" s="11">
        <v>2.4E-2</v>
      </c>
      <c r="E49" s="10">
        <f t="shared" si="2"/>
        <v>89905.58207630273</v>
      </c>
      <c r="F49" s="3"/>
      <c r="G49" s="27">
        <v>5.04</v>
      </c>
      <c r="H49" s="10"/>
      <c r="I49" s="10">
        <f t="shared" si="8"/>
        <v>1270.9601143627267</v>
      </c>
      <c r="J49" s="10">
        <f t="shared" si="6"/>
        <v>4875366778.7752476</v>
      </c>
      <c r="K49" s="11">
        <f t="shared" si="7"/>
        <v>7.5609599999999944E-2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3746065.9198459345</v>
      </c>
      <c r="D50" s="11">
        <v>2.4E-2</v>
      </c>
      <c r="E50" s="10">
        <f t="shared" si="2"/>
        <v>87798.419996389188</v>
      </c>
      <c r="F50" s="3"/>
      <c r="G50" s="27">
        <v>5.22</v>
      </c>
      <c r="H50" s="10"/>
      <c r="I50" s="10">
        <f t="shared" si="8"/>
        <v>1209.9772604367163</v>
      </c>
      <c r="J50" s="10">
        <f t="shared" si="6"/>
        <v>4532654579.1105318</v>
      </c>
      <c r="K50" s="11">
        <f t="shared" si="7"/>
        <v>7.7452800000000099E-2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3658267.4998495453</v>
      </c>
      <c r="D51" s="11">
        <v>2.3900000000000001E-2</v>
      </c>
      <c r="E51" s="10">
        <f t="shared" si="2"/>
        <v>85391.730878410395</v>
      </c>
      <c r="F51" s="3"/>
      <c r="G51" s="27">
        <v>4.4400000000000004</v>
      </c>
      <c r="H51" s="10"/>
      <c r="I51" s="10">
        <f t="shared" si="8"/>
        <v>1149.9498768643948</v>
      </c>
      <c r="J51" s="10">
        <f t="shared" si="6"/>
        <v>4206824260.9890022</v>
      </c>
      <c r="K51" s="11">
        <f t="shared" si="7"/>
        <v>6.9361160000000144E-2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3572875.7689711349</v>
      </c>
      <c r="D52" s="11">
        <v>2.4E-2</v>
      </c>
      <c r="E52" s="10">
        <f t="shared" si="2"/>
        <v>83739.275835261215</v>
      </c>
      <c r="F52" s="3"/>
      <c r="G52" s="27">
        <v>5.35</v>
      </c>
      <c r="H52" s="10"/>
      <c r="I52" s="10">
        <f t="shared" si="8"/>
        <v>1101.0626932826453</v>
      </c>
      <c r="J52" s="10">
        <f t="shared" si="6"/>
        <v>3933960216.9476604</v>
      </c>
      <c r="K52" s="11">
        <f t="shared" si="7"/>
        <v>7.8784000000000409E-2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3489136.4931358737</v>
      </c>
      <c r="D53" s="11">
        <v>2.3900000000000001E-2</v>
      </c>
      <c r="E53" s="10">
        <f t="shared" si="2"/>
        <v>81443.854073588736</v>
      </c>
      <c r="F53" s="3"/>
      <c r="G53" s="27">
        <v>3.4</v>
      </c>
      <c r="H53" s="10"/>
      <c r="I53" s="10">
        <f t="shared" si="8"/>
        <v>1045.1473120860419</v>
      </c>
      <c r="J53" s="10">
        <f t="shared" si="6"/>
        <v>3646661627.3022766</v>
      </c>
      <c r="K53" s="11">
        <f t="shared" si="7"/>
        <v>5.8712600000000004E-2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3407692.639062285</v>
      </c>
      <c r="D54" s="11">
        <v>2.4E-2</v>
      </c>
      <c r="E54" s="10">
        <f t="shared" si="2"/>
        <v>79867.796228022315</v>
      </c>
      <c r="F54" s="3"/>
      <c r="G54" s="27">
        <v>7.02</v>
      </c>
      <c r="H54" s="10"/>
      <c r="I54" s="10">
        <f t="shared" si="8"/>
        <v>1010.7807660406594</v>
      </c>
      <c r="J54" s="10">
        <f t="shared" si="6"/>
        <v>3444430176.1424928</v>
      </c>
      <c r="K54" s="11">
        <f t="shared" si="7"/>
        <v>9.5884800000000325E-2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3327824.8428342626</v>
      </c>
      <c r="D55" s="11">
        <v>2.3800000000000002E-2</v>
      </c>
      <c r="E55" s="10">
        <f t="shared" si="2"/>
        <v>77361.038542152382</v>
      </c>
      <c r="F55" s="3"/>
      <c r="G55" s="27">
        <v>4.8499999999999996</v>
      </c>
      <c r="H55" s="10"/>
      <c r="I55" s="10">
        <f t="shared" si="8"/>
        <v>944.47838351771566</v>
      </c>
      <c r="J55" s="10">
        <f t="shared" si="6"/>
        <v>3143058628.1902003</v>
      </c>
      <c r="K55" s="11">
        <f t="shared" si="7"/>
        <v>7.3454300000000083E-2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3250463.8042921103</v>
      </c>
      <c r="D56" s="11">
        <v>2.3E-2</v>
      </c>
      <c r="E56" s="10">
        <f t="shared" si="2"/>
        <v>73079.831377046183</v>
      </c>
      <c r="F56" s="3"/>
      <c r="G56" s="27">
        <v>5.7</v>
      </c>
      <c r="H56" s="10"/>
      <c r="I56" s="10">
        <f t="shared" si="8"/>
        <v>900.79006534832206</v>
      </c>
      <c r="J56" s="10">
        <f t="shared" si="6"/>
        <v>2927985502.6806455</v>
      </c>
      <c r="K56" s="11">
        <f t="shared" si="7"/>
        <v>8.1310999999999911E-2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3177383.9729150641</v>
      </c>
      <c r="D57" s="11">
        <v>2.2599999999999999E-2</v>
      </c>
      <c r="E57" s="10">
        <f t="shared" si="2"/>
        <v>70221.863668961916</v>
      </c>
      <c r="F57" s="3"/>
      <c r="G57" s="28">
        <v>1.32</v>
      </c>
      <c r="H57" s="10"/>
      <c r="I57" s="10">
        <f t="shared" si="8"/>
        <v>852.21387450172381</v>
      </c>
      <c r="J57" s="10">
        <f t="shared" si="6"/>
        <v>2707810706.3376269</v>
      </c>
      <c r="K57" s="11">
        <f t="shared" si="7"/>
        <v>3.6098320000000017E-2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3107162.1092461022</v>
      </c>
      <c r="D58" s="11">
        <v>2.2700000000000001E-2</v>
      </c>
      <c r="E58" s="10">
        <f t="shared" si="2"/>
        <v>68967.028336644638</v>
      </c>
      <c r="F58" s="3"/>
      <c r="G58" s="28">
        <v>6.84</v>
      </c>
      <c r="H58" s="10"/>
      <c r="I58" s="10">
        <f t="shared" si="8"/>
        <v>841.11120657493461</v>
      </c>
      <c r="J58" s="10">
        <f t="shared" si="6"/>
        <v>2613468870.7319078</v>
      </c>
      <c r="K58" s="11">
        <f t="shared" si="7"/>
        <v>9.2652679999999821E-2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3038195.0809094575</v>
      </c>
      <c r="D59" s="11">
        <v>2.3699999999999999E-2</v>
      </c>
      <c r="E59" s="10">
        <f t="shared" si="2"/>
        <v>70338.207890548278</v>
      </c>
      <c r="F59" s="3"/>
      <c r="G59" s="28">
        <v>3.45</v>
      </c>
      <c r="H59" s="10"/>
      <c r="I59" s="10">
        <f t="shared" si="8"/>
        <v>787.26245467515412</v>
      </c>
      <c r="J59" s="10">
        <f t="shared" si="6"/>
        <v>2391856917.1787581</v>
      </c>
      <c r="K59" s="11">
        <f t="shared" si="7"/>
        <v>5.9017650000000144E-2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2967856.8730189092</v>
      </c>
      <c r="D60" s="11">
        <v>2.4899999999999999E-2</v>
      </c>
      <c r="E60" s="10">
        <f t="shared" si="2"/>
        <v>72104.240548512433</v>
      </c>
      <c r="F60" s="3"/>
      <c r="G60" s="28">
        <v>5.38</v>
      </c>
      <c r="H60" s="10"/>
      <c r="I60" s="10">
        <f t="shared" si="8"/>
        <v>761.00768939115915</v>
      </c>
      <c r="J60" s="10">
        <f t="shared" si="6"/>
        <v>2258561901.3797908</v>
      </c>
      <c r="K60" s="11">
        <f t="shared" si="7"/>
        <v>8.0039619999999756E-2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2895752.6324703968</v>
      </c>
      <c r="D61" s="11">
        <v>2.5499999999999998E-2</v>
      </c>
      <c r="E61" s="10">
        <f t="shared" si="2"/>
        <v>72005.550588001497</v>
      </c>
      <c r="F61" s="3"/>
      <c r="G61" s="28">
        <v>7</v>
      </c>
      <c r="H61" s="10"/>
      <c r="I61" s="10">
        <f t="shared" si="8"/>
        <v>722.15571208119104</v>
      </c>
      <c r="J61" s="10">
        <f t="shared" si="6"/>
        <v>2091184304.3126428</v>
      </c>
      <c r="K61" s="11">
        <f t="shared" si="7"/>
        <v>9.7285000000000288E-2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2823747.0818823953</v>
      </c>
      <c r="D62" s="11">
        <v>2.5999999999999999E-2</v>
      </c>
      <c r="E62" s="10">
        <f t="shared" si="2"/>
        <v>71556.94359546015</v>
      </c>
      <c r="F62" s="3"/>
      <c r="G62" s="28">
        <v>7</v>
      </c>
      <c r="H62" s="10"/>
      <c r="I62" s="10">
        <f t="shared" si="8"/>
        <v>674.91188044971125</v>
      </c>
      <c r="J62" s="10">
        <f t="shared" si="6"/>
        <v>1905780452.9476321</v>
      </c>
      <c r="K62" s="11">
        <f t="shared" si="7"/>
        <v>9.7820000000000018E-2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2752190.1382869352</v>
      </c>
      <c r="D63" s="11">
        <v>2.6100000000000002E-2</v>
      </c>
      <c r="E63" s="10">
        <f t="shared" si="2"/>
        <v>70005.031292553525</v>
      </c>
      <c r="F63" s="3"/>
      <c r="G63" s="28">
        <v>7.48</v>
      </c>
      <c r="H63" s="10"/>
      <c r="I63" s="10">
        <f t="shared" si="8"/>
        <v>630.75876677543101</v>
      </c>
      <c r="J63" s="10">
        <f t="shared" si="6"/>
        <v>1735968057.5573702</v>
      </c>
      <c r="K63" s="11">
        <f t="shared" si="7"/>
        <v>0.10285228000000002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2682185.1069943816</v>
      </c>
      <c r="D64" s="11">
        <v>2.6100000000000002E-2</v>
      </c>
      <c r="E64" s="10">
        <f t="shared" si="2"/>
        <v>68224.375102381222</v>
      </c>
      <c r="F64" s="3"/>
      <c r="G64" s="28">
        <v>8.99</v>
      </c>
      <c r="H64" s="10"/>
      <c r="I64" s="10">
        <f t="shared" si="8"/>
        <v>586.86152472593142</v>
      </c>
      <c r="J64" s="10">
        <f t="shared" si="6"/>
        <v>1574071241.4879084</v>
      </c>
      <c r="K64" s="11">
        <f t="shared" si="7"/>
        <v>0.11834639000000013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2613960.7318920004</v>
      </c>
      <c r="D65" s="11">
        <v>2.58E-2</v>
      </c>
      <c r="E65" s="10">
        <f t="shared" si="2"/>
        <v>65743.991892000195</v>
      </c>
      <c r="F65" s="3"/>
      <c r="G65" s="28">
        <v>6.14</v>
      </c>
      <c r="H65" s="10"/>
      <c r="I65" s="10">
        <f t="shared" si="8"/>
        <v>538.45446804838184</v>
      </c>
      <c r="J65" s="10">
        <f t="shared" si="6"/>
        <v>1407498835.3902659</v>
      </c>
      <c r="K65" s="11">
        <f t="shared" si="7"/>
        <v>8.8784119999999911E-2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2548216.7400000002</v>
      </c>
      <c r="D66" s="11">
        <v>2.6100000000000002E-2</v>
      </c>
      <c r="E66" s="10">
        <f t="shared" si="2"/>
        <v>64816.740000000224</v>
      </c>
      <c r="F66" s="3"/>
      <c r="G66" s="28">
        <v>10.84</v>
      </c>
      <c r="H66" s="10"/>
      <c r="I66" s="10">
        <f t="shared" si="8"/>
        <v>507.30588661049734</v>
      </c>
      <c r="J66" s="10">
        <f t="shared" ref="J66:J67" si="9">IF(I66="","",I66*C66)</f>
        <v>1292725352.5614114</v>
      </c>
      <c r="K66" s="11">
        <f t="shared" ref="K66" si="10">IFERROR(J66/J67-1,"")</f>
        <v>0.13732924000000013</v>
      </c>
    </row>
    <row r="67" spans="1:11" ht="22.5" customHeight="1">
      <c r="A67" s="3">
        <f t="shared" si="0"/>
        <v>1950</v>
      </c>
      <c r="B67" s="3">
        <v>1700</v>
      </c>
      <c r="C67" s="10">
        <v>2483400</v>
      </c>
      <c r="D67" s="11">
        <v>2.58E-2</v>
      </c>
      <c r="E67" s="3"/>
      <c r="F67" s="3"/>
      <c r="G67" s="28">
        <v>7.54</v>
      </c>
      <c r="H67" s="10"/>
      <c r="I67" s="10">
        <f t="shared" ref="I67" si="11">IF(H67&lt;&gt;"",H67,I66/(1+IF(G66="",0,G66)/100))</f>
        <v>457.6920665919319</v>
      </c>
      <c r="J67" s="10">
        <f t="shared" si="9"/>
        <v>1136632478.1744037</v>
      </c>
      <c r="K67" s="11"/>
    </row>
  </sheetData>
  <dataValidations count="1">
    <dataValidation type="custom" allowBlank="1" showDropDown="1" sqref="D2:D67" xr:uid="{00000000-0002-0000-0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67"/>
  <sheetViews>
    <sheetView workbookViewId="0">
      <selection activeCell="G27" sqref="G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14469872.85038319</v>
      </c>
      <c r="D2" s="11">
        <v>-2.0000000000000001E-4</v>
      </c>
      <c r="E2" s="10">
        <f t="shared" ref="E2:E66" si="2">SUM(C2-C3)</f>
        <v>-2894.5534807723016</v>
      </c>
      <c r="F2" s="10">
        <v>14469041</v>
      </c>
      <c r="G2" s="29">
        <v>0.34</v>
      </c>
      <c r="H2" s="10"/>
      <c r="I2" s="10">
        <f>IF(H2&lt;&gt;"",H2,70792)</f>
        <v>8849</v>
      </c>
      <c r="J2" s="10">
        <f t="shared" ref="J2:J33" si="3">IF(I2="","",I2*C2)</f>
        <v>128043904853.04085</v>
      </c>
      <c r="K2" s="11">
        <f t="shared" ref="K2:K33" si="4">IFERROR(J2/J3-1,"")</f>
        <v>3.1993200000000055E-3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14472767.403863963</v>
      </c>
      <c r="D3" s="11">
        <v>-2.8E-3</v>
      </c>
      <c r="E3" s="10">
        <f t="shared" si="2"/>
        <v>-40637.533825531602</v>
      </c>
      <c r="F3" s="3"/>
      <c r="G3" s="29">
        <v>1.8</v>
      </c>
      <c r="H3" s="10"/>
      <c r="I3" s="10">
        <f t="shared" ref="I3:I34" si="5">IF(H3&lt;&gt;"",H3,I2/(1+IF(G2="",0,G2)/100))</f>
        <v>8819.0153478174198</v>
      </c>
      <c r="J3" s="10">
        <f t="shared" si="3"/>
        <v>127635557860.06796</v>
      </c>
      <c r="K3" s="11">
        <f t="shared" si="4"/>
        <v>1.5149599999999763E-2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14513404.937689494</v>
      </c>
      <c r="D4" s="11">
        <v>-1.26E-2</v>
      </c>
      <c r="E4" s="10">
        <f t="shared" si="2"/>
        <v>-185202.45312425308</v>
      </c>
      <c r="F4" s="3"/>
      <c r="G4" s="29">
        <v>3.24</v>
      </c>
      <c r="H4" s="10"/>
      <c r="I4" s="10">
        <f t="shared" si="5"/>
        <v>8663.0799094473678</v>
      </c>
      <c r="J4" s="10">
        <f t="shared" si="3"/>
        <v>125730786733.37209</v>
      </c>
      <c r="K4" s="11">
        <f t="shared" si="4"/>
        <v>1.939175999999998E-2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14698607.390813747</v>
      </c>
      <c r="D5" s="11">
        <v>-1.2200000000000001E-2</v>
      </c>
      <c r="E5" s="10">
        <f t="shared" si="2"/>
        <v>-181537.7709738072</v>
      </c>
      <c r="F5" s="3"/>
      <c r="G5" s="29">
        <v>6.98</v>
      </c>
      <c r="H5" s="10"/>
      <c r="I5" s="10">
        <f t="shared" si="5"/>
        <v>8391.2048716072914</v>
      </c>
      <c r="J5" s="10">
        <f t="shared" si="3"/>
        <v>123339025943.63925</v>
      </c>
      <c r="K5" s="11">
        <f t="shared" si="4"/>
        <v>5.6748440000000011E-2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14880145.161787555</v>
      </c>
      <c r="D6" s="11">
        <v>-2.0999999999999999E-3</v>
      </c>
      <c r="E6" s="10">
        <f t="shared" si="2"/>
        <v>-31314.06437494047</v>
      </c>
      <c r="F6" s="3"/>
      <c r="G6" s="29">
        <v>7.74</v>
      </c>
      <c r="H6" s="10"/>
      <c r="I6" s="10">
        <f t="shared" si="5"/>
        <v>7843.7136582606945</v>
      </c>
      <c r="J6" s="10">
        <f t="shared" si="3"/>
        <v>116715597842.41484</v>
      </c>
      <c r="K6" s="11">
        <f t="shared" si="4"/>
        <v>7.51374600000001E-2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14911459.226162495</v>
      </c>
      <c r="D7" s="11">
        <v>-1.1000000000000001E-3</v>
      </c>
      <c r="E7" s="10">
        <f t="shared" si="2"/>
        <v>-16420.667883450165</v>
      </c>
      <c r="F7" s="3"/>
      <c r="G7" s="29">
        <v>2.36</v>
      </c>
      <c r="H7" s="10"/>
      <c r="I7" s="10">
        <f t="shared" si="5"/>
        <v>7280.2242976245543</v>
      </c>
      <c r="J7" s="10">
        <f t="shared" si="3"/>
        <v>108558767771.34602</v>
      </c>
      <c r="K7" s="11">
        <f t="shared" si="4"/>
        <v>2.2474040000000084E-2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14927879.894045945</v>
      </c>
      <c r="D8" s="11">
        <v>-2E-3</v>
      </c>
      <c r="E8" s="10">
        <f t="shared" si="2"/>
        <v>-29915.590970031917</v>
      </c>
      <c r="F8" s="3"/>
      <c r="G8" s="29">
        <v>7.47</v>
      </c>
      <c r="H8" s="10"/>
      <c r="I8" s="10">
        <f t="shared" si="5"/>
        <v>7112.3723110829951</v>
      </c>
      <c r="J8" s="10">
        <f t="shared" si="3"/>
        <v>106172639621.58493</v>
      </c>
      <c r="K8" s="11">
        <f t="shared" si="4"/>
        <v>7.2550600000000021E-2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14957795.485015977</v>
      </c>
      <c r="D9" s="11">
        <v>-2E-3</v>
      </c>
      <c r="E9" s="10">
        <f t="shared" si="2"/>
        <v>-29975.54205414094</v>
      </c>
      <c r="F9" s="3"/>
      <c r="G9" s="29">
        <v>1.8</v>
      </c>
      <c r="H9" s="10"/>
      <c r="I9" s="10">
        <f t="shared" si="5"/>
        <v>6618.0071751028145</v>
      </c>
      <c r="J9" s="10">
        <f t="shared" si="3"/>
        <v>98990797843.556213</v>
      </c>
      <c r="K9" s="11">
        <f t="shared" si="4"/>
        <v>1.5963999999999867E-2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14987771.027070118</v>
      </c>
      <c r="D10" s="11">
        <v>-4.1999999999999997E-3</v>
      </c>
      <c r="E10" s="10">
        <f t="shared" si="2"/>
        <v>-63214.137692000717</v>
      </c>
      <c r="F10" s="3"/>
      <c r="G10" s="29">
        <v>3.51</v>
      </c>
      <c r="H10" s="10"/>
      <c r="I10" s="10">
        <f t="shared" si="5"/>
        <v>6500.9893665057116</v>
      </c>
      <c r="J10" s="10">
        <f t="shared" si="3"/>
        <v>97435340074.605225</v>
      </c>
      <c r="K10" s="11">
        <f t="shared" si="4"/>
        <v>3.075258000000014E-2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15050985.164762119</v>
      </c>
      <c r="D11" s="11">
        <v>-6.6E-3</v>
      </c>
      <c r="E11" s="10">
        <f t="shared" si="2"/>
        <v>-99996.4788478259</v>
      </c>
      <c r="F11" s="3"/>
      <c r="G11" s="29">
        <v>6.44</v>
      </c>
      <c r="H11" s="10"/>
      <c r="I11" s="10">
        <f t="shared" si="5"/>
        <v>6280.5423306982048</v>
      </c>
      <c r="J11" s="10">
        <f t="shared" si="3"/>
        <v>94528349445.999176</v>
      </c>
      <c r="K11" s="11">
        <f t="shared" si="4"/>
        <v>5.7374959999999975E-2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15150981.643609945</v>
      </c>
      <c r="D12" s="11">
        <v>-6.7000000000000002E-3</v>
      </c>
      <c r="E12" s="10">
        <f t="shared" si="2"/>
        <v>-102196.29216972366</v>
      </c>
      <c r="F12" s="3"/>
      <c r="G12" s="29">
        <v>1.18</v>
      </c>
      <c r="H12" s="10"/>
      <c r="I12" s="10">
        <f t="shared" si="5"/>
        <v>5900.5470976119923</v>
      </c>
      <c r="J12" s="10">
        <f t="shared" si="3"/>
        <v>89399080763.175232</v>
      </c>
      <c r="K12" s="11">
        <f t="shared" si="4"/>
        <v>5.0209400000000848E-3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15253177.935779668</v>
      </c>
      <c r="D13" s="11">
        <v>-7.3000000000000001E-3</v>
      </c>
      <c r="E13" s="10">
        <f t="shared" si="2"/>
        <v>-112167.0181637872</v>
      </c>
      <c r="F13" s="3"/>
      <c r="G13" s="29">
        <v>5.38</v>
      </c>
      <c r="H13" s="10"/>
      <c r="I13" s="10">
        <f t="shared" si="5"/>
        <v>5831.7326523146785</v>
      </c>
      <c r="J13" s="10">
        <f t="shared" si="3"/>
        <v>88952455819.6521</v>
      </c>
      <c r="K13" s="11">
        <f t="shared" si="4"/>
        <v>4.6107260000000094E-2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15365344.953943456</v>
      </c>
      <c r="D14" s="11">
        <v>-5.4000000000000003E-3</v>
      </c>
      <c r="E14" s="10">
        <f t="shared" si="2"/>
        <v>-83423.348835002631</v>
      </c>
      <c r="F14" s="3"/>
      <c r="G14" s="29">
        <v>5.8</v>
      </c>
      <c r="H14" s="10"/>
      <c r="I14" s="10">
        <f t="shared" si="5"/>
        <v>5534.0032760625145</v>
      </c>
      <c r="J14" s="10">
        <f t="shared" si="3"/>
        <v>85031869312.953705</v>
      </c>
      <c r="K14" s="11">
        <f t="shared" si="4"/>
        <v>5.2286800000000078E-2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15448768.302778458</v>
      </c>
      <c r="D15" s="11">
        <v>-1.5E-3</v>
      </c>
      <c r="E15" s="10">
        <f t="shared" si="2"/>
        <v>-23207.96440076828</v>
      </c>
      <c r="F15" s="3"/>
      <c r="G15" s="29">
        <v>4.68</v>
      </c>
      <c r="H15" s="10"/>
      <c r="I15" s="10">
        <f t="shared" si="5"/>
        <v>5230.6269149929249</v>
      </c>
      <c r="J15" s="10">
        <f t="shared" si="3"/>
        <v>80806743288.002563</v>
      </c>
      <c r="K15" s="11">
        <f t="shared" si="4"/>
        <v>4.5229799999999765E-2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15471976.267179227</v>
      </c>
      <c r="D16" s="11">
        <v>1.2999999999999999E-3</v>
      </c>
      <c r="E16" s="10">
        <f t="shared" si="2"/>
        <v>20087.455455241725</v>
      </c>
      <c r="F16" s="3"/>
      <c r="G16" s="29">
        <v>4.6500000000000004</v>
      </c>
      <c r="H16" s="10"/>
      <c r="I16" s="10">
        <f t="shared" si="5"/>
        <v>4996.7777177998905</v>
      </c>
      <c r="J16" s="10">
        <f t="shared" si="3"/>
        <v>77310026262.169891</v>
      </c>
      <c r="K16" s="11">
        <f t="shared" si="4"/>
        <v>4.7860449999999943E-2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15451888.811723985</v>
      </c>
      <c r="D17" s="11">
        <v>2.5999999999999999E-3</v>
      </c>
      <c r="E17" s="10">
        <f t="shared" si="2"/>
        <v>40070.727020228282</v>
      </c>
      <c r="F17" s="3"/>
      <c r="G17" s="29">
        <v>4.1399999999999997</v>
      </c>
      <c r="H17" s="10"/>
      <c r="I17" s="10">
        <f t="shared" si="5"/>
        <v>4774.7517609172392</v>
      </c>
      <c r="J17" s="10">
        <f t="shared" si="3"/>
        <v>73778933313.276489</v>
      </c>
      <c r="K17" s="11">
        <f t="shared" si="4"/>
        <v>4.4107640000000226E-2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15411818.084703756</v>
      </c>
      <c r="D18" s="11">
        <v>2.7000000000000001E-3</v>
      </c>
      <c r="E18" s="10">
        <f t="shared" si="2"/>
        <v>41499.859208835289</v>
      </c>
      <c r="F18" s="3"/>
      <c r="G18" s="29">
        <v>2.66</v>
      </c>
      <c r="H18" s="10"/>
      <c r="I18" s="10">
        <f t="shared" si="5"/>
        <v>4584.9354339516403</v>
      </c>
      <c r="J18" s="10">
        <f t="shared" si="3"/>
        <v>70662190838.174957</v>
      </c>
      <c r="K18" s="11">
        <f t="shared" si="4"/>
        <v>2.9371819999999715E-2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15370318.225494921</v>
      </c>
      <c r="D19" s="11">
        <v>2.5000000000000001E-3</v>
      </c>
      <c r="E19" s="10">
        <f t="shared" si="2"/>
        <v>38329.970637144521</v>
      </c>
      <c r="F19" s="3"/>
      <c r="G19" s="29">
        <v>3.44</v>
      </c>
      <c r="H19" s="10"/>
      <c r="I19" s="10">
        <f t="shared" si="5"/>
        <v>4466.1362107458026</v>
      </c>
      <c r="J19" s="10">
        <f t="shared" si="3"/>
        <v>68645934797.569038</v>
      </c>
      <c r="K19" s="11">
        <f t="shared" si="4"/>
        <v>3.6985999999999963E-2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15331988.254857777</v>
      </c>
      <c r="D20" s="11">
        <v>3.0000000000000001E-3</v>
      </c>
      <c r="E20" s="10">
        <f t="shared" si="2"/>
        <v>45858.389595784247</v>
      </c>
      <c r="F20" s="3"/>
      <c r="G20" s="29">
        <v>3.6</v>
      </c>
      <c r="H20" s="10"/>
      <c r="I20" s="10">
        <f t="shared" si="5"/>
        <v>4317.6104125539468</v>
      </c>
      <c r="J20" s="10">
        <f t="shared" si="3"/>
        <v>66197552134.328751</v>
      </c>
      <c r="K20" s="11">
        <f t="shared" si="4"/>
        <v>3.9107999999999921E-2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15286129.865261992</v>
      </c>
      <c r="D21" s="11">
        <v>2.8999999999999998E-3</v>
      </c>
      <c r="E21" s="10">
        <f t="shared" si="2"/>
        <v>44201.59199248068</v>
      </c>
      <c r="F21" s="3"/>
      <c r="G21" s="29">
        <v>1.38</v>
      </c>
      <c r="H21" s="10"/>
      <c r="I21" s="10">
        <f t="shared" si="5"/>
        <v>4167.577618295315</v>
      </c>
      <c r="J21" s="10">
        <f t="shared" si="3"/>
        <v>63706132696.821457</v>
      </c>
      <c r="K21" s="11">
        <f t="shared" si="4"/>
        <v>1.6740019999999856E-2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15241928.273269512</v>
      </c>
      <c r="D22" s="11">
        <v>2.5000000000000001E-3</v>
      </c>
      <c r="E22" s="10">
        <f t="shared" si="2"/>
        <v>38009.79619269073</v>
      </c>
      <c r="F22" s="3"/>
      <c r="G22" s="29">
        <v>2.1</v>
      </c>
      <c r="H22" s="10"/>
      <c r="I22" s="10">
        <f t="shared" si="5"/>
        <v>4110.8479170401606</v>
      </c>
      <c r="J22" s="10">
        <f t="shared" si="3"/>
        <v>62657249093.845505</v>
      </c>
      <c r="K22" s="11">
        <f t="shared" si="4"/>
        <v>2.3552499999999865E-2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15203918.477076821</v>
      </c>
      <c r="D23" s="11">
        <v>2.3999999999999998E-3</v>
      </c>
      <c r="E23" s="10">
        <f t="shared" si="2"/>
        <v>36402.03945030272</v>
      </c>
      <c r="F23" s="3"/>
      <c r="G23" s="29">
        <v>2</v>
      </c>
      <c r="H23" s="10"/>
      <c r="I23" s="10">
        <f t="shared" si="5"/>
        <v>4026.2957071891879</v>
      </c>
      <c r="J23" s="10">
        <f t="shared" si="3"/>
        <v>61215471696.708778</v>
      </c>
      <c r="K23" s="11">
        <f t="shared" si="4"/>
        <v>2.2448000000000023E-2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15167516.437626518</v>
      </c>
      <c r="D24" s="11">
        <v>3.7000000000000002E-3</v>
      </c>
      <c r="E24" s="10">
        <f t="shared" si="2"/>
        <v>55912.932967239991</v>
      </c>
      <c r="F24" s="3"/>
      <c r="G24" s="29">
        <v>0</v>
      </c>
      <c r="H24" s="10"/>
      <c r="I24" s="10">
        <f t="shared" si="5"/>
        <v>3947.3487325384194</v>
      </c>
      <c r="J24" s="10">
        <f t="shared" si="3"/>
        <v>59871476785.820679</v>
      </c>
      <c r="K24" s="11">
        <f t="shared" si="4"/>
        <v>3.7000000000000366E-3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15111603.504659278</v>
      </c>
      <c r="D25" s="11">
        <v>5.1999999999999998E-3</v>
      </c>
      <c r="E25" s="10">
        <f t="shared" si="2"/>
        <v>78173.834285942838</v>
      </c>
      <c r="F25" s="3"/>
      <c r="G25" s="29">
        <v>0.7</v>
      </c>
      <c r="H25" s="10"/>
      <c r="I25" s="10">
        <f t="shared" si="5"/>
        <v>3947.3487325384194</v>
      </c>
      <c r="J25" s="10">
        <f t="shared" si="3"/>
        <v>59650768940.739937</v>
      </c>
      <c r="K25" s="11">
        <f t="shared" si="4"/>
        <v>1.2236399999999925E-2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15033429.670373335</v>
      </c>
      <c r="D26" s="11">
        <v>4.1000000000000003E-3</v>
      </c>
      <c r="E26" s="10">
        <f t="shared" si="2"/>
        <v>61385.381584035233</v>
      </c>
      <c r="F26" s="3"/>
      <c r="G26" s="29">
        <v>3.1</v>
      </c>
      <c r="H26" s="10"/>
      <c r="I26" s="10">
        <f t="shared" si="5"/>
        <v>3919.9093669696326</v>
      </c>
      <c r="J26" s="10">
        <f t="shared" si="3"/>
        <v>58929681782.575638</v>
      </c>
      <c r="K26" s="11">
        <f t="shared" si="4"/>
        <v>3.5227099999999956E-2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14972044.2887893</v>
      </c>
      <c r="D27" s="11">
        <v>3.8E-3</v>
      </c>
      <c r="E27" s="10">
        <f t="shared" si="2"/>
        <v>56678.390413826331</v>
      </c>
      <c r="F27" s="3"/>
      <c r="G27" s="29">
        <v>-1.6</v>
      </c>
      <c r="H27" s="10"/>
      <c r="I27" s="10">
        <f t="shared" si="5"/>
        <v>3802.0459427445517</v>
      </c>
      <c r="J27" s="10">
        <f t="shared" si="3"/>
        <v>56924400242.783096</v>
      </c>
      <c r="K27" s="11">
        <f t="shared" si="4"/>
        <v>-1.2260800000000072E-2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14915365.898375474</v>
      </c>
      <c r="D28" s="11">
        <v>5.4999999999999997E-3</v>
      </c>
      <c r="E28" s="10">
        <f t="shared" si="2"/>
        <v>81585.790592806414</v>
      </c>
      <c r="F28" s="3"/>
      <c r="G28" s="29">
        <v>3.8</v>
      </c>
      <c r="H28" s="10"/>
      <c r="I28" s="10">
        <f t="shared" si="5"/>
        <v>3863.8678279924306</v>
      </c>
      <c r="J28" s="10">
        <f t="shared" si="3"/>
        <v>57631002437.468414</v>
      </c>
      <c r="K28" s="11">
        <f t="shared" si="4"/>
        <v>4.370900000000022E-2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14833780.107782668</v>
      </c>
      <c r="D29" s="11">
        <v>4.8999999999999998E-3</v>
      </c>
      <c r="E29" s="10">
        <f t="shared" si="2"/>
        <v>72331.100137460977</v>
      </c>
      <c r="F29" s="3"/>
      <c r="G29" s="29">
        <v>4.29</v>
      </c>
      <c r="H29" s="10"/>
      <c r="I29" s="10">
        <f t="shared" si="5"/>
        <v>3722.4160192605304</v>
      </c>
      <c r="J29" s="10">
        <f t="shared" si="3"/>
        <v>55217500699.398399</v>
      </c>
      <c r="K29" s="11">
        <f t="shared" si="4"/>
        <v>4.801020999999972E-2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14761449.007645207</v>
      </c>
      <c r="D30" s="12">
        <v>4.4000000000000003E-3</v>
      </c>
      <c r="E30" s="10">
        <f t="shared" si="2"/>
        <v>64665.845911627635</v>
      </c>
      <c r="F30" s="3"/>
      <c r="G30" s="29">
        <v>-2.2599999999999998</v>
      </c>
      <c r="H30" s="10"/>
      <c r="I30" s="10">
        <f t="shared" si="5"/>
        <v>3569.2933351812549</v>
      </c>
      <c r="J30" s="10">
        <f t="shared" si="3"/>
        <v>52687941560.605988</v>
      </c>
      <c r="K30" s="11">
        <f t="shared" si="4"/>
        <v>-1.8299439999999834E-2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14696783.161733579</v>
      </c>
      <c r="D31" s="13">
        <v>4.7000000000000002E-3</v>
      </c>
      <c r="E31" s="10">
        <f t="shared" si="2"/>
        <v>68751.747646208853</v>
      </c>
      <c r="F31" s="3"/>
      <c r="G31" s="29">
        <v>0.52</v>
      </c>
      <c r="H31" s="10"/>
      <c r="I31" s="10">
        <f t="shared" si="5"/>
        <v>3651.8245704739661</v>
      </c>
      <c r="J31" s="10">
        <f t="shared" si="3"/>
        <v>53670073856.946747</v>
      </c>
      <c r="K31" s="11">
        <f t="shared" si="4"/>
        <v>9.9244400000000343E-3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14628031.41408737</v>
      </c>
      <c r="D32" s="12">
        <v>5.0000000000000001E-3</v>
      </c>
      <c r="E32" s="10">
        <f t="shared" si="2"/>
        <v>72776.275691974908</v>
      </c>
      <c r="F32" s="3"/>
      <c r="G32" s="29">
        <v>2.5099999999999998</v>
      </c>
      <c r="H32" s="10"/>
      <c r="I32" s="10">
        <f t="shared" si="5"/>
        <v>3632.9333172243987</v>
      </c>
      <c r="J32" s="10">
        <f t="shared" si="3"/>
        <v>53142662689.643143</v>
      </c>
      <c r="K32" s="11">
        <f t="shared" si="4"/>
        <v>3.0225499999999794E-2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14555255.138395395</v>
      </c>
      <c r="D33" s="13">
        <v>5.8999999999999999E-3</v>
      </c>
      <c r="E33" s="10">
        <f t="shared" si="2"/>
        <v>85372.308695230633</v>
      </c>
      <c r="F33" s="3"/>
      <c r="G33" s="29">
        <v>2.0099999999999998</v>
      </c>
      <c r="H33" s="10"/>
      <c r="I33" s="10">
        <f t="shared" si="5"/>
        <v>3543.9794334449311</v>
      </c>
      <c r="J33" s="10">
        <f t="shared" si="3"/>
        <v>51583524859.016937</v>
      </c>
      <c r="K33" s="11">
        <f t="shared" si="4"/>
        <v>2.6118589999999831E-2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14469882.829700164</v>
      </c>
      <c r="D34" s="12">
        <v>7.6E-3</v>
      </c>
      <c r="E34" s="10">
        <f t="shared" si="2"/>
        <v>109141.63309420645</v>
      </c>
      <c r="F34" s="3"/>
      <c r="G34" s="29">
        <v>-0.98</v>
      </c>
      <c r="H34" s="10"/>
      <c r="I34" s="10">
        <f t="shared" si="5"/>
        <v>3474.1490377854439</v>
      </c>
      <c r="J34" s="10">
        <f t="shared" ref="J34:J65" si="6">IF(I34="","",I34*C34)</f>
        <v>50270529509.670944</v>
      </c>
      <c r="K34" s="11">
        <f t="shared" ref="K34:K65" si="7">IFERROR(J34/J35-1,"")</f>
        <v>1.082432000000022E-2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14360741.196605958</v>
      </c>
      <c r="D35" s="11">
        <v>1.2E-2</v>
      </c>
      <c r="E35" s="10">
        <f t="shared" si="2"/>
        <v>170285.46873445809</v>
      </c>
      <c r="F35" s="3"/>
      <c r="G35" s="29">
        <v>-3.83</v>
      </c>
      <c r="H35" s="10"/>
      <c r="I35" s="10">
        <f t="shared" ref="I35:I66" si="8">IF(H35&lt;&gt;"",H35,I34/(1+IF(G34="",0,G34)/100))</f>
        <v>3463.0672226728902</v>
      </c>
      <c r="J35" s="10">
        <f t="shared" si="6"/>
        <v>49732212131.254356</v>
      </c>
      <c r="K35" s="11">
        <f t="shared" si="7"/>
        <v>5.6440000000024249E-4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14190455.7278715</v>
      </c>
      <c r="D36" s="11">
        <v>1.06E-2</v>
      </c>
      <c r="E36" s="10">
        <f t="shared" si="2"/>
        <v>148841.11489752308</v>
      </c>
      <c r="F36" s="3"/>
      <c r="G36" s="29">
        <v>-5.88</v>
      </c>
      <c r="H36" s="10"/>
      <c r="I36" s="10">
        <f t="shared" si="8"/>
        <v>3502.6471353018005</v>
      </c>
      <c r="J36" s="10">
        <f t="shared" si="6"/>
        <v>49704159103.856133</v>
      </c>
      <c r="K36" s="11">
        <f t="shared" si="7"/>
        <v>-3.1448000000011689E-4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14041614.612973977</v>
      </c>
      <c r="D37" s="11">
        <v>5.1999999999999998E-3</v>
      </c>
      <c r="E37" s="10">
        <f t="shared" si="2"/>
        <v>72638.674878099933</v>
      </c>
      <c r="F37" s="3"/>
      <c r="G37" s="29">
        <v>-6.43</v>
      </c>
      <c r="H37" s="10"/>
      <c r="I37" s="10">
        <f t="shared" si="8"/>
        <v>3540.88873362495</v>
      </c>
      <c r="J37" s="10">
        <f t="shared" si="6"/>
        <v>49719794984.983017</v>
      </c>
      <c r="K37" s="11">
        <f t="shared" si="7"/>
        <v>-6.1587599999998188E-3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13968975.938095877</v>
      </c>
      <c r="D38" s="11">
        <v>3.5999999999999999E-3</v>
      </c>
      <c r="E38" s="10">
        <f t="shared" si="2"/>
        <v>50107.924847694114</v>
      </c>
      <c r="F38" s="3"/>
      <c r="G38" s="29">
        <v>-5.25</v>
      </c>
      <c r="H38" s="10"/>
      <c r="I38" s="10">
        <f t="shared" si="8"/>
        <v>3581.3580799281376</v>
      </c>
      <c r="J38" s="10">
        <f t="shared" si="6"/>
        <v>50027904844.221405</v>
      </c>
      <c r="K38" s="11">
        <f t="shared" si="7"/>
        <v>-1.1955799999999961E-2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13918868.013248183</v>
      </c>
      <c r="D39" s="11">
        <v>3.3E-3</v>
      </c>
      <c r="E39" s="10">
        <f t="shared" si="2"/>
        <v>45781.186528177932</v>
      </c>
      <c r="F39" s="3"/>
      <c r="G39" s="29">
        <v>3.2</v>
      </c>
      <c r="H39" s="10"/>
      <c r="I39" s="10">
        <f t="shared" si="8"/>
        <v>3637.7430979463052</v>
      </c>
      <c r="J39" s="10">
        <f t="shared" si="6"/>
        <v>50633266046.419182</v>
      </c>
      <c r="K39" s="11">
        <f t="shared" si="7"/>
        <v>3.5405600000000259E-2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13873086.826720005</v>
      </c>
      <c r="D40" s="11">
        <v>3.3E-3</v>
      </c>
      <c r="E40" s="10">
        <f t="shared" si="2"/>
        <v>45630.60552992858</v>
      </c>
      <c r="F40" s="3"/>
      <c r="G40" s="29">
        <v>2.94</v>
      </c>
      <c r="H40" s="10"/>
      <c r="I40" s="10">
        <f t="shared" si="8"/>
        <v>3524.9448623510707</v>
      </c>
      <c r="J40" s="10">
        <f t="shared" si="6"/>
        <v>48901866134.796997</v>
      </c>
      <c r="K40" s="11">
        <f t="shared" si="7"/>
        <v>3.2797020000000066E-2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13827456.221190076</v>
      </c>
      <c r="D41" s="11">
        <v>3.8999999999999998E-3</v>
      </c>
      <c r="E41" s="10">
        <f t="shared" si="2"/>
        <v>53717.580697920173</v>
      </c>
      <c r="F41" s="3"/>
      <c r="G41" s="29">
        <v>6.85</v>
      </c>
      <c r="H41" s="10"/>
      <c r="I41" s="10">
        <f t="shared" si="8"/>
        <v>3424.2712865271715</v>
      </c>
      <c r="J41" s="10">
        <f t="shared" si="6"/>
        <v>47348961303.932686</v>
      </c>
      <c r="K41" s="11">
        <f t="shared" si="7"/>
        <v>7.2667150000000014E-2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13773738.640492156</v>
      </c>
      <c r="D42" s="11">
        <v>5.0000000000000001E-3</v>
      </c>
      <c r="E42" s="10">
        <f t="shared" si="2"/>
        <v>68526.062888018787</v>
      </c>
      <c r="F42" s="3"/>
      <c r="G42" s="29">
        <v>-6.44</v>
      </c>
      <c r="H42" s="10"/>
      <c r="I42" s="10">
        <f t="shared" si="8"/>
        <v>3204.7461736332912</v>
      </c>
      <c r="J42" s="10">
        <f t="shared" si="6"/>
        <v>44141336204.742249</v>
      </c>
      <c r="K42" s="11">
        <f t="shared" si="7"/>
        <v>-5.9722000000000164E-2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13705212.577604137</v>
      </c>
      <c r="D43" s="11">
        <v>5.7999999999999996E-3</v>
      </c>
      <c r="E43" s="10">
        <f t="shared" si="2"/>
        <v>79031.848230367526</v>
      </c>
      <c r="F43" s="3"/>
      <c r="G43" s="29">
        <v>5</v>
      </c>
      <c r="H43" s="10"/>
      <c r="I43" s="10">
        <f t="shared" si="8"/>
        <v>3425.337936760679</v>
      </c>
      <c r="J43" s="10">
        <f t="shared" si="6"/>
        <v>46944984573.437065</v>
      </c>
      <c r="K43" s="11">
        <f t="shared" si="7"/>
        <v>5.6089999999999973E-2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13626180.72937377</v>
      </c>
      <c r="D44" s="11">
        <v>6.1999999999999998E-3</v>
      </c>
      <c r="E44" s="10">
        <f t="shared" si="2"/>
        <v>83961.757624842227</v>
      </c>
      <c r="F44" s="3"/>
      <c r="G44" s="29">
        <v>8.09</v>
      </c>
      <c r="H44" s="10"/>
      <c r="I44" s="10">
        <f t="shared" si="8"/>
        <v>3262.2266064387418</v>
      </c>
      <c r="J44" s="10">
        <f t="shared" si="6"/>
        <v>44451689319.505974</v>
      </c>
      <c r="K44" s="11">
        <f t="shared" si="7"/>
        <v>8.7601580000000068E-2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13542218.971748928</v>
      </c>
      <c r="D45" s="11">
        <v>8.9999999999999993E-3</v>
      </c>
      <c r="E45" s="10">
        <f t="shared" si="2"/>
        <v>120792.83522868156</v>
      </c>
      <c r="F45" s="3"/>
      <c r="G45" s="29">
        <v>10.16</v>
      </c>
      <c r="H45" s="10"/>
      <c r="I45" s="10">
        <f t="shared" si="8"/>
        <v>3018.0651368662611</v>
      </c>
      <c r="J45" s="10">
        <f t="shared" si="6"/>
        <v>40871298954.444305</v>
      </c>
      <c r="K45" s="11">
        <f t="shared" si="7"/>
        <v>0.1115143999999999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13421426.136520246</v>
      </c>
      <c r="D46" s="11">
        <v>9.7999999999999997E-3</v>
      </c>
      <c r="E46" s="10">
        <f t="shared" si="2"/>
        <v>130253.49191711098</v>
      </c>
      <c r="F46" s="3"/>
      <c r="G46" s="29">
        <v>7.84</v>
      </c>
      <c r="H46" s="10"/>
      <c r="I46" s="10">
        <f t="shared" si="8"/>
        <v>2739.7105454486759</v>
      </c>
      <c r="J46" s="10">
        <f t="shared" si="6"/>
        <v>36770822721.184998</v>
      </c>
      <c r="K46" s="11">
        <f t="shared" si="7"/>
        <v>8.8968320000000212E-2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13291172.644603135</v>
      </c>
      <c r="D47" s="11">
        <v>1.2500000000000001E-2</v>
      </c>
      <c r="E47" s="10">
        <f t="shared" si="2"/>
        <v>164088.55116793886</v>
      </c>
      <c r="F47" s="3"/>
      <c r="G47" s="29">
        <v>8.93</v>
      </c>
      <c r="H47" s="10"/>
      <c r="I47" s="10">
        <f t="shared" si="8"/>
        <v>2540.5327758240687</v>
      </c>
      <c r="J47" s="10">
        <f t="shared" si="6"/>
        <v>33766659732.75053</v>
      </c>
      <c r="K47" s="11">
        <f t="shared" si="7"/>
        <v>0.1029162499999996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13127084.093435196</v>
      </c>
      <c r="D48" s="11">
        <v>1.2999999999999999E-2</v>
      </c>
      <c r="E48" s="10">
        <f t="shared" si="2"/>
        <v>168462.08609541506</v>
      </c>
      <c r="F48" s="3"/>
      <c r="G48" s="29">
        <v>11.56</v>
      </c>
      <c r="H48" s="10"/>
      <c r="I48" s="10">
        <f t="shared" si="8"/>
        <v>2332.2617973231149</v>
      </c>
      <c r="J48" s="10">
        <f t="shared" si="6"/>
        <v>30615796741.366844</v>
      </c>
      <c r="K48" s="11">
        <f t="shared" si="7"/>
        <v>0.13010279999999952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12958622.007339781</v>
      </c>
      <c r="D49" s="11">
        <v>1.2999999999999999E-2</v>
      </c>
      <c r="E49" s="10">
        <f t="shared" si="2"/>
        <v>166300.18370722234</v>
      </c>
      <c r="F49" s="3"/>
      <c r="G49" s="29">
        <v>7.2</v>
      </c>
      <c r="H49" s="10"/>
      <c r="I49" s="10">
        <f t="shared" si="8"/>
        <v>2090.5896354635311</v>
      </c>
      <c r="J49" s="10">
        <f t="shared" si="6"/>
        <v>27091160858.434166</v>
      </c>
      <c r="K49" s="11">
        <f t="shared" si="7"/>
        <v>8.5936000000000012E-2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12792321.823632559</v>
      </c>
      <c r="D50" s="11">
        <v>1.55E-2</v>
      </c>
      <c r="E50" s="10">
        <f t="shared" si="2"/>
        <v>195254.54285209812</v>
      </c>
      <c r="F50" s="3"/>
      <c r="G50" s="29">
        <v>5.67</v>
      </c>
      <c r="H50" s="10"/>
      <c r="I50" s="10">
        <f t="shared" si="8"/>
        <v>1950.1768987532937</v>
      </c>
      <c r="J50" s="10">
        <f t="shared" si="6"/>
        <v>24947290501.865822</v>
      </c>
      <c r="K50" s="11">
        <f t="shared" si="7"/>
        <v>7.307885000000014E-2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12597067.280780461</v>
      </c>
      <c r="D51" s="11">
        <v>9.4000000000000004E-3</v>
      </c>
      <c r="E51" s="10">
        <f t="shared" si="2"/>
        <v>117309.72106136009</v>
      </c>
      <c r="F51" s="3"/>
      <c r="G51" s="29">
        <v>6.49</v>
      </c>
      <c r="H51" s="10"/>
      <c r="I51" s="10">
        <f t="shared" si="8"/>
        <v>1845.5350608056153</v>
      </c>
      <c r="J51" s="10">
        <f t="shared" si="6"/>
        <v>23248329330.007595</v>
      </c>
      <c r="K51" s="11">
        <f t="shared" si="7"/>
        <v>7.4910060000000112E-2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12479757.559719101</v>
      </c>
      <c r="D52" s="11">
        <v>3.7000000000000002E-3</v>
      </c>
      <c r="E52" s="10">
        <f t="shared" si="2"/>
        <v>46004.884896842763</v>
      </c>
      <c r="F52" s="3"/>
      <c r="G52" s="29">
        <v>10.77</v>
      </c>
      <c r="H52" s="10"/>
      <c r="I52" s="10">
        <f t="shared" si="8"/>
        <v>1733.0594993009818</v>
      </c>
      <c r="J52" s="10">
        <f t="shared" si="6"/>
        <v>21628162387.844425</v>
      </c>
      <c r="K52" s="11">
        <f t="shared" si="7"/>
        <v>0.11179848999999997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12433752.674822258</v>
      </c>
      <c r="D53" s="11">
        <v>4.4999999999999997E-3</v>
      </c>
      <c r="E53" s="10">
        <f t="shared" si="2"/>
        <v>55701.231494972482</v>
      </c>
      <c r="F53" s="3"/>
      <c r="G53" s="29">
        <v>9.41</v>
      </c>
      <c r="H53" s="10"/>
      <c r="I53" s="10">
        <f t="shared" si="8"/>
        <v>1564.5567385582576</v>
      </c>
      <c r="J53" s="10">
        <f t="shared" si="6"/>
        <v>19453311532.959923</v>
      </c>
      <c r="K53" s="11">
        <f t="shared" si="7"/>
        <v>9.9023450000000013E-2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12378051.443327285</v>
      </c>
      <c r="D54" s="11">
        <v>6.4999999999999997E-3</v>
      </c>
      <c r="E54" s="10">
        <f t="shared" si="2"/>
        <v>79937.739077622071</v>
      </c>
      <c r="F54" s="3"/>
      <c r="G54" s="29">
        <v>11.84</v>
      </c>
      <c r="H54" s="10"/>
      <c r="I54" s="10">
        <f t="shared" si="8"/>
        <v>1429.9942770845969</v>
      </c>
      <c r="J54" s="10">
        <f t="shared" si="6"/>
        <v>17700542725.416752</v>
      </c>
      <c r="K54" s="11">
        <f t="shared" si="7"/>
        <v>0.12566959999999994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12298113.704249663</v>
      </c>
      <c r="D55" s="11">
        <v>4.3E-3</v>
      </c>
      <c r="E55" s="10">
        <f t="shared" si="2"/>
        <v>52655.470405530185</v>
      </c>
      <c r="F55" s="3"/>
      <c r="G55" s="29">
        <v>0.36</v>
      </c>
      <c r="H55" s="10"/>
      <c r="I55" s="10">
        <f t="shared" si="8"/>
        <v>1278.6071862344393</v>
      </c>
      <c r="J55" s="10">
        <f t="shared" si="6"/>
        <v>15724456559.381859</v>
      </c>
      <c r="K55" s="11">
        <f t="shared" si="7"/>
        <v>7.9154800000000858E-3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12245458.233844133</v>
      </c>
      <c r="D56" s="11">
        <v>2.3E-3</v>
      </c>
      <c r="E56" s="10">
        <f t="shared" si="2"/>
        <v>28099.924112383276</v>
      </c>
      <c r="F56" s="3"/>
      <c r="G56" s="29">
        <v>13.2</v>
      </c>
      <c r="H56" s="10"/>
      <c r="I56" s="10">
        <f t="shared" si="8"/>
        <v>1274.0207116724184</v>
      </c>
      <c r="J56" s="10">
        <f t="shared" si="6"/>
        <v>15600967413.836979</v>
      </c>
      <c r="K56" s="11">
        <f t="shared" si="7"/>
        <v>0.13460360000000016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12217358.30973175</v>
      </c>
      <c r="D57" s="11">
        <v>3.7000000000000002E-3</v>
      </c>
      <c r="E57" s="10">
        <f t="shared" si="2"/>
        <v>45037.586675308645</v>
      </c>
      <c r="F57" s="3"/>
      <c r="G57" s="30">
        <v>4.3600000000000003</v>
      </c>
      <c r="H57" s="10"/>
      <c r="I57" s="10">
        <f t="shared" si="8"/>
        <v>1125.4599926434792</v>
      </c>
      <c r="J57" s="10">
        <f t="shared" si="6"/>
        <v>13750147993.393444</v>
      </c>
      <c r="K57" s="11">
        <f t="shared" si="7"/>
        <v>4.7461320000000029E-2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12172320.723056441</v>
      </c>
      <c r="D58" s="11">
        <v>6.4999999999999997E-3</v>
      </c>
      <c r="E58" s="10">
        <f t="shared" si="2"/>
        <v>78609.125384865329</v>
      </c>
      <c r="F58" s="3"/>
      <c r="G58" s="30">
        <v>3.67</v>
      </c>
      <c r="H58" s="10"/>
      <c r="I58" s="10">
        <f t="shared" si="8"/>
        <v>1078.4400082823679</v>
      </c>
      <c r="J58" s="10">
        <f t="shared" si="6"/>
        <v>13127117661.388626</v>
      </c>
      <c r="K58" s="11">
        <f t="shared" si="7"/>
        <v>4.3438549999999854E-2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12093711.597671576</v>
      </c>
      <c r="D59" s="11">
        <v>8.0999999999999996E-3</v>
      </c>
      <c r="E59" s="10">
        <f t="shared" si="2"/>
        <v>97171.97097623162</v>
      </c>
      <c r="F59" s="3"/>
      <c r="G59" s="30">
        <v>4.63</v>
      </c>
      <c r="H59" s="10"/>
      <c r="I59" s="10">
        <f t="shared" si="8"/>
        <v>1040.2623789740214</v>
      </c>
      <c r="J59" s="10">
        <f t="shared" si="6"/>
        <v>12580633197.219547</v>
      </c>
      <c r="K59" s="11">
        <f t="shared" si="7"/>
        <v>5.4775030000000058E-2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11996539.626695344</v>
      </c>
      <c r="D60" s="11">
        <v>7.4000000000000003E-3</v>
      </c>
      <c r="E60" s="10">
        <f t="shared" si="2"/>
        <v>88122.288304096088</v>
      </c>
      <c r="F60" s="3"/>
      <c r="G60" s="30">
        <v>6.52</v>
      </c>
      <c r="H60" s="10"/>
      <c r="I60" s="10">
        <f t="shared" si="8"/>
        <v>994.22955077322126</v>
      </c>
      <c r="J60" s="10">
        <f t="shared" si="6"/>
        <v>11927314203.88246</v>
      </c>
      <c r="K60" s="11">
        <f t="shared" si="7"/>
        <v>7.3082480000000061E-2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11908417.338391248</v>
      </c>
      <c r="D61" s="11">
        <v>4.7000000000000002E-3</v>
      </c>
      <c r="E61" s="10">
        <f t="shared" si="2"/>
        <v>55707.735135301948</v>
      </c>
      <c r="F61" s="3"/>
      <c r="G61" s="30">
        <v>8.52</v>
      </c>
      <c r="H61" s="10"/>
      <c r="I61" s="10">
        <f t="shared" si="8"/>
        <v>933.373592539637</v>
      </c>
      <c r="J61" s="10">
        <f t="shared" si="6"/>
        <v>11115002272.595541</v>
      </c>
      <c r="K61" s="11">
        <f t="shared" si="7"/>
        <v>9.0300440000000037E-2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11852709.603255946</v>
      </c>
      <c r="D62" s="11">
        <v>3.5999999999999999E-3</v>
      </c>
      <c r="E62" s="10">
        <f t="shared" si="2"/>
        <v>42516.694471623749</v>
      </c>
      <c r="F62" s="3"/>
      <c r="G62" s="30">
        <v>7.57</v>
      </c>
      <c r="H62" s="10"/>
      <c r="I62" s="10">
        <f t="shared" si="8"/>
        <v>860.09361642060173</v>
      </c>
      <c r="J62" s="10">
        <f t="shared" si="6"/>
        <v>10194439867.047602</v>
      </c>
      <c r="K62" s="11">
        <f t="shared" si="7"/>
        <v>7.9572519999999924E-2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11810192.908784322</v>
      </c>
      <c r="D63" s="11">
        <v>3.7000000000000002E-3</v>
      </c>
      <c r="E63" s="10">
        <f t="shared" si="2"/>
        <v>43536.628238022327</v>
      </c>
      <c r="F63" s="3"/>
      <c r="G63" s="30">
        <v>3.12</v>
      </c>
      <c r="H63" s="10"/>
      <c r="I63" s="10">
        <f t="shared" si="8"/>
        <v>799.56643712987045</v>
      </c>
      <c r="J63" s="10">
        <f t="shared" si="6"/>
        <v>9443033865.8931427</v>
      </c>
      <c r="K63" s="11">
        <f t="shared" si="7"/>
        <v>3.5015440000000009E-2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11766656.2805463</v>
      </c>
      <c r="D64" s="11">
        <v>6.0000000000000001E-3</v>
      </c>
      <c r="E64" s="10">
        <f t="shared" si="2"/>
        <v>70178.864496299997</v>
      </c>
      <c r="F64" s="3"/>
      <c r="G64" s="30">
        <v>13.72</v>
      </c>
      <c r="H64" s="10"/>
      <c r="I64" s="10">
        <f t="shared" si="8"/>
        <v>775.37474508327239</v>
      </c>
      <c r="J64" s="10">
        <f t="shared" si="6"/>
        <v>9123568114.0110741</v>
      </c>
      <c r="K64" s="11">
        <f t="shared" si="7"/>
        <v>0.14402320000000013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11696477.41605</v>
      </c>
      <c r="D65" s="11">
        <v>7.9000000000000008E-3</v>
      </c>
      <c r="E65" s="10">
        <f t="shared" si="2"/>
        <v>91677.916050000116</v>
      </c>
      <c r="F65" s="3"/>
      <c r="G65" s="30">
        <v>0.67</v>
      </c>
      <c r="H65" s="10"/>
      <c r="I65" s="10">
        <f t="shared" si="8"/>
        <v>681.82795030185753</v>
      </c>
      <c r="J65" s="10">
        <f t="shared" si="6"/>
        <v>7974985222.3373384</v>
      </c>
      <c r="K65" s="11">
        <f t="shared" si="7"/>
        <v>1.4652930000000008E-2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11604799.5</v>
      </c>
      <c r="D66" s="11">
        <v>5.0000000000000001E-4</v>
      </c>
      <c r="E66" s="10">
        <f t="shared" si="2"/>
        <v>5799.5</v>
      </c>
      <c r="F66" s="3"/>
      <c r="G66" s="30">
        <v>8.84</v>
      </c>
      <c r="H66" s="10"/>
      <c r="I66" s="10">
        <f t="shared" si="8"/>
        <v>677.29010658771983</v>
      </c>
      <c r="J66" s="10">
        <f t="shared" ref="J66:J67" si="9">IF(I66="","",I66*C66)</f>
        <v>7859815890.2841177</v>
      </c>
      <c r="K66" s="11">
        <f t="shared" ref="K66" si="10">IFERROR(J66/J67-1,"")</f>
        <v>8.8944200000000029E-2</v>
      </c>
    </row>
    <row r="67" spans="1:11" ht="22.5" customHeight="1">
      <c r="A67" s="3">
        <f t="shared" si="0"/>
        <v>1950</v>
      </c>
      <c r="B67" s="3">
        <v>1700</v>
      </c>
      <c r="C67" s="10">
        <v>11599000</v>
      </c>
      <c r="D67" s="11">
        <v>3.0000000000000001E-3</v>
      </c>
      <c r="E67" s="3"/>
      <c r="F67" s="3"/>
      <c r="G67" s="30">
        <v>-1.33</v>
      </c>
      <c r="H67" s="10"/>
      <c r="I67" s="10">
        <f t="shared" ref="I67" si="11">IF(H67&lt;&gt;"",H67,I66/(1+IF(G66="",0,G66)/100))</f>
        <v>622.28050954402772</v>
      </c>
      <c r="J67" s="10">
        <f t="shared" si="9"/>
        <v>7217831630.2011776</v>
      </c>
      <c r="K67" s="11"/>
    </row>
  </sheetData>
  <dataValidations count="1">
    <dataValidation type="custom" allowBlank="1" showDropDown="1" sqref="D2:D67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67"/>
  <sheetViews>
    <sheetView workbookViewId="0">
      <selection activeCell="G20" sqref="G2:G2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1405234.7437337118</v>
      </c>
      <c r="D2" s="11">
        <v>1.2699999999999999E-2</v>
      </c>
      <c r="E2" s="10">
        <f t="shared" ref="E2:E66" si="2">SUM(C2-C3)</f>
        <v>17622.673294576816</v>
      </c>
      <c r="F2" s="10">
        <v>1405000</v>
      </c>
      <c r="G2" s="29">
        <v>4.79</v>
      </c>
      <c r="H2" s="10"/>
      <c r="I2" s="10">
        <f>IF(H2&lt;&gt;"",H2,58096)</f>
        <v>7262</v>
      </c>
      <c r="J2" s="10">
        <f t="shared" ref="J2:J33" si="3">IF(I2="","",I2*C2)</f>
        <v>10204814708.994215</v>
      </c>
      <c r="K2" s="11">
        <f t="shared" ref="K2:K33" si="4">IFERROR(J2/J3-1,"")</f>
        <v>6.1208329999999922E-2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1387612.070439135</v>
      </c>
      <c r="D3" s="11">
        <v>1.3100000000000001E-2</v>
      </c>
      <c r="E3" s="10">
        <f t="shared" si="2"/>
        <v>17942.66915679886</v>
      </c>
      <c r="F3" s="3"/>
      <c r="G3" s="29">
        <v>4.79</v>
      </c>
      <c r="H3" s="10"/>
      <c r="I3" s="10">
        <f t="shared" ref="I3:I34" si="5">IF(H3&lt;&gt;"",H3,I2/(1+IF(G2="",0,G2)/100))</f>
        <v>6930.0505773451659</v>
      </c>
      <c r="J3" s="10">
        <f t="shared" si="3"/>
        <v>9616221829.8778477</v>
      </c>
      <c r="K3" s="11">
        <f t="shared" si="4"/>
        <v>6.1627490000000229E-2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1369669.4012823361</v>
      </c>
      <c r="D4" s="11">
        <v>1.2699999999999999E-2</v>
      </c>
      <c r="E4" s="10">
        <f t="shared" si="2"/>
        <v>17176.657841695938</v>
      </c>
      <c r="F4" s="3"/>
      <c r="G4" s="29">
        <v>4.93</v>
      </c>
      <c r="H4" s="10"/>
      <c r="I4" s="10">
        <f t="shared" si="5"/>
        <v>6613.274718336831</v>
      </c>
      <c r="J4" s="10">
        <f t="shared" si="3"/>
        <v>9058000023.9800167</v>
      </c>
      <c r="K4" s="11">
        <f t="shared" si="4"/>
        <v>6.2626109999999624E-2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1352492.7434406402</v>
      </c>
      <c r="D5" s="11">
        <v>1.21E-2</v>
      </c>
      <c r="E5" s="10">
        <f t="shared" si="2"/>
        <v>16169.511111186352</v>
      </c>
      <c r="F5" s="3"/>
      <c r="G5" s="29">
        <v>6.5</v>
      </c>
      <c r="H5" s="10"/>
      <c r="I5" s="10">
        <f t="shared" si="5"/>
        <v>6302.558580326724</v>
      </c>
      <c r="J5" s="10">
        <f t="shared" si="3"/>
        <v>8524164745.0014372</v>
      </c>
      <c r="K5" s="11">
        <f t="shared" si="4"/>
        <v>7.7886499999999748E-2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1336323.2323294538</v>
      </c>
      <c r="D6" s="11">
        <v>1.37E-2</v>
      </c>
      <c r="E6" s="10">
        <f t="shared" si="2"/>
        <v>18060.203495031688</v>
      </c>
      <c r="F6" s="3"/>
      <c r="G6" s="29">
        <v>6.32</v>
      </c>
      <c r="H6" s="10"/>
      <c r="I6" s="10">
        <f t="shared" si="5"/>
        <v>5917.8953805884739</v>
      </c>
      <c r="J6" s="10">
        <f t="shared" si="3"/>
        <v>7908221083.5755329</v>
      </c>
      <c r="K6" s="11">
        <f t="shared" si="4"/>
        <v>7.7765840000000086E-2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1318263.0288344221</v>
      </c>
      <c r="D7" s="11">
        <v>1.5900000000000001E-2</v>
      </c>
      <c r="E7" s="10">
        <f t="shared" si="2"/>
        <v>20632.328141025035</v>
      </c>
      <c r="F7" s="3"/>
      <c r="G7" s="29">
        <v>4.41</v>
      </c>
      <c r="H7" s="10"/>
      <c r="I7" s="10">
        <f t="shared" si="5"/>
        <v>5566.1167988981133</v>
      </c>
      <c r="J7" s="10">
        <f t="shared" si="3"/>
        <v>7337605990.1615849</v>
      </c>
      <c r="K7" s="11">
        <f t="shared" si="4"/>
        <v>6.0701189999999849E-2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1297630.7006933971</v>
      </c>
      <c r="D8" s="11">
        <v>1.67E-2</v>
      </c>
      <c r="E8" s="10">
        <f t="shared" si="2"/>
        <v>21314.480871033389</v>
      </c>
      <c r="F8" s="3"/>
      <c r="G8" s="29">
        <v>-3.29</v>
      </c>
      <c r="H8" s="10"/>
      <c r="I8" s="10">
        <f t="shared" si="5"/>
        <v>5331.0188668691826</v>
      </c>
      <c r="J8" s="10">
        <f t="shared" si="3"/>
        <v>6917693747.6251774</v>
      </c>
      <c r="K8" s="11">
        <f t="shared" si="4"/>
        <v>-1.6749429999999954E-2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1276316.2198223637</v>
      </c>
      <c r="D9" s="11">
        <v>1.7100000000000001E-2</v>
      </c>
      <c r="E9" s="10">
        <f t="shared" si="2"/>
        <v>21458.074288626667</v>
      </c>
      <c r="F9" s="3"/>
      <c r="G9" s="29">
        <v>3.44</v>
      </c>
      <c r="H9" s="10"/>
      <c r="I9" s="10">
        <f t="shared" si="5"/>
        <v>5512.3760385370515</v>
      </c>
      <c r="J9" s="10">
        <f t="shared" si="3"/>
        <v>7035534947.7449856</v>
      </c>
      <c r="K9" s="11">
        <f t="shared" si="4"/>
        <v>5.2088239999999786E-2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1254858.145533737</v>
      </c>
      <c r="D10" s="11">
        <v>1.7299999999999999E-2</v>
      </c>
      <c r="E10" s="10">
        <f t="shared" si="2"/>
        <v>21339.866231921595</v>
      </c>
      <c r="F10" s="3"/>
      <c r="G10" s="29">
        <v>5.08</v>
      </c>
      <c r="H10" s="10"/>
      <c r="I10" s="10">
        <f t="shared" si="5"/>
        <v>5329.0564951054248</v>
      </c>
      <c r="J10" s="10">
        <f t="shared" si="3"/>
        <v>6687209950.8925095</v>
      </c>
      <c r="K10" s="11">
        <f t="shared" si="4"/>
        <v>6.8978840000000208E-2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1233518.2793018154</v>
      </c>
      <c r="D11" s="11">
        <v>1.7299999999999999E-2</v>
      </c>
      <c r="E11" s="10">
        <f t="shared" si="2"/>
        <v>20976.964741886826</v>
      </c>
      <c r="F11" s="3"/>
      <c r="G11" s="29">
        <v>4.1500000000000004</v>
      </c>
      <c r="H11" s="10"/>
      <c r="I11" s="10">
        <f t="shared" si="5"/>
        <v>5071.4279549918392</v>
      </c>
      <c r="J11" s="10">
        <f t="shared" si="3"/>
        <v>6255699084.6446581</v>
      </c>
      <c r="K11" s="11">
        <f t="shared" si="4"/>
        <v>5.9517950000000042E-2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1212541.3145599286</v>
      </c>
      <c r="D12" s="11">
        <v>1.7299999999999999E-2</v>
      </c>
      <c r="E12" s="10">
        <f t="shared" si="2"/>
        <v>20620.234681890113</v>
      </c>
      <c r="F12" s="3"/>
      <c r="G12" s="29">
        <v>4.28</v>
      </c>
      <c r="H12" s="10"/>
      <c r="I12" s="10">
        <f t="shared" si="5"/>
        <v>4869.3499327814106</v>
      </c>
      <c r="J12" s="10">
        <f t="shared" si="3"/>
        <v>5904287968.5470715</v>
      </c>
      <c r="K12" s="11">
        <f t="shared" si="4"/>
        <v>6.0840439999999996E-2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1191921.0798780385</v>
      </c>
      <c r="D13" s="11">
        <v>1.7399999999999999E-2</v>
      </c>
      <c r="E13" s="10">
        <f t="shared" si="2"/>
        <v>20384.732445329195</v>
      </c>
      <c r="F13" s="3"/>
      <c r="G13" s="29">
        <v>5.31</v>
      </c>
      <c r="H13" s="10"/>
      <c r="I13" s="10">
        <f t="shared" si="5"/>
        <v>4669.4955243396726</v>
      </c>
      <c r="J13" s="10">
        <f t="shared" si="3"/>
        <v>5565670147.8566103</v>
      </c>
      <c r="K13" s="11">
        <f t="shared" si="4"/>
        <v>7.1423939999999853E-2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1171536.3474327093</v>
      </c>
      <c r="D14" s="11">
        <v>1.7600000000000001E-2</v>
      </c>
      <c r="E14" s="10">
        <f t="shared" si="2"/>
        <v>20262.421103395987</v>
      </c>
      <c r="F14" s="3"/>
      <c r="G14" s="29">
        <v>2.52</v>
      </c>
      <c r="H14" s="10"/>
      <c r="I14" s="10">
        <f t="shared" si="5"/>
        <v>4434.0475969420504</v>
      </c>
      <c r="J14" s="10">
        <f t="shared" si="3"/>
        <v>5194647926.0642719</v>
      </c>
      <c r="K14" s="11">
        <f t="shared" si="4"/>
        <v>4.3243520000000091E-2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1151273.9263293133</v>
      </c>
      <c r="D15" s="11">
        <v>1.77E-2</v>
      </c>
      <c r="E15" s="10">
        <f t="shared" si="2"/>
        <v>20023.13893684675</v>
      </c>
      <c r="F15" s="3"/>
      <c r="G15" s="29">
        <v>0.75</v>
      </c>
      <c r="H15" s="10"/>
      <c r="I15" s="10">
        <f t="shared" si="5"/>
        <v>4325.0561811764055</v>
      </c>
      <c r="J15" s="10">
        <f t="shared" si="3"/>
        <v>4979324411.2978258</v>
      </c>
      <c r="K15" s="11">
        <f t="shared" si="4"/>
        <v>2.5332750000000015E-2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1131250.7873924666</v>
      </c>
      <c r="D16" s="11">
        <v>1.78E-2</v>
      </c>
      <c r="E16" s="10">
        <f t="shared" si="2"/>
        <v>19784.1069125426</v>
      </c>
      <c r="F16" s="3"/>
      <c r="G16" s="29">
        <v>2.96</v>
      </c>
      <c r="H16" s="10"/>
      <c r="I16" s="10">
        <f t="shared" si="5"/>
        <v>4292.8597331775736</v>
      </c>
      <c r="J16" s="10">
        <f t="shared" si="3"/>
        <v>4856300953.3225441</v>
      </c>
      <c r="K16" s="11">
        <f t="shared" si="4"/>
        <v>4.7926880000000116E-2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1111466.680479924</v>
      </c>
      <c r="D17" s="11">
        <v>1.7999999999999999E-2</v>
      </c>
      <c r="E17" s="10">
        <f t="shared" si="2"/>
        <v>19652.652503574267</v>
      </c>
      <c r="F17" s="3"/>
      <c r="G17" s="29">
        <v>4.0999999999999996</v>
      </c>
      <c r="H17" s="10"/>
      <c r="I17" s="10">
        <f t="shared" si="5"/>
        <v>4169.4441852929031</v>
      </c>
      <c r="J17" s="10">
        <f t="shared" si="3"/>
        <v>4634198288.0738239</v>
      </c>
      <c r="K17" s="11">
        <f t="shared" si="4"/>
        <v>5.9737999999999847E-2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1091814.0279763497</v>
      </c>
      <c r="D18" s="11">
        <v>1.8200000000000001E-2</v>
      </c>
      <c r="E18" s="10">
        <f t="shared" si="2"/>
        <v>19515.82725316193</v>
      </c>
      <c r="F18" s="3"/>
      <c r="G18" s="29">
        <v>7.04</v>
      </c>
      <c r="H18" s="10"/>
      <c r="I18" s="10">
        <f t="shared" si="5"/>
        <v>4005.2297649307429</v>
      </c>
      <c r="J18" s="10">
        <f t="shared" si="3"/>
        <v>4372966042.6198025</v>
      </c>
      <c r="K18" s="11">
        <f t="shared" si="4"/>
        <v>8.9881279999999952E-2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1072298.2007231878</v>
      </c>
      <c r="D19" s="11">
        <v>1.83E-2</v>
      </c>
      <c r="E19" s="10">
        <f t="shared" si="2"/>
        <v>19270.408595928922</v>
      </c>
      <c r="F19" s="3"/>
      <c r="G19" s="29">
        <v>3.71</v>
      </c>
      <c r="H19" s="10"/>
      <c r="I19" s="10">
        <f t="shared" si="5"/>
        <v>3741.8065815870168</v>
      </c>
      <c r="J19" s="10">
        <f t="shared" si="3"/>
        <v>4012332464.8899398</v>
      </c>
      <c r="K19" s="11">
        <f t="shared" si="4"/>
        <v>5.6078929999999971E-2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1053027.7921272588</v>
      </c>
      <c r="D20" s="11">
        <v>1.8499999999999999E-2</v>
      </c>
      <c r="E20" s="10">
        <f t="shared" si="2"/>
        <v>19127.161663578008</v>
      </c>
      <c r="F20" s="3"/>
      <c r="G20" s="29">
        <v>3.97</v>
      </c>
      <c r="H20" s="10"/>
      <c r="I20" s="10">
        <f t="shared" si="5"/>
        <v>3607.9515780416709</v>
      </c>
      <c r="J20" s="10">
        <f t="shared" si="3"/>
        <v>3799273284.32728</v>
      </c>
      <c r="K20" s="11">
        <f t="shared" si="4"/>
        <v>5.8934449999999972E-2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1033900.6304636808</v>
      </c>
      <c r="D21" s="11">
        <v>1.89E-2</v>
      </c>
      <c r="E21" s="10">
        <f t="shared" si="2"/>
        <v>19178.252935286611</v>
      </c>
      <c r="F21" s="3"/>
      <c r="G21" s="29">
        <v>6.34</v>
      </c>
      <c r="H21" s="10"/>
      <c r="I21" s="10">
        <f t="shared" si="5"/>
        <v>3470.1852246240942</v>
      </c>
      <c r="J21" s="10">
        <f t="shared" si="3"/>
        <v>3587826691.5646009</v>
      </c>
      <c r="K21" s="11">
        <f t="shared" si="4"/>
        <v>8.3498259999999824E-2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1014722.3775283942</v>
      </c>
      <c r="D22" s="11">
        <v>1.9E-2</v>
      </c>
      <c r="E22" s="10">
        <f t="shared" si="2"/>
        <v>18920.240601608879</v>
      </c>
      <c r="F22" s="3"/>
      <c r="G22" s="29">
        <v>5.91</v>
      </c>
      <c r="H22" s="10"/>
      <c r="I22" s="10">
        <f t="shared" si="5"/>
        <v>3263.2924813090976</v>
      </c>
      <c r="J22" s="10">
        <f t="shared" si="3"/>
        <v>3311335905.2045007</v>
      </c>
      <c r="K22" s="11">
        <f t="shared" si="4"/>
        <v>7.9222899999999985E-2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995802.13692678534</v>
      </c>
      <c r="D23" s="11">
        <v>1.9099999999999999E-2</v>
      </c>
      <c r="E23" s="10">
        <f t="shared" si="2"/>
        <v>18663.350814739941</v>
      </c>
      <c r="F23" s="3"/>
      <c r="G23" s="29">
        <v>3.34</v>
      </c>
      <c r="H23" s="10"/>
      <c r="I23" s="10">
        <f t="shared" si="5"/>
        <v>3081.1939206015463</v>
      </c>
      <c r="J23" s="10">
        <f t="shared" si="3"/>
        <v>3068259490.4208398</v>
      </c>
      <c r="K23" s="11">
        <f t="shared" si="4"/>
        <v>5.313794000000005E-2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977138.7861120454</v>
      </c>
      <c r="D24" s="11">
        <v>1.9300000000000001E-2</v>
      </c>
      <c r="E24" s="10">
        <f t="shared" si="2"/>
        <v>18501.695842207992</v>
      </c>
      <c r="F24" s="3"/>
      <c r="G24" s="29">
        <v>4.6100000000000003</v>
      </c>
      <c r="H24" s="10"/>
      <c r="I24" s="10">
        <f t="shared" si="5"/>
        <v>2981.6082065043024</v>
      </c>
      <c r="J24" s="10">
        <f t="shared" si="3"/>
        <v>2913445023.5653267</v>
      </c>
      <c r="K24" s="11">
        <f t="shared" si="4"/>
        <v>6.6289730000000047E-2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958637.09026983741</v>
      </c>
      <c r="D25" s="11">
        <v>1.95E-2</v>
      </c>
      <c r="E25" s="10">
        <f t="shared" si="2"/>
        <v>18335.873722669785</v>
      </c>
      <c r="F25" s="3"/>
      <c r="G25" s="29">
        <v>-26.48</v>
      </c>
      <c r="H25" s="10"/>
      <c r="I25" s="10">
        <f t="shared" si="5"/>
        <v>2850.2133701408111</v>
      </c>
      <c r="J25" s="10">
        <f t="shared" si="3"/>
        <v>2732320251.7999744</v>
      </c>
      <c r="K25" s="11">
        <f t="shared" si="4"/>
        <v>-0.2504635999999999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940301.21654716763</v>
      </c>
      <c r="D26" s="11">
        <v>1.9599999999999999E-2</v>
      </c>
      <c r="E26" s="10">
        <f t="shared" si="2"/>
        <v>18075.62165979261</v>
      </c>
      <c r="F26" s="3"/>
      <c r="G26" s="29">
        <v>-7.84</v>
      </c>
      <c r="H26" s="10"/>
      <c r="I26" s="10">
        <f t="shared" si="5"/>
        <v>3876.7864120522454</v>
      </c>
      <c r="J26" s="10">
        <f t="shared" si="3"/>
        <v>3645346979.5462556</v>
      </c>
      <c r="K26" s="11">
        <f t="shared" si="4"/>
        <v>-6.033663999999983E-2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922225.59488737502</v>
      </c>
      <c r="D27" s="11">
        <v>1.9800000000000002E-2</v>
      </c>
      <c r="E27" s="10">
        <f t="shared" si="2"/>
        <v>17905.537143332069</v>
      </c>
      <c r="F27" s="3"/>
      <c r="G27" s="29">
        <v>8.3699999999999992</v>
      </c>
      <c r="H27" s="10"/>
      <c r="I27" s="10">
        <f t="shared" si="5"/>
        <v>4206.5824783553007</v>
      </c>
      <c r="J27" s="10">
        <f t="shared" si="3"/>
        <v>3879418028.5440254</v>
      </c>
      <c r="K27" s="11">
        <f t="shared" si="4"/>
        <v>0.1051572599999997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904320.05774404295</v>
      </c>
      <c r="D28" s="11">
        <v>0.02</v>
      </c>
      <c r="E28" s="10">
        <f t="shared" si="2"/>
        <v>17731.765838118503</v>
      </c>
      <c r="F28" s="3"/>
      <c r="G28" s="29">
        <v>5.21</v>
      </c>
      <c r="H28" s="10"/>
      <c r="I28" s="10">
        <f t="shared" si="5"/>
        <v>3881.6854095739609</v>
      </c>
      <c r="J28" s="10">
        <f t="shared" si="3"/>
        <v>3510285973.7301335</v>
      </c>
      <c r="K28" s="11">
        <f t="shared" si="4"/>
        <v>7.314200000000004E-2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886588.29190592445</v>
      </c>
      <c r="D29" s="11">
        <v>2.01E-2</v>
      </c>
      <c r="E29" s="10">
        <f t="shared" si="2"/>
        <v>17469.291900116717</v>
      </c>
      <c r="F29" s="3"/>
      <c r="G29" s="29">
        <v>-0.15</v>
      </c>
      <c r="H29" s="10"/>
      <c r="I29" s="10">
        <f t="shared" si="5"/>
        <v>3689.4643185761438</v>
      </c>
      <c r="J29" s="10">
        <f t="shared" si="3"/>
        <v>3271035868.2542787</v>
      </c>
      <c r="K29" s="11">
        <f t="shared" si="4"/>
        <v>1.8569849999999999E-2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869119.00000580773</v>
      </c>
      <c r="D30" s="12">
        <v>2.0199999999999999E-2</v>
      </c>
      <c r="E30" s="10">
        <f t="shared" si="2"/>
        <v>17208.590276531409</v>
      </c>
      <c r="F30" s="3"/>
      <c r="G30" s="29">
        <v>14.19</v>
      </c>
      <c r="H30" s="10"/>
      <c r="I30" s="10">
        <f t="shared" si="5"/>
        <v>3695.0068288193725</v>
      </c>
      <c r="J30" s="10">
        <f t="shared" si="3"/>
        <v>3211400640.0781236</v>
      </c>
      <c r="K30" s="11">
        <f t="shared" si="4"/>
        <v>0.16496637999999986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851910.40972927632</v>
      </c>
      <c r="D31" s="13">
        <v>2.0400000000000001E-2</v>
      </c>
      <c r="E31" s="10">
        <f t="shared" si="2"/>
        <v>17031.529163540923</v>
      </c>
      <c r="F31" s="3"/>
      <c r="G31" s="29">
        <v>6.42</v>
      </c>
      <c r="H31" s="10"/>
      <c r="I31" s="10">
        <f t="shared" si="5"/>
        <v>3235.8409920477911</v>
      </c>
      <c r="J31" s="10">
        <f t="shared" si="3"/>
        <v>2756646625.3542218</v>
      </c>
      <c r="K31" s="11">
        <f t="shared" si="4"/>
        <v>8.5909679999999877E-2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834878.8805657354</v>
      </c>
      <c r="D32" s="12">
        <v>2.06E-2</v>
      </c>
      <c r="E32" s="10">
        <f t="shared" si="2"/>
        <v>16851.366783905658</v>
      </c>
      <c r="F32" s="3"/>
      <c r="G32" s="29">
        <v>2.2200000000000002</v>
      </c>
      <c r="H32" s="10"/>
      <c r="I32" s="10">
        <f t="shared" si="5"/>
        <v>3040.6323924523504</v>
      </c>
      <c r="J32" s="10">
        <f t="shared" si="3"/>
        <v>2538559768.022532</v>
      </c>
      <c r="K32" s="11">
        <f t="shared" si="4"/>
        <v>4.3257320000000155E-2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818027.51378182974</v>
      </c>
      <c r="D33" s="13">
        <v>2.0799999999999999E-2</v>
      </c>
      <c r="E33" s="10">
        <f t="shared" si="2"/>
        <v>16668.272224394605</v>
      </c>
      <c r="F33" s="3"/>
      <c r="G33" s="29">
        <v>3.3</v>
      </c>
      <c r="H33" s="10"/>
      <c r="I33" s="10">
        <f t="shared" si="5"/>
        <v>2974.5963534067209</v>
      </c>
      <c r="J33" s="10">
        <f t="shared" si="3"/>
        <v>2433301659.4817967</v>
      </c>
      <c r="K33" s="11">
        <f t="shared" si="4"/>
        <v>5.4486399999999824E-2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801359.24155743513</v>
      </c>
      <c r="D34" s="12">
        <v>2.0899999999999998E-2</v>
      </c>
      <c r="E34" s="10">
        <f t="shared" si="2"/>
        <v>16405.532518905238</v>
      </c>
      <c r="F34" s="3"/>
      <c r="G34" s="29">
        <v>0.05</v>
      </c>
      <c r="H34" s="10"/>
      <c r="I34" s="10">
        <f t="shared" si="5"/>
        <v>2879.5705260471645</v>
      </c>
      <c r="J34" s="10">
        <f t="shared" ref="J34:J65" si="6">IF(I34="","",I34*C34)</f>
        <v>2307570452.7643003</v>
      </c>
      <c r="K34" s="11">
        <f t="shared" ref="K34:K65" si="7">IFERROR(J34/J35-1,"")</f>
        <v>3.4682150000000078E-2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784953.70903852989</v>
      </c>
      <c r="D35" s="11">
        <v>2.12E-2</v>
      </c>
      <c r="E35" s="10">
        <f t="shared" si="2"/>
        <v>16295.552909926511</v>
      </c>
      <c r="F35" s="3"/>
      <c r="G35" s="29">
        <v>3.54</v>
      </c>
      <c r="H35" s="10"/>
      <c r="I35" s="10">
        <f t="shared" ref="I35:I66" si="8">IF(H35&lt;&gt;"",H35,I34/(1+IF(G34="",0,G34)/100))</f>
        <v>2841.2141352216718</v>
      </c>
      <c r="J35" s="10">
        <f t="shared" si="6"/>
        <v>2230221573.6149507</v>
      </c>
      <c r="K35" s="11">
        <f t="shared" si="7"/>
        <v>8.4922880000000367E-2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768658.15612860338</v>
      </c>
      <c r="D36" s="11">
        <v>2.1299999999999999E-2</v>
      </c>
      <c r="E36" s="10">
        <f t="shared" si="2"/>
        <v>16030.9592926068</v>
      </c>
      <c r="F36" s="3"/>
      <c r="G36" s="29">
        <v>-3.46</v>
      </c>
      <c r="H36" s="10"/>
      <c r="I36" s="10">
        <f t="shared" si="8"/>
        <v>2674.3355941469049</v>
      </c>
      <c r="J36" s="10">
        <f t="shared" si="6"/>
        <v>2055649866.6660528</v>
      </c>
      <c r="K36" s="11">
        <f t="shared" si="7"/>
        <v>3.4985420000000156E-2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752627.19683599658</v>
      </c>
      <c r="D37" s="11">
        <v>2.1399999999999999E-2</v>
      </c>
      <c r="E37" s="10">
        <f t="shared" si="2"/>
        <v>15768.770327286446</v>
      </c>
      <c r="F37" s="3"/>
      <c r="G37" s="29">
        <v>-5.49</v>
      </c>
      <c r="H37" s="29"/>
      <c r="I37" s="10">
        <f t="shared" si="8"/>
        <v>2638.973351240285</v>
      </c>
      <c r="J37" s="10">
        <f t="shared" si="6"/>
        <v>1986163115.8688715</v>
      </c>
      <c r="K37" s="11">
        <f t="shared" si="7"/>
        <v>1.9459340000000047E-2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736858.42650871014</v>
      </c>
      <c r="D38" s="11">
        <v>2.1899999999999999E-2</v>
      </c>
      <c r="E38" s="10">
        <f t="shared" si="2"/>
        <v>15791.36856888223</v>
      </c>
      <c r="F38" s="3"/>
      <c r="G38" s="29">
        <v>-3.75</v>
      </c>
      <c r="H38" s="29"/>
      <c r="I38" s="10">
        <f t="shared" si="8"/>
        <v>2643.9969454366146</v>
      </c>
      <c r="J38" s="10">
        <f t="shared" si="6"/>
        <v>1948251428.9082599</v>
      </c>
      <c r="K38" s="11">
        <f t="shared" si="7"/>
        <v>2.1389050000000021E-2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721067.05793982791</v>
      </c>
      <c r="D39" s="11">
        <v>2.2200000000000001E-2</v>
      </c>
      <c r="E39" s="10">
        <f t="shared" si="2"/>
        <v>15660.035889516934</v>
      </c>
      <c r="F39" s="3"/>
      <c r="G39" s="29">
        <v>-1.74</v>
      </c>
      <c r="H39" s="29"/>
      <c r="I39" s="10">
        <f t="shared" si="8"/>
        <v>2645.3196052392341</v>
      </c>
      <c r="J39" s="10">
        <f t="shared" si="6"/>
        <v>1907452825.0604014</v>
      </c>
      <c r="K39" s="11">
        <f t="shared" si="7"/>
        <v>4.4137200000000654E-3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705407.02205031097</v>
      </c>
      <c r="D40" s="11">
        <v>2.2599999999999999E-2</v>
      </c>
      <c r="E40" s="10">
        <f t="shared" si="2"/>
        <v>15589.867688575177</v>
      </c>
      <c r="F40" s="3"/>
      <c r="G40" s="31">
        <v>0.32</v>
      </c>
      <c r="H40" s="29"/>
      <c r="I40" s="10">
        <f t="shared" si="8"/>
        <v>2692.1632457146693</v>
      </c>
      <c r="J40" s="10">
        <f t="shared" si="6"/>
        <v>1899070858.0328846</v>
      </c>
      <c r="K40" s="11">
        <f t="shared" si="7"/>
        <v>2.5872320000000171E-2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689817.1543617358</v>
      </c>
      <c r="D41" s="11">
        <v>2.3E-2</v>
      </c>
      <c r="E41" s="10">
        <f t="shared" si="2"/>
        <v>15509.08558193536</v>
      </c>
      <c r="F41" s="3"/>
      <c r="G41" s="29">
        <v>-0.71</v>
      </c>
      <c r="H41" s="29"/>
      <c r="I41" s="10">
        <f t="shared" si="8"/>
        <v>2683.5758031446062</v>
      </c>
      <c r="J41" s="10">
        <f t="shared" si="6"/>
        <v>1851176624.039222</v>
      </c>
      <c r="K41" s="11">
        <f t="shared" si="7"/>
        <v>1.5736699999999937E-2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674308.06877980044</v>
      </c>
      <c r="D42" s="11">
        <v>2.3400000000000001E-2</v>
      </c>
      <c r="E42" s="10">
        <f t="shared" si="2"/>
        <v>15418.026978158508</v>
      </c>
      <c r="F42" s="3"/>
      <c r="G42" s="29">
        <v>-12.45</v>
      </c>
      <c r="H42" s="29"/>
      <c r="I42" s="10">
        <f t="shared" si="8"/>
        <v>2702.7654377526501</v>
      </c>
      <c r="J42" s="10">
        <f t="shared" si="6"/>
        <v>1822496542.6957815</v>
      </c>
      <c r="K42" s="11">
        <f t="shared" si="7"/>
        <v>-0.10401329999999986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658890.04180164193</v>
      </c>
      <c r="D43" s="11">
        <v>2.35E-2</v>
      </c>
      <c r="E43" s="10">
        <f t="shared" si="2"/>
        <v>15128.398614888778</v>
      </c>
      <c r="F43" s="3"/>
      <c r="G43" s="29">
        <v>-4.08</v>
      </c>
      <c r="H43" s="29"/>
      <c r="I43" s="10">
        <f t="shared" si="8"/>
        <v>3087.1107227328957</v>
      </c>
      <c r="J43" s="10">
        <f t="shared" si="6"/>
        <v>2034066513.1477747</v>
      </c>
      <c r="K43" s="11">
        <f t="shared" si="7"/>
        <v>-1.8258799999999908E-2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643761.64318675315</v>
      </c>
      <c r="D44" s="11">
        <v>2.3599999999999999E-2</v>
      </c>
      <c r="E44" s="10">
        <f t="shared" si="2"/>
        <v>14842.491968745016</v>
      </c>
      <c r="F44" s="3"/>
      <c r="G44" s="29">
        <v>-1.57</v>
      </c>
      <c r="H44" s="29"/>
      <c r="I44" s="10">
        <f t="shared" si="8"/>
        <v>3218.4223548091072</v>
      </c>
      <c r="J44" s="10">
        <f t="shared" si="6"/>
        <v>2071896863.6008904</v>
      </c>
      <c r="K44" s="11">
        <f t="shared" si="7"/>
        <v>7.5294800000000883E-3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628919.15121800813</v>
      </c>
      <c r="D45" s="11">
        <v>2.3699999999999999E-2</v>
      </c>
      <c r="E45" s="10">
        <f t="shared" si="2"/>
        <v>14560.304663345567</v>
      </c>
      <c r="F45" s="3"/>
      <c r="G45" s="29">
        <v>4.6100000000000003</v>
      </c>
      <c r="H45" s="29"/>
      <c r="I45" s="10">
        <f t="shared" si="8"/>
        <v>3269.7575483176952</v>
      </c>
      <c r="J45" s="10">
        <f t="shared" si="6"/>
        <v>2056413141.97664</v>
      </c>
      <c r="K45" s="11">
        <f t="shared" si="7"/>
        <v>7.0892570000000044E-2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614358.84655466257</v>
      </c>
      <c r="D46" s="11">
        <v>2.3800000000000002E-2</v>
      </c>
      <c r="E46" s="10">
        <f t="shared" si="2"/>
        <v>14281.832924400223</v>
      </c>
      <c r="F46" s="3"/>
      <c r="G46" s="29">
        <v>-0.82</v>
      </c>
      <c r="H46" s="29"/>
      <c r="I46" s="10">
        <f t="shared" si="8"/>
        <v>3125.6644186193435</v>
      </c>
      <c r="J46" s="10">
        <f t="shared" si="6"/>
        <v>1920279586.9399297</v>
      </c>
      <c r="K46" s="11">
        <f t="shared" si="7"/>
        <v>1.5404839999999975E-2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600077.01363026234</v>
      </c>
      <c r="D47" s="11">
        <v>2.4E-2</v>
      </c>
      <c r="E47" s="10">
        <f t="shared" si="2"/>
        <v>14064.305006959243</v>
      </c>
      <c r="F47" s="3"/>
      <c r="G47" s="29">
        <v>5.36</v>
      </c>
      <c r="H47" s="29"/>
      <c r="I47" s="10">
        <f t="shared" si="8"/>
        <v>3151.5067741675171</v>
      </c>
      <c r="J47" s="10">
        <f t="shared" si="6"/>
        <v>1891146773.4779851</v>
      </c>
      <c r="K47" s="11">
        <f t="shared" si="7"/>
        <v>7.8886399999999801E-2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586012.7086233031</v>
      </c>
      <c r="D48" s="11">
        <v>2.4299999999999999E-2</v>
      </c>
      <c r="E48" s="10">
        <f t="shared" si="2"/>
        <v>13902.283334517502</v>
      </c>
      <c r="F48" s="3"/>
      <c r="G48" s="29">
        <v>4.6100000000000003</v>
      </c>
      <c r="H48" s="29"/>
      <c r="I48" s="10">
        <f t="shared" si="8"/>
        <v>2991.1795502728901</v>
      </c>
      <c r="J48" s="10">
        <f t="shared" si="6"/>
        <v>1752869230.23405</v>
      </c>
      <c r="K48" s="11">
        <f t="shared" si="7"/>
        <v>7.1520230000000184E-2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572110.4252887856</v>
      </c>
      <c r="D49" s="11">
        <v>2.4799999999999999E-2</v>
      </c>
      <c r="E49" s="10">
        <f t="shared" si="2"/>
        <v>13844.98296951782</v>
      </c>
      <c r="F49" s="3"/>
      <c r="G49" s="29">
        <v>-26.48</v>
      </c>
      <c r="H49" s="29"/>
      <c r="I49" s="10">
        <f t="shared" si="8"/>
        <v>2859.3629196758338</v>
      </c>
      <c r="J49" s="10">
        <f t="shared" si="6"/>
        <v>1635871336.030725</v>
      </c>
      <c r="K49" s="11">
        <f t="shared" si="7"/>
        <v>-0.24656703999999996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558265.44231926778</v>
      </c>
      <c r="D50" s="11">
        <v>2.5399999999999999E-2</v>
      </c>
      <c r="E50" s="10">
        <f t="shared" si="2"/>
        <v>13828.693421990843</v>
      </c>
      <c r="F50" s="3"/>
      <c r="G50" s="29">
        <v>-7.84</v>
      </c>
      <c r="H50" s="29"/>
      <c r="I50" s="10">
        <f t="shared" si="8"/>
        <v>3889.2313923773581</v>
      </c>
      <c r="J50" s="10">
        <f t="shared" si="6"/>
        <v>2171223483.5475273</v>
      </c>
      <c r="K50" s="11">
        <f t="shared" si="7"/>
        <v>-5.4991360000000045E-2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544436.74889727694</v>
      </c>
      <c r="D51" s="11">
        <v>2.5999999999999999E-2</v>
      </c>
      <c r="E51" s="10">
        <f t="shared" si="2"/>
        <v>13796.642759580165</v>
      </c>
      <c r="F51" s="3"/>
      <c r="G51" s="29">
        <v>8.3699999999999992</v>
      </c>
      <c r="H51" s="29"/>
      <c r="I51" s="10">
        <f t="shared" si="8"/>
        <v>4220.0861462427929</v>
      </c>
      <c r="J51" s="10">
        <f t="shared" si="6"/>
        <v>2297569981.5268645</v>
      </c>
      <c r="K51" s="11">
        <f t="shared" si="7"/>
        <v>0.11187619999999998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530640.10613769677</v>
      </c>
      <c r="D52" s="11">
        <v>2.6599999999999999E-2</v>
      </c>
      <c r="E52" s="10">
        <f t="shared" si="2"/>
        <v>13749.295561331266</v>
      </c>
      <c r="F52" s="3"/>
      <c r="G52" s="29">
        <v>5.21</v>
      </c>
      <c r="H52" s="29"/>
      <c r="I52" s="10">
        <f t="shared" si="8"/>
        <v>3894.1461163078279</v>
      </c>
      <c r="J52" s="10">
        <f t="shared" si="6"/>
        <v>2066390108.4732854</v>
      </c>
      <c r="K52" s="11">
        <f t="shared" si="7"/>
        <v>8.0085859999999842E-2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516890.8105763655</v>
      </c>
      <c r="D53" s="11">
        <v>2.7099999999999999E-2</v>
      </c>
      <c r="E53" s="10">
        <f t="shared" si="2"/>
        <v>13638.147178093146</v>
      </c>
      <c r="F53" s="3"/>
      <c r="G53" s="30">
        <v>1.45</v>
      </c>
      <c r="H53" s="29"/>
      <c r="I53" s="10">
        <f t="shared" si="8"/>
        <v>3701.3079710178004</v>
      </c>
      <c r="J53" s="10">
        <f t="shared" si="6"/>
        <v>1913172077.3321536</v>
      </c>
      <c r="K53" s="11">
        <f t="shared" si="7"/>
        <v>4.1992950000000029E-2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503252.66339827236</v>
      </c>
      <c r="D54" s="11">
        <v>2.7699999999999999E-2</v>
      </c>
      <c r="E54" s="10">
        <f t="shared" si="2"/>
        <v>13564.365842300467</v>
      </c>
      <c r="F54" s="3"/>
      <c r="G54" s="30">
        <v>1.43</v>
      </c>
      <c r="H54" s="29"/>
      <c r="I54" s="10">
        <f t="shared" si="8"/>
        <v>3648.4060828169545</v>
      </c>
      <c r="J54" s="10">
        <f t="shared" si="6"/>
        <v>1836070078.3360901</v>
      </c>
      <c r="K54" s="11">
        <f t="shared" si="7"/>
        <v>4.2396110000000098E-2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489688.29755597189</v>
      </c>
      <c r="D55" s="11">
        <v>2.8000000000000001E-2</v>
      </c>
      <c r="E55" s="10">
        <f t="shared" si="2"/>
        <v>13337.813552108186</v>
      </c>
      <c r="F55" s="3"/>
      <c r="G55" s="30">
        <v>0.3</v>
      </c>
      <c r="H55" s="29"/>
      <c r="I55" s="10">
        <f t="shared" si="8"/>
        <v>3596.9694201093903</v>
      </c>
      <c r="J55" s="10">
        <f t="shared" si="6"/>
        <v>1761393831.6942587</v>
      </c>
      <c r="K55" s="11">
        <f t="shared" si="7"/>
        <v>3.1083999999999889E-2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476350.4840038637</v>
      </c>
      <c r="D56" s="11">
        <v>2.8299999999999999E-2</v>
      </c>
      <c r="E56" s="10">
        <f t="shared" si="2"/>
        <v>13109.713796858268</v>
      </c>
      <c r="F56" s="3"/>
      <c r="G56" s="30">
        <v>8.5299999999999994</v>
      </c>
      <c r="H56" s="29"/>
      <c r="I56" s="10">
        <f t="shared" si="8"/>
        <v>3586.2107877461522</v>
      </c>
      <c r="J56" s="10">
        <f t="shared" si="6"/>
        <v>1708293244.4827569</v>
      </c>
      <c r="K56" s="11">
        <f t="shared" si="7"/>
        <v>0.1160139899999999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463240.77020700544</v>
      </c>
      <c r="D57" s="11">
        <v>2.86E-2</v>
      </c>
      <c r="E57" s="10">
        <f t="shared" si="2"/>
        <v>12880.309185222955</v>
      </c>
      <c r="F57" s="3"/>
      <c r="G57" s="29">
        <v>-0.15</v>
      </c>
      <c r="H57" s="29"/>
      <c r="I57" s="10">
        <f t="shared" si="8"/>
        <v>3304.3497537511771</v>
      </c>
      <c r="J57" s="10">
        <f t="shared" si="6"/>
        <v>1530709524.961024</v>
      </c>
      <c r="K57" s="11">
        <f t="shared" si="7"/>
        <v>2.7057099999999945E-2</v>
      </c>
      <c r="L57" t="s">
        <v>102</v>
      </c>
      <c r="M57" t="s">
        <v>103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450360.46102178248</v>
      </c>
      <c r="D58" s="11">
        <v>2.9000000000000001E-2</v>
      </c>
      <c r="E58" s="10">
        <f t="shared" si="2"/>
        <v>12692.374508874316</v>
      </c>
      <c r="F58" s="3"/>
      <c r="G58" s="29">
        <v>10.87</v>
      </c>
      <c r="H58" s="10"/>
      <c r="I58" s="10">
        <f t="shared" si="8"/>
        <v>3309.3137243376837</v>
      </c>
      <c r="J58" s="10">
        <f t="shared" si="6"/>
        <v>1490384054.5584311</v>
      </c>
      <c r="K58" s="11">
        <f t="shared" si="7"/>
        <v>0.14085229999999993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437668.08651290816</v>
      </c>
      <c r="D59" s="11">
        <v>2.9399999999999999E-2</v>
      </c>
      <c r="E59" s="10">
        <f t="shared" si="2"/>
        <v>12499.94340730476</v>
      </c>
      <c r="F59" s="3"/>
      <c r="G59" s="29">
        <v>10.89</v>
      </c>
      <c r="H59" s="10"/>
      <c r="I59" s="10">
        <f t="shared" si="8"/>
        <v>2984.8594970124323</v>
      </c>
      <c r="J59" s="10">
        <f t="shared" si="6"/>
        <v>1306377744.5673127</v>
      </c>
      <c r="K59" s="11">
        <f t="shared" si="7"/>
        <v>0.14150166000000008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425168.14310560341</v>
      </c>
      <c r="D60" s="11">
        <v>2.98E-2</v>
      </c>
      <c r="E60" s="10">
        <f t="shared" si="2"/>
        <v>12303.370231644018</v>
      </c>
      <c r="F60" s="3"/>
      <c r="G60" s="29">
        <v>7.5</v>
      </c>
      <c r="H60" s="10"/>
      <c r="I60" s="10">
        <f t="shared" si="8"/>
        <v>2691.7300901906683</v>
      </c>
      <c r="J60" s="10">
        <f t="shared" si="6"/>
        <v>1144437884.1878448</v>
      </c>
      <c r="K60" s="11">
        <f t="shared" si="7"/>
        <v>0.10703499999999999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412864.77287395939</v>
      </c>
      <c r="D61" s="11">
        <v>3.0099999999999998E-2</v>
      </c>
      <c r="E61" s="10">
        <f t="shared" si="2"/>
        <v>12064.100246098591</v>
      </c>
      <c r="F61" s="3"/>
      <c r="G61" s="30">
        <v>-7.0000000000000007E-2</v>
      </c>
      <c r="H61" s="10"/>
      <c r="I61" s="10">
        <f t="shared" si="8"/>
        <v>2503.9349676192264</v>
      </c>
      <c r="J61" s="10">
        <f t="shared" si="6"/>
        <v>1033786541.6972768</v>
      </c>
      <c r="K61" s="11">
        <f t="shared" si="7"/>
        <v>2.9378930000000025E-2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400800.6726278608</v>
      </c>
      <c r="D62" s="11">
        <v>3.0300000000000001E-2</v>
      </c>
      <c r="E62" s="10">
        <f t="shared" si="2"/>
        <v>11787.110919755592</v>
      </c>
      <c r="F62" s="3"/>
      <c r="G62" s="30">
        <v>6.63</v>
      </c>
      <c r="H62" s="10"/>
      <c r="I62" s="10">
        <f t="shared" si="8"/>
        <v>2505.6889498841456</v>
      </c>
      <c r="J62" s="10">
        <f t="shared" si="6"/>
        <v>1004281816.5097637</v>
      </c>
      <c r="K62" s="11">
        <f t="shared" si="7"/>
        <v>9.8608889999999949E-2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389013.5617081052</v>
      </c>
      <c r="D63" s="11">
        <v>3.0300000000000001E-2</v>
      </c>
      <c r="E63" s="10">
        <f t="shared" si="2"/>
        <v>11440.464835247607</v>
      </c>
      <c r="F63" s="3"/>
      <c r="G63" s="30">
        <v>9.3000000000000007</v>
      </c>
      <c r="H63" s="10"/>
      <c r="I63" s="10">
        <f t="shared" si="8"/>
        <v>2349.891165604563</v>
      </c>
      <c r="J63" s="10">
        <f t="shared" si="6"/>
        <v>914139531.95824194</v>
      </c>
      <c r="K63" s="11">
        <f t="shared" si="7"/>
        <v>0.12611790000000012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377573.0968728576</v>
      </c>
      <c r="D64" s="11">
        <v>3.0099999999999998E-2</v>
      </c>
      <c r="E64" s="10">
        <f t="shared" si="2"/>
        <v>11032.861096857581</v>
      </c>
      <c r="F64" s="3"/>
      <c r="G64" s="30">
        <v>2.44</v>
      </c>
      <c r="H64" s="10"/>
      <c r="I64" s="10">
        <f t="shared" si="8"/>
        <v>2149.9461716418691</v>
      </c>
      <c r="J64" s="10">
        <f t="shared" si="6"/>
        <v>811761834.13676476</v>
      </c>
      <c r="K64" s="11">
        <f t="shared" si="7"/>
        <v>5.5234439999999996E-2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366540.23577600002</v>
      </c>
      <c r="D65" s="11">
        <v>2.9600000000000001E-2</v>
      </c>
      <c r="E65" s="10">
        <f t="shared" si="2"/>
        <v>10537.675776000018</v>
      </c>
      <c r="F65" s="3"/>
      <c r="G65" s="30">
        <v>17.02</v>
      </c>
      <c r="H65" s="10"/>
      <c r="I65" s="10">
        <f t="shared" si="8"/>
        <v>2098.7369891076428</v>
      </c>
      <c r="J65" s="10">
        <f t="shared" si="6"/>
        <v>769271550.81932771</v>
      </c>
      <c r="K65" s="11">
        <f t="shared" si="7"/>
        <v>0.20483792000000012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356002.56</v>
      </c>
      <c r="D66" s="11">
        <v>3.0099999999999998E-2</v>
      </c>
      <c r="E66" s="10">
        <f t="shared" si="2"/>
        <v>10402.559999999998</v>
      </c>
      <c r="F66" s="3"/>
      <c r="G66" s="30">
        <v>6.7</v>
      </c>
      <c r="H66" s="10"/>
      <c r="I66" s="10">
        <f t="shared" si="8"/>
        <v>1793.4857196271089</v>
      </c>
      <c r="J66" s="10">
        <f t="shared" ref="J66:J67" si="9">IF(I66="","",I66*C66)</f>
        <v>638485507.51069295</v>
      </c>
      <c r="K66" s="11">
        <f t="shared" ref="K66" si="10">IFERROR(J66/J67-1,"")</f>
        <v>9.9116699999999947E-2</v>
      </c>
    </row>
    <row r="67" spans="1:11" ht="22.5" customHeight="1">
      <c r="A67" s="3">
        <f t="shared" si="0"/>
        <v>1950</v>
      </c>
      <c r="B67" s="3">
        <v>1700</v>
      </c>
      <c r="C67" s="10">
        <v>345600</v>
      </c>
      <c r="D67" s="11">
        <v>2.9600000000000001E-2</v>
      </c>
      <c r="E67" s="3" t="s">
        <v>72</v>
      </c>
      <c r="F67" s="3"/>
      <c r="G67" s="30">
        <v>16.600000000000001</v>
      </c>
      <c r="H67" s="10"/>
      <c r="I67" s="10">
        <f t="shared" ref="I67" si="11">IF(H67&lt;&gt;"",H67,I66/(1+IF(G66="",0,G66)/100))</f>
        <v>1680.8675910282184</v>
      </c>
      <c r="J67" s="10">
        <f t="shared" si="9"/>
        <v>580907839.45935225</v>
      </c>
      <c r="K67" s="11"/>
    </row>
  </sheetData>
  <dataValidations count="1">
    <dataValidation type="custom" allowBlank="1" showDropDown="1" sqref="D2:D67" xr:uid="{00000000-0002-0000-0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72"/>
  <sheetViews>
    <sheetView topLeftCell="A31" workbookViewId="0">
      <selection activeCell="J55" sqref="J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2695312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20712262.830952272</v>
      </c>
      <c r="D2" s="11">
        <v>6.9999999999999999E-4</v>
      </c>
      <c r="E2" s="10">
        <f t="shared" ref="E2:E66" si="2">SUM(C2-C3)</f>
        <v>14488.442072212696</v>
      </c>
      <c r="F2" s="10">
        <v>20712000</v>
      </c>
      <c r="G2" s="29">
        <v>2.98</v>
      </c>
      <c r="H2" s="29"/>
      <c r="I2" s="10">
        <f>IF(H2&lt;&gt;"",H2,96000)</f>
        <v>12000</v>
      </c>
      <c r="J2" s="10">
        <f t="shared" ref="J2:J33" si="3">IF(I2="","",I2*C2)</f>
        <v>248547153971.42728</v>
      </c>
      <c r="K2" s="11">
        <f t="shared" ref="K2:K33" si="4">IFERROR(J2/J3-1,"")</f>
        <v>3.0520859999999983E-2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20697774.388880059</v>
      </c>
      <c r="D3" s="11">
        <v>8.0000000000000004E-4</v>
      </c>
      <c r="E3" s="10">
        <f t="shared" si="2"/>
        <v>16544.983524281532</v>
      </c>
      <c r="F3" s="3"/>
      <c r="G3" s="29">
        <v>3.94</v>
      </c>
      <c r="H3" s="29"/>
      <c r="I3" s="10">
        <f t="shared" ref="I3:I34" si="5">IF(H3&lt;&gt;"",H3,I2/(1+IF(G2="",0,G2)/100))</f>
        <v>11652.748106428433</v>
      </c>
      <c r="J3" s="10">
        <f t="shared" si="3"/>
        <v>241185951317.30502</v>
      </c>
      <c r="K3" s="11">
        <f t="shared" si="4"/>
        <v>4.0231519999999854E-2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20681229.405355778</v>
      </c>
      <c r="D4" s="11">
        <v>-1.9E-3</v>
      </c>
      <c r="E4" s="10">
        <f t="shared" si="2"/>
        <v>-39369.137230914086</v>
      </c>
      <c r="F4" s="3"/>
      <c r="G4" s="29">
        <v>4.82</v>
      </c>
      <c r="H4" s="29"/>
      <c r="I4" s="10">
        <f t="shared" si="5"/>
        <v>11211.03339082974</v>
      </c>
      <c r="J4" s="10">
        <f t="shared" si="3"/>
        <v>231857953426.85352</v>
      </c>
      <c r="K4" s="11">
        <f t="shared" si="4"/>
        <v>4.6208420000000139E-2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20720598.542586692</v>
      </c>
      <c r="D5" s="11">
        <v>-1.2999999999999999E-3</v>
      </c>
      <c r="E5" s="10">
        <f t="shared" si="2"/>
        <v>-26971.841499309987</v>
      </c>
      <c r="F5" s="3"/>
      <c r="G5" s="29">
        <v>4.4400000000000004</v>
      </c>
      <c r="H5" s="29"/>
      <c r="I5" s="10">
        <f t="shared" si="5"/>
        <v>10695.509817620434</v>
      </c>
      <c r="J5" s="10">
        <f t="shared" si="3"/>
        <v>221617365139.20761</v>
      </c>
      <c r="K5" s="11">
        <f t="shared" si="4"/>
        <v>4.3042280000000099E-2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20747570.384086002</v>
      </c>
      <c r="D6" s="11">
        <v>1.4E-3</v>
      </c>
      <c r="E6" s="10">
        <f t="shared" si="2"/>
        <v>29005.990151509643</v>
      </c>
      <c r="F6" s="3"/>
      <c r="G6" s="29">
        <v>6.21</v>
      </c>
      <c r="H6" s="29"/>
      <c r="I6" s="10">
        <f t="shared" si="5"/>
        <v>10240.817519743809</v>
      </c>
      <c r="J6" s="10">
        <f t="shared" si="3"/>
        <v>212472082281.4657</v>
      </c>
      <c r="K6" s="11">
        <f t="shared" si="4"/>
        <v>6.3586940000000203E-2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20718564.393934492</v>
      </c>
      <c r="D7" s="11">
        <v>3.5000000000000001E-3</v>
      </c>
      <c r="E7" s="10">
        <f t="shared" si="2"/>
        <v>72262.058175157756</v>
      </c>
      <c r="F7" s="3"/>
      <c r="G7" s="29">
        <v>14.52</v>
      </c>
      <c r="H7" s="29"/>
      <c r="I7" s="10">
        <f t="shared" si="5"/>
        <v>9642.04643606422</v>
      </c>
      <c r="J7" s="10">
        <f t="shared" si="3"/>
        <v>199769359974.90311</v>
      </c>
      <c r="K7" s="11">
        <f t="shared" si="4"/>
        <v>0.14920820000000012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20646302.335759334</v>
      </c>
      <c r="D8" s="11">
        <v>4.3E-3</v>
      </c>
      <c r="E8" s="10">
        <f t="shared" si="2"/>
        <v>88398.984410796314</v>
      </c>
      <c r="F8" s="3"/>
      <c r="G8" s="29">
        <v>0.13</v>
      </c>
      <c r="H8" s="29"/>
      <c r="I8" s="10">
        <f t="shared" si="5"/>
        <v>8419.5305938388228</v>
      </c>
      <c r="J8" s="10">
        <f t="shared" si="3"/>
        <v>173832174165.57166</v>
      </c>
      <c r="K8" s="11">
        <f t="shared" si="4"/>
        <v>5.6055899999998271E-3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20557903.351348538</v>
      </c>
      <c r="D9" s="11">
        <v>2.8E-3</v>
      </c>
      <c r="E9" s="10">
        <f t="shared" si="2"/>
        <v>57401.405448518693</v>
      </c>
      <c r="F9" s="3"/>
      <c r="G9" s="29">
        <v>1.86</v>
      </c>
      <c r="H9" s="29"/>
      <c r="I9" s="10">
        <f t="shared" si="5"/>
        <v>8408.5994145998429</v>
      </c>
      <c r="J9" s="10">
        <f t="shared" si="3"/>
        <v>172863174085.54947</v>
      </c>
      <c r="K9" s="11">
        <f t="shared" si="4"/>
        <v>2.1452079999999984E-2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20500501.945900019</v>
      </c>
      <c r="D10" s="11">
        <v>4.0000000000000001E-3</v>
      </c>
      <c r="E10" s="10">
        <f t="shared" si="2"/>
        <v>81675.306557372212</v>
      </c>
      <c r="F10" s="3"/>
      <c r="G10" s="29">
        <v>9.02</v>
      </c>
      <c r="H10" s="29"/>
      <c r="I10" s="10">
        <f t="shared" si="5"/>
        <v>8255.0553844490896</v>
      </c>
      <c r="J10" s="10">
        <f t="shared" si="3"/>
        <v>169232778972.41098</v>
      </c>
      <c r="K10" s="11">
        <f t="shared" si="4"/>
        <v>9.45608E-2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20418826.639342647</v>
      </c>
      <c r="D11" s="11">
        <v>5.3E-3</v>
      </c>
      <c r="E11" s="10">
        <f t="shared" si="2"/>
        <v>107649.24021537602</v>
      </c>
      <c r="F11" s="3"/>
      <c r="G11" s="29">
        <v>9.01</v>
      </c>
      <c r="H11" s="29"/>
      <c r="I11" s="10">
        <f>IF(H11&lt;&gt;"",H11,I10/(1+IF(G10="",0,G10)/100))</f>
        <v>7572.0559387718667</v>
      </c>
      <c r="J11" s="10">
        <f t="shared" si="3"/>
        <v>154612497517.18768</v>
      </c>
      <c r="K11" s="11">
        <f t="shared" si="4"/>
        <v>9.58775300000001E-2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20311177.399127271</v>
      </c>
      <c r="D12" s="11">
        <v>6.3E-3</v>
      </c>
      <c r="E12" s="10">
        <f t="shared" si="2"/>
        <v>127159.31393669918</v>
      </c>
      <c r="F12" s="3"/>
      <c r="G12" s="29">
        <v>7.37</v>
      </c>
      <c r="H12" s="29"/>
      <c r="I12" s="10">
        <f>IF(H12&lt;&gt;"",H12,I11/(1+IF(G11="",0,G11)/100))</f>
        <v>6946.2030444655229</v>
      </c>
      <c r="J12" s="10">
        <f t="shared" si="3"/>
        <v>141085562286.49716</v>
      </c>
      <c r="K12" s="11">
        <f t="shared" si="4"/>
        <v>8.0464309999999983E-2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20184018.085190572</v>
      </c>
      <c r="D13" s="11">
        <v>4.5999999999999999E-3</v>
      </c>
      <c r="E13" s="10">
        <f t="shared" si="2"/>
        <v>92421.345004852861</v>
      </c>
      <c r="F13" s="3"/>
      <c r="G13" s="29">
        <v>9.94</v>
      </c>
      <c r="H13" s="29"/>
      <c r="I13" s="10">
        <f>IF(H13&lt;&gt;"",H13,I12/(1+IF(G12="",0,G12)/100))</f>
        <v>6469.4076971831255</v>
      </c>
      <c r="J13" s="10">
        <f t="shared" si="3"/>
        <v>130578641960.4153</v>
      </c>
      <c r="K13" s="11">
        <f t="shared" si="4"/>
        <v>0.1044572399999999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20091596.740185719</v>
      </c>
      <c r="D14" s="11">
        <v>5.3E-3</v>
      </c>
      <c r="E14" s="10">
        <f t="shared" si="2"/>
        <v>105924.06517754495</v>
      </c>
      <c r="F14" s="3"/>
      <c r="G14" s="29">
        <v>4.55</v>
      </c>
      <c r="H14" s="29"/>
      <c r="I14" s="10">
        <f>IF(H14&lt;&gt;"",H14,I13/(1+IF(G13="",0,G13)/100))</f>
        <v>5884.4894462280572</v>
      </c>
      <c r="J14" s="10">
        <f t="shared" si="3"/>
        <v>118228788975.4929</v>
      </c>
      <c r="K14" s="11">
        <f t="shared" si="4"/>
        <v>5.1041150000000313E-2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19985672.675008174</v>
      </c>
      <c r="D15" s="11">
        <v>7.7000000000000002E-3</v>
      </c>
      <c r="E15" s="10">
        <f t="shared" si="2"/>
        <v>152713.78346488252</v>
      </c>
      <c r="F15" s="3"/>
      <c r="G15" s="29">
        <v>3.92</v>
      </c>
      <c r="H15" s="29"/>
      <c r="I15" s="10">
        <f>IF(H15&lt;&gt;"",H15,I14/(1+IF(G14="",0,G14)/100))</f>
        <v>5628.3973660717902</v>
      </c>
      <c r="J15" s="10">
        <f t="shared" si="3"/>
        <v>112487307443.18895</v>
      </c>
      <c r="K15" s="11">
        <f t="shared" si="4"/>
        <v>4.7201839999999828E-2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19832958.891543292</v>
      </c>
      <c r="D16" s="11">
        <v>5.0000000000000001E-3</v>
      </c>
      <c r="E16" s="10">
        <f t="shared" si="2"/>
        <v>98671.437271356583</v>
      </c>
      <c r="F16" s="3"/>
      <c r="G16" s="27">
        <v>3.31</v>
      </c>
      <c r="H16" s="29"/>
      <c r="I16" s="10">
        <f>IF(H16&lt;&gt;"",H16,I15/(1+IF(G15="",0,G15)/100))</f>
        <v>5416.086764888174</v>
      </c>
      <c r="J16" s="10">
        <f t="shared" si="3"/>
        <v>107417026161.05885</v>
      </c>
      <c r="K16" s="11">
        <f t="shared" si="4"/>
        <v>3.8265499999999841E-2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19734287.454271935</v>
      </c>
      <c r="D17" s="11">
        <v>5.1000000000000004E-3</v>
      </c>
      <c r="E17" s="10">
        <f t="shared" si="2"/>
        <v>100134.18169016764</v>
      </c>
      <c r="F17" s="3"/>
      <c r="G17" s="29">
        <v>9.0399999999999991</v>
      </c>
      <c r="H17" s="29"/>
      <c r="I17" s="10">
        <f>IF(H17&lt;&gt;"",H17,I16/(1+IF(G16="",0,G16)/100))</f>
        <v>5242.5580920415978</v>
      </c>
      <c r="J17" s="10">
        <f t="shared" si="3"/>
        <v>103458148384.06831</v>
      </c>
      <c r="K17" s="11">
        <f t="shared" si="4"/>
        <v>9.5961040000000164E-2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19634153.272581767</v>
      </c>
      <c r="D18" s="11">
        <v>7.6E-3</v>
      </c>
      <c r="E18" s="10">
        <f t="shared" si="2"/>
        <v>148094.05009093136</v>
      </c>
      <c r="F18" s="3"/>
      <c r="G18" s="29">
        <v>5.72</v>
      </c>
      <c r="H18" s="29"/>
      <c r="I18" s="10">
        <f>IF(H18&lt;&gt;"",H18,I17/(1+IF(G17="",0,G17)/100))</f>
        <v>4807.9219479471731</v>
      </c>
      <c r="J18" s="10">
        <f t="shared" si="3"/>
        <v>94399476448.604691</v>
      </c>
      <c r="K18" s="11">
        <f t="shared" si="4"/>
        <v>6.5234719999999857E-2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19486059.222490836</v>
      </c>
      <c r="D19" s="11">
        <v>5.1000000000000004E-3</v>
      </c>
      <c r="E19" s="10">
        <f t="shared" si="2"/>
        <v>98874.641363751143</v>
      </c>
      <c r="F19" s="3"/>
      <c r="G19" s="29">
        <v>4.32</v>
      </c>
      <c r="H19" s="29"/>
      <c r="I19" s="10">
        <f>IF(H19&lt;&gt;"",H19,I18/(1+IF(G18="",0,G18)/100))</f>
        <v>4547.7884486825324</v>
      </c>
      <c r="J19" s="10">
        <f t="shared" si="3"/>
        <v>88618475042.387558</v>
      </c>
      <c r="K19" s="11">
        <f t="shared" si="4"/>
        <v>4.8520320000000172E-2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19387184.581127085</v>
      </c>
      <c r="D20" s="11">
        <v>5.3E-3</v>
      </c>
      <c r="E20" s="10">
        <f t="shared" si="2"/>
        <v>102210.36335419863</v>
      </c>
      <c r="F20" s="3"/>
      <c r="G20" s="29">
        <v>8.32</v>
      </c>
      <c r="H20" s="29"/>
      <c r="I20" s="10">
        <f>IF(H20&lt;&gt;"",H20,I19/(1+IF(G19="",0,G19)/100))</f>
        <v>4359.4597859303422</v>
      </c>
      <c r="J20" s="10">
        <f t="shared" si="3"/>
        <v>84517651543.832306</v>
      </c>
      <c r="K20" s="11">
        <f t="shared" si="4"/>
        <v>8.8940959999999958E-2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19284974.217772886</v>
      </c>
      <c r="D21" s="11">
        <v>2.0999999999999999E-3</v>
      </c>
      <c r="E21" s="10">
        <f t="shared" si="2"/>
        <v>40413.577344898134</v>
      </c>
      <c r="F21" s="3"/>
      <c r="G21" s="29">
        <v>7.47</v>
      </c>
      <c r="H21" s="29"/>
      <c r="I21" s="10">
        <f>IF(H21&lt;&gt;"",H21,I20/(1+IF(G20="",0,G20)/100))</f>
        <v>4024.6120623433735</v>
      </c>
      <c r="J21" s="10">
        <f t="shared" si="3"/>
        <v>77614539858.829727</v>
      </c>
      <c r="K21" s="11">
        <f t="shared" si="4"/>
        <v>7.6956869999999844E-2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19244560.640427988</v>
      </c>
      <c r="D22" s="11">
        <v>4.0000000000000001E-3</v>
      </c>
      <c r="E22" s="10">
        <f t="shared" si="2"/>
        <v>76671.55633636564</v>
      </c>
      <c r="F22" s="3"/>
      <c r="G22" s="29">
        <v>7.18</v>
      </c>
      <c r="H22" s="29"/>
      <c r="I22" s="10">
        <f>IF(H22&lt;&gt;"",H22,I21/(1+IF(G21="",0,G21)/100))</f>
        <v>3744.8702543438853</v>
      </c>
      <c r="J22" s="10">
        <f t="shared" si="3"/>
        <v>72068382700.25589</v>
      </c>
      <c r="K22" s="11">
        <f t="shared" si="4"/>
        <v>7.6087200000000133E-2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19167889.084091622</v>
      </c>
      <c r="D23" s="11">
        <v>5.1999999999999998E-3</v>
      </c>
      <c r="E23" s="10">
        <f t="shared" si="2"/>
        <v>99157.40473266691</v>
      </c>
      <c r="F23" s="3"/>
      <c r="G23" s="29">
        <v>11.1</v>
      </c>
      <c r="H23" s="29"/>
      <c r="I23" s="10">
        <f t="shared" si="5"/>
        <v>3494.000983713272</v>
      </c>
      <c r="J23" s="10">
        <f t="shared" si="3"/>
        <v>66972623315.523018</v>
      </c>
      <c r="K23" s="11">
        <f t="shared" si="4"/>
        <v>0.11677720000000003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19068731.679358955</v>
      </c>
      <c r="D24" s="11">
        <v>5.7999999999999996E-3</v>
      </c>
      <c r="E24" s="10">
        <f t="shared" si="2"/>
        <v>109960.87069027871</v>
      </c>
      <c r="F24" s="3"/>
      <c r="G24" s="29">
        <v>11.46</v>
      </c>
      <c r="H24" s="29"/>
      <c r="I24" s="10">
        <f t="shared" si="5"/>
        <v>3144.9153768796327</v>
      </c>
      <c r="J24" s="10">
        <f t="shared" si="3"/>
        <v>59969547476.007759</v>
      </c>
      <c r="K24" s="11">
        <f t="shared" si="4"/>
        <v>0.12106467999999992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18958770.808668677</v>
      </c>
      <c r="D25" s="11">
        <v>7.7000000000000002E-3</v>
      </c>
      <c r="E25" s="10">
        <f t="shared" si="2"/>
        <v>144867.05887342244</v>
      </c>
      <c r="F25" s="3"/>
      <c r="G25" s="29">
        <v>6.64</v>
      </c>
      <c r="H25" s="29"/>
      <c r="I25" s="10">
        <f t="shared" si="5"/>
        <v>2821.5641278302824</v>
      </c>
      <c r="J25" s="10">
        <f t="shared" si="3"/>
        <v>53493387621.495453</v>
      </c>
      <c r="K25" s="11">
        <f t="shared" si="4"/>
        <v>7.4611280000000058E-2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18813903.749795254</v>
      </c>
      <c r="D26" s="11">
        <v>8.3999999999999995E-3</v>
      </c>
      <c r="E26" s="10">
        <f t="shared" si="2"/>
        <v>156720.34063692763</v>
      </c>
      <c r="F26" s="3"/>
      <c r="G26" s="29">
        <v>6.69</v>
      </c>
      <c r="H26" s="29"/>
      <c r="I26" s="10">
        <f t="shared" si="5"/>
        <v>2645.8778393007146</v>
      </c>
      <c r="J26" s="10">
        <f t="shared" si="3"/>
        <v>49779291002.319878</v>
      </c>
      <c r="K26" s="11">
        <f t="shared" si="4"/>
        <v>7.5861959999999895E-2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18657183.409158327</v>
      </c>
      <c r="D27" s="11">
        <v>7.1000000000000004E-3</v>
      </c>
      <c r="E27" s="10">
        <f t="shared" si="2"/>
        <v>131532.12412374839</v>
      </c>
      <c r="F27" s="3"/>
      <c r="G27" s="27">
        <v>-6.8</v>
      </c>
      <c r="H27" s="29"/>
      <c r="I27" s="10">
        <f t="shared" si="5"/>
        <v>2479.9679813485</v>
      </c>
      <c r="J27" s="10">
        <f t="shared" si="3"/>
        <v>46269217476.8591</v>
      </c>
      <c r="K27" s="11">
        <f t="shared" si="4"/>
        <v>-6.138279999999996E-2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18525651.285034578</v>
      </c>
      <c r="D28" s="11">
        <v>7.1999999999999998E-3</v>
      </c>
      <c r="E28" s="10">
        <f t="shared" si="2"/>
        <v>132431.18472225219</v>
      </c>
      <c r="F28" s="3"/>
      <c r="G28" s="29">
        <v>10.16</v>
      </c>
      <c r="H28" s="29"/>
      <c r="I28" s="10">
        <f t="shared" si="5"/>
        <v>2660.9098512322962</v>
      </c>
      <c r="J28" s="10">
        <f t="shared" si="3"/>
        <v>49295088004.842758</v>
      </c>
      <c r="K28" s="11">
        <f t="shared" si="4"/>
        <v>0.10953151999999999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18393220.100312326</v>
      </c>
      <c r="D29" s="11">
        <v>9.4000000000000004E-3</v>
      </c>
      <c r="E29" s="10">
        <f t="shared" si="2"/>
        <v>171286.17886163667</v>
      </c>
      <c r="F29" s="3"/>
      <c r="G29" s="29">
        <v>11.26</v>
      </c>
      <c r="H29" s="29"/>
      <c r="I29" s="10">
        <f t="shared" si="5"/>
        <v>2415.4955076545903</v>
      </c>
      <c r="J29" s="10">
        <f t="shared" si="3"/>
        <v>44428740523.606537</v>
      </c>
      <c r="K29" s="11">
        <f t="shared" si="4"/>
        <v>0.1230584400000001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18221933.921450689</v>
      </c>
      <c r="D30" s="12">
        <v>9.4999999999999998E-3</v>
      </c>
      <c r="E30" s="10">
        <f t="shared" si="2"/>
        <v>171479.31872588769</v>
      </c>
      <c r="F30" s="3"/>
      <c r="G30" s="29">
        <v>10.8</v>
      </c>
      <c r="H30" s="29"/>
      <c r="I30" s="10">
        <f t="shared" si="5"/>
        <v>2171.0367676205196</v>
      </c>
      <c r="J30" s="10">
        <f t="shared" si="3"/>
        <v>39560488520.621002</v>
      </c>
      <c r="K30" s="11">
        <f t="shared" si="4"/>
        <v>0.11852600000000013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18050454.602724802</v>
      </c>
      <c r="D31" s="13">
        <v>1.01E-2</v>
      </c>
      <c r="E31" s="10">
        <f t="shared" si="2"/>
        <v>180486.67605932057</v>
      </c>
      <c r="F31" s="3"/>
      <c r="G31" s="29">
        <v>1.34</v>
      </c>
      <c r="H31" s="29"/>
      <c r="I31" s="10">
        <f t="shared" si="5"/>
        <v>1959.4194653614798</v>
      </c>
      <c r="J31" s="10">
        <f t="shared" si="3"/>
        <v>35368412107.20269</v>
      </c>
      <c r="K31" s="11">
        <f t="shared" si="4"/>
        <v>2.3635340000000005E-2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17869967.926665481</v>
      </c>
      <c r="D32" s="12">
        <v>1.01E-2</v>
      </c>
      <c r="E32" s="10">
        <f t="shared" si="2"/>
        <v>178681.98798071593</v>
      </c>
      <c r="F32" s="3"/>
      <c r="G32" s="27">
        <v>3.31</v>
      </c>
      <c r="H32" s="29"/>
      <c r="I32" s="10">
        <f t="shared" si="5"/>
        <v>1933.5104256576669</v>
      </c>
      <c r="J32" s="10">
        <f t="shared" si="3"/>
        <v>34551769292.375832</v>
      </c>
      <c r="K32" s="11">
        <f t="shared" si="4"/>
        <v>4.3534310000000076E-2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17691285.938684765</v>
      </c>
      <c r="D33" s="13">
        <v>1.0200000000000001E-2</v>
      </c>
      <c r="E33" s="10">
        <f t="shared" si="2"/>
        <v>178629.09975706413</v>
      </c>
      <c r="F33" s="3"/>
      <c r="G33" s="29">
        <v>8.7899999999999991</v>
      </c>
      <c r="H33" s="29"/>
      <c r="I33" s="10">
        <f t="shared" si="5"/>
        <v>1871.5617323179431</v>
      </c>
      <c r="J33" s="10">
        <f t="shared" si="3"/>
        <v>33110333758.336926</v>
      </c>
      <c r="K33" s="11">
        <f t="shared" si="4"/>
        <v>9.8996580000000112E-2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17512656.838927701</v>
      </c>
      <c r="D34" s="12">
        <v>1.04E-2</v>
      </c>
      <c r="E34" s="10">
        <f t="shared" si="2"/>
        <v>180256.95875380933</v>
      </c>
      <c r="F34" s="3"/>
      <c r="G34" s="29">
        <v>7.25</v>
      </c>
      <c r="H34" s="29"/>
      <c r="I34" s="10">
        <f t="shared" si="5"/>
        <v>1720.3435355436557</v>
      </c>
      <c r="J34" s="10">
        <f t="shared" ref="J34:J65" si="6">IF(I34="","",I34*C34)</f>
        <v>30127785983.043663</v>
      </c>
      <c r="K34" s="11">
        <f t="shared" ref="K34:K65" si="7">IFERROR(J34/J35-1,"")</f>
        <v>9.6789199999999909E-2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17332399.880173892</v>
      </c>
      <c r="D35" s="11">
        <v>9.9000000000000008E-3</v>
      </c>
      <c r="E35" s="10">
        <f t="shared" si="2"/>
        <v>169908.66304953024</v>
      </c>
      <c r="F35" s="3"/>
      <c r="G35" s="29">
        <v>4.4</v>
      </c>
      <c r="H35" s="29"/>
      <c r="I35" s="10">
        <f t="shared" ref="I35:I66" si="8">IF(H35&lt;&gt;"",H35,I34/(1+IF(G34="",0,G34)/100))</f>
        <v>1584.839737949015</v>
      </c>
      <c r="J35" s="10">
        <f t="shared" si="6"/>
        <v>27469076084.12233</v>
      </c>
      <c r="K35" s="11">
        <f t="shared" si="7"/>
        <v>8.1602899999999812E-2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17162491.217124362</v>
      </c>
      <c r="D36" s="11">
        <v>9.9000000000000008E-3</v>
      </c>
      <c r="E36" s="10">
        <f t="shared" si="2"/>
        <v>168243.05678733811</v>
      </c>
      <c r="F36" s="3"/>
      <c r="G36" s="29">
        <v>6.02</v>
      </c>
      <c r="H36" s="29"/>
      <c r="I36" s="10">
        <f t="shared" si="8"/>
        <v>1479.7756656853549</v>
      </c>
      <c r="J36" s="10">
        <f t="shared" si="6"/>
        <v>25396636865.639259</v>
      </c>
      <c r="K36" s="11">
        <f t="shared" si="7"/>
        <v>0.11917118000000015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16994248.160337023</v>
      </c>
      <c r="D37" s="11">
        <v>9.7999999999999997E-3</v>
      </c>
      <c r="E37" s="10">
        <f t="shared" si="2"/>
        <v>164927.34400010109</v>
      </c>
      <c r="F37" s="3"/>
      <c r="G37" s="27">
        <v>-8.5</v>
      </c>
      <c r="H37" s="29"/>
      <c r="I37" s="10">
        <f t="shared" si="8"/>
        <v>1335.2965761463226</v>
      </c>
      <c r="J37" s="10">
        <f t="shared" si="6"/>
        <v>22692361382.67897</v>
      </c>
      <c r="K37" s="11">
        <f t="shared" si="7"/>
        <v>-2.2513600000000134E-2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16829320.816336922</v>
      </c>
      <c r="D38" s="11">
        <v>9.9000000000000008E-3</v>
      </c>
      <c r="E38" s="10">
        <f t="shared" si="2"/>
        <v>164977.00374466367</v>
      </c>
      <c r="F38" s="3"/>
      <c r="G38" s="27">
        <v>-4.5</v>
      </c>
      <c r="H38" s="29"/>
      <c r="I38" s="10">
        <f t="shared" si="8"/>
        <v>1379.4386117214078</v>
      </c>
      <c r="J38" s="10">
        <f t="shared" si="6"/>
        <v>23215014943.101994</v>
      </c>
      <c r="K38" s="11">
        <f t="shared" si="7"/>
        <v>1.8207999999999558E-3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16664343.812592259</v>
      </c>
      <c r="D39" s="11">
        <v>9.9000000000000008E-3</v>
      </c>
      <c r="E39" s="10">
        <f t="shared" si="2"/>
        <v>163359.74229593389</v>
      </c>
      <c r="F39" s="3"/>
      <c r="G39" s="27">
        <v>3.49</v>
      </c>
      <c r="H39" s="29"/>
      <c r="I39" s="10">
        <f t="shared" si="8"/>
        <v>1390.563116654645</v>
      </c>
      <c r="J39" s="10">
        <f t="shared" si="6"/>
        <v>23172821869.042839</v>
      </c>
      <c r="K39" s="11">
        <f t="shared" si="7"/>
        <v>4.514551E-2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16500984.070296325</v>
      </c>
      <c r="D40" s="11">
        <v>9.7999999999999997E-3</v>
      </c>
      <c r="E40" s="10">
        <f t="shared" si="2"/>
        <v>160140.26925025135</v>
      </c>
      <c r="F40" s="3"/>
      <c r="G40" s="29">
        <v>6.85</v>
      </c>
      <c r="H40" s="29"/>
      <c r="I40" s="10">
        <f t="shared" si="8"/>
        <v>1343.6690662427723</v>
      </c>
      <c r="J40" s="10">
        <f t="shared" si="6"/>
        <v>22171861857.821922</v>
      </c>
      <c r="K40" s="11">
        <f t="shared" si="7"/>
        <v>7.8971300000000078E-2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16340843.801046073</v>
      </c>
      <c r="D41" s="11">
        <v>1.23E-2</v>
      </c>
      <c r="E41" s="10">
        <f t="shared" si="2"/>
        <v>198550.21115565114</v>
      </c>
      <c r="F41" s="3"/>
      <c r="G41" s="27">
        <v>3.79</v>
      </c>
      <c r="H41" s="29"/>
      <c r="I41" s="10">
        <f t="shared" si="8"/>
        <v>1257.5283727120002</v>
      </c>
      <c r="J41" s="10">
        <f t="shared" si="6"/>
        <v>20549074713.870445</v>
      </c>
      <c r="K41" s="11">
        <f t="shared" si="7"/>
        <v>5.0666170000000177E-2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16142293.589890422</v>
      </c>
      <c r="D42" s="11">
        <v>1.47E-2</v>
      </c>
      <c r="E42" s="10">
        <f t="shared" si="2"/>
        <v>233854.06107360683</v>
      </c>
      <c r="F42" s="3"/>
      <c r="G42" s="27">
        <v>9.42</v>
      </c>
      <c r="H42" s="29"/>
      <c r="I42" s="10">
        <f t="shared" si="8"/>
        <v>1211.6084138279218</v>
      </c>
      <c r="J42" s="10">
        <f t="shared" si="6"/>
        <v>19558138731.991764</v>
      </c>
      <c r="K42" s="11">
        <f t="shared" si="7"/>
        <v>0.11028473999999999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15908439.528816815</v>
      </c>
      <c r="D43" s="11">
        <v>1.55E-2</v>
      </c>
      <c r="E43" s="10">
        <f t="shared" si="2"/>
        <v>242817.14691941068</v>
      </c>
      <c r="F43" s="3"/>
      <c r="G43" s="27">
        <v>3.94</v>
      </c>
      <c r="H43" s="29"/>
      <c r="I43" s="10">
        <f t="shared" si="8"/>
        <v>1107.3006889306541</v>
      </c>
      <c r="J43" s="10">
        <f t="shared" si="6"/>
        <v>17615426050.070511</v>
      </c>
      <c r="K43" s="11">
        <f t="shared" si="7"/>
        <v>5.5510700000000135E-2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15665622.381897405</v>
      </c>
      <c r="D44" s="11">
        <v>1.5599999999999999E-2</v>
      </c>
      <c r="E44" s="10">
        <f t="shared" si="2"/>
        <v>240629.88298306428</v>
      </c>
      <c r="F44" s="3"/>
      <c r="G44" s="29">
        <v>10.6</v>
      </c>
      <c r="H44" s="29"/>
      <c r="I44" s="10">
        <f t="shared" si="8"/>
        <v>1065.3268125174659</v>
      </c>
      <c r="J44" s="10">
        <f t="shared" si="6"/>
        <v>16689007558.209034</v>
      </c>
      <c r="K44" s="11">
        <f t="shared" si="7"/>
        <v>0.12325359999999996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15424992.498914341</v>
      </c>
      <c r="D45" s="11">
        <v>1.5599999999999999E-2</v>
      </c>
      <c r="E45" s="10">
        <f t="shared" si="2"/>
        <v>236933.71699789725</v>
      </c>
      <c r="F45" s="3"/>
      <c r="G45" s="29">
        <v>13.32</v>
      </c>
      <c r="H45" s="29"/>
      <c r="I45" s="10">
        <f t="shared" si="8"/>
        <v>963.22496610982444</v>
      </c>
      <c r="J45" s="10">
        <f t="shared" si="6"/>
        <v>14857737877.011063</v>
      </c>
      <c r="K45" s="11">
        <f t="shared" si="7"/>
        <v>0.15087792000000011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15188058.781916443</v>
      </c>
      <c r="D46" s="11">
        <v>1.52E-2</v>
      </c>
      <c r="E46" s="10">
        <f t="shared" si="2"/>
        <v>227401.98333838768</v>
      </c>
      <c r="F46" s="3"/>
      <c r="G46" s="29">
        <v>12.41</v>
      </c>
      <c r="H46" s="29"/>
      <c r="I46" s="10">
        <f t="shared" si="8"/>
        <v>850.00438237718356</v>
      </c>
      <c r="J46" s="10">
        <f t="shared" si="6"/>
        <v>12909916524.431246</v>
      </c>
      <c r="K46" s="11">
        <f t="shared" si="7"/>
        <v>0.14118632000000009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14960656.798578056</v>
      </c>
      <c r="D47" s="11">
        <v>1.52E-2</v>
      </c>
      <c r="E47" s="10">
        <f t="shared" si="2"/>
        <v>223997.22551062703</v>
      </c>
      <c r="F47" s="3"/>
      <c r="G47" s="29">
        <v>13.94</v>
      </c>
      <c r="H47" s="29"/>
      <c r="I47" s="10">
        <f t="shared" si="8"/>
        <v>756.16438250794727</v>
      </c>
      <c r="J47" s="10">
        <f t="shared" si="6"/>
        <v>11312715810.010099</v>
      </c>
      <c r="K47" s="11">
        <f t="shared" si="7"/>
        <v>0.15671888000000012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14736659.573067429</v>
      </c>
      <c r="D48" s="11">
        <v>1.5599999999999999E-2</v>
      </c>
      <c r="E48" s="10">
        <f t="shared" si="2"/>
        <v>226360.66299709864</v>
      </c>
      <c r="F48" s="3"/>
      <c r="G48" s="29">
        <v>33.83</v>
      </c>
      <c r="H48" s="29"/>
      <c r="I48" s="10">
        <f t="shared" si="8"/>
        <v>663.65138011931481</v>
      </c>
      <c r="J48" s="10">
        <f t="shared" si="6"/>
        <v>9780004464.0147114</v>
      </c>
      <c r="K48" s="11">
        <f t="shared" si="7"/>
        <v>0.35917748000000027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14510298.91007033</v>
      </c>
      <c r="D49" s="11">
        <v>1.6E-2</v>
      </c>
      <c r="E49" s="10">
        <f t="shared" si="2"/>
        <v>228508.64425307699</v>
      </c>
      <c r="F49" s="3"/>
      <c r="G49" s="29">
        <v>13.53</v>
      </c>
      <c r="H49" s="29"/>
      <c r="I49" s="10">
        <f t="shared" si="8"/>
        <v>495.89133984855022</v>
      </c>
      <c r="J49" s="10">
        <f t="shared" si="6"/>
        <v>7195531568.117734</v>
      </c>
      <c r="K49" s="11">
        <f t="shared" si="7"/>
        <v>0.15346480000000007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14281790.265817253</v>
      </c>
      <c r="D50" s="11">
        <v>1.6799999999999999E-2</v>
      </c>
      <c r="E50" s="10">
        <f t="shared" si="2"/>
        <v>235969.78409296647</v>
      </c>
      <c r="F50" s="3"/>
      <c r="G50" s="29">
        <v>12.51</v>
      </c>
      <c r="H50" s="29"/>
      <c r="I50" s="10">
        <f t="shared" si="8"/>
        <v>436.79321751832134</v>
      </c>
      <c r="J50" s="10">
        <f t="shared" si="6"/>
        <v>6238189122.1281595</v>
      </c>
      <c r="K50" s="11">
        <f t="shared" si="7"/>
        <v>0.14400167999999991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14045820.481724286</v>
      </c>
      <c r="D51" s="11">
        <v>1.7100000000000001E-2</v>
      </c>
      <c r="E51" s="10">
        <f t="shared" si="2"/>
        <v>236145.4431594573</v>
      </c>
      <c r="F51" s="3"/>
      <c r="G51" s="29">
        <v>10.18</v>
      </c>
      <c r="H51" s="29"/>
      <c r="I51" s="10">
        <f t="shared" si="8"/>
        <v>388.22612880483632</v>
      </c>
      <c r="J51" s="10">
        <f t="shared" si="6"/>
        <v>5452954511.5075006</v>
      </c>
      <c r="K51" s="11">
        <f t="shared" si="7"/>
        <v>0.12064077999999978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13809675.038564829</v>
      </c>
      <c r="D52" s="11">
        <v>1.77E-2</v>
      </c>
      <c r="E52" s="10">
        <f t="shared" si="2"/>
        <v>240180.06110110879</v>
      </c>
      <c r="F52" s="3"/>
      <c r="G52" s="27">
        <v>4.3499999999999996</v>
      </c>
      <c r="H52" s="29"/>
      <c r="I52" s="10">
        <f t="shared" si="8"/>
        <v>352.35626139484151</v>
      </c>
      <c r="J52" s="10">
        <f t="shared" si="6"/>
        <v>4865925467.6663666</v>
      </c>
      <c r="K52" s="11">
        <f t="shared" si="7"/>
        <v>6.1969950000000162E-2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13569494.97746372</v>
      </c>
      <c r="D53" s="11">
        <v>1.8800000000000001E-2</v>
      </c>
      <c r="E53" s="10">
        <f t="shared" si="2"/>
        <v>250399.0042955596</v>
      </c>
      <c r="F53" s="3"/>
      <c r="G53" s="27">
        <v>4.5</v>
      </c>
      <c r="H53" s="29"/>
      <c r="I53" s="10">
        <f t="shared" si="8"/>
        <v>337.66771575931142</v>
      </c>
      <c r="J53" s="10">
        <f t="shared" si="6"/>
        <v>4581980373.0476236</v>
      </c>
      <c r="K53" s="11">
        <f t="shared" si="7"/>
        <v>6.4645999999999981E-2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13319095.973168161</v>
      </c>
      <c r="D54" s="11">
        <v>1.9699999999999999E-2</v>
      </c>
      <c r="E54" s="10">
        <f t="shared" si="2"/>
        <v>257317.04488713667</v>
      </c>
      <c r="F54" s="3"/>
      <c r="G54" s="29">
        <v>10.039999999999999</v>
      </c>
      <c r="H54" s="29"/>
      <c r="I54" s="10">
        <f t="shared" si="8"/>
        <v>323.1270007266138</v>
      </c>
      <c r="J54" s="10">
        <f t="shared" si="6"/>
        <v>4303759534.1997471</v>
      </c>
      <c r="K54" s="11">
        <f t="shared" si="7"/>
        <v>0.12207787999999997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13061778.928281024</v>
      </c>
      <c r="D55" s="11">
        <v>2.18E-2</v>
      </c>
      <c r="E55" s="10">
        <f t="shared" si="2"/>
        <v>278671.73677483574</v>
      </c>
      <c r="F55" s="3"/>
      <c r="G55" s="29">
        <v>7.55</v>
      </c>
      <c r="H55" s="29"/>
      <c r="I55" s="10">
        <f t="shared" si="8"/>
        <v>293.64503882825682</v>
      </c>
      <c r="J55" s="10">
        <f t="shared" si="6"/>
        <v>3835526580.5611882</v>
      </c>
      <c r="K55" s="11">
        <f t="shared" si="7"/>
        <v>9.894589999999992E-2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12783107.191506188</v>
      </c>
      <c r="D56" s="11">
        <v>2.2599999999999999E-2</v>
      </c>
      <c r="E56" s="10">
        <f t="shared" si="2"/>
        <v>282513.41925292276</v>
      </c>
      <c r="F56" s="3"/>
      <c r="G56" s="29">
        <v>8.14</v>
      </c>
      <c r="H56" s="29"/>
      <c r="I56" s="10">
        <f t="shared" si="8"/>
        <v>273.03118440563168</v>
      </c>
      <c r="J56" s="10">
        <f t="shared" si="6"/>
        <v>3490186896.8810825</v>
      </c>
      <c r="K56" s="11">
        <f t="shared" si="7"/>
        <v>0.1058396399999999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12500593.772253266</v>
      </c>
      <c r="D57" s="11">
        <v>2.3199999999999998E-2</v>
      </c>
      <c r="E57" s="10">
        <f t="shared" si="2"/>
        <v>283438.01360074058</v>
      </c>
      <c r="F57" s="3"/>
      <c r="G57" s="30">
        <v>10.94</v>
      </c>
      <c r="H57" s="29"/>
      <c r="I57" s="10">
        <f t="shared" si="8"/>
        <v>252.47936416278131</v>
      </c>
      <c r="J57" s="10">
        <f t="shared" si="6"/>
        <v>3156141967.2757282</v>
      </c>
      <c r="K57" s="11">
        <f t="shared" si="7"/>
        <v>0.13513808000000016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12217155.758652525</v>
      </c>
      <c r="D58" s="11">
        <v>2.3400000000000001E-2</v>
      </c>
      <c r="E58" s="10">
        <f t="shared" si="2"/>
        <v>279344.77697134018</v>
      </c>
      <c r="F58" s="3"/>
      <c r="G58" s="30">
        <v>17.53</v>
      </c>
      <c r="H58" s="29"/>
      <c r="I58" s="10">
        <f t="shared" si="8"/>
        <v>227.58190387847606</v>
      </c>
      <c r="J58" s="10">
        <f t="shared" si="6"/>
        <v>2780403567.534029</v>
      </c>
      <c r="K58" s="11">
        <f t="shared" si="7"/>
        <v>0.20280202000000003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11937810.981681185</v>
      </c>
      <c r="D59" s="11">
        <v>2.5100000000000001E-2</v>
      </c>
      <c r="E59" s="10">
        <f t="shared" si="2"/>
        <v>292302.26869592816</v>
      </c>
      <c r="F59" s="3"/>
      <c r="G59" s="30">
        <v>5.26</v>
      </c>
      <c r="H59" s="29"/>
      <c r="I59" s="10">
        <f t="shared" si="8"/>
        <v>193.63728739766532</v>
      </c>
      <c r="J59" s="10">
        <f t="shared" si="6"/>
        <v>2311605335.9588046</v>
      </c>
      <c r="K59" s="11">
        <f t="shared" si="7"/>
        <v>7.902025999999962E-2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11645508.712985257</v>
      </c>
      <c r="D60" s="11">
        <v>2.5399999999999999E-2</v>
      </c>
      <c r="E60" s="10">
        <f t="shared" si="2"/>
        <v>288468.81344824098</v>
      </c>
      <c r="F60" s="3"/>
      <c r="G60" s="30">
        <v>-6.52</v>
      </c>
      <c r="H60" s="29"/>
      <c r="I60" s="10">
        <f t="shared" si="8"/>
        <v>183.96094185603775</v>
      </c>
      <c r="J60" s="10">
        <f t="shared" si="6"/>
        <v>2142318751.2334619</v>
      </c>
      <c r="K60" s="11">
        <f t="shared" si="7"/>
        <v>-4.1456079999999895E-2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11357039.899537016</v>
      </c>
      <c r="D61" s="11">
        <v>2.6200000000000001E-2</v>
      </c>
      <c r="E61" s="10">
        <f t="shared" si="2"/>
        <v>289957.55736490898</v>
      </c>
      <c r="F61" s="3"/>
      <c r="G61" s="27">
        <v>-4.8</v>
      </c>
      <c r="H61" s="29"/>
      <c r="I61" s="10">
        <f t="shared" si="8"/>
        <v>196.79176492943705</v>
      </c>
      <c r="J61" s="10">
        <f t="shared" si="6"/>
        <v>2234971926.2039256</v>
      </c>
      <c r="K61" s="11">
        <f t="shared" si="7"/>
        <v>-2.3057600000000011E-2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11067082.342172107</v>
      </c>
      <c r="D62" s="11">
        <v>2.7799999999999998E-2</v>
      </c>
      <c r="E62" s="10">
        <f t="shared" si="2"/>
        <v>299343.14955476299</v>
      </c>
      <c r="F62" s="3"/>
      <c r="G62" s="27">
        <v>-4.5</v>
      </c>
      <c r="H62" s="29"/>
      <c r="I62" s="10">
        <f t="shared" si="8"/>
        <v>206.71403879142548</v>
      </c>
      <c r="J62" s="10">
        <f t="shared" si="6"/>
        <v>2287721288.5876646</v>
      </c>
      <c r="K62" s="11">
        <f t="shared" si="7"/>
        <v>-1.8451000000000106E-2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10767739.192617344</v>
      </c>
      <c r="D63" s="11">
        <v>2.86E-2</v>
      </c>
      <c r="E63" s="10">
        <f t="shared" si="2"/>
        <v>299394.65380989201</v>
      </c>
      <c r="F63" s="3"/>
      <c r="G63" s="27">
        <v>-3</v>
      </c>
      <c r="H63" s="29"/>
      <c r="I63" s="10">
        <f t="shared" si="8"/>
        <v>216.45449088107381</v>
      </c>
      <c r="J63" s="10">
        <f t="shared" si="6"/>
        <v>2330725504.8781719</v>
      </c>
      <c r="K63" s="11">
        <f t="shared" si="7"/>
        <v>-2.2580000000000933E-3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10468344.538807452</v>
      </c>
      <c r="D64" s="11">
        <v>2.9700000000000001E-2</v>
      </c>
      <c r="E64" s="10">
        <f t="shared" si="2"/>
        <v>301942.15092025138</v>
      </c>
      <c r="F64" s="3"/>
      <c r="G64" s="27">
        <v>-1.2</v>
      </c>
      <c r="H64" s="29"/>
      <c r="I64" s="10">
        <f t="shared" si="8"/>
        <v>223.14895967121012</v>
      </c>
      <c r="J64" s="10">
        <f t="shared" si="6"/>
        <v>2336000193.3146768</v>
      </c>
      <c r="K64" s="11">
        <f t="shared" si="7"/>
        <v>1.7343600000000015E-2</v>
      </c>
      <c r="L64" t="s">
        <v>104</v>
      </c>
      <c r="M64" t="s">
        <v>105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10166402.3878872</v>
      </c>
      <c r="D65" s="11">
        <v>3.0839999999999999E-2</v>
      </c>
      <c r="E65" s="10">
        <f t="shared" si="2"/>
        <v>304151.80788720027</v>
      </c>
      <c r="F65" s="3"/>
      <c r="G65" s="27">
        <v>4.42</v>
      </c>
      <c r="H65" s="29"/>
      <c r="I65" s="10">
        <f t="shared" si="8"/>
        <v>225.85927092227746</v>
      </c>
      <c r="J65" s="10">
        <f t="shared" si="6"/>
        <v>2296176231.2307038</v>
      </c>
      <c r="K65" s="11">
        <f t="shared" si="7"/>
        <v>7.6403128000000153E-2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9862250.5800000001</v>
      </c>
      <c r="D66" s="11">
        <v>3.1940000000000003E-2</v>
      </c>
      <c r="E66" s="10">
        <f t="shared" si="2"/>
        <v>305250.58000000007</v>
      </c>
      <c r="F66" s="3"/>
      <c r="G66" s="27">
        <v>4.33</v>
      </c>
      <c r="H66" s="29"/>
      <c r="I66" s="10">
        <f t="shared" si="8"/>
        <v>216.29886125481465</v>
      </c>
      <c r="J66" s="10">
        <f t="shared" ref="J66:J97" si="9">IF(I66="","",I66*C66)</f>
        <v>2133193569.8636353</v>
      </c>
      <c r="K66" s="11">
        <f t="shared" ref="K66:K97" si="10">IFERROR(J66/J67-1,"")</f>
        <v>7.6623001999999829E-2</v>
      </c>
    </row>
    <row r="67" spans="1:11" ht="22.5" customHeight="1">
      <c r="A67" s="3">
        <f t="shared" si="0"/>
        <v>1950</v>
      </c>
      <c r="B67" s="3">
        <v>1700</v>
      </c>
      <c r="C67" s="10">
        <v>9557000</v>
      </c>
      <c r="D67" s="11">
        <v>3.304E-2</v>
      </c>
      <c r="E67" s="3" t="s">
        <v>72</v>
      </c>
      <c r="F67" s="3"/>
      <c r="G67" s="27">
        <v>4.8499999999999996</v>
      </c>
      <c r="H67" s="29"/>
      <c r="I67" s="10">
        <f t="shared" ref="I67:I98" si="11">IF(H67&lt;&gt;"",H67,I66/(1+IF(G66="",0,G66)/100))</f>
        <v>207.32182618117002</v>
      </c>
      <c r="J67" s="10">
        <f t="shared" si="9"/>
        <v>1981374692.813442</v>
      </c>
      <c r="K67" s="11"/>
    </row>
    <row r="68" spans="1:11" ht="15.75" customHeight="1">
      <c r="H68" s="29"/>
    </row>
    <row r="69" spans="1:11" ht="15.75" customHeight="1">
      <c r="H69" s="29"/>
    </row>
    <row r="70" spans="1:11" ht="15.75" customHeight="1">
      <c r="H70" s="29"/>
    </row>
    <row r="71" spans="1:11" ht="15.75" customHeight="1">
      <c r="H71" s="29"/>
    </row>
    <row r="72" spans="1:11" ht="15.75" customHeight="1">
      <c r="H72" s="29"/>
    </row>
  </sheetData>
  <dataValidations count="1">
    <dataValidation type="custom" allowBlank="1" showDropDown="1" sqref="D2:D67" xr:uid="{00000000-0002-0000-0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68"/>
  <sheetViews>
    <sheetView topLeftCell="A31" workbookViewId="0">
      <selection activeCell="J62" sqref="J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2239038.8372365632</v>
      </c>
      <c r="D2" s="11">
        <v>7.1000000000000004E-3</v>
      </c>
      <c r="E2" s="10">
        <f t="shared" ref="E2:E66" si="2">SUM(C2-C3)</f>
        <v>15785.101523562334</v>
      </c>
      <c r="F2" s="14">
        <v>2236563</v>
      </c>
      <c r="G2" s="26">
        <v>10.46</v>
      </c>
      <c r="H2" s="10"/>
      <c r="I2" s="10">
        <f>IF(H2&lt;&gt;"",H2,15336)</f>
        <v>1917</v>
      </c>
      <c r="J2" s="10">
        <f t="shared" ref="J2:J33" si="3">IF(I2="","",I2*C2)</f>
        <v>4292237450.9824915</v>
      </c>
      <c r="K2" s="11">
        <f t="shared" ref="K2:K33" si="4">IFERROR(J2/J3-1,"")</f>
        <v>0.11244265999999992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2223253.7357130009</v>
      </c>
      <c r="D3" s="11">
        <v>5.4999999999999997E-3</v>
      </c>
      <c r="E3" s="10">
        <f t="shared" si="2"/>
        <v>12161.009991468396</v>
      </c>
      <c r="F3" s="3"/>
      <c r="G3" s="26">
        <v>8.98</v>
      </c>
      <c r="H3" s="10"/>
      <c r="I3" s="10">
        <f t="shared" ref="I3:I34" si="5">IF(H3&lt;&gt;"",H3,I2/(1+IF(G2="",0,G2)/100))</f>
        <v>1735.4698533405758</v>
      </c>
      <c r="J3" s="10">
        <f t="shared" si="3"/>
        <v>3858389834.6567287</v>
      </c>
      <c r="K3" s="11">
        <f t="shared" si="4"/>
        <v>9.5793900000000098E-2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2211092.7257215325</v>
      </c>
      <c r="D4" s="11">
        <v>4.1999999999999997E-3</v>
      </c>
      <c r="E4" s="10">
        <f t="shared" si="2"/>
        <v>9247.7489026393741</v>
      </c>
      <c r="F4" s="3"/>
      <c r="G4" s="26">
        <v>10.96</v>
      </c>
      <c r="H4" s="10"/>
      <c r="I4" s="10">
        <f t="shared" si="5"/>
        <v>1592.4663730414532</v>
      </c>
      <c r="J4" s="10">
        <f t="shared" si="3"/>
        <v>3521090813.3881092</v>
      </c>
      <c r="K4" s="11">
        <f t="shared" si="4"/>
        <v>0.11426031999999986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2201844.9768188931</v>
      </c>
      <c r="D5" s="11">
        <v>3.8E-3</v>
      </c>
      <c r="E5" s="10">
        <f t="shared" si="2"/>
        <v>8335.3366327076219</v>
      </c>
      <c r="F5" s="3"/>
      <c r="G5" s="26">
        <v>6.69</v>
      </c>
      <c r="H5" s="10"/>
      <c r="I5" s="10">
        <f t="shared" si="5"/>
        <v>1435.1715690712449</v>
      </c>
      <c r="J5" s="10">
        <f t="shared" si="3"/>
        <v>3160025310.2328095</v>
      </c>
      <c r="K5" s="11">
        <f t="shared" si="4"/>
        <v>7.0954219999999957E-2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2193509.6401861855</v>
      </c>
      <c r="D6" s="11">
        <v>4.1000000000000003E-3</v>
      </c>
      <c r="E6" s="10">
        <f t="shared" si="2"/>
        <v>8956.6671892874874</v>
      </c>
      <c r="F6" s="3"/>
      <c r="G6" s="26">
        <v>6.69</v>
      </c>
      <c r="H6" s="10"/>
      <c r="I6" s="10">
        <f t="shared" si="5"/>
        <v>1345.1790880787748</v>
      </c>
      <c r="J6" s="10">
        <f t="shared" si="3"/>
        <v>2950663297.4776545</v>
      </c>
      <c r="K6" s="11">
        <f t="shared" si="4"/>
        <v>7.1274289999999851E-2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2184552.972996898</v>
      </c>
      <c r="D7" s="11">
        <v>4.4000000000000003E-3</v>
      </c>
      <c r="E7" s="10">
        <f t="shared" si="2"/>
        <v>9569.9254093850031</v>
      </c>
      <c r="F7" s="3"/>
      <c r="G7" s="26">
        <v>6.69</v>
      </c>
      <c r="H7" s="10"/>
      <c r="I7" s="10">
        <f t="shared" si="5"/>
        <v>1260.829588601345</v>
      </c>
      <c r="J7" s="10">
        <f t="shared" si="3"/>
        <v>2754349026.2215242</v>
      </c>
      <c r="K7" s="11">
        <f t="shared" si="4"/>
        <v>7.1594359999999968E-2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2174983.047587513</v>
      </c>
      <c r="D8" s="11">
        <v>5.4000000000000003E-3</v>
      </c>
      <c r="E8" s="10">
        <f t="shared" si="2"/>
        <v>11681.826593368314</v>
      </c>
      <c r="F8" s="3"/>
      <c r="G8" s="26">
        <v>6.69</v>
      </c>
      <c r="H8" s="10"/>
      <c r="I8" s="10">
        <f t="shared" si="5"/>
        <v>1181.7692272952902</v>
      </c>
      <c r="J8" s="10">
        <f t="shared" si="3"/>
        <v>2570328035.5278506</v>
      </c>
      <c r="K8" s="11">
        <f t="shared" si="4"/>
        <v>7.2661259999999839E-2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2163301.2209941447</v>
      </c>
      <c r="D9" s="11">
        <v>5.8999999999999999E-3</v>
      </c>
      <c r="E9" s="10">
        <f t="shared" si="2"/>
        <v>12688.614379029255</v>
      </c>
      <c r="F9" s="3"/>
      <c r="G9" s="26">
        <v>6.69</v>
      </c>
      <c r="H9" s="10"/>
      <c r="I9" s="10">
        <f t="shared" si="5"/>
        <v>1107.6663485755837</v>
      </c>
      <c r="J9" s="10">
        <f t="shared" si="3"/>
        <v>2396215964.3276863</v>
      </c>
      <c r="K9" s="11">
        <f t="shared" si="4"/>
        <v>7.3194709999999885E-2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2150612.6066151154</v>
      </c>
      <c r="D10" s="11">
        <v>4.4000000000000003E-3</v>
      </c>
      <c r="E10" s="10">
        <f t="shared" si="2"/>
        <v>9421.2420042874292</v>
      </c>
      <c r="F10" s="3"/>
      <c r="G10" s="26">
        <v>6.69</v>
      </c>
      <c r="H10" s="10"/>
      <c r="I10" s="10">
        <f t="shared" si="5"/>
        <v>1038.2100933316935</v>
      </c>
      <c r="J10" s="10">
        <f t="shared" si="3"/>
        <v>2232787715.0341959</v>
      </c>
      <c r="K10" s="11">
        <f t="shared" si="4"/>
        <v>7.1594359999999968E-2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2141191.364610828</v>
      </c>
      <c r="D11" s="11">
        <v>3.3E-3</v>
      </c>
      <c r="E11" s="10">
        <f t="shared" si="2"/>
        <v>7042.6906241560355</v>
      </c>
      <c r="F11" s="3"/>
      <c r="G11" s="26">
        <v>6.49</v>
      </c>
      <c r="H11" s="10"/>
      <c r="I11" s="10">
        <f t="shared" si="5"/>
        <v>973.10909488395691</v>
      </c>
      <c r="J11" s="10">
        <f t="shared" si="3"/>
        <v>2083612790.7897873</v>
      </c>
      <c r="K11" s="11">
        <f t="shared" si="4"/>
        <v>6.8414170000000052E-2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2134148.673986672</v>
      </c>
      <c r="D12" s="11">
        <v>2.8E-3</v>
      </c>
      <c r="E12" s="10">
        <f t="shared" si="2"/>
        <v>5958.9312795796432</v>
      </c>
      <c r="F12" s="3"/>
      <c r="G12" s="26">
        <v>7.11</v>
      </c>
      <c r="H12" s="10"/>
      <c r="I12" s="10">
        <f t="shared" si="5"/>
        <v>913.80326310823261</v>
      </c>
      <c r="J12" s="10">
        <f t="shared" si="3"/>
        <v>1950192022.2471285</v>
      </c>
      <c r="K12" s="11">
        <f t="shared" si="4"/>
        <v>7.4099079999999651E-2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2128189.7427070923</v>
      </c>
      <c r="D13" s="11">
        <v>2.5999999999999999E-3</v>
      </c>
      <c r="E13" s="10">
        <f t="shared" si="2"/>
        <v>5518.9440764393657</v>
      </c>
      <c r="F13" s="3"/>
      <c r="G13" s="26">
        <v>7.11</v>
      </c>
      <c r="H13" s="10"/>
      <c r="I13" s="10">
        <f t="shared" si="5"/>
        <v>853.14467660184175</v>
      </c>
      <c r="J13" s="10">
        <f t="shared" si="3"/>
        <v>1815653749.7891991</v>
      </c>
      <c r="K13" s="11">
        <f t="shared" si="4"/>
        <v>7.3884859999999719E-2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2122670.7986306529</v>
      </c>
      <c r="D14" s="11">
        <v>2.7000000000000001E-3</v>
      </c>
      <c r="E14" s="10">
        <f t="shared" si="2"/>
        <v>5715.7785542062484</v>
      </c>
      <c r="F14" s="3"/>
      <c r="G14" s="26">
        <v>7.63</v>
      </c>
      <c r="H14" s="10"/>
      <c r="I14" s="10">
        <f t="shared" si="5"/>
        <v>796.5126287011874</v>
      </c>
      <c r="J14" s="10">
        <f t="shared" si="3"/>
        <v>1690734097.6845503</v>
      </c>
      <c r="K14" s="11">
        <f t="shared" si="4"/>
        <v>7.9206010000000049E-2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2116955.0200764467</v>
      </c>
      <c r="D15" s="11">
        <v>3.2000000000000002E-3</v>
      </c>
      <c r="E15" s="10">
        <f t="shared" si="2"/>
        <v>6752.6475919503719</v>
      </c>
      <c r="F15" s="3"/>
      <c r="G15" s="26">
        <v>3.63</v>
      </c>
      <c r="H15" s="10"/>
      <c r="I15" s="10">
        <f t="shared" si="5"/>
        <v>740.0470395811459</v>
      </c>
      <c r="J15" s="10">
        <f t="shared" si="3"/>
        <v>1566646295.5340197</v>
      </c>
      <c r="K15" s="11">
        <f t="shared" si="4"/>
        <v>3.9616160000000011E-2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2110202.3724844963</v>
      </c>
      <c r="D16" s="11">
        <v>3.5999999999999999E-3</v>
      </c>
      <c r="E16" s="10">
        <f t="shared" si="2"/>
        <v>7569.4784186370671</v>
      </c>
      <c r="F16" s="3"/>
      <c r="G16" s="26">
        <v>2.11</v>
      </c>
      <c r="H16" s="10"/>
      <c r="I16" s="10">
        <f t="shared" si="5"/>
        <v>714.12432652817324</v>
      </c>
      <c r="J16" s="10">
        <f t="shared" si="3"/>
        <v>1506946848.0886443</v>
      </c>
      <c r="K16" s="11">
        <f t="shared" si="4"/>
        <v>2.477595999999993E-2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2102632.8940658593</v>
      </c>
      <c r="D17" s="11">
        <v>3.3E-3</v>
      </c>
      <c r="E17" s="10">
        <f t="shared" si="2"/>
        <v>6915.8661919839215</v>
      </c>
      <c r="F17" s="3"/>
      <c r="G17" s="26">
        <v>-17.850000000000001</v>
      </c>
      <c r="H17" s="10"/>
      <c r="I17" s="10">
        <f t="shared" si="5"/>
        <v>699.36766871821885</v>
      </c>
      <c r="J17" s="10">
        <f t="shared" si="3"/>
        <v>1470513465.2930815</v>
      </c>
      <c r="K17" s="11">
        <f t="shared" si="4"/>
        <v>-0.17578905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2095717.0278738753</v>
      </c>
      <c r="D18" s="11">
        <v>3.3E-3</v>
      </c>
      <c r="E18" s="10">
        <f t="shared" si="2"/>
        <v>6893.1188996152487</v>
      </c>
      <c r="F18" s="3"/>
      <c r="G18" s="26">
        <v>7.32</v>
      </c>
      <c r="H18" s="10"/>
      <c r="I18" s="10">
        <f t="shared" si="5"/>
        <v>851.3300897361155</v>
      </c>
      <c r="J18" s="10">
        <f t="shared" si="3"/>
        <v>1784146965.4013715</v>
      </c>
      <c r="K18" s="11">
        <f t="shared" si="4"/>
        <v>7.6741559999999875E-2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2088823.9089742601</v>
      </c>
      <c r="D19" s="11">
        <v>3.5999999999999999E-3</v>
      </c>
      <c r="E19" s="10">
        <f t="shared" si="2"/>
        <v>7492.7920210317243</v>
      </c>
      <c r="F19" s="3"/>
      <c r="G19" s="26">
        <v>6.59</v>
      </c>
      <c r="H19" s="10"/>
      <c r="I19" s="10">
        <f t="shared" si="5"/>
        <v>793.2632218935106</v>
      </c>
      <c r="J19" s="10">
        <f t="shared" si="3"/>
        <v>1656987184.0011187</v>
      </c>
      <c r="K19" s="11">
        <f t="shared" si="4"/>
        <v>6.9737240000000034E-2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2081331.1169532284</v>
      </c>
      <c r="D20" s="11">
        <v>4.1999999999999997E-3</v>
      </c>
      <c r="E20" s="10">
        <f t="shared" si="2"/>
        <v>8705.0295670221094</v>
      </c>
      <c r="F20" s="3"/>
      <c r="G20" s="26">
        <v>1.18</v>
      </c>
      <c r="H20" s="10"/>
      <c r="I20" s="10">
        <f t="shared" si="5"/>
        <v>744.21917805939631</v>
      </c>
      <c r="J20" s="10">
        <f t="shared" si="3"/>
        <v>1548966533.128377</v>
      </c>
      <c r="K20" s="11">
        <f t="shared" si="4"/>
        <v>1.6049560000000129E-2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2072626.0873862063</v>
      </c>
      <c r="D21" s="11">
        <v>5.7000000000000002E-3</v>
      </c>
      <c r="E21" s="10">
        <f t="shared" si="2"/>
        <v>11747.01073690108</v>
      </c>
      <c r="F21" s="3"/>
      <c r="G21" s="26">
        <v>2.95</v>
      </c>
      <c r="H21" s="10"/>
      <c r="I21" s="10">
        <f t="shared" si="5"/>
        <v>735.53980832120601</v>
      </c>
      <c r="J21" s="10">
        <f t="shared" si="3"/>
        <v>1524498995.0375814</v>
      </c>
      <c r="K21" s="11">
        <f t="shared" si="4"/>
        <v>3.5368150000000265E-2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2060879.0766493052</v>
      </c>
      <c r="D22" s="11">
        <v>5.1999999999999998E-3</v>
      </c>
      <c r="E22" s="10">
        <f t="shared" si="2"/>
        <v>10661.133305388503</v>
      </c>
      <c r="F22" s="3"/>
      <c r="G22" s="26">
        <v>3.99</v>
      </c>
      <c r="H22" s="10"/>
      <c r="I22" s="10">
        <f t="shared" si="5"/>
        <v>714.46314552812623</v>
      </c>
      <c r="J22" s="10">
        <f t="shared" si="3"/>
        <v>1472422147.6559629</v>
      </c>
      <c r="K22" s="11">
        <f t="shared" si="4"/>
        <v>4.5307480000000178E-2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2050217.9433439167</v>
      </c>
      <c r="D23" s="11">
        <v>3.3999999999999998E-3</v>
      </c>
      <c r="E23" s="10">
        <f t="shared" si="2"/>
        <v>6947.1207966608927</v>
      </c>
      <c r="F23" s="3"/>
      <c r="G23" s="26">
        <v>7.63</v>
      </c>
      <c r="H23" s="10"/>
      <c r="I23" s="10">
        <f t="shared" si="5"/>
        <v>687.04985626322355</v>
      </c>
      <c r="J23" s="10">
        <f t="shared" si="3"/>
        <v>1408601943.2827199</v>
      </c>
      <c r="K23" s="11">
        <f t="shared" si="4"/>
        <v>7.9959420000000225E-2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2043270.8225472558</v>
      </c>
      <c r="D24" s="11">
        <v>3.3E-3</v>
      </c>
      <c r="E24" s="10">
        <f t="shared" si="2"/>
        <v>6720.6156826533843</v>
      </c>
      <c r="F24" s="3"/>
      <c r="G24" s="26">
        <v>3.99</v>
      </c>
      <c r="H24" s="10"/>
      <c r="I24" s="10">
        <f t="shared" si="5"/>
        <v>638.34419424251928</v>
      </c>
      <c r="J24" s="10">
        <f t="shared" si="3"/>
        <v>1304310066.8381777</v>
      </c>
      <c r="K24" s="11">
        <f t="shared" si="4"/>
        <v>4.3331670000000377E-2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2036550.2068646024</v>
      </c>
      <c r="D25" s="11">
        <v>3.3E-3</v>
      </c>
      <c r="E25" s="10">
        <f t="shared" si="2"/>
        <v>6698.5105976809282</v>
      </c>
      <c r="F25" s="3"/>
      <c r="G25" s="26">
        <v>2.95</v>
      </c>
      <c r="H25" s="10"/>
      <c r="I25" s="10">
        <f t="shared" si="5"/>
        <v>613.85151864844624</v>
      </c>
      <c r="J25" s="10">
        <f t="shared" si="3"/>
        <v>1250139437.2876434</v>
      </c>
      <c r="K25" s="11">
        <f t="shared" si="4"/>
        <v>3.2897350000000047E-2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2029851.6962669215</v>
      </c>
      <c r="D26" s="11">
        <v>2.5999999999999999E-3</v>
      </c>
      <c r="E26" s="10">
        <f t="shared" si="2"/>
        <v>5263.9281969817821</v>
      </c>
      <c r="F26" s="3"/>
      <c r="G26" s="26">
        <v>2.95</v>
      </c>
      <c r="H26" s="10"/>
      <c r="I26" s="10">
        <f t="shared" si="5"/>
        <v>596.26179567600411</v>
      </c>
      <c r="J26" s="10">
        <f t="shared" si="3"/>
        <v>1210323017.3720975</v>
      </c>
      <c r="K26" s="11">
        <f t="shared" si="4"/>
        <v>3.2176700000000169E-2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2024587.7680699397</v>
      </c>
      <c r="D27" s="11">
        <v>1.6000000000000001E-3</v>
      </c>
      <c r="E27" s="10">
        <f t="shared" si="2"/>
        <v>3234.1657636901364</v>
      </c>
      <c r="F27" s="3"/>
      <c r="G27" s="26">
        <v>-8.49</v>
      </c>
      <c r="H27" s="10"/>
      <c r="I27" s="10">
        <f t="shared" si="5"/>
        <v>579.17610070520061</v>
      </c>
      <c r="J27" s="10">
        <f t="shared" si="3"/>
        <v>1172592849.0461926</v>
      </c>
      <c r="K27" s="11">
        <f t="shared" si="4"/>
        <v>-8.3435839999999928E-2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2021353.6023062496</v>
      </c>
      <c r="D28" s="11">
        <v>5.9999999999999995E-4</v>
      </c>
      <c r="E28" s="10">
        <f t="shared" si="2"/>
        <v>1212.0849104374647</v>
      </c>
      <c r="F28" s="3"/>
      <c r="G28" s="26">
        <v>3.81</v>
      </c>
      <c r="H28" s="10"/>
      <c r="I28" s="10">
        <f t="shared" si="5"/>
        <v>632.91017452212941</v>
      </c>
      <c r="J28" s="10">
        <f t="shared" si="3"/>
        <v>1279335261.2065833</v>
      </c>
      <c r="K28" s="11">
        <f t="shared" si="4"/>
        <v>3.8722860000000026E-2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2020141.5173958121</v>
      </c>
      <c r="D29" s="11">
        <v>5.0000000000000001E-4</v>
      </c>
      <c r="E29" s="10">
        <f t="shared" si="2"/>
        <v>1009.5659757100511</v>
      </c>
      <c r="F29" s="3"/>
      <c r="G29" s="26">
        <v>3.42</v>
      </c>
      <c r="H29" s="10"/>
      <c r="I29" s="10">
        <f t="shared" si="5"/>
        <v>609.68131636848989</v>
      </c>
      <c r="J29" s="10">
        <f t="shared" si="3"/>
        <v>1231642539.5765173</v>
      </c>
      <c r="K29" s="11">
        <f t="shared" si="4"/>
        <v>3.4717100000000167E-2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2019131.951420102</v>
      </c>
      <c r="D30" s="12">
        <v>1.2999999999999999E-3</v>
      </c>
      <c r="E30" s="10">
        <f t="shared" si="2"/>
        <v>2621.4636341219302</v>
      </c>
      <c r="F30" s="3"/>
      <c r="G30" s="26">
        <v>10.09</v>
      </c>
      <c r="H30" s="10"/>
      <c r="I30" s="10">
        <f t="shared" si="5"/>
        <v>589.51974121880664</v>
      </c>
      <c r="J30" s="10">
        <f t="shared" si="3"/>
        <v>1190318145.4878025</v>
      </c>
      <c r="K30" s="11">
        <f t="shared" si="4"/>
        <v>0.10233117000000003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2016510.4877859801</v>
      </c>
      <c r="D31" s="13">
        <v>1.2999999999999999E-3</v>
      </c>
      <c r="E31" s="10">
        <f t="shared" si="2"/>
        <v>2618.0601559192874</v>
      </c>
      <c r="F31" s="3"/>
      <c r="G31" s="26">
        <v>3.42</v>
      </c>
      <c r="H31" s="10"/>
      <c r="I31" s="10">
        <f t="shared" si="5"/>
        <v>535.48891018149391</v>
      </c>
      <c r="J31" s="10">
        <f t="shared" si="3"/>
        <v>1079819003.4740672</v>
      </c>
      <c r="K31" s="11">
        <f t="shared" si="4"/>
        <v>3.5544460000000111E-2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2013892.4276300608</v>
      </c>
      <c r="D32" s="12">
        <v>4.0000000000000002E-4</v>
      </c>
      <c r="E32" s="10">
        <f t="shared" si="2"/>
        <v>805.23487710114568</v>
      </c>
      <c r="F32" s="3"/>
      <c r="G32" s="26">
        <v>9.5299999999999994</v>
      </c>
      <c r="H32" s="10"/>
      <c r="I32" s="10">
        <f t="shared" si="5"/>
        <v>517.78080659591365</v>
      </c>
      <c r="J32" s="10">
        <f t="shared" si="3"/>
        <v>1042754845.5756955</v>
      </c>
      <c r="K32" s="11">
        <f t="shared" si="4"/>
        <v>9.5738119999999816E-2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2013087.1927529597</v>
      </c>
      <c r="D33" s="13">
        <v>-5.0000000000000001E-4</v>
      </c>
      <c r="E33" s="10">
        <f t="shared" si="2"/>
        <v>-1007.0471199364401</v>
      </c>
      <c r="F33" s="3"/>
      <c r="G33" s="26">
        <v>3.27</v>
      </c>
      <c r="H33" s="10"/>
      <c r="I33" s="10">
        <f t="shared" si="5"/>
        <v>472.72966912801394</v>
      </c>
      <c r="J33" s="10">
        <f t="shared" si="3"/>
        <v>951646042.55594909</v>
      </c>
      <c r="K33" s="11">
        <f t="shared" si="4"/>
        <v>3.2183649999999897E-2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2014094.2398728961</v>
      </c>
      <c r="D34" s="12">
        <v>-6.9999999999999999E-4</v>
      </c>
      <c r="E34" s="10">
        <f t="shared" si="2"/>
        <v>-1410.8535654069856</v>
      </c>
      <c r="F34" s="3"/>
      <c r="G34" s="26">
        <v>1.97</v>
      </c>
      <c r="H34" s="10"/>
      <c r="I34" s="10">
        <f t="shared" si="5"/>
        <v>457.76088808755105</v>
      </c>
      <c r="J34" s="10">
        <f t="shared" ref="J34:J65" si="6">IF(I34="","",I34*C34)</f>
        <v>921973567.93623805</v>
      </c>
      <c r="K34" s="11">
        <f t="shared" ref="K34:K65" si="7">IFERROR(J34/J35-1,"")</f>
        <v>3.197710999999992E-2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2015505.0934383031</v>
      </c>
      <c r="D35" s="11">
        <v>-6.9999999999999999E-4</v>
      </c>
      <c r="E35" s="10">
        <f t="shared" si="2"/>
        <v>-1411.8418547052424</v>
      </c>
      <c r="F35" s="3"/>
      <c r="G35" s="26">
        <v>0.07</v>
      </c>
      <c r="H35" s="10"/>
      <c r="I35" s="10">
        <f t="shared" ref="I35:I66" si="8">IF(H35&lt;&gt;"",H35,I34/(1+IF(G34="",0,G34)/100))</f>
        <v>443.26608704130052</v>
      </c>
      <c r="J35" s="10">
        <f t="shared" si="6"/>
        <v>893405056.18020737</v>
      </c>
      <c r="K35" s="11">
        <f t="shared" si="7"/>
        <v>2.6980610000000071E-2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2016916.9352930083</v>
      </c>
      <c r="D36" s="11">
        <v>-2.9999999999999997E-4</v>
      </c>
      <c r="E36" s="10">
        <f t="shared" si="2"/>
        <v>-605.25665758503601</v>
      </c>
      <c r="F36" s="3"/>
      <c r="G36" s="26">
        <v>1.46</v>
      </c>
      <c r="H36" s="10"/>
      <c r="I36" s="10">
        <f t="shared" si="8"/>
        <v>431.31856285034593</v>
      </c>
      <c r="J36" s="10">
        <f t="shared" si="6"/>
        <v>869933713.91910446</v>
      </c>
      <c r="K36" s="11">
        <f t="shared" si="7"/>
        <v>6.2281220000000026E-2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2017522.1919505934</v>
      </c>
      <c r="D37" s="11">
        <v>1.1999999999999999E-3</v>
      </c>
      <c r="E37" s="10">
        <f t="shared" si="2"/>
        <v>2418.1248804843053</v>
      </c>
      <c r="F37" s="3"/>
      <c r="G37" s="26">
        <v>-3.51</v>
      </c>
      <c r="H37" s="10"/>
      <c r="I37" s="10">
        <f t="shared" si="8"/>
        <v>405.90867951284201</v>
      </c>
      <c r="J37" s="10">
        <f t="shared" si="6"/>
        <v>818929768.8225199</v>
      </c>
      <c r="K37" s="11">
        <f t="shared" si="7"/>
        <v>1.9121479999999913E-2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2015104.0670701091</v>
      </c>
      <c r="D38" s="11">
        <v>2.5000000000000001E-3</v>
      </c>
      <c r="E38" s="10">
        <f t="shared" si="2"/>
        <v>5025.1971747383941</v>
      </c>
      <c r="F38" s="3"/>
      <c r="G38" s="26">
        <v>-8.69</v>
      </c>
      <c r="H38" s="10"/>
      <c r="I38" s="10">
        <f t="shared" si="8"/>
        <v>398.77068426450734</v>
      </c>
      <c r="J38" s="10">
        <f t="shared" si="6"/>
        <v>803564427.68973911</v>
      </c>
      <c r="K38" s="11">
        <f t="shared" si="7"/>
        <v>-4.7524750000000004E-2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2010078.8698953707</v>
      </c>
      <c r="D39" s="11">
        <v>3.0999999999999999E-3</v>
      </c>
      <c r="E39" s="10">
        <f t="shared" si="2"/>
        <v>6211.9873359345365</v>
      </c>
      <c r="F39" s="3"/>
      <c r="G39" s="26">
        <v>5.8</v>
      </c>
      <c r="H39" s="10"/>
      <c r="I39" s="10">
        <f t="shared" si="8"/>
        <v>419.71443454847633</v>
      </c>
      <c r="J39" s="10">
        <f t="shared" si="6"/>
        <v>843659116.27597582</v>
      </c>
      <c r="K39" s="11">
        <f t="shared" si="7"/>
        <v>6.1279800000000106E-2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2003866.8825594361</v>
      </c>
      <c r="D40" s="11">
        <v>3.0999999999999999E-3</v>
      </c>
      <c r="E40" s="10">
        <f t="shared" si="2"/>
        <v>6192.7896879019681</v>
      </c>
      <c r="F40" s="3"/>
      <c r="G40" s="26">
        <v>13.65</v>
      </c>
      <c r="H40" s="10"/>
      <c r="I40" s="10">
        <f t="shared" si="8"/>
        <v>396.7055146961024</v>
      </c>
      <c r="J40" s="10">
        <f t="shared" si="6"/>
        <v>794945043.02821529</v>
      </c>
      <c r="K40" s="11">
        <f t="shared" si="7"/>
        <v>0.14002315000000021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1997674.0928715342</v>
      </c>
      <c r="D41" s="11">
        <v>2.5000000000000001E-3</v>
      </c>
      <c r="E41" s="10">
        <f t="shared" si="2"/>
        <v>4981.7309049165342</v>
      </c>
      <c r="F41" s="3"/>
      <c r="G41" s="26">
        <v>-1.85</v>
      </c>
      <c r="H41" s="10"/>
      <c r="I41" s="10">
        <f t="shared" si="8"/>
        <v>349.05896585666727</v>
      </c>
      <c r="J41" s="10">
        <f t="shared" si="6"/>
        <v>697306052.97639358</v>
      </c>
      <c r="K41" s="11">
        <f t="shared" si="7"/>
        <v>-1.6046249999999929E-2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1992692.3619666176</v>
      </c>
      <c r="D42" s="11">
        <v>2.8999999999999998E-3</v>
      </c>
      <c r="E42" s="10">
        <f t="shared" si="2"/>
        <v>5762.0977661809884</v>
      </c>
      <c r="F42" s="3"/>
      <c r="G42" s="26">
        <v>-12.15</v>
      </c>
      <c r="H42" s="10"/>
      <c r="I42" s="10">
        <f t="shared" si="8"/>
        <v>355.63827392426617</v>
      </c>
      <c r="J42" s="10">
        <f t="shared" si="6"/>
        <v>708677672.07187688</v>
      </c>
      <c r="K42" s="11">
        <f t="shared" si="7"/>
        <v>-0.11895235000000004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1986930.2642004366</v>
      </c>
      <c r="D43" s="11">
        <v>4.7000000000000002E-3</v>
      </c>
      <c r="E43" s="10">
        <f t="shared" si="2"/>
        <v>9294.8862762434874</v>
      </c>
      <c r="F43" s="3"/>
      <c r="G43" s="26">
        <v>0.75</v>
      </c>
      <c r="H43" s="10"/>
      <c r="I43" s="10">
        <f t="shared" si="8"/>
        <v>404.82444385232344</v>
      </c>
      <c r="J43" s="10">
        <f t="shared" si="6"/>
        <v>804357939.1782918</v>
      </c>
      <c r="K43" s="11">
        <f t="shared" si="7"/>
        <v>1.2235250000000031E-2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1977635.3779241932</v>
      </c>
      <c r="D44" s="11">
        <v>6.0000000000000001E-3</v>
      </c>
      <c r="E44" s="10">
        <f t="shared" si="2"/>
        <v>11795.042015452404</v>
      </c>
      <c r="F44" s="3"/>
      <c r="G44" s="26">
        <v>4.32</v>
      </c>
      <c r="H44" s="10"/>
      <c r="I44" s="10">
        <f t="shared" si="8"/>
        <v>401.8108623844401</v>
      </c>
      <c r="J44" s="10">
        <f t="shared" si="6"/>
        <v>794635376.68569815</v>
      </c>
      <c r="K44" s="11">
        <f t="shared" si="7"/>
        <v>4.9459199999999814E-2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1965840.3359087408</v>
      </c>
      <c r="D45" s="11">
        <v>5.7000000000000002E-3</v>
      </c>
      <c r="E45" s="10">
        <f t="shared" si="2"/>
        <v>11141.781758655561</v>
      </c>
      <c r="F45" s="3"/>
      <c r="G45" s="26">
        <v>14.88</v>
      </c>
      <c r="H45" s="10"/>
      <c r="I45" s="10">
        <f t="shared" si="8"/>
        <v>385.17145550655687</v>
      </c>
      <c r="J45" s="10">
        <f t="shared" si="6"/>
        <v>757185583.4754684</v>
      </c>
      <c r="K45" s="11">
        <f t="shared" si="7"/>
        <v>0.15534816000000018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1954698.5541500852</v>
      </c>
      <c r="D46" s="11">
        <v>6.8999999999999999E-3</v>
      </c>
      <c r="E46" s="10">
        <f t="shared" si="2"/>
        <v>13394.994561163476</v>
      </c>
      <c r="F46" s="3"/>
      <c r="G46" s="26">
        <v>2.14</v>
      </c>
      <c r="H46" s="10"/>
      <c r="I46" s="10">
        <f t="shared" si="8"/>
        <v>335.28155945905019</v>
      </c>
      <c r="J46" s="10">
        <f t="shared" si="6"/>
        <v>655374379.50779116</v>
      </c>
      <c r="K46" s="11">
        <f t="shared" si="7"/>
        <v>2.8447660000000097E-2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1941303.5595889217</v>
      </c>
      <c r="D47" s="11">
        <v>7.4999999999999997E-3</v>
      </c>
      <c r="E47" s="10">
        <f t="shared" si="2"/>
        <v>14451.391262448626</v>
      </c>
      <c r="F47" s="3"/>
      <c r="G47" s="26">
        <v>4.58</v>
      </c>
      <c r="H47" s="10"/>
      <c r="I47" s="10">
        <f t="shared" si="8"/>
        <v>328.2568625994225</v>
      </c>
      <c r="J47" s="10">
        <f t="shared" si="6"/>
        <v>637246215.8237505</v>
      </c>
      <c r="K47" s="11">
        <f t="shared" si="7"/>
        <v>5.3643500000000177E-2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1926852.1683264731</v>
      </c>
      <c r="D48" s="11">
        <v>5.4999999999999997E-3</v>
      </c>
      <c r="E48" s="10">
        <f t="shared" si="2"/>
        <v>10539.718474187655</v>
      </c>
      <c r="F48" s="3"/>
      <c r="G48" s="26">
        <v>-1.7</v>
      </c>
      <c r="H48" s="10"/>
      <c r="I48" s="10">
        <f t="shared" si="8"/>
        <v>313.88110785945923</v>
      </c>
      <c r="J48" s="10">
        <f t="shared" si="6"/>
        <v>604802493.27571464</v>
      </c>
      <c r="K48" s="11">
        <f t="shared" si="7"/>
        <v>-1.1593499999999812E-2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1916312.4498522854</v>
      </c>
      <c r="D49" s="11">
        <v>6.1000000000000004E-3</v>
      </c>
      <c r="E49" s="10">
        <f t="shared" si="2"/>
        <v>11618.632287147222</v>
      </c>
      <c r="F49" s="3"/>
      <c r="G49" s="26">
        <v>2.0299999999999998</v>
      </c>
      <c r="H49" s="10"/>
      <c r="I49" s="10">
        <f t="shared" si="8"/>
        <v>319.30936710016198</v>
      </c>
      <c r="J49" s="10">
        <f t="shared" si="6"/>
        <v>611896515.52849412</v>
      </c>
      <c r="K49" s="11">
        <f t="shared" si="7"/>
        <v>2.6523829999999915E-2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1904693.8175651382</v>
      </c>
      <c r="D50" s="11">
        <v>7.9000000000000008E-3</v>
      </c>
      <c r="E50" s="10">
        <f t="shared" si="2"/>
        <v>14929.140945296735</v>
      </c>
      <c r="F50" s="3"/>
      <c r="G50" s="26">
        <v>5.94</v>
      </c>
      <c r="H50" s="10"/>
      <c r="I50" s="10">
        <f t="shared" si="8"/>
        <v>312.95635313159067</v>
      </c>
      <c r="J50" s="10">
        <f t="shared" si="6"/>
        <v>596086030.9774729</v>
      </c>
      <c r="K50" s="11">
        <f t="shared" si="7"/>
        <v>6.776925999999972E-2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1889764.6766198415</v>
      </c>
      <c r="D51" s="11">
        <v>8.0000000000000002E-3</v>
      </c>
      <c r="E51" s="10">
        <f t="shared" si="2"/>
        <v>14998.132354125846</v>
      </c>
      <c r="F51" s="3"/>
      <c r="G51" s="26">
        <v>9.1</v>
      </c>
      <c r="H51" s="10"/>
      <c r="I51" s="10">
        <f t="shared" si="8"/>
        <v>295.40905524975523</v>
      </c>
      <c r="J51" s="10">
        <f t="shared" si="6"/>
        <v>558253597.76462662</v>
      </c>
      <c r="K51" s="11">
        <f t="shared" si="7"/>
        <v>9.9728000000000039E-2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1874766.5442657156</v>
      </c>
      <c r="D52" s="11">
        <v>7.7999999999999996E-3</v>
      </c>
      <c r="E52" s="10">
        <f t="shared" si="2"/>
        <v>14510.001037182519</v>
      </c>
      <c r="F52" s="3"/>
      <c r="G52" s="26">
        <v>-5.94</v>
      </c>
      <c r="H52" s="10"/>
      <c r="I52" s="10">
        <f t="shared" si="8"/>
        <v>270.76906988978482</v>
      </c>
      <c r="J52" s="10">
        <f t="shared" si="6"/>
        <v>507628793.45131391</v>
      </c>
      <c r="K52" s="11">
        <f t="shared" si="7"/>
        <v>-5.2063320000000024E-2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1860256.5432285331</v>
      </c>
      <c r="D53" s="11">
        <v>8.0000000000000002E-3</v>
      </c>
      <c r="E53" s="10">
        <f t="shared" si="2"/>
        <v>14763.940819274168</v>
      </c>
      <c r="F53" s="3"/>
      <c r="G53" s="26">
        <v>-6.11</v>
      </c>
      <c r="H53" s="10"/>
      <c r="I53" s="10">
        <f t="shared" si="8"/>
        <v>287.8684561873111</v>
      </c>
      <c r="J53" s="10">
        <f t="shared" si="6"/>
        <v>535509179.21154177</v>
      </c>
      <c r="K53" s="11">
        <f t="shared" si="7"/>
        <v>-5.3588799999999881E-2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1845492.602409259</v>
      </c>
      <c r="D54" s="11">
        <v>7.9000000000000008E-3</v>
      </c>
      <c r="E54" s="10">
        <f t="shared" si="2"/>
        <v>14465.117133677239</v>
      </c>
      <c r="F54" s="3"/>
      <c r="G54" s="26">
        <v>2.81</v>
      </c>
      <c r="H54" s="10"/>
      <c r="I54" s="10">
        <f t="shared" si="8"/>
        <v>306.60182787017902</v>
      </c>
      <c r="J54" s="10">
        <f t="shared" si="6"/>
        <v>565831405.21957231</v>
      </c>
      <c r="K54" s="11">
        <f t="shared" si="7"/>
        <v>3.6221989999999815E-2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1831027.4852755817</v>
      </c>
      <c r="D55" s="11">
        <v>7.7999999999999996E-3</v>
      </c>
      <c r="E55" s="10">
        <f t="shared" si="2"/>
        <v>14171.476865598001</v>
      </c>
      <c r="F55" s="3"/>
      <c r="G55" s="26">
        <v>7.08</v>
      </c>
      <c r="H55" s="10"/>
      <c r="I55" s="10">
        <f t="shared" si="8"/>
        <v>298.22179541890773</v>
      </c>
      <c r="J55" s="10">
        <f t="shared" si="6"/>
        <v>546052304.12025166</v>
      </c>
      <c r="K55" s="11">
        <f t="shared" si="7"/>
        <v>7.9152239999999985E-2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1816856.0084099837</v>
      </c>
      <c r="D56" s="11">
        <v>7.0000000000000001E-3</v>
      </c>
      <c r="E56" s="10">
        <f t="shared" si="2"/>
        <v>12629.584964120761</v>
      </c>
      <c r="F56" s="3"/>
      <c r="G56" s="26">
        <v>-3.26</v>
      </c>
      <c r="H56" s="10"/>
      <c r="I56" s="10">
        <f t="shared" si="8"/>
        <v>278.50373124664526</v>
      </c>
      <c r="J56" s="10">
        <f t="shared" si="6"/>
        <v>506001177.48006678</v>
      </c>
      <c r="K56" s="11">
        <f t="shared" si="7"/>
        <v>-2.582820000000019E-2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1804226.423445863</v>
      </c>
      <c r="D57" s="11">
        <v>7.4999999999999997E-3</v>
      </c>
      <c r="E57" s="10">
        <f t="shared" si="2"/>
        <v>13430.96593135898</v>
      </c>
      <c r="F57" s="3"/>
      <c r="G57" s="29">
        <v>4.53</v>
      </c>
      <c r="H57" s="10"/>
      <c r="I57" s="10">
        <f t="shared" si="8"/>
        <v>287.88890970296183</v>
      </c>
      <c r="J57" s="10">
        <f t="shared" si="6"/>
        <v>519416777.90310383</v>
      </c>
      <c r="K57" s="11">
        <f t="shared" si="7"/>
        <v>5.3139750000000152E-2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1790795.457514504</v>
      </c>
      <c r="D58" s="11">
        <v>6.8999999999999999E-3</v>
      </c>
      <c r="E58" s="10">
        <f t="shared" si="2"/>
        <v>12271.813146141591</v>
      </c>
      <c r="F58" s="3"/>
      <c r="G58" s="29">
        <v>4.3499999999999996</v>
      </c>
      <c r="H58" s="10"/>
      <c r="I58" s="10">
        <f t="shared" si="8"/>
        <v>275.41271376921634</v>
      </c>
      <c r="J58" s="10">
        <f t="shared" si="6"/>
        <v>493207836.75965488</v>
      </c>
      <c r="K58" s="11">
        <f t="shared" si="7"/>
        <v>5.0700150000000166E-2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1778523.6443683624</v>
      </c>
      <c r="D59" s="11">
        <v>4.8999999999999998E-3</v>
      </c>
      <c r="E59" s="10">
        <f t="shared" si="2"/>
        <v>8672.2717259477358</v>
      </c>
      <c r="F59" s="3"/>
      <c r="G59" s="29">
        <v>3.86</v>
      </c>
      <c r="H59" s="10"/>
      <c r="I59" s="10">
        <f t="shared" si="8"/>
        <v>263.93168545205202</v>
      </c>
      <c r="J59" s="10">
        <f t="shared" si="6"/>
        <v>469408743.07446784</v>
      </c>
      <c r="K59" s="11">
        <f t="shared" si="7"/>
        <v>4.3689139999999682E-2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1769851.3726424146</v>
      </c>
      <c r="D60" s="11">
        <v>5.5999999999999999E-3</v>
      </c>
      <c r="E60" s="10">
        <f t="shared" si="2"/>
        <v>9855.9742311034352</v>
      </c>
      <c r="F60" s="3"/>
      <c r="G60" s="29">
        <v>4.1500000000000004</v>
      </c>
      <c r="H60" s="10"/>
      <c r="I60" s="10">
        <f t="shared" si="8"/>
        <v>254.1225548354054</v>
      </c>
      <c r="J60" s="10">
        <f t="shared" si="6"/>
        <v>449759152.49483955</v>
      </c>
      <c r="K60" s="11">
        <f t="shared" si="7"/>
        <v>4.7332400000000163E-2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1759995.3984113112</v>
      </c>
      <c r="D61" s="11">
        <v>6.7999999999999996E-3</v>
      </c>
      <c r="E61" s="10">
        <f t="shared" si="2"/>
        <v>11887.136183151277</v>
      </c>
      <c r="F61" s="3"/>
      <c r="G61" s="29">
        <v>5.85</v>
      </c>
      <c r="H61" s="10"/>
      <c r="I61" s="10">
        <f t="shared" si="8"/>
        <v>243.9966921127272</v>
      </c>
      <c r="J61" s="10">
        <f t="shared" si="6"/>
        <v>429433055.34598136</v>
      </c>
      <c r="K61" s="11">
        <f t="shared" si="7"/>
        <v>6.5697799999999917E-2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1748108.2622281599</v>
      </c>
      <c r="D62" s="11">
        <v>8.0000000000000002E-3</v>
      </c>
      <c r="E62" s="10">
        <f t="shared" si="2"/>
        <v>13873.875097048935</v>
      </c>
      <c r="F62" s="3"/>
      <c r="G62" s="29">
        <v>4.95</v>
      </c>
      <c r="H62" s="10"/>
      <c r="I62" s="10">
        <f t="shared" si="8"/>
        <v>230.51175447588776</v>
      </c>
      <c r="J62" s="10">
        <f t="shared" si="6"/>
        <v>402959502.54000843</v>
      </c>
      <c r="K62" s="11">
        <f t="shared" si="7"/>
        <v>5.789600000000017E-2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1734234.387131111</v>
      </c>
      <c r="D63" s="11">
        <v>9.1999999999999998E-3</v>
      </c>
      <c r="E63" s="10">
        <f t="shared" si="2"/>
        <v>15809.508879911155</v>
      </c>
      <c r="F63" s="3"/>
      <c r="G63" s="29">
        <v>3.96</v>
      </c>
      <c r="H63" s="10"/>
      <c r="I63" s="10">
        <f t="shared" si="8"/>
        <v>219.63959454586731</v>
      </c>
      <c r="J63" s="10">
        <f t="shared" si="6"/>
        <v>380906537.63697791</v>
      </c>
      <c r="K63" s="11">
        <f t="shared" si="7"/>
        <v>4.9164320000000039E-2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1718424.8782511998</v>
      </c>
      <c r="D64" s="11">
        <v>7.9000000000000008E-3</v>
      </c>
      <c r="E64" s="10">
        <f t="shared" si="2"/>
        <v>13469.150251199957</v>
      </c>
      <c r="F64" s="3"/>
      <c r="G64" s="29">
        <v>0.93</v>
      </c>
      <c r="H64" s="10"/>
      <c r="I64" s="10">
        <f t="shared" si="8"/>
        <v>211.27317674669806</v>
      </c>
      <c r="J64" s="10">
        <f t="shared" si="6"/>
        <v>363057083.02868885</v>
      </c>
      <c r="K64" s="11">
        <f t="shared" si="7"/>
        <v>1.7273470000000124E-2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1704955.7279999999</v>
      </c>
      <c r="D65" s="11">
        <v>7.0000000000000001E-3</v>
      </c>
      <c r="E65" s="10">
        <f t="shared" si="2"/>
        <v>11851.727999999886</v>
      </c>
      <c r="F65" s="3"/>
      <c r="G65" s="29">
        <v>3.36</v>
      </c>
      <c r="H65" s="10"/>
      <c r="I65" s="10">
        <f t="shared" si="8"/>
        <v>209.32644084682258</v>
      </c>
      <c r="J65" s="10">
        <f t="shared" si="6"/>
        <v>356892314.34364331</v>
      </c>
      <c r="K65" s="11">
        <f t="shared" si="7"/>
        <v>4.0835200000000071E-2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1693104</v>
      </c>
      <c r="D66" s="11">
        <v>7.7999999999999996E-3</v>
      </c>
      <c r="E66" s="10">
        <f t="shared" si="2"/>
        <v>13104</v>
      </c>
      <c r="F66" s="3"/>
      <c r="G66" s="29">
        <v>2.08</v>
      </c>
      <c r="H66" s="10"/>
      <c r="I66" s="10">
        <f t="shared" si="8"/>
        <v>202.52171134561007</v>
      </c>
      <c r="J66" s="10">
        <f t="shared" ref="J66:J67" si="9">IF(I66="","",I66*C66)</f>
        <v>342890319.5660978</v>
      </c>
      <c r="K66" s="11">
        <f t="shared" ref="K66" si="10">IFERROR(J66/J67-1,"")</f>
        <v>2.8762239999999828E-2</v>
      </c>
    </row>
    <row r="67" spans="1:11" ht="22.5" customHeight="1">
      <c r="A67" s="3">
        <f t="shared" si="0"/>
        <v>1950</v>
      </c>
      <c r="B67" s="3">
        <v>1700</v>
      </c>
      <c r="C67" s="10">
        <v>1680000</v>
      </c>
      <c r="D67" s="11">
        <v>9.7000000000000003E-3</v>
      </c>
      <c r="E67" s="3" t="s">
        <v>72</v>
      </c>
      <c r="F67" s="3"/>
      <c r="G67" s="29">
        <v>5.34</v>
      </c>
      <c r="H67" s="10"/>
      <c r="I67" s="10">
        <f t="shared" ref="I67" si="11">IF(H67&lt;&gt;"",H67,I66/(1+IF(G66="",0,G66)/100))</f>
        <v>198.39509340283121</v>
      </c>
      <c r="J67" s="10">
        <f t="shared" si="9"/>
        <v>333303756.91675645</v>
      </c>
      <c r="K67" s="11"/>
    </row>
    <row r="68" spans="1:11" ht="15.75" customHeight="1">
      <c r="G68" s="29"/>
    </row>
  </sheetData>
  <dataValidations count="1">
    <dataValidation type="custom" allowBlank="1" showDropDown="1" sqref="D2:D67" xr:uid="{00000000-0002-0000-0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67"/>
  <sheetViews>
    <sheetView workbookViewId="0">
      <pane ySplit="2" topLeftCell="A38" activePane="bottomLeft" state="frozen"/>
      <selection pane="bottomLeft" activeCell="J60" sqref="J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3147403.5572427409</v>
      </c>
      <c r="D2" s="11">
        <v>1.37E-2</v>
      </c>
      <c r="E2" s="10">
        <f t="shared" ref="E2:E66" si="2">SUM(C2-C3)</f>
        <v>42536.676269335672</v>
      </c>
      <c r="F2" s="14">
        <v>3146473</v>
      </c>
      <c r="G2" s="26">
        <v>3.25</v>
      </c>
      <c r="H2" s="10"/>
      <c r="I2" s="10">
        <f>IF(H2&lt;&gt;"",H2,48888)</f>
        <v>6111</v>
      </c>
      <c r="J2" s="10">
        <f t="shared" ref="J2:J33" si="3">IF(I2="","",I2*C2)</f>
        <v>19233783138.31039</v>
      </c>
      <c r="K2" s="11">
        <f t="shared" ref="K2:K33" si="4">IFERROR(J2/J3-1,"")</f>
        <v>4.664524999999986E-2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3104866.8809734052</v>
      </c>
      <c r="D3" s="11">
        <v>1.37E-2</v>
      </c>
      <c r="E3" s="10">
        <f t="shared" si="2"/>
        <v>41961.799614615738</v>
      </c>
      <c r="F3" s="3"/>
      <c r="G3" s="26">
        <v>2.38</v>
      </c>
      <c r="H3" s="10"/>
      <c r="I3" s="10">
        <f t="shared" ref="I3:I34" si="5">IF(H3&lt;&gt;"",H3,I2/(1+IF(G2="",0,G2)/100))</f>
        <v>5918.6440677966102</v>
      </c>
      <c r="J3" s="10">
        <f t="shared" si="3"/>
        <v>18376601946.37141</v>
      </c>
      <c r="K3" s="11">
        <f t="shared" si="4"/>
        <v>3.7826060000000439E-2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3062905.0813587895</v>
      </c>
      <c r="D4" s="11">
        <v>1.1599999999999999E-2</v>
      </c>
      <c r="E4" s="10">
        <f t="shared" si="2"/>
        <v>35122.280490077101</v>
      </c>
      <c r="F4" s="3"/>
      <c r="G4" s="26">
        <v>5.85</v>
      </c>
      <c r="H4" s="10"/>
      <c r="I4" s="10">
        <f t="shared" si="5"/>
        <v>5781.0549597544541</v>
      </c>
      <c r="J4" s="10">
        <f t="shared" si="3"/>
        <v>17706822611.846348</v>
      </c>
      <c r="K4" s="11">
        <f t="shared" si="4"/>
        <v>7.0778599999999914E-2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3027782.8008687124</v>
      </c>
      <c r="D5" s="11">
        <v>1.0200000000000001E-2</v>
      </c>
      <c r="E5" s="10">
        <f t="shared" si="2"/>
        <v>30571.554710810538</v>
      </c>
      <c r="F5" s="3"/>
      <c r="G5" s="26">
        <v>6.14</v>
      </c>
      <c r="H5" s="10"/>
      <c r="I5" s="10">
        <f t="shared" si="5"/>
        <v>5461.5540479494139</v>
      </c>
      <c r="J5" s="10">
        <f t="shared" si="3"/>
        <v>16536399412.39613</v>
      </c>
      <c r="K5" s="11">
        <f t="shared" si="4"/>
        <v>7.2226279999999976E-2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2997211.2461579018</v>
      </c>
      <c r="D6" s="11">
        <v>1.23E-2</v>
      </c>
      <c r="E6" s="10">
        <f t="shared" si="2"/>
        <v>36417.759881203528</v>
      </c>
      <c r="F6" s="3"/>
      <c r="G6" s="26">
        <v>6.33</v>
      </c>
      <c r="H6" s="10"/>
      <c r="I6" s="10">
        <f t="shared" si="5"/>
        <v>5145.6133860461787</v>
      </c>
      <c r="J6" s="10">
        <f t="shared" si="3"/>
        <v>15422490309.038248</v>
      </c>
      <c r="K6" s="11">
        <f t="shared" si="4"/>
        <v>7.6378590000000024E-2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2960793.4862766983</v>
      </c>
      <c r="D7" s="11">
        <v>1.41E-2</v>
      </c>
      <c r="E7" s="10">
        <f t="shared" si="2"/>
        <v>41166.737162509933</v>
      </c>
      <c r="F7" s="3"/>
      <c r="G7" s="26">
        <v>8.33</v>
      </c>
      <c r="H7" s="10"/>
      <c r="I7" s="10">
        <f t="shared" si="5"/>
        <v>4839.2865475841054</v>
      </c>
      <c r="J7" s="10">
        <f t="shared" si="3"/>
        <v>14328128088.313471</v>
      </c>
      <c r="K7" s="11">
        <f t="shared" si="4"/>
        <v>9.8574529999999827E-2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2919626.7491141884</v>
      </c>
      <c r="D8" s="11">
        <v>1.43E-2</v>
      </c>
      <c r="E8" s="10">
        <f t="shared" si="2"/>
        <v>41162.045265042689</v>
      </c>
      <c r="F8" s="3"/>
      <c r="G8" s="26">
        <v>1.1000000000000001</v>
      </c>
      <c r="H8" s="10"/>
      <c r="I8" s="10">
        <f t="shared" si="5"/>
        <v>4467.1711876526406</v>
      </c>
      <c r="J8" s="10">
        <f t="shared" si="3"/>
        <v>13042472492.342848</v>
      </c>
      <c r="K8" s="11">
        <f t="shared" si="4"/>
        <v>2.5457300000000016E-2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2878464.7038491457</v>
      </c>
      <c r="D9" s="11">
        <v>1.46E-2</v>
      </c>
      <c r="E9" s="10">
        <f t="shared" si="2"/>
        <v>41420.840406266041</v>
      </c>
      <c r="F9" s="3"/>
      <c r="G9" s="26">
        <v>9.1300000000000008</v>
      </c>
      <c r="H9" s="10"/>
      <c r="I9" s="10">
        <f t="shared" si="5"/>
        <v>4418.5669511895558</v>
      </c>
      <c r="J9" s="10">
        <f t="shared" si="3"/>
        <v>12718689010.593468</v>
      </c>
      <c r="K9" s="11">
        <f t="shared" si="4"/>
        <v>0.10723298000000003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2837043.8634428796</v>
      </c>
      <c r="D10" s="11">
        <v>1.49E-2</v>
      </c>
      <c r="E10" s="10">
        <f t="shared" si="2"/>
        <v>41651.348473050166</v>
      </c>
      <c r="F10" s="3"/>
      <c r="G10" s="26">
        <v>8.52</v>
      </c>
      <c r="H10" s="10"/>
      <c r="I10" s="10">
        <f t="shared" si="5"/>
        <v>4048.9021819752184</v>
      </c>
      <c r="J10" s="10">
        <f t="shared" si="3"/>
        <v>11486913089.053278</v>
      </c>
      <c r="K10" s="11">
        <f t="shared" si="4"/>
        <v>0.10136947999999979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2795392.5149698295</v>
      </c>
      <c r="D11" s="11">
        <v>1.52E-2</v>
      </c>
      <c r="E11" s="10">
        <f t="shared" si="2"/>
        <v>41853.788640210405</v>
      </c>
      <c r="F11" s="3"/>
      <c r="G11" s="26">
        <v>7.53</v>
      </c>
      <c r="H11" s="10"/>
      <c r="I11" s="10">
        <f t="shared" si="5"/>
        <v>3731.0193346620149</v>
      </c>
      <c r="J11" s="10">
        <f t="shared" si="3"/>
        <v>10429663521.321909</v>
      </c>
      <c r="K11" s="11">
        <f t="shared" si="4"/>
        <v>9.1644559999999986E-2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2753538.7263296191</v>
      </c>
      <c r="D12" s="11">
        <v>1.54E-2</v>
      </c>
      <c r="E12" s="10">
        <f t="shared" si="2"/>
        <v>41761.371267949697</v>
      </c>
      <c r="F12" s="3"/>
      <c r="G12" s="26">
        <v>6.29</v>
      </c>
      <c r="H12" s="10"/>
      <c r="I12" s="10">
        <f t="shared" si="5"/>
        <v>3469.7473585622756</v>
      </c>
      <c r="J12" s="10">
        <f t="shared" si="3"/>
        <v>9554083722.3811283</v>
      </c>
      <c r="K12" s="11">
        <f t="shared" si="4"/>
        <v>7.926865999999988E-2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2711777.3550616694</v>
      </c>
      <c r="D13" s="11">
        <v>1.5699999999999999E-2</v>
      </c>
      <c r="E13" s="10">
        <f t="shared" si="2"/>
        <v>41916.810548851267</v>
      </c>
      <c r="F13" s="3"/>
      <c r="G13" s="26">
        <v>4.96</v>
      </c>
      <c r="H13" s="10"/>
      <c r="I13" s="10">
        <f t="shared" si="5"/>
        <v>3264.4156162971831</v>
      </c>
      <c r="J13" s="10">
        <f t="shared" si="3"/>
        <v>8852368345.7843838</v>
      </c>
      <c r="K13" s="11">
        <f t="shared" si="4"/>
        <v>6.6078719999999924E-2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2669860.5445128181</v>
      </c>
      <c r="D14" s="11">
        <v>1.6E-2</v>
      </c>
      <c r="E14" s="10">
        <f t="shared" si="2"/>
        <v>42045.047945083585</v>
      </c>
      <c r="F14" s="3"/>
      <c r="G14" s="26">
        <v>4.17</v>
      </c>
      <c r="H14" s="10"/>
      <c r="I14" s="10">
        <f t="shared" si="5"/>
        <v>3110.1520734538708</v>
      </c>
      <c r="J14" s="10">
        <f t="shared" si="3"/>
        <v>8303672308.3492222</v>
      </c>
      <c r="K14" s="11">
        <f t="shared" si="4"/>
        <v>5.8367200000000174E-2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2627815.4965677345</v>
      </c>
      <c r="D15" s="11">
        <v>1.6199999999999999E-2</v>
      </c>
      <c r="E15" s="10">
        <f t="shared" si="2"/>
        <v>41891.961271794047</v>
      </c>
      <c r="F15" s="3"/>
      <c r="G15" s="26">
        <v>5.45</v>
      </c>
      <c r="H15" s="10"/>
      <c r="I15" s="10">
        <f t="shared" si="5"/>
        <v>2985.6504497013252</v>
      </c>
      <c r="J15" s="10">
        <f t="shared" si="3"/>
        <v>7845738519.0595675</v>
      </c>
      <c r="K15" s="11">
        <f t="shared" si="4"/>
        <v>7.1582899999999894E-2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2585923.5352959405</v>
      </c>
      <c r="D16" s="11">
        <v>1.6400000000000001E-2</v>
      </c>
      <c r="E16" s="10">
        <f t="shared" si="2"/>
        <v>41724.858302689157</v>
      </c>
      <c r="F16" s="3"/>
      <c r="G16" s="26">
        <v>0.62</v>
      </c>
      <c r="H16" s="10"/>
      <c r="I16" s="10">
        <f t="shared" si="5"/>
        <v>2831.342294643267</v>
      </c>
      <c r="J16" s="10">
        <f t="shared" si="3"/>
        <v>7321634676.1968374</v>
      </c>
      <c r="K16" s="11">
        <f t="shared" si="4"/>
        <v>2.2701679999999946E-2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2544198.6769932513</v>
      </c>
      <c r="D17" s="11">
        <v>1.67E-2</v>
      </c>
      <c r="E17" s="10">
        <f t="shared" si="2"/>
        <v>41790.221211554017</v>
      </c>
      <c r="F17" s="3"/>
      <c r="G17" s="26">
        <v>2.69</v>
      </c>
      <c r="H17" s="10"/>
      <c r="I17" s="10">
        <f t="shared" si="5"/>
        <v>2813.8961385840462</v>
      </c>
      <c r="J17" s="10">
        <f t="shared" si="3"/>
        <v>7159110832.9819489</v>
      </c>
      <c r="K17" s="11">
        <f t="shared" si="4"/>
        <v>4.4049229999999717E-2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2502408.4557816973</v>
      </c>
      <c r="D18" s="11">
        <v>1.6899999999999998E-2</v>
      </c>
      <c r="E18" s="10">
        <f t="shared" si="2"/>
        <v>41587.867934615351</v>
      </c>
      <c r="F18" s="3"/>
      <c r="G18" s="26">
        <v>1.49</v>
      </c>
      <c r="H18" s="10"/>
      <c r="I18" s="10">
        <f t="shared" si="5"/>
        <v>2740.1851578381988</v>
      </c>
      <c r="J18" s="10">
        <f t="shared" si="3"/>
        <v>6857062509.381814</v>
      </c>
      <c r="K18" s="11">
        <f t="shared" si="4"/>
        <v>3.2051809999999792E-2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2460820.5878470819</v>
      </c>
      <c r="D19" s="11">
        <v>1.7100000000000001E-2</v>
      </c>
      <c r="E19" s="10">
        <f t="shared" si="2"/>
        <v>41372.561254729051</v>
      </c>
      <c r="F19" s="3"/>
      <c r="G19" s="26">
        <v>-0.39</v>
      </c>
      <c r="H19" s="10"/>
      <c r="I19" s="10">
        <f t="shared" si="5"/>
        <v>2699.9558161771592</v>
      </c>
      <c r="J19" s="10">
        <f t="shared" si="3"/>
        <v>6644106858.7262249</v>
      </c>
      <c r="K19" s="11">
        <f t="shared" si="4"/>
        <v>1.3133309999999954E-2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2419448.0265923529</v>
      </c>
      <c r="D20" s="11">
        <v>1.7000000000000001E-2</v>
      </c>
      <c r="E20" s="10">
        <f t="shared" si="2"/>
        <v>40443.084023667499</v>
      </c>
      <c r="F20" s="3"/>
      <c r="G20" s="26">
        <v>6.48</v>
      </c>
      <c r="H20" s="10"/>
      <c r="I20" s="10">
        <f t="shared" si="5"/>
        <v>2710.5268709739576</v>
      </c>
      <c r="J20" s="10">
        <f t="shared" si="3"/>
        <v>6557978889.0034866</v>
      </c>
      <c r="K20" s="11">
        <f t="shared" si="4"/>
        <v>8.2901599999999798E-2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2379004.9425686854</v>
      </c>
      <c r="D21" s="11">
        <v>1.6899999999999998E-2</v>
      </c>
      <c r="E21" s="10">
        <f t="shared" si="2"/>
        <v>39537.00809264509</v>
      </c>
      <c r="F21" s="3"/>
      <c r="G21" s="26">
        <v>2.8</v>
      </c>
      <c r="H21" s="10"/>
      <c r="I21" s="10">
        <f t="shared" si="5"/>
        <v>2545.5736955052193</v>
      </c>
      <c r="J21" s="10">
        <f t="shared" si="3"/>
        <v>6055932403.2797508</v>
      </c>
      <c r="K21" s="11">
        <f t="shared" si="4"/>
        <v>4.5373200000000002E-2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2339467.9344760403</v>
      </c>
      <c r="D22" s="11">
        <v>1.6799999999999999E-2</v>
      </c>
      <c r="E22" s="10">
        <f t="shared" si="2"/>
        <v>38653.679483868182</v>
      </c>
      <c r="F22" s="3"/>
      <c r="G22" s="26">
        <v>7.41</v>
      </c>
      <c r="H22" s="10"/>
      <c r="I22" s="10">
        <f t="shared" si="5"/>
        <v>2476.2390034097466</v>
      </c>
      <c r="J22" s="10">
        <f t="shared" si="3"/>
        <v>5793081746.5760088</v>
      </c>
      <c r="K22" s="11">
        <f t="shared" si="4"/>
        <v>9.2144879999999985E-2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2300814.2549921721</v>
      </c>
      <c r="D23" s="11">
        <v>1.6799999999999999E-2</v>
      </c>
      <c r="E23" s="10">
        <f t="shared" si="2"/>
        <v>38015.027029768098</v>
      </c>
      <c r="F23" s="3"/>
      <c r="G23" s="26">
        <v>12.31</v>
      </c>
      <c r="H23" s="10"/>
      <c r="I23" s="10">
        <f t="shared" si="5"/>
        <v>2305.4082519409239</v>
      </c>
      <c r="J23" s="10">
        <f t="shared" si="3"/>
        <v>5304316169.6422625</v>
      </c>
      <c r="K23" s="11">
        <f t="shared" si="4"/>
        <v>0.14196807999999983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2262799.227962404</v>
      </c>
      <c r="D24" s="11">
        <v>1.67E-2</v>
      </c>
      <c r="E24" s="10">
        <f t="shared" si="2"/>
        <v>37168.04082519142</v>
      </c>
      <c r="F24" s="3"/>
      <c r="G24" s="29">
        <v>3.56</v>
      </c>
      <c r="H24" s="10"/>
      <c r="I24" s="10">
        <f t="shared" si="5"/>
        <v>2052.7185931269914</v>
      </c>
      <c r="J24" s="10">
        <f t="shared" si="3"/>
        <v>4644890047.7518282</v>
      </c>
      <c r="K24" s="11">
        <f t="shared" si="4"/>
        <v>5.2894520000000167E-2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2225631.1871372126</v>
      </c>
      <c r="D25" s="11">
        <v>1.6899999999999998E-2</v>
      </c>
      <c r="E25" s="10">
        <f t="shared" si="2"/>
        <v>36988.068701562472</v>
      </c>
      <c r="F25" s="3"/>
      <c r="G25" s="26">
        <v>-9.44</v>
      </c>
      <c r="H25" s="10"/>
      <c r="I25" s="10">
        <f t="shared" si="5"/>
        <v>1982.1539137958587</v>
      </c>
      <c r="J25" s="10">
        <f t="shared" si="3"/>
        <v>4411543568.2501488</v>
      </c>
      <c r="K25" s="11">
        <f t="shared" si="4"/>
        <v>-7.9095360000000059E-2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2188643.1184356501</v>
      </c>
      <c r="D26" s="11">
        <v>1.72E-2</v>
      </c>
      <c r="E26" s="10">
        <f t="shared" si="2"/>
        <v>37008.121939729899</v>
      </c>
      <c r="F26" s="3"/>
      <c r="G26" s="26">
        <v>-12.31</v>
      </c>
      <c r="H26" s="10"/>
      <c r="I26" s="10">
        <f t="shared" si="5"/>
        <v>2188.7741980961337</v>
      </c>
      <c r="J26" s="10">
        <f t="shared" si="3"/>
        <v>4790445586.4726114</v>
      </c>
      <c r="K26" s="11">
        <f t="shared" si="4"/>
        <v>-0.10801731999999997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2151634.9964959202</v>
      </c>
      <c r="D27" s="11">
        <v>1.7500000000000002E-2</v>
      </c>
      <c r="E27" s="10">
        <f t="shared" si="2"/>
        <v>37006.00731074065</v>
      </c>
      <c r="F27" s="3"/>
      <c r="G27" s="26">
        <v>-9.44</v>
      </c>
      <c r="H27" s="10"/>
      <c r="I27" s="10">
        <f t="shared" si="5"/>
        <v>2496.0362619410807</v>
      </c>
      <c r="J27" s="10">
        <f t="shared" si="3"/>
        <v>5370558973.7152872</v>
      </c>
      <c r="K27" s="11">
        <f t="shared" si="4"/>
        <v>-7.8551999999999955E-2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2114628.9891851796</v>
      </c>
      <c r="D28" s="11">
        <v>1.77E-2</v>
      </c>
      <c r="E28" s="10">
        <f t="shared" si="2"/>
        <v>36777.963160634739</v>
      </c>
      <c r="F28" s="3"/>
      <c r="G28" s="29">
        <v>7.6</v>
      </c>
      <c r="H28" s="10"/>
      <c r="I28" s="10">
        <f t="shared" si="5"/>
        <v>2756.2237874791085</v>
      </c>
      <c r="J28" s="10">
        <f t="shared" si="3"/>
        <v>5828390721.6850948</v>
      </c>
      <c r="K28" s="11">
        <f t="shared" si="4"/>
        <v>9.5045200000000385E-2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2077851.0260245448</v>
      </c>
      <c r="D29" s="11">
        <v>1.8100000000000002E-2</v>
      </c>
      <c r="E29" s="10">
        <f t="shared" si="2"/>
        <v>36940.480867345352</v>
      </c>
      <c r="F29" s="3"/>
      <c r="G29" s="29">
        <v>3.6</v>
      </c>
      <c r="H29" s="10"/>
      <c r="I29" s="10">
        <f t="shared" si="5"/>
        <v>2561.5462708913647</v>
      </c>
      <c r="J29" s="10">
        <f t="shared" si="3"/>
        <v>5322511547.1809683</v>
      </c>
      <c r="K29" s="11">
        <f t="shared" si="4"/>
        <v>5.4751600000000122E-2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2040910.5451571995</v>
      </c>
      <c r="D30" s="12">
        <v>1.8499999999999999E-2</v>
      </c>
      <c r="E30" s="10">
        <f t="shared" si="2"/>
        <v>37071.031011691783</v>
      </c>
      <c r="F30" s="3"/>
      <c r="G30" s="29">
        <v>6.2</v>
      </c>
      <c r="H30" s="10"/>
      <c r="I30" s="10">
        <f t="shared" si="5"/>
        <v>2472.5350105129</v>
      </c>
      <c r="J30" s="10">
        <f t="shared" si="3"/>
        <v>5046222776.2261448</v>
      </c>
      <c r="K30" s="11">
        <f t="shared" si="4"/>
        <v>8.1647000000000025E-2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2003839.5141455077</v>
      </c>
      <c r="D31" s="13">
        <v>1.89E-2</v>
      </c>
      <c r="E31" s="10">
        <f t="shared" si="2"/>
        <v>37170.052819069475</v>
      </c>
      <c r="F31" s="3"/>
      <c r="G31" s="26">
        <v>9.43</v>
      </c>
      <c r="H31" s="10"/>
      <c r="I31" s="10">
        <f t="shared" si="5"/>
        <v>2328.1873921967044</v>
      </c>
      <c r="J31" s="10">
        <f t="shared" si="3"/>
        <v>4665313892.8191404</v>
      </c>
      <c r="K31" s="11">
        <f t="shared" si="4"/>
        <v>0.11498226999999983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1966669.4613264382</v>
      </c>
      <c r="D32" s="12">
        <v>1.9400000000000001E-2</v>
      </c>
      <c r="E32" s="10">
        <f t="shared" si="2"/>
        <v>37427.297969131963</v>
      </c>
      <c r="F32" s="3"/>
      <c r="G32" s="26">
        <v>2.06</v>
      </c>
      <c r="H32" s="10"/>
      <c r="I32" s="10">
        <f t="shared" si="5"/>
        <v>2127.5586148192492</v>
      </c>
      <c r="J32" s="10">
        <f t="shared" si="3"/>
        <v>4184204554.9469957</v>
      </c>
      <c r="K32" s="11">
        <f t="shared" si="4"/>
        <v>4.0399639999999959E-2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1929242.1633573063</v>
      </c>
      <c r="D33" s="13">
        <v>1.9800000000000002E-2</v>
      </c>
      <c r="E33" s="10">
        <f t="shared" si="2"/>
        <v>37457.339512134437</v>
      </c>
      <c r="F33" s="3"/>
      <c r="G33" s="26">
        <v>3.61</v>
      </c>
      <c r="H33" s="10"/>
      <c r="I33" s="10">
        <f t="shared" si="5"/>
        <v>2084.6155348023217</v>
      </c>
      <c r="J33" s="10">
        <f t="shared" si="3"/>
        <v>4021728184.1302791</v>
      </c>
      <c r="K33" s="11">
        <f t="shared" si="4"/>
        <v>5.6614780000000087E-2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1891784.8238451718</v>
      </c>
      <c r="D34" s="12">
        <v>2.0400000000000001E-2</v>
      </c>
      <c r="E34" s="10">
        <f t="shared" si="2"/>
        <v>37820.864765230799</v>
      </c>
      <c r="F34" s="3"/>
      <c r="G34" s="26">
        <v>1.9</v>
      </c>
      <c r="H34" s="10"/>
      <c r="I34" s="10">
        <f t="shared" si="5"/>
        <v>2011.9829502966138</v>
      </c>
      <c r="J34" s="10">
        <f t="shared" ref="J34:J65" si="6">IF(I34="","",I34*C34)</f>
        <v>3806238811.2063684</v>
      </c>
      <c r="K34" s="11">
        <f t="shared" ref="K34:K65" si="7">IFERROR(J34/J35-1,"")</f>
        <v>5.30527999999999E-2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1853963.959079941</v>
      </c>
      <c r="D35" s="11">
        <v>2.0799999999999999E-2</v>
      </c>
      <c r="E35" s="10">
        <f t="shared" si="2"/>
        <v>37776.69509097049</v>
      </c>
      <c r="F35" s="3"/>
      <c r="G35" s="26">
        <v>-2.92</v>
      </c>
      <c r="H35" s="10"/>
      <c r="I35" s="10">
        <f t="shared" ref="I35:I66" si="8">IF(H35&lt;&gt;"",H35,I34/(1+IF(G34="",0,G34)/100))</f>
        <v>1949.5958820703622</v>
      </c>
      <c r="J35" s="10">
        <f t="shared" si="6"/>
        <v>3614480500.1291184</v>
      </c>
      <c r="K35" s="11">
        <f t="shared" si="7"/>
        <v>1.8554239999999833E-2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1816187.2639889705</v>
      </c>
      <c r="D36" s="11">
        <v>2.1000000000000001E-2</v>
      </c>
      <c r="E36" s="10">
        <f t="shared" si="2"/>
        <v>37355.467721614288</v>
      </c>
      <c r="F36" s="3"/>
      <c r="G36" s="26">
        <v>0.75</v>
      </c>
      <c r="H36" s="10"/>
      <c r="I36" s="10">
        <f t="shared" si="8"/>
        <v>1953.8944498600542</v>
      </c>
      <c r="J36" s="10">
        <f t="shared" si="6"/>
        <v>3548638215.0145669</v>
      </c>
      <c r="K36" s="11">
        <f t="shared" si="7"/>
        <v>7.7665499999999943E-2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1778831.7962673563</v>
      </c>
      <c r="D37" s="11">
        <v>2.12E-2</v>
      </c>
      <c r="E37" s="10">
        <f t="shared" si="2"/>
        <v>36928.352997324895</v>
      </c>
      <c r="F37" s="3"/>
      <c r="G37" s="26">
        <v>-15.71</v>
      </c>
      <c r="H37" s="10"/>
      <c r="I37" s="10">
        <f t="shared" si="8"/>
        <v>1851.1553290952668</v>
      </c>
      <c r="J37" s="10">
        <f t="shared" si="6"/>
        <v>3292893959.2244225</v>
      </c>
      <c r="K37" s="11">
        <f t="shared" si="7"/>
        <v>-8.5106919999999975E-2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1741903.4432700314</v>
      </c>
      <c r="D38" s="11">
        <v>2.12E-2</v>
      </c>
      <c r="E38" s="10">
        <f t="shared" si="2"/>
        <v>36161.724439213518</v>
      </c>
      <c r="F38" s="3"/>
      <c r="G38" s="26">
        <v>-3.92</v>
      </c>
      <c r="H38" s="10"/>
      <c r="I38" s="10">
        <f t="shared" si="8"/>
        <v>2066.2521811533284</v>
      </c>
      <c r="J38" s="10">
        <f t="shared" si="6"/>
        <v>3599211789.0151954</v>
      </c>
      <c r="K38" s="11">
        <f t="shared" si="7"/>
        <v>1.895336000000003E-2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1705741.7188308178</v>
      </c>
      <c r="D39" s="11">
        <v>2.1100000000000001E-2</v>
      </c>
      <c r="E39" s="10">
        <f t="shared" si="2"/>
        <v>35247.429504779167</v>
      </c>
      <c r="F39" s="3"/>
      <c r="G39" s="26">
        <v>2.59</v>
      </c>
      <c r="H39" s="10"/>
      <c r="I39" s="10">
        <f t="shared" si="8"/>
        <v>2070.8079586623858</v>
      </c>
      <c r="J39" s="10">
        <f t="shared" si="6"/>
        <v>3532263526.7773151</v>
      </c>
      <c r="K39" s="11">
        <f t="shared" si="7"/>
        <v>4.7546489999999997E-2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1670494.2893260387</v>
      </c>
      <c r="D40" s="11">
        <v>2.1000000000000001E-2</v>
      </c>
      <c r="E40" s="10">
        <f t="shared" si="2"/>
        <v>34358.844344609883</v>
      </c>
      <c r="F40" s="3"/>
      <c r="G40" s="26">
        <v>4.59</v>
      </c>
      <c r="H40" s="10"/>
      <c r="I40" s="10">
        <f t="shared" si="8"/>
        <v>2018.5280813552838</v>
      </c>
      <c r="J40" s="10">
        <f t="shared" si="6"/>
        <v>3371939632.7482471</v>
      </c>
      <c r="K40" s="11">
        <f t="shared" si="7"/>
        <v>6.7863899999999866E-2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1636135.4449814288</v>
      </c>
      <c r="D41" s="11">
        <v>2.12E-2</v>
      </c>
      <c r="E41" s="10">
        <f t="shared" si="2"/>
        <v>33965.992394835921</v>
      </c>
      <c r="F41" s="3"/>
      <c r="G41" s="26">
        <v>1.45</v>
      </c>
      <c r="H41" s="10"/>
      <c r="I41" s="10">
        <f t="shared" si="8"/>
        <v>1929.943667038229</v>
      </c>
      <c r="J41" s="10">
        <f t="shared" si="6"/>
        <v>3157649240.4586835</v>
      </c>
      <c r="K41" s="11">
        <f t="shared" si="7"/>
        <v>3.6007399999999912E-2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1602169.4525865929</v>
      </c>
      <c r="D42" s="11">
        <v>2.1399999999999999E-2</v>
      </c>
      <c r="E42" s="10">
        <f t="shared" si="2"/>
        <v>33568.069595998852</v>
      </c>
      <c r="F42" s="3"/>
      <c r="G42" s="26">
        <v>-2.64</v>
      </c>
      <c r="H42" s="10"/>
      <c r="I42" s="10">
        <f t="shared" si="8"/>
        <v>1902.3594549415764</v>
      </c>
      <c r="J42" s="10">
        <f t="shared" si="6"/>
        <v>3047902206.5466747</v>
      </c>
      <c r="K42" s="11">
        <f t="shared" si="7"/>
        <v>-5.5649599999998411E-3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1568601.382990594</v>
      </c>
      <c r="D43" s="11">
        <v>2.1499999999999998E-2</v>
      </c>
      <c r="E43" s="10">
        <f t="shared" si="2"/>
        <v>33015.104977286188</v>
      </c>
      <c r="F43" s="3"/>
      <c r="G43" s="26">
        <v>9.39</v>
      </c>
      <c r="H43" s="10"/>
      <c r="I43" s="10">
        <f t="shared" si="8"/>
        <v>1953.9435650591377</v>
      </c>
      <c r="J43" s="10">
        <f t="shared" si="6"/>
        <v>3064958578.437335</v>
      </c>
      <c r="K43" s="11">
        <f t="shared" si="7"/>
        <v>0.11741884999999996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1535586.2780133078</v>
      </c>
      <c r="D44" s="11">
        <v>2.18E-2</v>
      </c>
      <c r="E44" s="10">
        <f t="shared" si="2"/>
        <v>32761.578450469999</v>
      </c>
      <c r="F44" s="3"/>
      <c r="G44" s="26">
        <v>6.28</v>
      </c>
      <c r="H44" s="10"/>
      <c r="I44" s="10">
        <f t="shared" si="8"/>
        <v>1786.2177210523244</v>
      </c>
      <c r="J44" s="10">
        <f t="shared" si="6"/>
        <v>2742891421.9921517</v>
      </c>
      <c r="K44" s="11">
        <f t="shared" si="7"/>
        <v>8.5969040000000163E-2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1502824.6995628378</v>
      </c>
      <c r="D45" s="11">
        <v>2.2200000000000001E-2</v>
      </c>
      <c r="E45" s="10">
        <f t="shared" si="2"/>
        <v>32638.141587062273</v>
      </c>
      <c r="F45" s="3"/>
      <c r="G45" s="26">
        <v>3.48</v>
      </c>
      <c r="H45" s="10"/>
      <c r="I45" s="10">
        <f t="shared" si="8"/>
        <v>1680.6715478475014</v>
      </c>
      <c r="J45" s="10">
        <f t="shared" si="6"/>
        <v>2525754713.9577308</v>
      </c>
      <c r="K45" s="11">
        <f t="shared" si="7"/>
        <v>5.7772559999999862E-2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1470186.5579757756</v>
      </c>
      <c r="D46" s="11">
        <v>2.2499999999999999E-2</v>
      </c>
      <c r="E46" s="10">
        <f t="shared" si="2"/>
        <v>32351.293451789534</v>
      </c>
      <c r="F46" s="3"/>
      <c r="G46" s="26">
        <v>4.59</v>
      </c>
      <c r="H46" s="10"/>
      <c r="I46" s="10">
        <f t="shared" si="8"/>
        <v>1624.1510899183431</v>
      </c>
      <c r="J46" s="10">
        <f t="shared" si="6"/>
        <v>2387805100.5196533</v>
      </c>
      <c r="K46" s="11">
        <f t="shared" si="7"/>
        <v>6.9432750000000043E-2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1437835.264523986</v>
      </c>
      <c r="D47" s="11">
        <v>2.2800000000000001E-2</v>
      </c>
      <c r="E47" s="10">
        <f t="shared" si="2"/>
        <v>32051.861586963991</v>
      </c>
      <c r="F47" s="3"/>
      <c r="G47" s="26">
        <v>3.37</v>
      </c>
      <c r="H47" s="10"/>
      <c r="I47" s="10">
        <f t="shared" si="8"/>
        <v>1552.8741657121552</v>
      </c>
      <c r="J47" s="10">
        <f t="shared" si="6"/>
        <v>2232777236.8292007</v>
      </c>
      <c r="K47" s="11">
        <f t="shared" si="7"/>
        <v>5.7268359999999907E-2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1405783.402937022</v>
      </c>
      <c r="D48" s="11">
        <v>2.3E-2</v>
      </c>
      <c r="E48" s="10">
        <f t="shared" si="2"/>
        <v>31606.078462904552</v>
      </c>
      <c r="F48" s="3"/>
      <c r="G48" s="26">
        <v>3.51</v>
      </c>
      <c r="H48" s="10"/>
      <c r="I48" s="10">
        <f t="shared" si="8"/>
        <v>1502.248394807154</v>
      </c>
      <c r="J48" s="10">
        <f t="shared" si="6"/>
        <v>2111835860.5086799</v>
      </c>
      <c r="K48" s="11">
        <f t="shared" si="7"/>
        <v>5.8907299999999774E-2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1374177.3244741175</v>
      </c>
      <c r="D49" s="11">
        <v>2.3099999999999999E-2</v>
      </c>
      <c r="E49" s="10">
        <f t="shared" si="2"/>
        <v>31026.777632051613</v>
      </c>
      <c r="F49" s="3"/>
      <c r="G49" s="26">
        <v>0.15</v>
      </c>
      <c r="H49" s="10"/>
      <c r="I49" s="10">
        <f t="shared" si="8"/>
        <v>1451.3075015043514</v>
      </c>
      <c r="J49" s="10">
        <f t="shared" si="6"/>
        <v>1994353859.4064658</v>
      </c>
      <c r="K49" s="11">
        <f t="shared" si="7"/>
        <v>2.4634649999999869E-2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1343150.5468420659</v>
      </c>
      <c r="D50" s="11">
        <v>2.29E-2</v>
      </c>
      <c r="E50" s="10">
        <f t="shared" si="2"/>
        <v>30069.554719604319</v>
      </c>
      <c r="F50" s="3"/>
      <c r="G50" s="26">
        <v>3.85</v>
      </c>
      <c r="H50" s="10"/>
      <c r="I50" s="10">
        <f t="shared" si="8"/>
        <v>1449.1338008031466</v>
      </c>
      <c r="J50" s="10">
        <f t="shared" si="6"/>
        <v>1946404856.9960678</v>
      </c>
      <c r="K50" s="11">
        <f t="shared" si="7"/>
        <v>6.2281649999999855E-2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1313080.9921224616</v>
      </c>
      <c r="D51" s="11">
        <v>2.2700000000000001E-2</v>
      </c>
      <c r="E51" s="10">
        <f t="shared" si="2"/>
        <v>29145.339318646584</v>
      </c>
      <c r="F51" s="3"/>
      <c r="G51" s="26">
        <v>8.24</v>
      </c>
      <c r="H51" s="10"/>
      <c r="I51" s="10">
        <f t="shared" si="8"/>
        <v>1395.4104966809309</v>
      </c>
      <c r="J51" s="10">
        <f t="shared" si="6"/>
        <v>1832286999.3998935</v>
      </c>
      <c r="K51" s="11">
        <f t="shared" si="7"/>
        <v>0.10697047999999998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1283935.652803815</v>
      </c>
      <c r="D52" s="11">
        <v>2.2599999999999999E-2</v>
      </c>
      <c r="E52" s="10">
        <f t="shared" si="2"/>
        <v>28375.655929362634</v>
      </c>
      <c r="F52" s="3"/>
      <c r="G52" s="26">
        <v>5.62</v>
      </c>
      <c r="H52" s="10"/>
      <c r="I52" s="10">
        <f t="shared" si="8"/>
        <v>1289.1819075027079</v>
      </c>
      <c r="J52" s="10">
        <f t="shared" si="6"/>
        <v>1655226613.9923565</v>
      </c>
      <c r="K52" s="11">
        <f t="shared" si="7"/>
        <v>8.0070120000000022E-2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1255559.9968744523</v>
      </c>
      <c r="D53" s="11">
        <v>2.2499999999999999E-2</v>
      </c>
      <c r="E53" s="10">
        <f t="shared" si="2"/>
        <v>27628.459588924423</v>
      </c>
      <c r="F53" s="3"/>
      <c r="G53" s="26">
        <v>6.55</v>
      </c>
      <c r="H53" s="10"/>
      <c r="I53" s="10">
        <f t="shared" si="8"/>
        <v>1220.5850288796703</v>
      </c>
      <c r="J53" s="10">
        <f t="shared" si="6"/>
        <v>1532517735.0451622</v>
      </c>
      <c r="K53" s="11">
        <f t="shared" si="7"/>
        <v>8.9473750000000241E-2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1227931.5372855279</v>
      </c>
      <c r="D54" s="11">
        <v>2.2499999999999999E-2</v>
      </c>
      <c r="E54" s="10">
        <f t="shared" si="2"/>
        <v>27020.498375476105</v>
      </c>
      <c r="F54" s="3"/>
      <c r="G54" s="26">
        <v>4.33</v>
      </c>
      <c r="H54" s="10"/>
      <c r="I54" s="10">
        <f t="shared" si="8"/>
        <v>1145.5514114309433</v>
      </c>
      <c r="J54" s="10">
        <f t="shared" si="6"/>
        <v>1406658705.6780045</v>
      </c>
      <c r="K54" s="11">
        <f t="shared" si="7"/>
        <v>6.6774249999999702E-2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1200911.0389100518</v>
      </c>
      <c r="D55" s="11">
        <v>2.2499999999999999E-2</v>
      </c>
      <c r="E55" s="10">
        <f t="shared" si="2"/>
        <v>26425.915281639202</v>
      </c>
      <c r="F55" s="3"/>
      <c r="G55" s="26">
        <v>10.039999999999999</v>
      </c>
      <c r="H55" s="10"/>
      <c r="I55" s="10">
        <f t="shared" si="8"/>
        <v>1098.0076789331385</v>
      </c>
      <c r="J55" s="10">
        <f t="shared" si="6"/>
        <v>1318609542.4388101</v>
      </c>
      <c r="K55" s="11">
        <f t="shared" si="7"/>
        <v>0.12515900000000002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1174485.1236284126</v>
      </c>
      <c r="D56" s="11">
        <v>2.24E-2</v>
      </c>
      <c r="E56" s="10">
        <f t="shared" si="2"/>
        <v>25732.068436303176</v>
      </c>
      <c r="F56" s="3"/>
      <c r="G56" s="26">
        <v>7.35</v>
      </c>
      <c r="H56" s="10"/>
      <c r="I56" s="10">
        <f t="shared" si="8"/>
        <v>997.82595322895179</v>
      </c>
      <c r="J56" s="10">
        <f t="shared" si="6"/>
        <v>1171931738.037744</v>
      </c>
      <c r="K56" s="11">
        <f t="shared" si="7"/>
        <v>9.7546399999999922E-2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1148753.0551921094</v>
      </c>
      <c r="D57" s="11">
        <v>2.24E-2</v>
      </c>
      <c r="E57" s="10">
        <f t="shared" si="2"/>
        <v>25168.298548809951</v>
      </c>
      <c r="F57" s="3"/>
      <c r="G57" s="26">
        <v>13.85</v>
      </c>
      <c r="H57" s="10"/>
      <c r="I57" s="10">
        <f t="shared" si="8"/>
        <v>929.50717580712796</v>
      </c>
      <c r="J57" s="10">
        <f t="shared" si="6"/>
        <v>1067774208.0314274</v>
      </c>
      <c r="K57" s="11">
        <f t="shared" si="7"/>
        <v>0.16400239999999999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1123584.7566432995</v>
      </c>
      <c r="D58" s="11">
        <v>2.2200000000000001E-2</v>
      </c>
      <c r="E58" s="10">
        <f t="shared" si="2"/>
        <v>24401.860298846848</v>
      </c>
      <c r="F58" s="3"/>
      <c r="G58" s="26">
        <v>0.5</v>
      </c>
      <c r="H58" s="10"/>
      <c r="I58" s="10">
        <f t="shared" si="8"/>
        <v>816.43142363384095</v>
      </c>
      <c r="J58" s="10">
        <f t="shared" si="6"/>
        <v>917329902.43957174</v>
      </c>
      <c r="K58" s="11">
        <f t="shared" si="7"/>
        <v>2.7310999999999863E-2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1099182.8963444526</v>
      </c>
      <c r="D59" s="11">
        <v>2.1899999999999999E-2</v>
      </c>
      <c r="E59" s="10">
        <f t="shared" si="2"/>
        <v>23556.224121678853</v>
      </c>
      <c r="F59" s="3"/>
      <c r="G59" s="26">
        <v>0.28999999999999998</v>
      </c>
      <c r="H59" s="10"/>
      <c r="I59" s="10">
        <f t="shared" si="8"/>
        <v>812.36957575506574</v>
      </c>
      <c r="J59" s="10">
        <f t="shared" si="6"/>
        <v>892942743.18056738</v>
      </c>
      <c r="K59" s="11">
        <f t="shared" si="7"/>
        <v>2.4863509999999867E-2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1075626.6722227738</v>
      </c>
      <c r="D60" s="11">
        <v>2.1600000000000001E-2</v>
      </c>
      <c r="E60" s="10">
        <f t="shared" si="2"/>
        <v>22742.302388421958</v>
      </c>
      <c r="F60" s="3"/>
      <c r="G60" s="26">
        <v>4.91</v>
      </c>
      <c r="H60" s="10"/>
      <c r="I60" s="10">
        <f t="shared" si="8"/>
        <v>810.02051625791785</v>
      </c>
      <c r="J60" s="10">
        <f t="shared" si="6"/>
        <v>871279672.33467746</v>
      </c>
      <c r="K60" s="11">
        <f t="shared" si="7"/>
        <v>7.1760559999999973E-2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1052884.3698343518</v>
      </c>
      <c r="D61" s="11">
        <v>2.1299999999999999E-2</v>
      </c>
      <c r="E61" s="10">
        <f t="shared" si="2"/>
        <v>21958.716417773277</v>
      </c>
      <c r="F61" s="3"/>
      <c r="G61" s="26">
        <v>4.5</v>
      </c>
      <c r="H61" s="10"/>
      <c r="I61" s="10">
        <f t="shared" si="8"/>
        <v>772.10991922401854</v>
      </c>
      <c r="J61" s="10">
        <f t="shared" si="6"/>
        <v>812942465.74503303</v>
      </c>
      <c r="K61" s="11">
        <f t="shared" si="7"/>
        <v>6.725850000000011E-2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1030925.6534165785</v>
      </c>
      <c r="D62" s="11">
        <v>2.1100000000000001E-2</v>
      </c>
      <c r="E62" s="10">
        <f t="shared" si="2"/>
        <v>21303.037202124833</v>
      </c>
      <c r="F62" s="3"/>
      <c r="G62" s="26">
        <v>7.45</v>
      </c>
      <c r="H62" s="10"/>
      <c r="I62" s="10">
        <f t="shared" si="8"/>
        <v>738.8611667215489</v>
      </c>
      <c r="J62" s="10">
        <f t="shared" si="6"/>
        <v>761710931.08654833</v>
      </c>
      <c r="K62" s="11">
        <f t="shared" si="7"/>
        <v>9.7171949999999674E-2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1009622.6162144537</v>
      </c>
      <c r="D63" s="11">
        <v>2.0899999999999998E-2</v>
      </c>
      <c r="E63" s="10">
        <f t="shared" si="2"/>
        <v>20669.12790565379</v>
      </c>
      <c r="F63" s="3"/>
      <c r="G63" s="26">
        <v>2.76</v>
      </c>
      <c r="H63" s="10"/>
      <c r="I63" s="10">
        <f t="shared" si="8"/>
        <v>687.63254231879841</v>
      </c>
      <c r="J63" s="10">
        <f t="shared" si="6"/>
        <v>694249366.37010133</v>
      </c>
      <c r="K63" s="11">
        <f t="shared" si="7"/>
        <v>4.9076839999999899E-2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988953.48830879992</v>
      </c>
      <c r="D64" s="11">
        <v>2.06E-2</v>
      </c>
      <c r="E64" s="10">
        <f t="shared" si="2"/>
        <v>19961.240308799897</v>
      </c>
      <c r="F64" s="3"/>
      <c r="G64" s="26">
        <v>6.38</v>
      </c>
      <c r="H64" s="10"/>
      <c r="I64" s="10">
        <f t="shared" si="8"/>
        <v>669.16362623472014</v>
      </c>
      <c r="J64" s="10">
        <f t="shared" si="6"/>
        <v>661771702.41419244</v>
      </c>
      <c r="K64" s="11">
        <f t="shared" si="7"/>
        <v>8.5714280000000143E-2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968992.24800000002</v>
      </c>
      <c r="D65" s="11">
        <v>2.0400000000000001E-2</v>
      </c>
      <c r="E65" s="10">
        <f t="shared" si="2"/>
        <v>19372.248000000021</v>
      </c>
      <c r="F65" s="3"/>
      <c r="G65" s="26">
        <v>5.12</v>
      </c>
      <c r="H65" s="10"/>
      <c r="I65" s="10">
        <f t="shared" si="8"/>
        <v>629.03142154043996</v>
      </c>
      <c r="J65" s="10">
        <f t="shared" si="6"/>
        <v>609526571.22110653</v>
      </c>
      <c r="K65" s="11">
        <f t="shared" si="7"/>
        <v>7.2644479999999678E-2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949620</v>
      </c>
      <c r="D66" s="11">
        <v>0.02</v>
      </c>
      <c r="E66" s="10">
        <f t="shared" si="2"/>
        <v>18620</v>
      </c>
      <c r="F66" s="3"/>
      <c r="G66" s="26">
        <v>7.78</v>
      </c>
      <c r="H66" s="10"/>
      <c r="I66" s="10">
        <f t="shared" si="8"/>
        <v>598.39366584897266</v>
      </c>
      <c r="J66" s="10">
        <f t="shared" ref="J66:J67" si="9">IF(I66="","",I66*C66)</f>
        <v>568246592.96350145</v>
      </c>
      <c r="K66" s="11">
        <f t="shared" ref="K66" si="10">IFERROR(J66/J67-1,"")</f>
        <v>9.9356000000000222E-2</v>
      </c>
    </row>
    <row r="67" spans="1:11" ht="22.5" customHeight="1">
      <c r="A67" s="3">
        <f t="shared" si="0"/>
        <v>1950</v>
      </c>
      <c r="B67" s="3">
        <v>1700</v>
      </c>
      <c r="C67" s="10">
        <v>931000</v>
      </c>
      <c r="D67" s="11">
        <v>2.0400000000000001E-2</v>
      </c>
      <c r="E67" s="3" t="s">
        <v>72</v>
      </c>
      <c r="F67" s="3"/>
      <c r="G67" s="26">
        <v>7.87</v>
      </c>
      <c r="H67" s="10"/>
      <c r="I67" s="10">
        <f t="shared" ref="I67" si="11">IF(H67&lt;&gt;"",H67,I66/(1+IF(G66="",0,G66)/100))</f>
        <v>555.19917039244069</v>
      </c>
      <c r="J67" s="10">
        <f t="shared" si="9"/>
        <v>516890427.63536227</v>
      </c>
      <c r="K67" s="11"/>
    </row>
  </sheetData>
  <dataValidations count="1">
    <dataValidation type="custom" allowBlank="1" showDropDown="1" sqref="D2:D67" xr:uid="{00000000-0002-0000-0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67"/>
  <sheetViews>
    <sheetView topLeftCell="A35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21769692.941413205</v>
      </c>
      <c r="D2" s="11">
        <v>1.09E-2</v>
      </c>
      <c r="E2" s="10">
        <f t="shared" ref="E2:E66" si="2">SUM(C2-C3)</f>
        <v>234731.08424315229</v>
      </c>
      <c r="F2" s="14">
        <v>21768597</v>
      </c>
      <c r="G2" s="29">
        <v>6.99</v>
      </c>
      <c r="H2" s="10"/>
      <c r="I2" s="10">
        <f>IF(H2&lt;&gt;"",H2,86032)</f>
        <v>10754</v>
      </c>
      <c r="J2" s="10">
        <f t="shared" ref="J2:J33" si="3">IF(I2="","",I2*C2)</f>
        <v>234111277891.95761</v>
      </c>
      <c r="K2" s="11">
        <f t="shared" ref="K2:K33" si="4">IFERROR(J2/J3-1,"")</f>
        <v>8.1561910000000015E-2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21534961.857170053</v>
      </c>
      <c r="D3" s="11">
        <v>1.0999999999999999E-2</v>
      </c>
      <c r="E3" s="10">
        <f t="shared" si="2"/>
        <v>234307.20121549815</v>
      </c>
      <c r="F3" s="3"/>
      <c r="G3" s="29">
        <v>6.42</v>
      </c>
      <c r="H3" s="10"/>
      <c r="I3" s="10">
        <f t="shared" ref="I3:I34" si="5">IF(H3&lt;&gt;"",H3,I2/(1+IF(G2="",0,G2)/100))</f>
        <v>10051.406673520889</v>
      </c>
      <c r="J3" s="10">
        <f t="shared" si="3"/>
        <v>216456659325.17688</v>
      </c>
      <c r="K3" s="11">
        <f t="shared" si="4"/>
        <v>7.5906199999999924E-2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21300654.655954555</v>
      </c>
      <c r="D4" s="11">
        <v>9.5999999999999992E-3</v>
      </c>
      <c r="E4" s="10">
        <f t="shared" si="2"/>
        <v>202541.88262397423</v>
      </c>
      <c r="F4" s="3"/>
      <c r="G4" s="29">
        <v>5.55</v>
      </c>
      <c r="H4" s="10"/>
      <c r="I4" s="10">
        <f t="shared" si="5"/>
        <v>9445.0354007901606</v>
      </c>
      <c r="J4" s="10">
        <f t="shared" si="3"/>
        <v>201185437285.49652</v>
      </c>
      <c r="K4" s="11">
        <f t="shared" si="4"/>
        <v>6.5632800000000158E-2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21098112.77333058</v>
      </c>
      <c r="D5" s="11">
        <v>9.5999999999999992E-3</v>
      </c>
      <c r="E5" s="10">
        <f t="shared" si="2"/>
        <v>200615.96931851655</v>
      </c>
      <c r="F5" s="3"/>
      <c r="G5" s="29">
        <v>8.5</v>
      </c>
      <c r="H5" s="10"/>
      <c r="I5" s="10">
        <f t="shared" si="5"/>
        <v>8948.3992428139827</v>
      </c>
      <c r="J5" s="10">
        <f t="shared" si="3"/>
        <v>188794336365.67538</v>
      </c>
      <c r="K5" s="11">
        <f t="shared" si="4"/>
        <v>9.5416000000000167E-2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20897496.804012064</v>
      </c>
      <c r="D6" s="11">
        <v>1.1900000000000001E-2</v>
      </c>
      <c r="E6" s="10">
        <f t="shared" si="2"/>
        <v>245755.71891268343</v>
      </c>
      <c r="F6" s="3"/>
      <c r="G6" s="29">
        <v>8.41</v>
      </c>
      <c r="H6" s="10"/>
      <c r="I6" s="10">
        <f t="shared" si="5"/>
        <v>8247.3725740221034</v>
      </c>
      <c r="J6" s="10">
        <f t="shared" si="3"/>
        <v>172349442007.12366</v>
      </c>
      <c r="K6" s="11">
        <f t="shared" si="4"/>
        <v>9.7000790000000059E-2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20651741.08509938</v>
      </c>
      <c r="D7" s="11">
        <v>1.7100000000000001E-2</v>
      </c>
      <c r="E7" s="10">
        <f t="shared" si="2"/>
        <v>347207.52389656752</v>
      </c>
      <c r="F7" s="3"/>
      <c r="G7" s="29">
        <v>8.42</v>
      </c>
      <c r="H7" s="10"/>
      <c r="I7" s="10">
        <f t="shared" si="5"/>
        <v>7607.5754764524518</v>
      </c>
      <c r="J7" s="10">
        <f t="shared" si="3"/>
        <v>157109679025.04761</v>
      </c>
      <c r="K7" s="11">
        <f t="shared" si="4"/>
        <v>0.10273982000000004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20304533.561202813</v>
      </c>
      <c r="D8" s="11">
        <v>1.8100000000000002E-2</v>
      </c>
      <c r="E8" s="10">
        <f t="shared" si="2"/>
        <v>360978.34933480993</v>
      </c>
      <c r="F8" s="3"/>
      <c r="G8" s="29">
        <v>7.4</v>
      </c>
      <c r="H8" s="10"/>
      <c r="I8" s="10">
        <f t="shared" si="5"/>
        <v>7016.7639517178113</v>
      </c>
      <c r="J8" s="10">
        <f t="shared" si="3"/>
        <v>142472119148.69238</v>
      </c>
      <c r="K8" s="11">
        <f t="shared" si="4"/>
        <v>9.3439400000000283E-2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19943555.211868003</v>
      </c>
      <c r="D9" s="11">
        <v>1.47E-2</v>
      </c>
      <c r="E9" s="10">
        <f t="shared" si="2"/>
        <v>288923.09215971082</v>
      </c>
      <c r="F9" s="3"/>
      <c r="G9" s="29">
        <v>5.66</v>
      </c>
      <c r="H9" s="10"/>
      <c r="I9" s="10">
        <f t="shared" si="5"/>
        <v>6533.2997688247769</v>
      </c>
      <c r="J9" s="10">
        <f t="shared" si="3"/>
        <v>130297224655.24139</v>
      </c>
      <c r="K9" s="11">
        <f t="shared" si="4"/>
        <v>7.2132019999999963E-2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19654632.119708292</v>
      </c>
      <c r="D10" s="11">
        <v>1.3299999999999999E-2</v>
      </c>
      <c r="E10" s="10">
        <f t="shared" si="2"/>
        <v>257975.53260843083</v>
      </c>
      <c r="F10" s="3"/>
      <c r="G10" s="29">
        <v>7.13</v>
      </c>
      <c r="H10" s="10"/>
      <c r="I10" s="10">
        <f t="shared" si="5"/>
        <v>6183.3236502222007</v>
      </c>
      <c r="J10" s="10">
        <f t="shared" si="3"/>
        <v>121530951622.20918</v>
      </c>
      <c r="K10" s="11">
        <f t="shared" si="4"/>
        <v>8.5548290000000193E-2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19396656.587099861</v>
      </c>
      <c r="D11" s="11">
        <v>1.1299999999999999E-2</v>
      </c>
      <c r="E11" s="10">
        <f t="shared" si="2"/>
        <v>216733.13500863314</v>
      </c>
      <c r="F11" s="3"/>
      <c r="G11" s="29">
        <v>6.98</v>
      </c>
      <c r="H11" s="10"/>
      <c r="I11" s="10">
        <f t="shared" si="5"/>
        <v>5771.7946889033892</v>
      </c>
      <c r="J11" s="10">
        <f t="shared" si="3"/>
        <v>111953519471.90591</v>
      </c>
      <c r="K11" s="11">
        <f t="shared" si="4"/>
        <v>8.1888740000000126E-2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19179923.452091228</v>
      </c>
      <c r="D12" s="11">
        <v>9.9000000000000008E-3</v>
      </c>
      <c r="E12" s="10">
        <f t="shared" si="2"/>
        <v>188019.84570324048</v>
      </c>
      <c r="F12" s="3"/>
      <c r="G12" s="29">
        <v>7.55</v>
      </c>
      <c r="H12" s="10"/>
      <c r="I12" s="10">
        <f t="shared" si="5"/>
        <v>5395.2090941329116</v>
      </c>
      <c r="J12" s="10">
        <f t="shared" si="3"/>
        <v>103479697433.4957</v>
      </c>
      <c r="K12" s="11">
        <f t="shared" si="4"/>
        <v>8.6147449999999681E-2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18991903.606387988</v>
      </c>
      <c r="D13" s="11">
        <v>8.9999999999999993E-3</v>
      </c>
      <c r="E13" s="10">
        <f t="shared" si="2"/>
        <v>169402.50986867025</v>
      </c>
      <c r="F13" s="3"/>
      <c r="G13" s="29">
        <v>7.54</v>
      </c>
      <c r="H13" s="10"/>
      <c r="I13" s="10">
        <f t="shared" si="5"/>
        <v>5016.4659173713735</v>
      </c>
      <c r="J13" s="10">
        <f t="shared" si="3"/>
        <v>95272237147.447815</v>
      </c>
      <c r="K13" s="11">
        <f t="shared" si="4"/>
        <v>8.5078599999999893E-2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18822501.096519317</v>
      </c>
      <c r="D14" s="11">
        <v>8.3999999999999995E-3</v>
      </c>
      <c r="E14" s="10">
        <f t="shared" si="2"/>
        <v>156791.95677386224</v>
      </c>
      <c r="F14" s="3"/>
      <c r="G14" s="29">
        <v>6.9</v>
      </c>
      <c r="H14" s="10"/>
      <c r="I14" s="10">
        <f t="shared" si="5"/>
        <v>4664.7442043624451</v>
      </c>
      <c r="J14" s="10">
        <f t="shared" si="3"/>
        <v>87802152901.594254</v>
      </c>
      <c r="K14" s="11">
        <f t="shared" si="4"/>
        <v>7.7979599999999927E-2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18665709.139745455</v>
      </c>
      <c r="D15" s="11">
        <v>7.4999999999999997E-3</v>
      </c>
      <c r="E15" s="10">
        <f t="shared" si="2"/>
        <v>138950.68838520348</v>
      </c>
      <c r="F15" s="3"/>
      <c r="G15" s="29">
        <v>6.32</v>
      </c>
      <c r="H15" s="10"/>
      <c r="I15" s="10">
        <f t="shared" si="5"/>
        <v>4363.6522023970492</v>
      </c>
      <c r="J15" s="10">
        <f t="shared" si="3"/>
        <v>81450662796.952988</v>
      </c>
      <c r="K15" s="11">
        <f t="shared" si="4"/>
        <v>7.1174000000000071E-2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18526758.451360252</v>
      </c>
      <c r="D16" s="11">
        <v>6.4999999999999997E-3</v>
      </c>
      <c r="E16" s="10">
        <f t="shared" si="2"/>
        <v>119646.22944246605</v>
      </c>
      <c r="F16" s="3"/>
      <c r="G16" s="29">
        <v>6.19</v>
      </c>
      <c r="H16" s="10"/>
      <c r="I16" s="10">
        <f t="shared" si="5"/>
        <v>4104.2627938271726</v>
      </c>
      <c r="J16" s="10">
        <f t="shared" si="3"/>
        <v>76038685402.141006</v>
      </c>
      <c r="K16" s="11">
        <f t="shared" si="4"/>
        <v>6.8802350000000123E-2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18407112.221917786</v>
      </c>
      <c r="D17" s="11">
        <v>6.1999999999999998E-3</v>
      </c>
      <c r="E17" s="10">
        <f t="shared" si="2"/>
        <v>113420.88628094643</v>
      </c>
      <c r="F17" s="3"/>
      <c r="G17" s="29">
        <v>6.79</v>
      </c>
      <c r="H17" s="10"/>
      <c r="I17" s="10">
        <f t="shared" si="5"/>
        <v>3865.0181691563917</v>
      </c>
      <c r="J17" s="10">
        <f t="shared" si="3"/>
        <v>71143823179.412918</v>
      </c>
      <c r="K17" s="11">
        <f t="shared" si="4"/>
        <v>7.4520979999999737E-2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18293691.335636839</v>
      </c>
      <c r="D18" s="11">
        <v>6.6E-3</v>
      </c>
      <c r="E18" s="10">
        <f t="shared" si="2"/>
        <v>119946.7144995071</v>
      </c>
      <c r="F18" s="3"/>
      <c r="G18" s="29">
        <v>4.7699999999999996</v>
      </c>
      <c r="H18" s="10"/>
      <c r="I18" s="10">
        <f t="shared" si="5"/>
        <v>3619.2697529322891</v>
      </c>
      <c r="J18" s="10">
        <f t="shared" si="3"/>
        <v>66209803720.549904</v>
      </c>
      <c r="K18" s="11">
        <f t="shared" si="4"/>
        <v>5.4614820000000064E-2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18173744.621137332</v>
      </c>
      <c r="D19" s="11">
        <v>7.3000000000000001E-3</v>
      </c>
      <c r="E19" s="10">
        <f t="shared" si="2"/>
        <v>131706.87554284185</v>
      </c>
      <c r="F19" s="3"/>
      <c r="G19" s="29">
        <v>5.76</v>
      </c>
      <c r="H19" s="10"/>
      <c r="I19" s="10">
        <f t="shared" si="5"/>
        <v>3454.4905535289577</v>
      </c>
      <c r="J19" s="10">
        <f t="shared" si="3"/>
        <v>62781029115.966621</v>
      </c>
      <c r="K19" s="11">
        <f t="shared" si="4"/>
        <v>6.5320480000000236E-2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18042037.74559449</v>
      </c>
      <c r="D20" s="11">
        <v>7.9000000000000008E-3</v>
      </c>
      <c r="E20" s="10">
        <f t="shared" si="2"/>
        <v>141414.92031967267</v>
      </c>
      <c r="F20" s="3"/>
      <c r="G20" s="29">
        <v>8.15</v>
      </c>
      <c r="H20" s="10"/>
      <c r="I20" s="10">
        <f t="shared" si="5"/>
        <v>3266.3488592369113</v>
      </c>
      <c r="J20" s="10">
        <f t="shared" si="3"/>
        <v>58931589408.631859</v>
      </c>
      <c r="K20" s="11">
        <f t="shared" si="4"/>
        <v>9.0043850000000036E-2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17900622.825274818</v>
      </c>
      <c r="D21" s="11">
        <v>8.8999999999999999E-3</v>
      </c>
      <c r="E21" s="10">
        <f t="shared" si="2"/>
        <v>157910.14287337288</v>
      </c>
      <c r="F21" s="3"/>
      <c r="G21" s="29">
        <v>9.34</v>
      </c>
      <c r="H21" s="10"/>
      <c r="I21" s="10">
        <f t="shared" si="5"/>
        <v>3020.202366377172</v>
      </c>
      <c r="J21" s="10">
        <f t="shared" si="3"/>
        <v>54063503416.520226</v>
      </c>
      <c r="K21" s="11">
        <f t="shared" si="4"/>
        <v>0.10313126000000006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17742712.682401445</v>
      </c>
      <c r="D22" s="11">
        <v>9.7999999999999997E-3</v>
      </c>
      <c r="E22" s="10">
        <f t="shared" si="2"/>
        <v>172191.1113958545</v>
      </c>
      <c r="F22" s="3"/>
      <c r="G22" s="29">
        <v>9.5399999999999991</v>
      </c>
      <c r="H22" s="10"/>
      <c r="I22" s="10">
        <f t="shared" si="5"/>
        <v>2762.2117856019499</v>
      </c>
      <c r="J22" s="10">
        <f t="shared" si="3"/>
        <v>49009130079.878456</v>
      </c>
      <c r="K22" s="11">
        <f t="shared" si="4"/>
        <v>0.10613491999999991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17570521.57100559</v>
      </c>
      <c r="D23" s="11">
        <v>1.0699999999999999E-2</v>
      </c>
      <c r="E23" s="10">
        <f t="shared" si="2"/>
        <v>186014.22856412083</v>
      </c>
      <c r="F23" s="3"/>
      <c r="G23" s="29">
        <v>8.84</v>
      </c>
      <c r="H23" s="10"/>
      <c r="I23" s="10">
        <f t="shared" si="5"/>
        <v>2521.6466912561168</v>
      </c>
      <c r="J23" s="10">
        <f t="shared" si="3"/>
        <v>44306647583.170471</v>
      </c>
      <c r="K23" s="11">
        <f t="shared" si="4"/>
        <v>0.1000458799999997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17384507.342441469</v>
      </c>
      <c r="D24" s="11">
        <v>1.1900000000000001E-2</v>
      </c>
      <c r="E24" s="10">
        <f t="shared" si="2"/>
        <v>204442.76843072847</v>
      </c>
      <c r="F24" s="3"/>
      <c r="G24" s="29">
        <v>8.07</v>
      </c>
      <c r="H24" s="10"/>
      <c r="I24" s="10">
        <f t="shared" si="5"/>
        <v>2316.8381948328893</v>
      </c>
      <c r="J24" s="10">
        <f t="shared" si="3"/>
        <v>40277090609.321205</v>
      </c>
      <c r="K24" s="11">
        <f t="shared" si="4"/>
        <v>9.356033000000008E-2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17180064.574010741</v>
      </c>
      <c r="D25" s="11">
        <v>1.37E-2</v>
      </c>
      <c r="E25" s="10">
        <f t="shared" si="2"/>
        <v>232185.93732262775</v>
      </c>
      <c r="F25" s="3"/>
      <c r="G25" s="29">
        <v>8.65</v>
      </c>
      <c r="H25" s="10"/>
      <c r="I25" s="10">
        <f t="shared" si="5"/>
        <v>2143.8310306587296</v>
      </c>
      <c r="J25" s="10">
        <f t="shared" si="3"/>
        <v>36831155542.484978</v>
      </c>
      <c r="K25" s="11">
        <f t="shared" si="4"/>
        <v>0.1013850500000002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16947878.636688113</v>
      </c>
      <c r="D26" s="11">
        <v>1.5599999999999999E-2</v>
      </c>
      <c r="E26" s="10">
        <f t="shared" si="2"/>
        <v>260325.82387981191</v>
      </c>
      <c r="F26" s="3"/>
      <c r="G26" s="29">
        <v>5.96</v>
      </c>
      <c r="H26" s="10"/>
      <c r="I26" s="10">
        <f t="shared" si="5"/>
        <v>1973.153272580515</v>
      </c>
      <c r="J26" s="10">
        <f t="shared" si="3"/>
        <v>33440762195.278549</v>
      </c>
      <c r="K26" s="11">
        <f t="shared" si="4"/>
        <v>7.6129760000000379E-2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16687552.812808301</v>
      </c>
      <c r="D27" s="11">
        <v>1.7299999999999999E-2</v>
      </c>
      <c r="E27" s="10">
        <f t="shared" si="2"/>
        <v>283785.18004677631</v>
      </c>
      <c r="F27" s="3"/>
      <c r="G27" s="29">
        <v>-1.1000000000000001</v>
      </c>
      <c r="H27" s="10"/>
      <c r="I27" s="10">
        <f t="shared" si="5"/>
        <v>1862.1680564180019</v>
      </c>
      <c r="J27" s="10">
        <f t="shared" si="3"/>
        <v>31075027787.799995</v>
      </c>
      <c r="K27" s="11">
        <f t="shared" si="4"/>
        <v>6.1097000000001067E-3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16403767.632761525</v>
      </c>
      <c r="D28" s="11">
        <v>1.8200000000000001E-2</v>
      </c>
      <c r="E28" s="10">
        <f t="shared" si="2"/>
        <v>293212.11050506681</v>
      </c>
      <c r="F28" s="3"/>
      <c r="G28" s="29">
        <v>7.36</v>
      </c>
      <c r="H28" s="10"/>
      <c r="I28" s="10">
        <f t="shared" si="5"/>
        <v>1882.8797334863518</v>
      </c>
      <c r="J28" s="10">
        <f t="shared" si="3"/>
        <v>30886321628.546066</v>
      </c>
      <c r="K28" s="11">
        <f t="shared" si="4"/>
        <v>9.3139519999999809E-2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16110555.522256458</v>
      </c>
      <c r="D29" s="11">
        <v>1.8499999999999999E-2</v>
      </c>
      <c r="E29" s="10">
        <f t="shared" si="2"/>
        <v>292631.59269685298</v>
      </c>
      <c r="F29" s="3"/>
      <c r="G29" s="29">
        <v>5.14</v>
      </c>
      <c r="H29" s="10"/>
      <c r="I29" s="10">
        <f t="shared" si="5"/>
        <v>1753.8000498196275</v>
      </c>
      <c r="J29" s="10">
        <f t="shared" si="3"/>
        <v>28254693077.555252</v>
      </c>
      <c r="K29" s="11">
        <f t="shared" si="4"/>
        <v>7.0850899999999939E-2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15817923.929559605</v>
      </c>
      <c r="D30" s="12">
        <v>1.8800000000000001E-2</v>
      </c>
      <c r="E30" s="10">
        <f t="shared" si="2"/>
        <v>291889.44824864529</v>
      </c>
      <c r="F30" s="3"/>
      <c r="G30" s="29">
        <v>3.58</v>
      </c>
      <c r="H30" s="10"/>
      <c r="I30" s="10">
        <f t="shared" si="5"/>
        <v>1668.0616794936539</v>
      </c>
      <c r="J30" s="10">
        <f t="shared" si="3"/>
        <v>26385272756.044052</v>
      </c>
      <c r="K30" s="11">
        <f t="shared" si="4"/>
        <v>5.5273039999999884E-2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15526034.48131096</v>
      </c>
      <c r="D31" s="13">
        <v>1.9400000000000001E-2</v>
      </c>
      <c r="E31" s="10">
        <f t="shared" si="2"/>
        <v>295472.89477872662</v>
      </c>
      <c r="F31" s="3"/>
      <c r="G31" s="29">
        <v>8.7899999999999991</v>
      </c>
      <c r="H31" s="10"/>
      <c r="I31" s="10">
        <f t="shared" si="5"/>
        <v>1610.409036004686</v>
      </c>
      <c r="J31" s="10">
        <f t="shared" si="3"/>
        <v>25003266222.023499</v>
      </c>
      <c r="K31" s="11">
        <f t="shared" si="4"/>
        <v>0.10900525999999999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15230561.586532233</v>
      </c>
      <c r="D32" s="12">
        <v>1.9800000000000002E-2</v>
      </c>
      <c r="E32" s="10">
        <f t="shared" si="2"/>
        <v>295710.06022096425</v>
      </c>
      <c r="F32" s="3"/>
      <c r="G32" s="29">
        <v>9.81</v>
      </c>
      <c r="H32" s="10"/>
      <c r="I32" s="10">
        <f t="shared" si="5"/>
        <v>1480.2914201716021</v>
      </c>
      <c r="J32" s="10">
        <f t="shared" si="3"/>
        <v>22545669640.93885</v>
      </c>
      <c r="K32" s="11">
        <f t="shared" si="4"/>
        <v>0.11984238000000014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14934851.526311269</v>
      </c>
      <c r="D33" s="13">
        <v>2.0199999999999999E-2</v>
      </c>
      <c r="E33" s="10">
        <f t="shared" si="2"/>
        <v>295710.64578659832</v>
      </c>
      <c r="F33" s="3"/>
      <c r="G33" s="29">
        <v>10.39</v>
      </c>
      <c r="H33" s="10"/>
      <c r="I33" s="10">
        <f t="shared" si="5"/>
        <v>1348.0479192893197</v>
      </c>
      <c r="J33" s="10">
        <f t="shared" si="3"/>
        <v>20132895524.938828</v>
      </c>
      <c r="K33" s="11">
        <f t="shared" si="4"/>
        <v>0.12619878000000018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14639140.880524671</v>
      </c>
      <c r="D34" s="12">
        <v>2.0400000000000001E-2</v>
      </c>
      <c r="E34" s="10">
        <f t="shared" si="2"/>
        <v>292668.04582781531</v>
      </c>
      <c r="F34" s="3"/>
      <c r="G34" s="29">
        <v>2.3</v>
      </c>
      <c r="H34" s="10"/>
      <c r="I34" s="10">
        <f t="shared" si="5"/>
        <v>1221.1685109967566</v>
      </c>
      <c r="J34" s="10">
        <f t="shared" ref="J34:J65" si="6">IF(I34="","",I34*C34)</f>
        <v>17876857871.34206</v>
      </c>
      <c r="K34" s="11">
        <f t="shared" ref="K34:K65" si="7">IFERROR(J34/J35-1,"")</f>
        <v>5.7134399999999808E-2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14346472.834696855</v>
      </c>
      <c r="D35" s="11">
        <v>2.1100000000000001E-2</v>
      </c>
      <c r="E35" s="10">
        <f t="shared" si="2"/>
        <v>296455.36853599362</v>
      </c>
      <c r="F35" s="3"/>
      <c r="G35" s="29">
        <v>7.32</v>
      </c>
      <c r="H35" s="10"/>
      <c r="I35" s="10">
        <f t="shared" ref="I35:I66" si="8">IF(H35&lt;&gt;"",H35,I34/(1+IF(G34="",0,G34)/100))</f>
        <v>1178.7340839737033</v>
      </c>
      <c r="J35" s="10">
        <f t="shared" si="6"/>
        <v>16910676515.060017</v>
      </c>
      <c r="K35" s="11">
        <f t="shared" si="7"/>
        <v>0.12341422000000013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14050017.466160862</v>
      </c>
      <c r="D36" s="11">
        <v>2.2100000000000002E-2</v>
      </c>
      <c r="E36" s="10">
        <f t="shared" si="2"/>
        <v>303791.59182287008</v>
      </c>
      <c r="F36" s="3"/>
      <c r="G36" s="29">
        <v>4.32</v>
      </c>
      <c r="H36" s="10"/>
      <c r="I36" s="10">
        <f t="shared" si="8"/>
        <v>1071.3816433136731</v>
      </c>
      <c r="J36" s="10">
        <f t="shared" si="6"/>
        <v>15052930801.481234</v>
      </c>
      <c r="K36" s="11">
        <f t="shared" si="7"/>
        <v>0.11531552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13746225.874337992</v>
      </c>
      <c r="D37" s="11">
        <v>2.24E-2</v>
      </c>
      <c r="E37" s="10">
        <f t="shared" si="2"/>
        <v>301169.26798236556</v>
      </c>
      <c r="F37" s="3"/>
      <c r="G37" s="29">
        <v>-10.6</v>
      </c>
      <c r="H37" s="10"/>
      <c r="I37" s="10">
        <f t="shared" si="8"/>
        <v>981.83801623320483</v>
      </c>
      <c r="J37" s="10">
        <f t="shared" si="6"/>
        <v>13496567143.153564</v>
      </c>
      <c r="K37" s="11">
        <f t="shared" si="7"/>
        <v>-3.1787200000000126E-2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13445056.606355626</v>
      </c>
      <c r="D38" s="11">
        <v>2.2700000000000001E-2</v>
      </c>
      <c r="E38" s="10">
        <f t="shared" si="2"/>
        <v>298428.45894619264</v>
      </c>
      <c r="F38" s="3"/>
      <c r="G38" s="29">
        <v>-2.22</v>
      </c>
      <c r="H38" s="10"/>
      <c r="I38" s="10">
        <f t="shared" si="8"/>
        <v>1036.7877679336905</v>
      </c>
      <c r="J38" s="10">
        <f t="shared" si="6"/>
        <v>13939670228.645569</v>
      </c>
      <c r="K38" s="11">
        <f t="shared" si="7"/>
        <v>3.783595999999978E-2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13146628.147409433</v>
      </c>
      <c r="D39" s="11">
        <v>2.29E-2</v>
      </c>
      <c r="E39" s="10">
        <f t="shared" si="2"/>
        <v>294317.90456122346</v>
      </c>
      <c r="F39" s="3"/>
      <c r="G39" s="29">
        <v>3.81</v>
      </c>
      <c r="H39" s="10"/>
      <c r="I39" s="10">
        <f t="shared" si="8"/>
        <v>1021.6670949287451</v>
      </c>
      <c r="J39" s="10">
        <f t="shared" si="6"/>
        <v>13431477387.472265</v>
      </c>
      <c r="K39" s="11">
        <f t="shared" si="7"/>
        <v>6.1872489999999836E-2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12852310.24284821</v>
      </c>
      <c r="D40" s="11">
        <v>2.3599999999999999E-2</v>
      </c>
      <c r="E40" s="10">
        <f t="shared" si="2"/>
        <v>296321.33815085888</v>
      </c>
      <c r="F40" s="3"/>
      <c r="G40" s="29">
        <v>1.66</v>
      </c>
      <c r="H40" s="10"/>
      <c r="I40" s="10">
        <f t="shared" si="8"/>
        <v>984.17020993039694</v>
      </c>
      <c r="J40" s="10">
        <f t="shared" si="6"/>
        <v>12648860869.794514</v>
      </c>
      <c r="K40" s="11">
        <f t="shared" si="7"/>
        <v>4.0591760000000088E-2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12555988.904697351</v>
      </c>
      <c r="D41" s="11">
        <v>2.4400000000000002E-2</v>
      </c>
      <c r="E41" s="10">
        <f t="shared" si="2"/>
        <v>299068.8493504636</v>
      </c>
      <c r="F41" s="3"/>
      <c r="G41" s="29">
        <v>5.78</v>
      </c>
      <c r="H41" s="10"/>
      <c r="I41" s="10">
        <f t="shared" si="8"/>
        <v>968.09975401376846</v>
      </c>
      <c r="J41" s="10">
        <f t="shared" si="6"/>
        <v>12155449770.037111</v>
      </c>
      <c r="K41" s="11">
        <f t="shared" si="7"/>
        <v>8.3610320000000016E-2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12256920.055346888</v>
      </c>
      <c r="D42" s="11">
        <v>2.4799999999999999E-2</v>
      </c>
      <c r="E42" s="10">
        <f t="shared" si="2"/>
        <v>296615.55169067346</v>
      </c>
      <c r="F42" s="3"/>
      <c r="G42" s="29">
        <v>-4.5999999999999996</v>
      </c>
      <c r="H42" s="10"/>
      <c r="I42" s="10">
        <f t="shared" si="8"/>
        <v>915.20112877081522</v>
      </c>
      <c r="J42" s="10">
        <f t="shared" si="6"/>
        <v>11217547069.907114</v>
      </c>
      <c r="K42" s="11">
        <f t="shared" si="7"/>
        <v>-2.2340800000000161E-2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11960304.503656214</v>
      </c>
      <c r="D43" s="11">
        <v>2.4899999999999999E-2</v>
      </c>
      <c r="E43" s="10">
        <f t="shared" si="2"/>
        <v>290576.23391651735</v>
      </c>
      <c r="F43" s="3"/>
      <c r="G43" s="29">
        <v>3.53</v>
      </c>
      <c r="H43" s="10"/>
      <c r="I43" s="10">
        <f t="shared" si="8"/>
        <v>959.3303236591355</v>
      </c>
      <c r="J43" s="10">
        <f t="shared" si="6"/>
        <v>11473882790.554333</v>
      </c>
      <c r="K43" s="11">
        <f t="shared" si="7"/>
        <v>6.1078969999999844E-2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11669728.269739697</v>
      </c>
      <c r="D44" s="11">
        <v>2.4799999999999999E-2</v>
      </c>
      <c r="E44" s="10">
        <f t="shared" si="2"/>
        <v>282405.60215607285</v>
      </c>
      <c r="F44" s="3"/>
      <c r="G44" s="29">
        <v>2.73</v>
      </c>
      <c r="H44" s="10"/>
      <c r="I44" s="10">
        <f t="shared" si="8"/>
        <v>926.62061591725649</v>
      </c>
      <c r="J44" s="10">
        <f t="shared" si="6"/>
        <v>10813410796.893217</v>
      </c>
      <c r="K44" s="11">
        <f t="shared" si="7"/>
        <v>5.2777039999999831E-2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11387322.667583624</v>
      </c>
      <c r="D45" s="11">
        <v>2.4899999999999999E-2</v>
      </c>
      <c r="E45" s="10">
        <f t="shared" si="2"/>
        <v>276655.60974029824</v>
      </c>
      <c r="F45" s="3"/>
      <c r="G45" s="29">
        <v>5.22</v>
      </c>
      <c r="H45" s="10"/>
      <c r="I45" s="10">
        <f t="shared" si="8"/>
        <v>901.99612179232588</v>
      </c>
      <c r="J45" s="10">
        <f t="shared" si="6"/>
        <v>10271320883.758272</v>
      </c>
      <c r="K45" s="11">
        <f t="shared" si="7"/>
        <v>7.839978000000003E-2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11110667.057843326</v>
      </c>
      <c r="D46" s="11">
        <v>2.5000000000000001E-2</v>
      </c>
      <c r="E46" s="10">
        <f t="shared" si="2"/>
        <v>270991.87945959158</v>
      </c>
      <c r="F46" s="3"/>
      <c r="G46" s="29">
        <v>2.04</v>
      </c>
      <c r="H46" s="10"/>
      <c r="I46" s="10">
        <f t="shared" si="8"/>
        <v>857.24778729550076</v>
      </c>
      <c r="J46" s="10">
        <f t="shared" si="6"/>
        <v>9524594750.7132015</v>
      </c>
      <c r="K46" s="11">
        <f t="shared" si="7"/>
        <v>4.5909999999999673E-2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10839675.178383734</v>
      </c>
      <c r="D47" s="11">
        <v>2.4899999999999999E-2</v>
      </c>
      <c r="E47" s="10">
        <f t="shared" si="2"/>
        <v>263350.48486852832</v>
      </c>
      <c r="F47" s="3"/>
      <c r="G47" s="29">
        <v>4.0599999999999996</v>
      </c>
      <c r="H47" s="10"/>
      <c r="I47" s="10">
        <f t="shared" si="8"/>
        <v>840.10955242601017</v>
      </c>
      <c r="J47" s="10">
        <f t="shared" si="6"/>
        <v>9106514662.5552902</v>
      </c>
      <c r="K47" s="11">
        <f t="shared" si="7"/>
        <v>6.6510939999999907E-2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10576324.693515206</v>
      </c>
      <c r="D48" s="11">
        <v>2.4899999999999999E-2</v>
      </c>
      <c r="E48" s="10">
        <f t="shared" si="2"/>
        <v>256952.3708347436</v>
      </c>
      <c r="F48" s="3"/>
      <c r="G48" s="29">
        <v>0.69</v>
      </c>
      <c r="H48" s="10"/>
      <c r="I48" s="10">
        <f t="shared" si="8"/>
        <v>807.33187817221813</v>
      </c>
      <c r="J48" s="10">
        <f t="shared" si="6"/>
        <v>8538604078.9748402</v>
      </c>
      <c r="K48" s="11">
        <f t="shared" si="7"/>
        <v>3.1971809999999934E-2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10319372.322680462</v>
      </c>
      <c r="D49" s="11">
        <v>2.47E-2</v>
      </c>
      <c r="E49" s="10">
        <f t="shared" si="2"/>
        <v>248744.50704616681</v>
      </c>
      <c r="F49" s="3"/>
      <c r="G49" s="29">
        <v>7.63</v>
      </c>
      <c r="H49" s="10"/>
      <c r="I49" s="10">
        <f t="shared" si="8"/>
        <v>801.79946188521023</v>
      </c>
      <c r="J49" s="10">
        <f t="shared" si="6"/>
        <v>8274067175.318327</v>
      </c>
      <c r="K49" s="11">
        <f t="shared" si="7"/>
        <v>0.10288461000000004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10070627.815634295</v>
      </c>
      <c r="D50" s="11">
        <v>2.47E-2</v>
      </c>
      <c r="E50" s="10">
        <f t="shared" si="2"/>
        <v>242748.61622539908</v>
      </c>
      <c r="F50" s="3"/>
      <c r="G50" s="29">
        <v>5.6</v>
      </c>
      <c r="H50" s="10"/>
      <c r="I50" s="10">
        <f t="shared" si="8"/>
        <v>744.95908379188904</v>
      </c>
      <c r="J50" s="10">
        <f t="shared" si="6"/>
        <v>7502205670.7440376</v>
      </c>
      <c r="K50" s="11">
        <f t="shared" si="7"/>
        <v>8.2083200000000023E-2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9827879.1994088963</v>
      </c>
      <c r="D51" s="11">
        <v>2.4899999999999999E-2</v>
      </c>
      <c r="E51" s="10">
        <f t="shared" si="2"/>
        <v>238768.84775615297</v>
      </c>
      <c r="F51" s="3"/>
      <c r="G51" s="29">
        <v>2.74</v>
      </c>
      <c r="H51" s="10"/>
      <c r="I51" s="10">
        <f t="shared" si="8"/>
        <v>705.4536778332282</v>
      </c>
      <c r="J51" s="10">
        <f t="shared" si="6"/>
        <v>6933113526.5236883</v>
      </c>
      <c r="K51" s="11">
        <f t="shared" si="7"/>
        <v>5.2982260000000059E-2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9589110.3516527433</v>
      </c>
      <c r="D52" s="11">
        <v>2.53E-2</v>
      </c>
      <c r="E52" s="10">
        <f t="shared" si="2"/>
        <v>236618.05510271713</v>
      </c>
      <c r="F52" s="3"/>
      <c r="G52" s="29">
        <v>14.04</v>
      </c>
      <c r="H52" s="10"/>
      <c r="I52" s="10">
        <f t="shared" si="8"/>
        <v>686.63974871834546</v>
      </c>
      <c r="J52" s="10">
        <f t="shared" si="6"/>
        <v>6584264322.2913246</v>
      </c>
      <c r="K52" s="11">
        <f t="shared" si="7"/>
        <v>0.16925212000000012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9352492.2965500262</v>
      </c>
      <c r="D53" s="11">
        <v>2.5899999999999999E-2</v>
      </c>
      <c r="E53" s="10">
        <f t="shared" si="2"/>
        <v>236114.19288492575</v>
      </c>
      <c r="F53" s="3"/>
      <c r="G53" s="29">
        <v>3.2</v>
      </c>
      <c r="H53" s="10"/>
      <c r="I53" s="10">
        <f t="shared" si="8"/>
        <v>602.10430438297567</v>
      </c>
      <c r="J53" s="10">
        <f t="shared" si="6"/>
        <v>5631175868.4613924</v>
      </c>
      <c r="K53" s="11">
        <f t="shared" si="7"/>
        <v>5.8728800000000136E-2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9116378.1036651004</v>
      </c>
      <c r="D54" s="11">
        <v>2.6499999999999999E-2</v>
      </c>
      <c r="E54" s="10">
        <f t="shared" si="2"/>
        <v>235347.3158764001</v>
      </c>
      <c r="F54" s="3"/>
      <c r="G54" s="29">
        <v>7.2</v>
      </c>
      <c r="H54" s="10"/>
      <c r="I54" s="10">
        <f t="shared" si="8"/>
        <v>583.43440347187561</v>
      </c>
      <c r="J54" s="10">
        <f t="shared" si="6"/>
        <v>5318808620.7359161</v>
      </c>
      <c r="K54" s="11">
        <f t="shared" si="7"/>
        <v>0.10040799999999983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8881030.7877887003</v>
      </c>
      <c r="D55" s="11">
        <v>2.46E-2</v>
      </c>
      <c r="E55" s="10">
        <f t="shared" si="2"/>
        <v>213227.94981417246</v>
      </c>
      <c r="F55" s="3"/>
      <c r="G55" s="29">
        <v>3.2</v>
      </c>
      <c r="H55" s="10"/>
      <c r="I55" s="10">
        <f t="shared" si="8"/>
        <v>544.24851070137652</v>
      </c>
      <c r="J55" s="10">
        <f t="shared" si="6"/>
        <v>4833487779.7470732</v>
      </c>
      <c r="K55" s="11">
        <f t="shared" si="7"/>
        <v>5.7387199999999972E-2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8667802.8379745279</v>
      </c>
      <c r="D56" s="11">
        <v>2.5100000000000001E-2</v>
      </c>
      <c r="E56" s="10">
        <f t="shared" si="2"/>
        <v>212234.75878759101</v>
      </c>
      <c r="F56" s="3"/>
      <c r="G56" s="29">
        <v>11.4</v>
      </c>
      <c r="H56" s="10"/>
      <c r="I56" s="10">
        <f t="shared" si="8"/>
        <v>527.37258788893075</v>
      </c>
      <c r="J56" s="10">
        <f t="shared" si="6"/>
        <v>4571161613.9736452</v>
      </c>
      <c r="K56" s="11">
        <f t="shared" si="7"/>
        <v>0.14196140000000002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8455568.0791869368</v>
      </c>
      <c r="D57" s="11">
        <v>2.7900000000000001E-2</v>
      </c>
      <c r="E57" s="10">
        <f t="shared" si="2"/>
        <v>229507.10128350649</v>
      </c>
      <c r="F57" s="3"/>
      <c r="G57" s="30">
        <v>4.1500000000000004</v>
      </c>
      <c r="H57" s="10"/>
      <c r="I57" s="10">
        <f t="shared" si="8"/>
        <v>473.40447745864515</v>
      </c>
      <c r="J57" s="10">
        <f t="shared" si="6"/>
        <v>4002903788.1434917</v>
      </c>
      <c r="K57" s="11">
        <f t="shared" si="7"/>
        <v>7.0557850000000144E-2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8226060.9779034304</v>
      </c>
      <c r="D58" s="11">
        <v>2.81E-2</v>
      </c>
      <c r="E58" s="10">
        <f t="shared" si="2"/>
        <v>224834.46501224209</v>
      </c>
      <c r="F58" s="3"/>
      <c r="G58" s="30">
        <v>3.95</v>
      </c>
      <c r="H58" s="10"/>
      <c r="I58" s="10">
        <f t="shared" si="8"/>
        <v>454.54102492428717</v>
      </c>
      <c r="J58" s="10">
        <f t="shared" si="6"/>
        <v>3739082187.9859095</v>
      </c>
      <c r="K58" s="11">
        <f t="shared" si="7"/>
        <v>6.8709950000000131E-2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8001226.5128911883</v>
      </c>
      <c r="D59" s="11">
        <v>2.8299999999999999E-2</v>
      </c>
      <c r="E59" s="10">
        <f t="shared" si="2"/>
        <v>220202.96636664495</v>
      </c>
      <c r="F59" s="3"/>
      <c r="G59" s="30">
        <v>4.01</v>
      </c>
      <c r="H59" s="10"/>
      <c r="I59" s="10">
        <f t="shared" si="8"/>
        <v>437.26890324606745</v>
      </c>
      <c r="J59" s="10">
        <f t="shared" si="6"/>
        <v>3498687541.9152865</v>
      </c>
      <c r="K59" s="11">
        <f t="shared" si="7"/>
        <v>6.9534830000000047E-2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7781023.5465245433</v>
      </c>
      <c r="D60" s="11">
        <v>2.8500000000000001E-2</v>
      </c>
      <c r="E60" s="10">
        <f t="shared" si="2"/>
        <v>215614.16730768047</v>
      </c>
      <c r="F60" s="3"/>
      <c r="G60" s="30">
        <v>3.8</v>
      </c>
      <c r="H60" s="10"/>
      <c r="I60" s="10">
        <f t="shared" si="8"/>
        <v>420.41044442463942</v>
      </c>
      <c r="J60" s="10">
        <f t="shared" si="6"/>
        <v>3271223567.2729673</v>
      </c>
      <c r="K60" s="11">
        <f t="shared" si="7"/>
        <v>6.7582999999999949E-2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7565409.3792168628</v>
      </c>
      <c r="D61" s="11">
        <v>2.87E-2</v>
      </c>
      <c r="E61" s="10">
        <f t="shared" si="2"/>
        <v>211069.55301207677</v>
      </c>
      <c r="F61" s="3"/>
      <c r="G61" s="30">
        <v>4.09</v>
      </c>
      <c r="H61" s="10"/>
      <c r="I61" s="10">
        <f t="shared" si="8"/>
        <v>405.01969597749462</v>
      </c>
      <c r="J61" s="10">
        <f t="shared" si="6"/>
        <v>3064139806.7157001</v>
      </c>
      <c r="K61" s="11">
        <f t="shared" si="7"/>
        <v>7.0773830000000038E-2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7354339.8262047861</v>
      </c>
      <c r="D62" s="11">
        <v>2.8899999999999999E-2</v>
      </c>
      <c r="E62" s="10">
        <f t="shared" si="2"/>
        <v>206570.53258559387</v>
      </c>
      <c r="F62" s="3"/>
      <c r="G62" s="30">
        <v>4.3899999999999997</v>
      </c>
      <c r="H62" s="10"/>
      <c r="I62" s="10">
        <f t="shared" si="8"/>
        <v>389.10528963156366</v>
      </c>
      <c r="J62" s="10">
        <f t="shared" si="6"/>
        <v>2861612528.1243567</v>
      </c>
      <c r="K62" s="11">
        <f t="shared" si="7"/>
        <v>7.4068709999999705E-2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7147769.2936191922</v>
      </c>
      <c r="D63" s="11">
        <v>2.9000000000000001E-2</v>
      </c>
      <c r="E63" s="10">
        <f t="shared" si="2"/>
        <v>201443.44948003534</v>
      </c>
      <c r="F63" s="3"/>
      <c r="G63" s="33">
        <v>9.3000000000000007</v>
      </c>
      <c r="H63" s="10"/>
      <c r="I63" s="10">
        <f t="shared" si="8"/>
        <v>372.74191937116933</v>
      </c>
      <c r="J63" s="10">
        <f t="shared" si="6"/>
        <v>2664273245.725925</v>
      </c>
      <c r="K63" s="11">
        <f t="shared" si="7"/>
        <v>0.12469700000000006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6946325.8441391569</v>
      </c>
      <c r="D64" s="11">
        <v>2.9100000000000001E-2</v>
      </c>
      <c r="E64" s="10">
        <f t="shared" si="2"/>
        <v>196422.1961563006</v>
      </c>
      <c r="F64" s="3"/>
      <c r="G64" s="30">
        <v>4.49</v>
      </c>
      <c r="H64" s="10"/>
      <c r="I64" s="10">
        <f t="shared" si="8"/>
        <v>341.02645871104238</v>
      </c>
      <c r="J64" s="10">
        <f t="shared" si="6"/>
        <v>2368880903.6797686</v>
      </c>
      <c r="K64" s="11">
        <f t="shared" si="7"/>
        <v>7.530658999999984E-2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6749903.6479828563</v>
      </c>
      <c r="D65" s="11">
        <v>2.92E-2</v>
      </c>
      <c r="E65" s="10">
        <f t="shared" si="2"/>
        <v>191505.23369714245</v>
      </c>
      <c r="F65" s="3"/>
      <c r="G65" s="30">
        <v>4.4000000000000004</v>
      </c>
      <c r="H65" s="10"/>
      <c r="I65" s="10">
        <f t="shared" si="8"/>
        <v>326.37234061732454</v>
      </c>
      <c r="J65" s="10">
        <f t="shared" si="6"/>
        <v>2202981852.5335822</v>
      </c>
      <c r="K65" s="11">
        <f t="shared" si="7"/>
        <v>7.4484800000000018E-2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6558398.4142857138</v>
      </c>
      <c r="D66" s="11">
        <v>2.9414285714285698E-2</v>
      </c>
      <c r="E66" s="10">
        <f t="shared" si="2"/>
        <v>187398.41428571381</v>
      </c>
      <c r="F66" s="3"/>
      <c r="G66" s="30">
        <v>4.57</v>
      </c>
      <c r="H66" s="10"/>
      <c r="I66" s="10">
        <f t="shared" si="8"/>
        <v>312.61718449935302</v>
      </c>
      <c r="J66" s="10">
        <f t="shared" ref="J66:J67" si="9">IF(I66="","",I66*C66)</f>
        <v>2050268047.0990212</v>
      </c>
      <c r="K66" s="11">
        <f t="shared" ref="K66" si="10">IFERROR(J66/J67-1,"")</f>
        <v>7.645851857142838E-2</v>
      </c>
    </row>
    <row r="67" spans="1:11" ht="22.5" customHeight="1">
      <c r="A67" s="3">
        <f t="shared" si="0"/>
        <v>1950</v>
      </c>
      <c r="B67" s="3">
        <v>1700</v>
      </c>
      <c r="C67" s="10">
        <v>6371000</v>
      </c>
      <c r="D67" s="11">
        <v>2.9564285714285699E-2</v>
      </c>
      <c r="E67" s="3" t="s">
        <v>72</v>
      </c>
      <c r="F67" s="3"/>
      <c r="G67" s="26">
        <v>4.2</v>
      </c>
      <c r="H67" s="10"/>
      <c r="I67" s="10">
        <f t="shared" ref="I67" si="11">IF(H67&lt;&gt;"",H67,I66/(1+IF(G66="",0,G66)/100))</f>
        <v>298.95494357784548</v>
      </c>
      <c r="J67" s="10">
        <f t="shared" si="9"/>
        <v>1904641945.5344536</v>
      </c>
      <c r="K67" s="11"/>
    </row>
  </sheetData>
  <dataValidations count="1">
    <dataValidation type="custom" allowBlank="1" showDropDown="1" sqref="D2:D67" xr:uid="{00000000-0002-0000-0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67"/>
  <sheetViews>
    <sheetView topLeftCell="A31"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376279.76762747578</v>
      </c>
      <c r="D2" s="11">
        <v>8.8000000000000005E-3</v>
      </c>
      <c r="E2" s="10">
        <f t="shared" ref="E2:E66" si="2">SUM(C2-C3)</f>
        <v>3282.3770371944411</v>
      </c>
      <c r="F2" s="14">
        <v>376609</v>
      </c>
      <c r="G2" s="26">
        <v>5.28</v>
      </c>
      <c r="H2" s="10"/>
      <c r="I2" s="10">
        <f>IF(H2&lt;&gt;"",H2,151744)</f>
        <v>18968</v>
      </c>
      <c r="J2" s="10">
        <f t="shared" ref="J2:J33" si="3">IF(I2="","",I2*C2)</f>
        <v>7137274632.3579607</v>
      </c>
      <c r="K2" s="11">
        <f t="shared" ref="K2:K33" si="4">IFERROR(J2/J3-1,"")</f>
        <v>6.2064639999999782E-2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372997.39059028134</v>
      </c>
      <c r="D3" s="11">
        <v>9.1000000000000004E-3</v>
      </c>
      <c r="E3" s="10">
        <f t="shared" si="2"/>
        <v>3363.6668857116019</v>
      </c>
      <c r="F3" s="3"/>
      <c r="G3" s="26">
        <v>5.28</v>
      </c>
      <c r="H3" s="10"/>
      <c r="I3" s="10">
        <f t="shared" ref="I3:I34" si="5">IF(H3&lt;&gt;"",H3,I2/(1+IF(G2="",0,G2)/100))</f>
        <v>18016.717325227964</v>
      </c>
      <c r="J3" s="10">
        <f t="shared" si="3"/>
        <v>6720188549.3127441</v>
      </c>
      <c r="K3" s="11">
        <f t="shared" si="4"/>
        <v>6.2380480000000071E-2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369633.72370456974</v>
      </c>
      <c r="D4" s="11">
        <v>8.5000000000000006E-3</v>
      </c>
      <c r="E4" s="10">
        <f t="shared" si="2"/>
        <v>3115.405703013239</v>
      </c>
      <c r="F4" s="3"/>
      <c r="G4" s="26">
        <v>13.65</v>
      </c>
      <c r="H4" s="10"/>
      <c r="I4" s="10">
        <f t="shared" si="5"/>
        <v>17113.143356029603</v>
      </c>
      <c r="J4" s="10">
        <f t="shared" si="3"/>
        <v>6325594902.9793396</v>
      </c>
      <c r="K4" s="11">
        <f t="shared" si="4"/>
        <v>0.1461602500000001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366518.3180015565</v>
      </c>
      <c r="D5" s="11">
        <v>9.1000000000000004E-3</v>
      </c>
      <c r="E5" s="10">
        <f t="shared" si="2"/>
        <v>3305.2390187436249</v>
      </c>
      <c r="F5" s="3"/>
      <c r="G5" s="26">
        <v>5.28</v>
      </c>
      <c r="H5" s="10"/>
      <c r="I5" s="10">
        <f t="shared" si="5"/>
        <v>15057.759222199385</v>
      </c>
      <c r="J5" s="10">
        <f t="shared" si="3"/>
        <v>5518944582.9929447</v>
      </c>
      <c r="K5" s="11">
        <f t="shared" si="4"/>
        <v>6.2380480000000071E-2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363213.07898281288</v>
      </c>
      <c r="D6" s="11">
        <v>1.0800000000000001E-2</v>
      </c>
      <c r="E6" s="10">
        <f t="shared" si="2"/>
        <v>3880.7887346798088</v>
      </c>
      <c r="F6" s="3"/>
      <c r="G6" s="26">
        <v>5.2</v>
      </c>
      <c r="H6" s="10"/>
      <c r="I6" s="10">
        <f t="shared" si="5"/>
        <v>14302.582847833763</v>
      </c>
      <c r="J6" s="10">
        <f t="shared" si="3"/>
        <v>5194885153.568469</v>
      </c>
      <c r="K6" s="11">
        <f t="shared" si="4"/>
        <v>6.3361600000000129E-2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359332.29024813307</v>
      </c>
      <c r="D7" s="11">
        <v>1.04E-2</v>
      </c>
      <c r="E7" s="10">
        <f t="shared" si="2"/>
        <v>3698.590477613383</v>
      </c>
      <c r="F7" s="3"/>
      <c r="G7" s="26">
        <v>4.1399999999999997</v>
      </c>
      <c r="H7" s="10"/>
      <c r="I7" s="10">
        <f t="shared" si="5"/>
        <v>13595.611072085325</v>
      </c>
      <c r="J7" s="10">
        <f t="shared" si="3"/>
        <v>4885342063.8552952</v>
      </c>
      <c r="K7" s="11">
        <f t="shared" si="4"/>
        <v>5.2230559999999926E-2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355633.69977051968</v>
      </c>
      <c r="D8" s="11">
        <v>9.7000000000000003E-3</v>
      </c>
      <c r="E8" s="10">
        <f t="shared" si="2"/>
        <v>3416.5067720848601</v>
      </c>
      <c r="F8" s="3"/>
      <c r="G8" s="26">
        <v>3.61</v>
      </c>
      <c r="H8" s="10"/>
      <c r="I8" s="10">
        <f t="shared" si="5"/>
        <v>13055.128742159903</v>
      </c>
      <c r="J8" s="10">
        <f t="shared" si="3"/>
        <v>4642843735.5547771</v>
      </c>
      <c r="K8" s="11">
        <f t="shared" si="4"/>
        <v>4.6150170000000212E-2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352217.19299843482</v>
      </c>
      <c r="D9" s="11">
        <v>1.01E-2</v>
      </c>
      <c r="E9" s="10">
        <f t="shared" si="2"/>
        <v>3521.8232346145669</v>
      </c>
      <c r="F9" s="3"/>
      <c r="G9" s="26">
        <v>8.76</v>
      </c>
      <c r="H9" s="10"/>
      <c r="I9" s="10">
        <f t="shared" si="5"/>
        <v>12600.259378592706</v>
      </c>
      <c r="J9" s="10">
        <f t="shared" si="3"/>
        <v>4438027989.380125</v>
      </c>
      <c r="K9" s="11">
        <f t="shared" si="4"/>
        <v>9.8584759999999827E-2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348695.36976382026</v>
      </c>
      <c r="D10" s="11">
        <v>1.0500000000000001E-2</v>
      </c>
      <c r="E10" s="10">
        <f t="shared" si="2"/>
        <v>3623.2571821079473</v>
      </c>
      <c r="F10" s="3"/>
      <c r="G10" s="26">
        <v>7.19</v>
      </c>
      <c r="H10" s="10"/>
      <c r="I10" s="10">
        <f t="shared" si="5"/>
        <v>11585.380083295979</v>
      </c>
      <c r="J10" s="10">
        <f t="shared" si="3"/>
        <v>4039768391.99929</v>
      </c>
      <c r="K10" s="11">
        <f t="shared" si="4"/>
        <v>8.315494999999995E-2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345072.11258171231</v>
      </c>
      <c r="D11" s="11">
        <v>1.0800000000000001E-2</v>
      </c>
      <c r="E11" s="10">
        <f t="shared" si="2"/>
        <v>3686.9596516446909</v>
      </c>
      <c r="F11" s="3"/>
      <c r="G11" s="26">
        <v>5.13</v>
      </c>
      <c r="H11" s="10"/>
      <c r="I11" s="10">
        <f t="shared" si="5"/>
        <v>10808.265774135627</v>
      </c>
      <c r="J11" s="10">
        <f t="shared" si="3"/>
        <v>3729631104.0255971</v>
      </c>
      <c r="K11" s="11">
        <f t="shared" si="4"/>
        <v>6.2654039999999966E-2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341385.15293006762</v>
      </c>
      <c r="D12" s="11">
        <v>1.11E-2</v>
      </c>
      <c r="E12" s="10">
        <f t="shared" si="2"/>
        <v>3747.7748961762409</v>
      </c>
      <c r="F12" s="3"/>
      <c r="G12" s="26">
        <v>-1.95</v>
      </c>
      <c r="H12" s="10"/>
      <c r="I12" s="10">
        <f t="shared" si="5"/>
        <v>10280.857770508539</v>
      </c>
      <c r="J12" s="10">
        <f t="shared" si="3"/>
        <v>3509732202.2373314</v>
      </c>
      <c r="K12" s="11">
        <f t="shared" si="4"/>
        <v>-8.6164499999997757E-3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337637.37803389138</v>
      </c>
      <c r="D13" s="11">
        <v>1.1299999999999999E-2</v>
      </c>
      <c r="E13" s="10">
        <f t="shared" si="2"/>
        <v>3772.6711873657769</v>
      </c>
      <c r="F13" s="3"/>
      <c r="G13" s="26">
        <v>4.5599999999999996</v>
      </c>
      <c r="H13" s="10"/>
      <c r="I13" s="10">
        <f t="shared" si="5"/>
        <v>10485.321540549248</v>
      </c>
      <c r="J13" s="10">
        <f t="shared" si="3"/>
        <v>3540236472.7933307</v>
      </c>
      <c r="K13" s="11">
        <f t="shared" si="4"/>
        <v>5.7415280000000068E-2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333864.7068465256</v>
      </c>
      <c r="D14" s="11">
        <v>1.14E-2</v>
      </c>
      <c r="E14" s="10">
        <f t="shared" si="2"/>
        <v>3763.1576607182506</v>
      </c>
      <c r="F14" s="3"/>
      <c r="G14" s="26">
        <v>-0.63</v>
      </c>
      <c r="H14" s="10"/>
      <c r="I14" s="10">
        <f t="shared" si="5"/>
        <v>10028.042789354675</v>
      </c>
      <c r="J14" s="10">
        <f t="shared" si="3"/>
        <v>3348009566.1123133</v>
      </c>
      <c r="K14" s="11">
        <f t="shared" si="4"/>
        <v>5.0281800000002708E-3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330101.54918580735</v>
      </c>
      <c r="D15" s="11">
        <v>1.15E-2</v>
      </c>
      <c r="E15" s="10">
        <f t="shared" si="2"/>
        <v>3753.0082210942055</v>
      </c>
      <c r="F15" s="3"/>
      <c r="G15" s="26">
        <v>6.13</v>
      </c>
      <c r="H15" s="10"/>
      <c r="I15" s="10">
        <f t="shared" si="5"/>
        <v>10091.619995325223</v>
      </c>
      <c r="J15" s="10">
        <f t="shared" si="3"/>
        <v>3331259394.2513261</v>
      </c>
      <c r="K15" s="11">
        <f t="shared" si="4"/>
        <v>7.3504950000000013E-2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326348.54096471315</v>
      </c>
      <c r="D16" s="11">
        <v>1.1599999999999999E-2</v>
      </c>
      <c r="E16" s="10">
        <f t="shared" si="2"/>
        <v>3742.2331704138778</v>
      </c>
      <c r="F16" s="3"/>
      <c r="G16" s="26">
        <v>2.2799999999999998</v>
      </c>
      <c r="H16" s="10"/>
      <c r="I16" s="10">
        <f t="shared" si="5"/>
        <v>9508.7345664046206</v>
      </c>
      <c r="J16" s="10">
        <f t="shared" si="3"/>
        <v>3103161652.166882</v>
      </c>
      <c r="K16" s="11">
        <f t="shared" si="4"/>
        <v>3.4664479999999775E-2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322606.30779429927</v>
      </c>
      <c r="D17" s="11">
        <v>1.17E-2</v>
      </c>
      <c r="E17" s="10">
        <f t="shared" si="2"/>
        <v>3730.8429388092482</v>
      </c>
      <c r="F17" s="3"/>
      <c r="G17" s="26">
        <v>-1.36</v>
      </c>
      <c r="H17" s="10"/>
      <c r="I17" s="10">
        <f t="shared" si="5"/>
        <v>9296.7682502978314</v>
      </c>
      <c r="J17" s="10">
        <f t="shared" si="3"/>
        <v>2999196079.6478515</v>
      </c>
      <c r="K17" s="11">
        <f t="shared" si="4"/>
        <v>-2.0591199999999699E-3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318875.46485549002</v>
      </c>
      <c r="D18" s="11">
        <v>1.17E-2</v>
      </c>
      <c r="E18" s="10">
        <f t="shared" si="2"/>
        <v>3687.6968852517894</v>
      </c>
      <c r="F18" s="3"/>
      <c r="G18" s="26">
        <v>7.96</v>
      </c>
      <c r="H18" s="10"/>
      <c r="I18" s="10">
        <f t="shared" si="5"/>
        <v>9424.9475367982886</v>
      </c>
      <c r="J18" s="10">
        <f t="shared" si="3"/>
        <v>3005384527.0351601</v>
      </c>
      <c r="K18" s="11">
        <f t="shared" si="4"/>
        <v>9.2231320000000228E-2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315187.76797023823</v>
      </c>
      <c r="D19" s="11">
        <v>1.14E-2</v>
      </c>
      <c r="E19" s="10">
        <f t="shared" si="2"/>
        <v>3552.6404536886839</v>
      </c>
      <c r="F19" s="3"/>
      <c r="G19" s="26">
        <v>-1.68</v>
      </c>
      <c r="H19" s="10"/>
      <c r="I19" s="10">
        <f t="shared" si="5"/>
        <v>8730.0366217101582</v>
      </c>
      <c r="J19" s="10">
        <f t="shared" si="3"/>
        <v>2751600757.095264</v>
      </c>
      <c r="K19" s="11">
        <f t="shared" si="4"/>
        <v>-5.5915199999998499E-3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311635.12751654955</v>
      </c>
      <c r="D20" s="11">
        <v>1.09E-2</v>
      </c>
      <c r="E20" s="10">
        <f t="shared" si="2"/>
        <v>3360.1967454054393</v>
      </c>
      <c r="F20" s="3"/>
      <c r="G20" s="26">
        <v>6.18</v>
      </c>
      <c r="H20" s="10"/>
      <c r="I20" s="10">
        <f t="shared" si="5"/>
        <v>8879.2073044244898</v>
      </c>
      <c r="J20" s="10">
        <f t="shared" si="3"/>
        <v>2767072900.560204</v>
      </c>
      <c r="K20" s="11">
        <f t="shared" si="4"/>
        <v>7.3373620000000139E-2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308274.93077114411</v>
      </c>
      <c r="D21" s="11">
        <v>1.04E-2</v>
      </c>
      <c r="E21" s="10">
        <f t="shared" si="2"/>
        <v>3173.0594616190647</v>
      </c>
      <c r="F21" s="3"/>
      <c r="G21" s="26">
        <v>7.96</v>
      </c>
      <c r="H21" s="10"/>
      <c r="I21" s="10">
        <f t="shared" si="5"/>
        <v>8362.4103450974653</v>
      </c>
      <c r="J21" s="10">
        <f t="shared" si="3"/>
        <v>2577921470.2148204</v>
      </c>
      <c r="K21" s="11">
        <f t="shared" si="4"/>
        <v>9.0827839999999993E-2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305101.87130952504</v>
      </c>
      <c r="D22" s="11">
        <v>1.47E-2</v>
      </c>
      <c r="E22" s="10">
        <f t="shared" si="2"/>
        <v>4420.0231676850235</v>
      </c>
      <c r="F22" s="3"/>
      <c r="G22" s="26">
        <v>5.03</v>
      </c>
      <c r="H22" s="10"/>
      <c r="I22" s="10">
        <f t="shared" si="5"/>
        <v>7745.8413718946504</v>
      </c>
      <c r="J22" s="10">
        <f t="shared" si="3"/>
        <v>2363270697.4317966</v>
      </c>
      <c r="K22" s="11">
        <f t="shared" si="4"/>
        <v>6.5739409999999943E-2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300681.84814184002</v>
      </c>
      <c r="D23" s="11">
        <v>1.9699999999999999E-2</v>
      </c>
      <c r="E23" s="10">
        <f t="shared" si="2"/>
        <v>5808.9952028971747</v>
      </c>
      <c r="F23" s="3"/>
      <c r="G23" s="26">
        <v>8.5299999999999994</v>
      </c>
      <c r="H23" s="10"/>
      <c r="I23" s="10">
        <f t="shared" si="5"/>
        <v>7374.8846728502813</v>
      </c>
      <c r="J23" s="10">
        <f t="shared" si="3"/>
        <v>2217493953.2655516</v>
      </c>
      <c r="K23" s="11">
        <f t="shared" si="4"/>
        <v>0.10668040999999984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294872.85293894284</v>
      </c>
      <c r="D24" s="11">
        <v>2.0299999999999999E-2</v>
      </c>
      <c r="E24" s="10">
        <f t="shared" si="2"/>
        <v>5866.8224195438088</v>
      </c>
      <c r="F24" s="3"/>
      <c r="G24" s="26">
        <v>8.18</v>
      </c>
      <c r="H24" s="10"/>
      <c r="I24" s="10">
        <f t="shared" si="5"/>
        <v>6795.2498598086077</v>
      </c>
      <c r="J24" s="10">
        <f t="shared" si="3"/>
        <v>2003734712.5947156</v>
      </c>
      <c r="K24" s="11">
        <f t="shared" si="4"/>
        <v>0.10376054000000035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289006.03051939904</v>
      </c>
      <c r="D25" s="11">
        <v>2.06E-2</v>
      </c>
      <c r="E25" s="10">
        <f t="shared" si="2"/>
        <v>5833.3570729959174</v>
      </c>
      <c r="F25" s="3"/>
      <c r="G25" s="26">
        <v>-5.03</v>
      </c>
      <c r="H25" s="10"/>
      <c r="I25" s="10">
        <f t="shared" si="5"/>
        <v>6281.4289700578729</v>
      </c>
      <c r="J25" s="10">
        <f t="shared" si="3"/>
        <v>1815370852.6259828</v>
      </c>
      <c r="K25" s="11">
        <f t="shared" si="4"/>
        <v>-3.0736180000000002E-2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283172.67344640312</v>
      </c>
      <c r="D26" s="11">
        <v>2.06E-2</v>
      </c>
      <c r="E26" s="10">
        <f t="shared" si="2"/>
        <v>5715.615395841538</v>
      </c>
      <c r="F26" s="3"/>
      <c r="G26" s="26">
        <v>-6.79</v>
      </c>
      <c r="H26" s="10"/>
      <c r="I26" s="10">
        <f t="shared" si="5"/>
        <v>6614.1191640074476</v>
      </c>
      <c r="J26" s="10">
        <f t="shared" si="3"/>
        <v>1872937806.1650777</v>
      </c>
      <c r="K26" s="11">
        <f t="shared" si="4"/>
        <v>-4.8698740000000074E-2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277457.05805056158</v>
      </c>
      <c r="D27" s="11">
        <v>2.06E-2</v>
      </c>
      <c r="E27" s="10">
        <f t="shared" si="2"/>
        <v>5600.2502408794244</v>
      </c>
      <c r="F27" s="3"/>
      <c r="G27" s="26">
        <v>-13.19</v>
      </c>
      <c r="H27" s="10"/>
      <c r="I27" s="10">
        <f t="shared" si="5"/>
        <v>7095.9330157788299</v>
      </c>
      <c r="J27" s="10">
        <f t="shared" si="3"/>
        <v>1968816698.6818433</v>
      </c>
      <c r="K27" s="11">
        <f t="shared" si="4"/>
        <v>-0.11401714000000007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271856.80780968216</v>
      </c>
      <c r="D28" s="11">
        <v>2.06E-2</v>
      </c>
      <c r="E28" s="10">
        <f t="shared" si="2"/>
        <v>5487.2136398975272</v>
      </c>
      <c r="F28" s="3"/>
      <c r="G28" s="26">
        <v>-4.92</v>
      </c>
      <c r="H28" s="10"/>
      <c r="I28" s="10">
        <f t="shared" si="5"/>
        <v>8174.0963204456057</v>
      </c>
      <c r="J28" s="10">
        <f t="shared" si="3"/>
        <v>2222183732.405211</v>
      </c>
      <c r="K28" s="11">
        <f t="shared" si="4"/>
        <v>-2.9613520000000282E-2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266369.59416978463</v>
      </c>
      <c r="D29" s="11">
        <v>2.0799999999999999E-2</v>
      </c>
      <c r="E29" s="10">
        <f t="shared" si="2"/>
        <v>5427.5936116100056</v>
      </c>
      <c r="F29" s="3"/>
      <c r="G29" s="26">
        <v>-3.69</v>
      </c>
      <c r="H29" s="10"/>
      <c r="I29" s="10">
        <f t="shared" si="5"/>
        <v>8597.0722764467882</v>
      </c>
      <c r="J29" s="10">
        <f t="shared" si="3"/>
        <v>2289998653.3254375</v>
      </c>
      <c r="K29" s="11">
        <f t="shared" si="4"/>
        <v>-1.6867520000000025E-2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260942.00055817462</v>
      </c>
      <c r="D30" s="12">
        <v>2.12E-2</v>
      </c>
      <c r="E30" s="10">
        <f t="shared" si="2"/>
        <v>5417.1273128019238</v>
      </c>
      <c r="F30" s="3"/>
      <c r="G30" s="26">
        <v>0.9</v>
      </c>
      <c r="H30" s="10"/>
      <c r="I30" s="10">
        <f t="shared" si="5"/>
        <v>8926.4585987403061</v>
      </c>
      <c r="J30" s="10">
        <f t="shared" si="3"/>
        <v>2329287964.6550155</v>
      </c>
      <c r="K30" s="11">
        <f t="shared" si="4"/>
        <v>3.039079999999994E-2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255524.8732453727</v>
      </c>
      <c r="D31" s="13">
        <v>1.7000000000000001E-2</v>
      </c>
      <c r="E31" s="10">
        <f t="shared" si="2"/>
        <v>4271.3105655568361</v>
      </c>
      <c r="F31" s="3"/>
      <c r="G31" s="26">
        <v>-0.9</v>
      </c>
      <c r="H31" s="10"/>
      <c r="I31" s="10">
        <f t="shared" si="5"/>
        <v>8846.8370651539226</v>
      </c>
      <c r="J31" s="10">
        <f t="shared" si="3"/>
        <v>2260586919.6959209</v>
      </c>
      <c r="K31" s="11">
        <f t="shared" si="4"/>
        <v>7.8469999999999374E-3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251253.56267981586</v>
      </c>
      <c r="D32" s="12">
        <v>7.1999999999999998E-3</v>
      </c>
      <c r="E32" s="10">
        <f t="shared" si="2"/>
        <v>1796.093776106718</v>
      </c>
      <c r="F32" s="3"/>
      <c r="G32" s="26">
        <v>2.4</v>
      </c>
      <c r="H32" s="10"/>
      <c r="I32" s="10">
        <f t="shared" si="5"/>
        <v>8927.1817004580444</v>
      </c>
      <c r="J32" s="10">
        <f t="shared" si="3"/>
        <v>2242986206.9301405</v>
      </c>
      <c r="K32" s="11">
        <f t="shared" si="4"/>
        <v>3.1372800000000201E-2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249457.46890370914</v>
      </c>
      <c r="D33" s="13">
        <v>4.1999999999999997E-3</v>
      </c>
      <c r="E33" s="10">
        <f t="shared" si="2"/>
        <v>1043.3393441501539</v>
      </c>
      <c r="F33" s="3"/>
      <c r="G33" s="29">
        <v>3.53</v>
      </c>
      <c r="H33" s="10"/>
      <c r="I33" s="10">
        <f t="shared" si="5"/>
        <v>8717.9508793535588</v>
      </c>
      <c r="J33" s="10">
        <f t="shared" si="3"/>
        <v>2174757960.3904042</v>
      </c>
      <c r="K33" s="11">
        <f t="shared" si="4"/>
        <v>3.964825999999988E-2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248414.12955955899</v>
      </c>
      <c r="D34" s="12">
        <v>6.1999999999999998E-3</v>
      </c>
      <c r="E34" s="10">
        <f t="shared" si="2"/>
        <v>1530.677403368376</v>
      </c>
      <c r="F34" s="3"/>
      <c r="G34" s="29">
        <v>1.43</v>
      </c>
      <c r="H34" s="10"/>
      <c r="I34" s="10">
        <f t="shared" si="5"/>
        <v>8420.700163579213</v>
      </c>
      <c r="J34" s="10">
        <f t="shared" ref="J34:J65" si="6">IF(I34="","",I34*C34)</f>
        <v>2091820901.4175663</v>
      </c>
      <c r="K34" s="11">
        <f t="shared" ref="K34:K65" si="7">IFERROR(J34/J35-1,"")</f>
        <v>3.3669259999999923E-2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246883.45215619061</v>
      </c>
      <c r="D35" s="11">
        <v>6.1000000000000004E-3</v>
      </c>
      <c r="E35" s="10">
        <f t="shared" si="2"/>
        <v>1496.8582229925087</v>
      </c>
      <c r="F35" s="3"/>
      <c r="G35" s="29">
        <v>2.52</v>
      </c>
      <c r="H35" s="10"/>
      <c r="I35" s="10">
        <f t="shared" ref="I35:I66" si="8">IF(H35&lt;&gt;"",H35,I34/(1+IF(G34="",0,G34)/100))</f>
        <v>8196.9241347018524</v>
      </c>
      <c r="J35" s="10">
        <f t="shared" si="6"/>
        <v>2023684927.4375889</v>
      </c>
      <c r="K35" s="11">
        <f t="shared" si="7"/>
        <v>5.8618419999999949E-2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245386.59393319811</v>
      </c>
      <c r="D36" s="11">
        <v>0.01</v>
      </c>
      <c r="E36" s="10">
        <f t="shared" si="2"/>
        <v>2429.5702369623468</v>
      </c>
      <c r="F36" s="3"/>
      <c r="G36" s="26">
        <v>-6.64</v>
      </c>
      <c r="H36" s="10"/>
      <c r="I36" s="10">
        <f t="shared" si="8"/>
        <v>7790.2719394619389</v>
      </c>
      <c r="J36" s="10">
        <f t="shared" si="6"/>
        <v>1911628297.0379345</v>
      </c>
      <c r="K36" s="11">
        <f t="shared" si="7"/>
        <v>-8.583999999999925E-3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242957.02369623576</v>
      </c>
      <c r="D37" s="11">
        <v>1.5299999999999999E-2</v>
      </c>
      <c r="E37" s="10">
        <f t="shared" si="2"/>
        <v>3661.2257092016516</v>
      </c>
      <c r="F37" s="3"/>
      <c r="G37" s="26">
        <v>-7.11</v>
      </c>
      <c r="H37" s="10"/>
      <c r="I37" s="10">
        <f t="shared" si="8"/>
        <v>7936.2998568275661</v>
      </c>
      <c r="J37" s="10">
        <f t="shared" si="6"/>
        <v>1928179792.3756874</v>
      </c>
      <c r="K37" s="11">
        <f t="shared" si="7"/>
        <v>-3.0769299999998667E-3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239295.79798703411</v>
      </c>
      <c r="D38" s="11">
        <v>1.3299999999999999E-2</v>
      </c>
      <c r="E38" s="10">
        <f t="shared" si="2"/>
        <v>3140.8606663649261</v>
      </c>
      <c r="F38" s="3"/>
      <c r="G38" s="26">
        <v>-6.34</v>
      </c>
      <c r="H38" s="10"/>
      <c r="I38" s="10">
        <f t="shared" si="8"/>
        <v>8082.5948231261491</v>
      </c>
      <c r="J38" s="10">
        <f t="shared" si="6"/>
        <v>1934130978.0058427</v>
      </c>
      <c r="K38" s="11">
        <f t="shared" si="7"/>
        <v>-1.3451119999999928E-2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236154.93732066918</v>
      </c>
      <c r="D39" s="11">
        <v>1.1599999999999999E-2</v>
      </c>
      <c r="E39" s="10">
        <f t="shared" si="2"/>
        <v>2707.9846509685449</v>
      </c>
      <c r="F39" s="3"/>
      <c r="G39" s="29">
        <v>6.54</v>
      </c>
      <c r="H39" s="10"/>
      <c r="I39" s="10">
        <f t="shared" si="8"/>
        <v>8301.7613220276799</v>
      </c>
      <c r="J39" s="10">
        <f t="shared" si="6"/>
        <v>1960501924.6546025</v>
      </c>
      <c r="K39" s="11">
        <f t="shared" si="7"/>
        <v>7.7758639999999879E-2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233446.95266970064</v>
      </c>
      <c r="D40" s="11">
        <v>1.38E-2</v>
      </c>
      <c r="E40" s="10">
        <f t="shared" si="2"/>
        <v>3177.715473310207</v>
      </c>
      <c r="F40" s="3"/>
      <c r="G40" s="29">
        <v>9.26</v>
      </c>
      <c r="H40" s="10"/>
      <c r="I40" s="10">
        <f t="shared" si="8"/>
        <v>7792.1544227779996</v>
      </c>
      <c r="J40" s="10">
        <f t="shared" si="6"/>
        <v>1819054704.7292542</v>
      </c>
      <c r="K40" s="11">
        <f t="shared" si="7"/>
        <v>0.10767788000000023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230269.23719639043</v>
      </c>
      <c r="D41" s="11">
        <v>1.24E-2</v>
      </c>
      <c r="E41" s="10">
        <f t="shared" si="2"/>
        <v>2820.3660028004961</v>
      </c>
      <c r="F41" s="3"/>
      <c r="G41" s="29">
        <v>13.98</v>
      </c>
      <c r="H41" s="10"/>
      <c r="I41" s="10">
        <f t="shared" si="8"/>
        <v>7131.7540021764589</v>
      </c>
      <c r="J41" s="10">
        <f t="shared" si="6"/>
        <v>1642223553.9534779</v>
      </c>
      <c r="K41" s="11">
        <f t="shared" si="7"/>
        <v>0.15393351999999982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227448.87119358993</v>
      </c>
      <c r="D42" s="11">
        <v>9.1000000000000004E-3</v>
      </c>
      <c r="E42" s="10">
        <f t="shared" si="2"/>
        <v>2051.1195400472498</v>
      </c>
      <c r="F42" s="3"/>
      <c r="G42" s="26">
        <v>32.479999999999997</v>
      </c>
      <c r="H42" s="10"/>
      <c r="I42" s="10">
        <f t="shared" si="8"/>
        <v>6257.0222865208452</v>
      </c>
      <c r="J42" s="10">
        <f t="shared" si="6"/>
        <v>1423152656.1023014</v>
      </c>
      <c r="K42" s="11">
        <f t="shared" si="7"/>
        <v>0.33685568000000021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225397.75165354268</v>
      </c>
      <c r="D43" s="11">
        <v>5.7999999999999996E-3</v>
      </c>
      <c r="E43" s="10">
        <f t="shared" si="2"/>
        <v>1299.7683034306683</v>
      </c>
      <c r="F43" s="3"/>
      <c r="G43" s="26">
        <v>7.7</v>
      </c>
      <c r="H43" s="10"/>
      <c r="I43" s="10">
        <f t="shared" si="8"/>
        <v>4722.9938756950824</v>
      </c>
      <c r="J43" s="10">
        <f t="shared" si="6"/>
        <v>1064552200.6551232</v>
      </c>
      <c r="K43" s="11">
        <f t="shared" si="7"/>
        <v>8.3246600000000059E-2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224097.98335011202</v>
      </c>
      <c r="D44" s="11">
        <v>2.8999999999999998E-3</v>
      </c>
      <c r="E44" s="10">
        <f t="shared" si="2"/>
        <v>648.00493739685044</v>
      </c>
      <c r="F44" s="3"/>
      <c r="G44" s="26">
        <v>1.24</v>
      </c>
      <c r="H44" s="10"/>
      <c r="I44" s="10">
        <f t="shared" si="8"/>
        <v>4385.323932864515</v>
      </c>
      <c r="J44" s="10">
        <f t="shared" si="6"/>
        <v>982742249.6919198</v>
      </c>
      <c r="K44" s="11">
        <f t="shared" si="7"/>
        <v>1.5335960000000037E-2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223449.97841271517</v>
      </c>
      <c r="D45" s="11">
        <v>2.0000000000000001E-4</v>
      </c>
      <c r="E45" s="10">
        <f t="shared" si="2"/>
        <v>44.681059470633045</v>
      </c>
      <c r="F45" s="3"/>
      <c r="G45" s="26">
        <v>-3.32</v>
      </c>
      <c r="H45" s="10"/>
      <c r="I45" s="10">
        <f t="shared" si="8"/>
        <v>4331.6119447496194</v>
      </c>
      <c r="J45" s="10">
        <f t="shared" si="6"/>
        <v>967898595.5465616</v>
      </c>
      <c r="K45" s="11">
        <f t="shared" si="7"/>
        <v>-3.3006640000000087E-2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223405.29735324453</v>
      </c>
      <c r="D46" s="11">
        <v>-5.8999999999999999E-3</v>
      </c>
      <c r="E46" s="10">
        <f t="shared" si="2"/>
        <v>-1325.9141478564998</v>
      </c>
      <c r="F46" s="3"/>
      <c r="G46" s="26">
        <v>3.11</v>
      </c>
      <c r="H46" s="10"/>
      <c r="I46" s="10">
        <f t="shared" si="8"/>
        <v>4480.3598932039922</v>
      </c>
      <c r="J46" s="10">
        <f t="shared" si="6"/>
        <v>1000936134.1907887</v>
      </c>
      <c r="K46" s="11">
        <f t="shared" si="7"/>
        <v>2.5016509999999714E-2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224731.21150110103</v>
      </c>
      <c r="D47" s="11">
        <v>-1.03E-2</v>
      </c>
      <c r="E47" s="10">
        <f t="shared" si="2"/>
        <v>-2338.8213382452668</v>
      </c>
      <c r="F47" s="3"/>
      <c r="G47" s="26">
        <v>4.26</v>
      </c>
      <c r="H47" s="10"/>
      <c r="I47" s="10">
        <f t="shared" si="8"/>
        <v>4345.2234440927095</v>
      </c>
      <c r="J47" s="10">
        <f t="shared" si="6"/>
        <v>976507328.83394134</v>
      </c>
      <c r="K47" s="11">
        <f t="shared" si="7"/>
        <v>3.1861219999999912E-2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227070.0328393463</v>
      </c>
      <c r="D48" s="11">
        <v>-9.2999999999999992E-3</v>
      </c>
      <c r="E48" s="10">
        <f t="shared" si="2"/>
        <v>-2131.5749524638231</v>
      </c>
      <c r="F48" s="3"/>
      <c r="G48" s="26">
        <v>6.99</v>
      </c>
      <c r="H48" s="10"/>
      <c r="I48" s="10">
        <f t="shared" si="8"/>
        <v>4167.68026481173</v>
      </c>
      <c r="J48" s="10">
        <f t="shared" si="6"/>
        <v>946355294.59469497</v>
      </c>
      <c r="K48" s="11">
        <f t="shared" si="7"/>
        <v>5.9949929999999929E-2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229201.60779181012</v>
      </c>
      <c r="D49" s="11">
        <v>-8.3000000000000001E-3</v>
      </c>
      <c r="E49" s="10">
        <f t="shared" si="2"/>
        <v>-1918.2951947887777</v>
      </c>
      <c r="F49" s="3"/>
      <c r="G49" s="26">
        <v>7.02</v>
      </c>
      <c r="H49" s="10"/>
      <c r="I49" s="10">
        <f t="shared" si="8"/>
        <v>3895.3923402296755</v>
      </c>
      <c r="J49" s="10">
        <f t="shared" si="6"/>
        <v>892830187.36054349</v>
      </c>
      <c r="K49" s="11">
        <f t="shared" si="7"/>
        <v>6.1317339999999998E-2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231119.9029865989</v>
      </c>
      <c r="D50" s="11">
        <v>-7.4000000000000003E-3</v>
      </c>
      <c r="E50" s="10">
        <f t="shared" si="2"/>
        <v>-1723.037761536194</v>
      </c>
      <c r="F50" s="3"/>
      <c r="G50" s="26">
        <v>4.3099999999999996</v>
      </c>
      <c r="H50" s="10"/>
      <c r="I50" s="10">
        <f t="shared" si="8"/>
        <v>3639.8732388615917</v>
      </c>
      <c r="J50" s="10">
        <f t="shared" si="6"/>
        <v>841247149.84920859</v>
      </c>
      <c r="K50" s="11">
        <f t="shared" si="7"/>
        <v>3.5381059999999964E-2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232842.94074813509</v>
      </c>
      <c r="D51" s="11">
        <v>-6.4000000000000003E-3</v>
      </c>
      <c r="E51" s="10">
        <f t="shared" si="2"/>
        <v>-1499.7934991828224</v>
      </c>
      <c r="F51" s="3"/>
      <c r="G51" s="26">
        <v>5.23</v>
      </c>
      <c r="H51" s="10"/>
      <c r="I51" s="10">
        <f t="shared" si="8"/>
        <v>3489.4767892451268</v>
      </c>
      <c r="J51" s="10">
        <f t="shared" si="6"/>
        <v>812500037.28019571</v>
      </c>
      <c r="K51" s="11">
        <f t="shared" si="7"/>
        <v>4.556527999999993E-2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234342.73424731792</v>
      </c>
      <c r="D52" s="11">
        <v>-5.3E-3</v>
      </c>
      <c r="E52" s="10">
        <f t="shared" si="2"/>
        <v>-1248.6342530519469</v>
      </c>
      <c r="F52" s="3"/>
      <c r="G52" s="26">
        <v>10.54</v>
      </c>
      <c r="H52" s="10"/>
      <c r="I52" s="10">
        <f t="shared" si="8"/>
        <v>3316.0475047468658</v>
      </c>
      <c r="J52" s="10">
        <f t="shared" si="6"/>
        <v>777091639.15637648</v>
      </c>
      <c r="K52" s="11">
        <f t="shared" si="7"/>
        <v>9.9541380000000235E-2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235591.36850036986</v>
      </c>
      <c r="D53" s="11">
        <v>-4.1000000000000003E-3</v>
      </c>
      <c r="E53" s="10">
        <f t="shared" si="2"/>
        <v>-969.9012057952641</v>
      </c>
      <c r="F53" s="3"/>
      <c r="G53" s="26">
        <v>11.36</v>
      </c>
      <c r="H53" s="10"/>
      <c r="I53" s="10">
        <f t="shared" si="8"/>
        <v>2999.8620451844272</v>
      </c>
      <c r="J53" s="10">
        <f t="shared" si="6"/>
        <v>706741604.53731751</v>
      </c>
      <c r="K53" s="11">
        <f t="shared" si="7"/>
        <v>0.10903423999999995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236561.26970616513</v>
      </c>
      <c r="D54" s="11">
        <v>1.3899999999999999E-2</v>
      </c>
      <c r="E54" s="10">
        <f t="shared" si="2"/>
        <v>3243.1222496456176</v>
      </c>
      <c r="F54" s="3"/>
      <c r="G54" s="26">
        <v>-12.28</v>
      </c>
      <c r="H54" s="10"/>
      <c r="I54" s="10">
        <f t="shared" si="8"/>
        <v>2693.8416354026826</v>
      </c>
      <c r="J54" s="10">
        <f t="shared" si="6"/>
        <v>637258597.65819097</v>
      </c>
      <c r="K54" s="11">
        <f t="shared" si="7"/>
        <v>-0.11060691999999994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233318.14745651951</v>
      </c>
      <c r="D55" s="11">
        <v>3.2399999999999998E-2</v>
      </c>
      <c r="E55" s="10">
        <f t="shared" si="2"/>
        <v>7322.2665416420205</v>
      </c>
      <c r="F55" s="3"/>
      <c r="G55" s="26">
        <v>1.1000000000000001</v>
      </c>
      <c r="H55" s="10"/>
      <c r="I55" s="10">
        <f t="shared" si="8"/>
        <v>3070.9548967198843</v>
      </c>
      <c r="J55" s="10">
        <f t="shared" si="6"/>
        <v>716509507.4252106</v>
      </c>
      <c r="K55" s="11">
        <f t="shared" si="7"/>
        <v>4.3756399999999696E-2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225995.88091487749</v>
      </c>
      <c r="D56" s="11">
        <v>3.3599999999999998E-2</v>
      </c>
      <c r="E56" s="10">
        <f t="shared" si="2"/>
        <v>7346.6153238582483</v>
      </c>
      <c r="F56" s="3"/>
      <c r="G56" s="26">
        <v>1.82</v>
      </c>
      <c r="H56" s="10"/>
      <c r="I56" s="10">
        <f t="shared" si="8"/>
        <v>3037.541935430153</v>
      </c>
      <c r="J56" s="10">
        <f t="shared" si="6"/>
        <v>686471965.51341939</v>
      </c>
      <c r="K56" s="11">
        <f t="shared" si="7"/>
        <v>5.2411520000000156E-2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218649.26559101924</v>
      </c>
      <c r="D57" s="11">
        <v>3.4099999999999998E-2</v>
      </c>
      <c r="E57" s="10">
        <f t="shared" si="2"/>
        <v>7210.0763530159311</v>
      </c>
      <c r="F57" s="3"/>
      <c r="G57" s="26">
        <v>3.77</v>
      </c>
      <c r="H57" s="10"/>
      <c r="I57" s="10">
        <f t="shared" si="8"/>
        <v>2983.2468428895631</v>
      </c>
      <c r="J57" s="10">
        <f t="shared" si="6"/>
        <v>652284731.2745297</v>
      </c>
      <c r="K57" s="11">
        <f t="shared" si="7"/>
        <v>7.3085570000000155E-2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211439.18923800331</v>
      </c>
      <c r="D58" s="11">
        <v>3.4200000000000001E-2</v>
      </c>
      <c r="E58" s="10">
        <f t="shared" si="2"/>
        <v>6992.0907676848874</v>
      </c>
      <c r="F58" s="3"/>
      <c r="G58" s="26">
        <v>-13.83</v>
      </c>
      <c r="H58" s="10"/>
      <c r="I58" s="10">
        <f t="shared" si="8"/>
        <v>2874.8644530110464</v>
      </c>
      <c r="J58" s="10">
        <f t="shared" si="6"/>
        <v>607859009.11381149</v>
      </c>
      <c r="K58" s="11">
        <f t="shared" si="7"/>
        <v>-0.10882986000000006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204447.09847031842</v>
      </c>
      <c r="D59" s="11">
        <v>3.4299999999999997E-2</v>
      </c>
      <c r="E59" s="10">
        <f t="shared" si="2"/>
        <v>6779.9820917837496</v>
      </c>
      <c r="F59" s="3"/>
      <c r="G59" s="26">
        <v>6.17</v>
      </c>
      <c r="H59" s="10"/>
      <c r="I59" s="10">
        <f t="shared" si="8"/>
        <v>3336.2706893478548</v>
      </c>
      <c r="J59" s="10">
        <f t="shared" si="6"/>
        <v>682090862.14873803</v>
      </c>
      <c r="K59" s="11">
        <f t="shared" si="7"/>
        <v>9.8116310000000206E-2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197667.11637853467</v>
      </c>
      <c r="D60" s="11">
        <v>3.4200000000000001E-2</v>
      </c>
      <c r="E60" s="10">
        <f t="shared" si="2"/>
        <v>6536.6615549660346</v>
      </c>
      <c r="F60" s="3"/>
      <c r="G60" s="26">
        <v>18.45</v>
      </c>
      <c r="H60" s="10"/>
      <c r="I60" s="10">
        <f t="shared" si="8"/>
        <v>3142.3855037655217</v>
      </c>
      <c r="J60" s="10">
        <f t="shared" si="6"/>
        <v>621146281.07903969</v>
      </c>
      <c r="K60" s="11">
        <f t="shared" si="7"/>
        <v>0.22500989999999987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191130.45482356864</v>
      </c>
      <c r="D61" s="11">
        <v>3.4799999999999998E-2</v>
      </c>
      <c r="E61" s="10">
        <f t="shared" si="2"/>
        <v>6427.6573520102247</v>
      </c>
      <c r="F61" s="3"/>
      <c r="G61" s="26">
        <v>-9.7799999999999994</v>
      </c>
      <c r="H61" s="10"/>
      <c r="I61" s="10">
        <f t="shared" si="8"/>
        <v>2652.9214890380094</v>
      </c>
      <c r="J61" s="10">
        <f t="shared" si="6"/>
        <v>507054090.81105369</v>
      </c>
      <c r="K61" s="11">
        <f t="shared" si="7"/>
        <v>-6.6403440000000091E-2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184702.79747155841</v>
      </c>
      <c r="D62" s="11">
        <v>3.9600000000000003E-2</v>
      </c>
      <c r="E62" s="10">
        <f t="shared" si="2"/>
        <v>7035.6202191936609</v>
      </c>
      <c r="F62" s="3"/>
      <c r="G62" s="26">
        <v>14.7</v>
      </c>
      <c r="H62" s="10"/>
      <c r="I62" s="10">
        <f t="shared" si="8"/>
        <v>2940.5026480137544</v>
      </c>
      <c r="J62" s="10">
        <f t="shared" si="6"/>
        <v>543119065.06066573</v>
      </c>
      <c r="K62" s="11">
        <f t="shared" si="7"/>
        <v>0.19242120000000007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177667.17725236475</v>
      </c>
      <c r="D63" s="11">
        <v>4.5199999999999997E-2</v>
      </c>
      <c r="E63" s="10">
        <f t="shared" si="2"/>
        <v>7683.2724950314441</v>
      </c>
      <c r="F63" s="3"/>
      <c r="G63" s="26">
        <v>13.37</v>
      </c>
      <c r="H63" s="10"/>
      <c r="I63" s="10">
        <f t="shared" si="8"/>
        <v>2563.6465980939447</v>
      </c>
      <c r="J63" s="10">
        <f t="shared" si="6"/>
        <v>455475854.55597878</v>
      </c>
      <c r="K63" s="11">
        <f t="shared" si="7"/>
        <v>0.18494323999999973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169983.90475733331</v>
      </c>
      <c r="D64" s="11">
        <v>0.04</v>
      </c>
      <c r="E64" s="10">
        <f t="shared" si="2"/>
        <v>6537.8424906666623</v>
      </c>
      <c r="F64" s="3"/>
      <c r="G64" s="26">
        <v>25.98</v>
      </c>
      <c r="H64" s="10"/>
      <c r="I64" s="10">
        <f t="shared" si="8"/>
        <v>2261.309515827772</v>
      </c>
      <c r="J64" s="10">
        <f t="shared" si="6"/>
        <v>384386221.36531949</v>
      </c>
      <c r="K64" s="11">
        <f t="shared" si="7"/>
        <v>0.31019200000000002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163446.06226666665</v>
      </c>
      <c r="D65" s="11">
        <v>3.3099999999999997E-2</v>
      </c>
      <c r="E65" s="10">
        <f t="shared" si="2"/>
        <v>5236.728933333332</v>
      </c>
      <c r="F65" s="3"/>
      <c r="G65" s="26">
        <v>-3.77</v>
      </c>
      <c r="H65" s="10"/>
      <c r="I65" s="10">
        <f t="shared" si="8"/>
        <v>1794.975008594834</v>
      </c>
      <c r="J65" s="10">
        <f t="shared" si="6"/>
        <v>293381597.02190173</v>
      </c>
      <c r="K65" s="11">
        <f t="shared" si="7"/>
        <v>-5.8478700000000883E-3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158209.33333333331</v>
      </c>
      <c r="D66" s="11">
        <v>2.73333333333333E-2</v>
      </c>
      <c r="E66" s="10">
        <f t="shared" si="2"/>
        <v>4209.3333333333139</v>
      </c>
      <c r="F66" s="3"/>
      <c r="G66" s="26">
        <v>4.6100000000000003</v>
      </c>
      <c r="H66" s="10"/>
      <c r="I66" s="10">
        <f t="shared" si="8"/>
        <v>1865.2966939570133</v>
      </c>
      <c r="J66" s="10">
        <f t="shared" ref="J66:J67" si="9">IF(I66="","",I66*C66)</f>
        <v>295107346.41980976</v>
      </c>
      <c r="K66" s="11">
        <f t="shared" ref="K66" si="10">IFERROR(J66/J67-1,"")</f>
        <v>7.4693400000000132E-2</v>
      </c>
    </row>
    <row r="67" spans="1:11" ht="22.5" customHeight="1">
      <c r="A67" s="3">
        <f t="shared" si="0"/>
        <v>1950</v>
      </c>
      <c r="B67" s="3">
        <v>1700</v>
      </c>
      <c r="C67" s="10">
        <v>154000</v>
      </c>
      <c r="D67" s="11">
        <v>2.12833333333333E-2</v>
      </c>
      <c r="E67" s="3" t="s">
        <v>72</v>
      </c>
      <c r="F67" s="3"/>
      <c r="G67" s="26">
        <v>43.2</v>
      </c>
      <c r="H67" s="10"/>
      <c r="I67" s="10">
        <f t="shared" ref="I67" si="11">IF(H67&lt;&gt;"",H67,I66/(1+IF(G66="",0,G66)/100))</f>
        <v>1783.0959697514704</v>
      </c>
      <c r="J67" s="10">
        <f t="shared" si="9"/>
        <v>274596779.34172642</v>
      </c>
      <c r="K67" s="11"/>
    </row>
  </sheetData>
  <dataValidations count="1">
    <dataValidation type="custom" allowBlank="1" showDropDown="1" sqref="D2:D67" xr:uid="{00000000-0002-0000-0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67"/>
  <sheetViews>
    <sheetView topLeftCell="A38" workbookViewId="0">
      <selection activeCell="I66" sqref="I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6585897.2473049136</v>
      </c>
      <c r="D2" s="11">
        <v>-4.0000000000000002E-4</v>
      </c>
      <c r="E2" s="10">
        <f t="shared" ref="E2:E66" si="2">SUM(C2-C3)</f>
        <v>-2635.4130641473457</v>
      </c>
      <c r="F2" s="14">
        <v>6585930</v>
      </c>
      <c r="G2" s="29">
        <v>3.73</v>
      </c>
      <c r="H2" s="10"/>
      <c r="I2" s="10">
        <f>IF(H2&lt;&gt;"",H2,116824)</f>
        <v>14603</v>
      </c>
      <c r="J2" s="10">
        <f t="shared" ref="J2:J33" si="3">IF(I2="","",I2*C2)</f>
        <v>96173857502.393646</v>
      </c>
      <c r="K2" s="11">
        <f t="shared" ref="K2:K33" si="4">IFERROR(J2/J3-1,"")</f>
        <v>3.6885080000000237E-2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6588532.6603690609</v>
      </c>
      <c r="D3" s="11">
        <v>8.9999999999999998E-4</v>
      </c>
      <c r="E3" s="10">
        <f t="shared" si="2"/>
        <v>5924.3474815981463</v>
      </c>
      <c r="F3" s="3"/>
      <c r="G3" s="29">
        <v>3.82</v>
      </c>
      <c r="H3" s="10"/>
      <c r="I3" s="10">
        <f t="shared" ref="I3:I34" si="5">IF(H3&lt;&gt;"",H3,I2/(1+IF(G2="",0,G2)/100))</f>
        <v>14077.894533886049</v>
      </c>
      <c r="J3" s="10">
        <f t="shared" si="3"/>
        <v>92752667925.739304</v>
      </c>
      <c r="K3" s="11">
        <f t="shared" si="4"/>
        <v>3.9134379999999913E-2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6582608.3128874628</v>
      </c>
      <c r="D4" s="11">
        <v>1E-4</v>
      </c>
      <c r="E4" s="10">
        <f t="shared" si="2"/>
        <v>658.19501178711653</v>
      </c>
      <c r="F4" s="3"/>
      <c r="G4" s="29">
        <v>2.56</v>
      </c>
      <c r="H4" s="10"/>
      <c r="I4" s="10">
        <f t="shared" si="5"/>
        <v>13559.906120098294</v>
      </c>
      <c r="J4" s="10">
        <f t="shared" si="3"/>
        <v>89259550748.132614</v>
      </c>
      <c r="K4" s="11">
        <f t="shared" si="4"/>
        <v>2.5702559999999819E-2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6581950.1178756757</v>
      </c>
      <c r="D5" s="11">
        <v>2.3E-3</v>
      </c>
      <c r="E5" s="10">
        <f t="shared" si="2"/>
        <v>15103.746653810143</v>
      </c>
      <c r="F5" s="3"/>
      <c r="G5" s="29">
        <v>2.2999999999999998</v>
      </c>
      <c r="H5" s="10"/>
      <c r="I5" s="10">
        <f t="shared" si="5"/>
        <v>13221.43732458882</v>
      </c>
      <c r="J5" s="10">
        <f t="shared" si="3"/>
        <v>87022840957.063248</v>
      </c>
      <c r="K5" s="11">
        <f t="shared" si="4"/>
        <v>2.5352899999999901E-2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6566846.3712218655</v>
      </c>
      <c r="D6" s="11">
        <v>4.4999999999999997E-3</v>
      </c>
      <c r="E6" s="10">
        <f t="shared" si="2"/>
        <v>29418.425754602067</v>
      </c>
      <c r="F6" s="3"/>
      <c r="G6" s="29">
        <v>2.14</v>
      </c>
      <c r="H6" s="10"/>
      <c r="I6" s="10">
        <f t="shared" si="5"/>
        <v>12924.181157955836</v>
      </c>
      <c r="J6" s="10">
        <f t="shared" si="3"/>
        <v>84871112138.136292</v>
      </c>
      <c r="K6" s="11">
        <f t="shared" si="4"/>
        <v>2.5996299999999861E-2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6537427.9454672635</v>
      </c>
      <c r="D7" s="11">
        <v>3.7000000000000002E-3</v>
      </c>
      <c r="E7" s="10">
        <f t="shared" si="2"/>
        <v>24099.315929290839</v>
      </c>
      <c r="F7" s="3"/>
      <c r="G7" s="29">
        <v>1.47</v>
      </c>
      <c r="H7" s="10"/>
      <c r="I7" s="10">
        <f t="shared" si="5"/>
        <v>12653.39843152128</v>
      </c>
      <c r="J7" s="10">
        <f t="shared" si="3"/>
        <v>82720680511.358856</v>
      </c>
      <c r="K7" s="11">
        <f t="shared" si="4"/>
        <v>1.8454390000000043E-2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6513328.6295379726</v>
      </c>
      <c r="D8" s="11">
        <v>4.3E-3</v>
      </c>
      <c r="E8" s="10">
        <f t="shared" si="2"/>
        <v>27887.397298629396</v>
      </c>
      <c r="F8" s="3"/>
      <c r="G8" s="29">
        <v>-0.04</v>
      </c>
      <c r="H8" s="10"/>
      <c r="I8" s="10">
        <f t="shared" si="5"/>
        <v>12470.08813592321</v>
      </c>
      <c r="J8" s="10">
        <f t="shared" si="3"/>
        <v>81221782068.57045</v>
      </c>
      <c r="K8" s="11">
        <f t="shared" si="4"/>
        <v>3.8982800000000317E-3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6485441.2322393432</v>
      </c>
      <c r="D9" s="11">
        <v>6.4999999999999997E-3</v>
      </c>
      <c r="E9" s="10">
        <f t="shared" si="2"/>
        <v>41883.127679637633</v>
      </c>
      <c r="F9" s="3"/>
      <c r="G9" s="29">
        <v>-1.03</v>
      </c>
      <c r="H9" s="10"/>
      <c r="I9" s="10">
        <f t="shared" si="5"/>
        <v>12475.078167190086</v>
      </c>
      <c r="J9" s="10">
        <f t="shared" si="3"/>
        <v>80906386320.903397</v>
      </c>
      <c r="K9" s="11">
        <f t="shared" si="4"/>
        <v>-3.8669499999999246E-3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6443558.1045597056</v>
      </c>
      <c r="D10" s="11">
        <v>6.8999999999999999E-3</v>
      </c>
      <c r="E10" s="10">
        <f t="shared" si="2"/>
        <v>44155.875381330028</v>
      </c>
      <c r="F10" s="3"/>
      <c r="G10" s="29">
        <v>3.06</v>
      </c>
      <c r="H10" s="10"/>
      <c r="I10" s="10">
        <f t="shared" si="5"/>
        <v>12604.908727078999</v>
      </c>
      <c r="J10" s="10">
        <f t="shared" si="3"/>
        <v>81220461785.60524</v>
      </c>
      <c r="K10" s="11">
        <f t="shared" si="4"/>
        <v>3.7711139999999865E-2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6399402.2291783756</v>
      </c>
      <c r="D11" s="11">
        <v>5.4999999999999997E-3</v>
      </c>
      <c r="E11" s="10">
        <f t="shared" si="2"/>
        <v>35004.189219772816</v>
      </c>
      <c r="F11" s="3"/>
      <c r="G11" s="29">
        <v>2.77</v>
      </c>
      <c r="H11" s="10"/>
      <c r="I11" s="10">
        <f t="shared" si="5"/>
        <v>12230.650812224916</v>
      </c>
      <c r="J11" s="10">
        <f t="shared" si="3"/>
        <v>78268854072.054443</v>
      </c>
      <c r="K11" s="11">
        <f t="shared" si="4"/>
        <v>3.3352350000000142E-2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6364398.0399586027</v>
      </c>
      <c r="D12" s="11">
        <v>4.0000000000000001E-3</v>
      </c>
      <c r="E12" s="10">
        <f t="shared" si="2"/>
        <v>25356.167489875108</v>
      </c>
      <c r="F12" s="3"/>
      <c r="G12" s="29">
        <v>3.35</v>
      </c>
      <c r="H12" s="10"/>
      <c r="I12" s="10">
        <f t="shared" si="5"/>
        <v>11900.993297873811</v>
      </c>
      <c r="J12" s="10">
        <f t="shared" si="3"/>
        <v>75742658418.548553</v>
      </c>
      <c r="K12" s="11">
        <f t="shared" si="4"/>
        <v>3.7634000000000167E-2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6339041.8724687276</v>
      </c>
      <c r="D13" s="11">
        <v>6.7000000000000002E-3</v>
      </c>
      <c r="E13" s="10">
        <f t="shared" si="2"/>
        <v>42188.914816270582</v>
      </c>
      <c r="F13" s="3"/>
      <c r="G13" s="29">
        <v>4.09</v>
      </c>
      <c r="H13" s="10"/>
      <c r="I13" s="10">
        <f t="shared" si="5"/>
        <v>11515.232992621006</v>
      </c>
      <c r="J13" s="10">
        <f t="shared" si="3"/>
        <v>72995544111.457932</v>
      </c>
      <c r="K13" s="11">
        <f t="shared" si="4"/>
        <v>4.7874030000000012E-2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6296852.9576524571</v>
      </c>
      <c r="D14" s="11">
        <v>5.1000000000000004E-3</v>
      </c>
      <c r="E14" s="10">
        <f t="shared" si="2"/>
        <v>31950.999984108843</v>
      </c>
      <c r="F14" s="3"/>
      <c r="G14" s="29">
        <v>4.7300000000000004</v>
      </c>
      <c r="H14" s="10"/>
      <c r="I14" s="10">
        <f t="shared" si="5"/>
        <v>11062.765868595452</v>
      </c>
      <c r="J14" s="10">
        <f t="shared" si="3"/>
        <v>69660609979.481918</v>
      </c>
      <c r="K14" s="11">
        <f t="shared" si="4"/>
        <v>5.2641229999999872E-2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6264901.9576683482</v>
      </c>
      <c r="D15" s="11">
        <v>4.4000000000000003E-3</v>
      </c>
      <c r="E15" s="10">
        <f t="shared" si="2"/>
        <v>27444.811443389393</v>
      </c>
      <c r="F15" s="3"/>
      <c r="G15" s="29">
        <v>4.72</v>
      </c>
      <c r="H15" s="10"/>
      <c r="I15" s="10">
        <f t="shared" si="5"/>
        <v>10563.1298277432</v>
      </c>
      <c r="J15" s="10">
        <f t="shared" si="3"/>
        <v>66176972736.933296</v>
      </c>
      <c r="K15" s="11">
        <f t="shared" si="4"/>
        <v>5.1807679999999801E-2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6237457.1462249588</v>
      </c>
      <c r="D16" s="11">
        <v>1.1000000000000001E-3</v>
      </c>
      <c r="E16" s="10">
        <f t="shared" si="2"/>
        <v>6853.6638306342065</v>
      </c>
      <c r="F16" s="3"/>
      <c r="G16" s="29">
        <v>3.42</v>
      </c>
      <c r="H16" s="10"/>
      <c r="I16" s="10">
        <f t="shared" si="5"/>
        <v>10087.022371794501</v>
      </c>
      <c r="J16" s="10">
        <f t="shared" si="3"/>
        <v>62917369777.080643</v>
      </c>
      <c r="K16" s="11">
        <f t="shared" si="4"/>
        <v>3.5337619999999959E-2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6230603.4823943246</v>
      </c>
      <c r="D17" s="11">
        <v>2.2000000000000001E-3</v>
      </c>
      <c r="E17" s="10">
        <f t="shared" si="2"/>
        <v>13677.237738243304</v>
      </c>
      <c r="F17" s="3"/>
      <c r="G17" s="29">
        <v>2.87</v>
      </c>
      <c r="H17" s="10"/>
      <c r="I17" s="10">
        <f t="shared" si="5"/>
        <v>9753.4542368927687</v>
      </c>
      <c r="J17" s="10">
        <f t="shared" si="3"/>
        <v>60769905933.757767</v>
      </c>
      <c r="K17" s="11">
        <f t="shared" si="4"/>
        <v>3.0963140000000111E-2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6216926.2446560813</v>
      </c>
      <c r="D18" s="11">
        <v>4.0000000000000002E-4</v>
      </c>
      <c r="E18" s="10">
        <f t="shared" si="2"/>
        <v>2485.7761873872951</v>
      </c>
      <c r="F18" s="3"/>
      <c r="G18" s="29">
        <v>5.38</v>
      </c>
      <c r="H18" s="10"/>
      <c r="I18" s="10">
        <f t="shared" si="5"/>
        <v>9481.3397850615038</v>
      </c>
      <c r="J18" s="10">
        <f t="shared" si="3"/>
        <v>58944790144.25071</v>
      </c>
      <c r="K18" s="11">
        <f t="shared" si="4"/>
        <v>5.4221520000000023E-2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6214440.468468694</v>
      </c>
      <c r="D19" s="11">
        <v>1.6000000000000001E-3</v>
      </c>
      <c r="E19" s="10">
        <f t="shared" si="2"/>
        <v>9927.2211956372485</v>
      </c>
      <c r="F19" s="3"/>
      <c r="G19" s="29">
        <v>0.86</v>
      </c>
      <c r="H19" s="10"/>
      <c r="I19" s="10">
        <f t="shared" si="5"/>
        <v>8997.2858085609259</v>
      </c>
      <c r="J19" s="10">
        <f t="shared" si="3"/>
        <v>55913097035.10009</v>
      </c>
      <c r="K19" s="11">
        <f t="shared" si="4"/>
        <v>1.0213760000000072E-2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6204513.2472730568</v>
      </c>
      <c r="D20" s="11">
        <v>1.1999999999999999E-3</v>
      </c>
      <c r="E20" s="10">
        <f t="shared" si="2"/>
        <v>7436.4921062011272</v>
      </c>
      <c r="F20" s="3"/>
      <c r="G20" s="29">
        <v>2.08</v>
      </c>
      <c r="H20" s="10"/>
      <c r="I20" s="10">
        <f t="shared" si="5"/>
        <v>8920.5689158843215</v>
      </c>
      <c r="J20" s="10">
        <f t="shared" si="3"/>
        <v>55347788011.816521</v>
      </c>
      <c r="K20" s="11">
        <f t="shared" si="4"/>
        <v>2.2024959999999982E-2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6197076.7551668556</v>
      </c>
      <c r="D21" s="11">
        <v>1E-3</v>
      </c>
      <c r="E21" s="10">
        <f t="shared" si="2"/>
        <v>6190.885869297199</v>
      </c>
      <c r="F21" s="3"/>
      <c r="G21" s="29">
        <v>3.59</v>
      </c>
      <c r="H21" s="10"/>
      <c r="I21" s="10">
        <f t="shared" si="5"/>
        <v>8738.8018376609743</v>
      </c>
      <c r="J21" s="10">
        <f t="shared" si="3"/>
        <v>54155025736.178223</v>
      </c>
      <c r="K21" s="11">
        <f t="shared" si="4"/>
        <v>3.6935900000000021E-2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6190885.8692975584</v>
      </c>
      <c r="D22" s="11">
        <v>4.0000000000000002E-4</v>
      </c>
      <c r="E22" s="10">
        <f t="shared" si="2"/>
        <v>2475.364202038385</v>
      </c>
      <c r="F22" s="3"/>
      <c r="G22" s="29">
        <v>4.74</v>
      </c>
      <c r="H22" s="10"/>
      <c r="I22" s="10">
        <f t="shared" si="5"/>
        <v>8435.951189942054</v>
      </c>
      <c r="J22" s="10">
        <f t="shared" si="3"/>
        <v>52226011015.896187</v>
      </c>
      <c r="K22" s="11">
        <f t="shared" si="4"/>
        <v>4.7818960000000077E-2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6188410.5050955201</v>
      </c>
      <c r="D23" s="11">
        <v>1.2999999999999999E-3</v>
      </c>
      <c r="E23" s="10">
        <f t="shared" si="2"/>
        <v>8034.4888211572543</v>
      </c>
      <c r="F23" s="3"/>
      <c r="G23" s="29">
        <v>5.1100000000000003</v>
      </c>
      <c r="H23" s="10"/>
      <c r="I23" s="10">
        <f t="shared" si="5"/>
        <v>8054.18291955514</v>
      </c>
      <c r="J23" s="10">
        <f t="shared" si="3"/>
        <v>49842590189.335938</v>
      </c>
      <c r="K23" s="11">
        <f t="shared" si="4"/>
        <v>5.2466430000000175E-2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6180376.0162743628</v>
      </c>
      <c r="D24" s="11">
        <v>2.0999999999999999E-3</v>
      </c>
      <c r="E24" s="10">
        <f t="shared" si="2"/>
        <v>12951.591292462312</v>
      </c>
      <c r="F24" s="3"/>
      <c r="G24" s="29">
        <v>6.38</v>
      </c>
      <c r="H24" s="10"/>
      <c r="I24" s="10">
        <f t="shared" si="5"/>
        <v>7662.6228898821619</v>
      </c>
      <c r="J24" s="10">
        <f t="shared" si="3"/>
        <v>47357890730.38266</v>
      </c>
      <c r="K24" s="11">
        <f t="shared" si="4"/>
        <v>6.603398000000027E-2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6167424.4249819005</v>
      </c>
      <c r="D25" s="11">
        <v>1.6000000000000001E-3</v>
      </c>
      <c r="E25" s="10">
        <f t="shared" si="2"/>
        <v>9852.1156948599964</v>
      </c>
      <c r="F25" s="3"/>
      <c r="G25" s="29">
        <v>1.1000000000000001</v>
      </c>
      <c r="H25" s="10"/>
      <c r="I25" s="10">
        <f t="shared" si="5"/>
        <v>7203.0672023708976</v>
      </c>
      <c r="J25" s="10">
        <f t="shared" si="3"/>
        <v>44424372598.688316</v>
      </c>
      <c r="K25" s="11">
        <f t="shared" si="4"/>
        <v>1.2617599999999785E-2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6157572.3092870405</v>
      </c>
      <c r="D26" s="11">
        <v>4.0000000000000001E-3</v>
      </c>
      <c r="E26" s="10">
        <f t="shared" si="2"/>
        <v>24532.160594768822</v>
      </c>
      <c r="F26" s="3"/>
      <c r="G26" s="29">
        <v>-1.08</v>
      </c>
      <c r="H26" s="10"/>
      <c r="I26" s="10">
        <f t="shared" si="5"/>
        <v>7124.6955513065268</v>
      </c>
      <c r="J26" s="10">
        <f t="shared" si="3"/>
        <v>43870828038.825638</v>
      </c>
      <c r="K26" s="11">
        <f t="shared" si="4"/>
        <v>-6.8432000000000492E-3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6133040.1486922717</v>
      </c>
      <c r="D27" s="11">
        <v>2.2000000000000001E-3</v>
      </c>
      <c r="E27" s="10">
        <f t="shared" si="2"/>
        <v>13463.069574059919</v>
      </c>
      <c r="F27" s="3"/>
      <c r="G27" s="29">
        <v>-5.14</v>
      </c>
      <c r="H27" s="10"/>
      <c r="I27" s="10">
        <f t="shared" si="5"/>
        <v>7202.482360803202</v>
      </c>
      <c r="J27" s="10">
        <f t="shared" si="3"/>
        <v>44173113489.053932</v>
      </c>
      <c r="K27" s="11">
        <f t="shared" si="4"/>
        <v>-4.931308000000012E-2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6119577.0791182118</v>
      </c>
      <c r="D28" s="11">
        <v>4.8999999999999998E-3</v>
      </c>
      <c r="E28" s="10">
        <f t="shared" si="2"/>
        <v>29839.713093520142</v>
      </c>
      <c r="F28" s="3"/>
      <c r="G28" s="29">
        <v>0.16</v>
      </c>
      <c r="H28" s="10"/>
      <c r="I28" s="10">
        <f t="shared" si="5"/>
        <v>7592.7496951330404</v>
      </c>
      <c r="J28" s="10">
        <f t="shared" si="3"/>
        <v>46464417001.817947</v>
      </c>
      <c r="K28" s="11">
        <f t="shared" si="4"/>
        <v>6.5078399999998204E-3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6089737.3660246916</v>
      </c>
      <c r="D29" s="11">
        <v>6.6E-3</v>
      </c>
      <c r="E29" s="10">
        <f t="shared" si="2"/>
        <v>39928.736951880157</v>
      </c>
      <c r="F29" s="3"/>
      <c r="G29" s="29">
        <v>-0.33</v>
      </c>
      <c r="H29" s="10"/>
      <c r="I29" s="10">
        <f t="shared" si="5"/>
        <v>7580.6207020098245</v>
      </c>
      <c r="J29" s="10">
        <f t="shared" si="3"/>
        <v>46163989146.68956</v>
      </c>
      <c r="K29" s="11">
        <f t="shared" si="4"/>
        <v>3.2782200000001094E-3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6049808.6290728115</v>
      </c>
      <c r="D30" s="12">
        <v>4.1999999999999997E-3</v>
      </c>
      <c r="E30" s="10">
        <f t="shared" si="2"/>
        <v>25302.92396146711</v>
      </c>
      <c r="F30" s="3"/>
      <c r="G30" s="29">
        <v>0.96</v>
      </c>
      <c r="H30" s="10"/>
      <c r="I30" s="10">
        <f t="shared" si="5"/>
        <v>7605.7195766126461</v>
      </c>
      <c r="J30" s="10">
        <f t="shared" si="3"/>
        <v>46013147924.899193</v>
      </c>
      <c r="K30" s="11">
        <f t="shared" si="4"/>
        <v>1.3840319999999906E-2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6024505.7051113443</v>
      </c>
      <c r="D31" s="13">
        <v>2.7000000000000001E-3</v>
      </c>
      <c r="E31" s="10">
        <f t="shared" si="2"/>
        <v>16222.365018251352</v>
      </c>
      <c r="F31" s="3"/>
      <c r="G31" s="29">
        <v>2.71</v>
      </c>
      <c r="H31" s="10"/>
      <c r="I31" s="10">
        <f t="shared" si="5"/>
        <v>7533.3989467240945</v>
      </c>
      <c r="J31" s="10">
        <f t="shared" si="3"/>
        <v>45385004933.419098</v>
      </c>
      <c r="K31" s="11">
        <f t="shared" si="4"/>
        <v>2.9873169999999893E-2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6008283.340093093</v>
      </c>
      <c r="D32" s="12">
        <v>1E-3</v>
      </c>
      <c r="E32" s="10">
        <f t="shared" si="2"/>
        <v>6002.2810590332374</v>
      </c>
      <c r="F32" s="3"/>
      <c r="G32" s="29">
        <v>1.62</v>
      </c>
      <c r="H32" s="10"/>
      <c r="I32" s="10">
        <f t="shared" si="5"/>
        <v>7334.6304612249005</v>
      </c>
      <c r="J32" s="10">
        <f t="shared" si="3"/>
        <v>44068538005.916885</v>
      </c>
      <c r="K32" s="11">
        <f t="shared" si="4"/>
        <v>1.7216199999999793E-2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6002281.0590340598</v>
      </c>
      <c r="D33" s="13">
        <v>-8.9999999999999998E-4</v>
      </c>
      <c r="E33" s="10">
        <f t="shared" si="2"/>
        <v>-5406.919180393219</v>
      </c>
      <c r="F33" s="3"/>
      <c r="G33" s="29">
        <v>4.79</v>
      </c>
      <c r="H33" s="10"/>
      <c r="I33" s="10">
        <f t="shared" si="5"/>
        <v>7217.7036619020864</v>
      </c>
      <c r="J33" s="10">
        <f t="shared" si="3"/>
        <v>43322685979.555664</v>
      </c>
      <c r="K33" s="11">
        <f t="shared" si="4"/>
        <v>4.6956889999999918E-2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6007687.978214453</v>
      </c>
      <c r="D34" s="12">
        <v>-4.0000000000000002E-4</v>
      </c>
      <c r="E34" s="10">
        <f t="shared" si="2"/>
        <v>-2404.0368060078472</v>
      </c>
      <c r="F34" s="3"/>
      <c r="G34" s="29">
        <v>2.19</v>
      </c>
      <c r="H34" s="10"/>
      <c r="I34" s="10">
        <f t="shared" si="5"/>
        <v>6887.7790456170305</v>
      </c>
      <c r="J34" s="10">
        <f t="shared" ref="J34:J65" si="6">IF(I34="","",I34*C34)</f>
        <v>41379627368.950851</v>
      </c>
      <c r="K34" s="11">
        <f t="shared" ref="K34:K65" si="7">IFERROR(J34/J35-1,"")</f>
        <v>3.4486039999999996E-2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6010092.0150204608</v>
      </c>
      <c r="D35" s="11">
        <v>-3.3E-3</v>
      </c>
      <c r="E35" s="10">
        <f t="shared" si="2"/>
        <v>-19898.97025139723</v>
      </c>
      <c r="F35" s="3"/>
      <c r="G35" s="29">
        <v>-1.77</v>
      </c>
      <c r="H35" s="10"/>
      <c r="I35" s="10">
        <f t="shared" ref="I35:I66" si="8">IF(H35&lt;&gt;"",H35,I34/(1+IF(G34="",0,G34)/100))</f>
        <v>6655.5020249464014</v>
      </c>
      <c r="J35" s="10">
        <f t="shared" si="6"/>
        <v>40000179576.082878</v>
      </c>
      <c r="K35" s="11">
        <f t="shared" si="7"/>
        <v>5.9693100000002275E-3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6029990.9852718581</v>
      </c>
      <c r="D36" s="11">
        <v>-8.0000000000000004E-4</v>
      </c>
      <c r="E36" s="10">
        <f t="shared" si="2"/>
        <v>-4827.8550722757354</v>
      </c>
      <c r="F36" s="3"/>
      <c r="G36" s="29">
        <v>-2.14</v>
      </c>
      <c r="H36" s="10"/>
      <c r="I36" s="10">
        <f t="shared" si="8"/>
        <v>6594.176186412762</v>
      </c>
      <c r="J36" s="10">
        <f t="shared" si="6"/>
        <v>39762822959.363312</v>
      </c>
      <c r="K36" s="11">
        <f t="shared" si="7"/>
        <v>2.5778719999999922E-2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6034818.8403441338</v>
      </c>
      <c r="D37" s="11">
        <v>2E-3</v>
      </c>
      <c r="E37" s="10">
        <f t="shared" si="2"/>
        <v>12045.546587512828</v>
      </c>
      <c r="F37" s="3"/>
      <c r="G37" s="29">
        <v>-4.02</v>
      </c>
      <c r="H37" s="10"/>
      <c r="I37" s="10">
        <f t="shared" si="8"/>
        <v>6423.3159813099182</v>
      </c>
      <c r="J37" s="10">
        <f t="shared" si="6"/>
        <v>38763548301.492661</v>
      </c>
      <c r="K37" s="11">
        <f t="shared" si="7"/>
        <v>1.4825599999999772E-2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6022773.293756621</v>
      </c>
      <c r="D38" s="11">
        <v>2.0999999999999999E-3</v>
      </c>
      <c r="E38" s="10">
        <f t="shared" si="2"/>
        <v>12621.319146680646</v>
      </c>
      <c r="F38" s="3"/>
      <c r="G38" s="29">
        <v>-1.51</v>
      </c>
      <c r="H38" s="10"/>
      <c r="I38" s="10">
        <f t="shared" si="8"/>
        <v>6342.1366324150067</v>
      </c>
      <c r="J38" s="10">
        <f t="shared" si="6"/>
        <v>38197251135.064651</v>
      </c>
      <c r="K38" s="11">
        <f t="shared" si="7"/>
        <v>2.4045989999999851E-2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6010151.9746099403</v>
      </c>
      <c r="D39" s="11">
        <v>1.2999999999999999E-3</v>
      </c>
      <c r="E39" s="10">
        <f t="shared" si="2"/>
        <v>7803.0535973170772</v>
      </c>
      <c r="F39" s="3"/>
      <c r="G39" s="29">
        <v>0.32</v>
      </c>
      <c r="H39" s="10"/>
      <c r="I39" s="10">
        <f t="shared" si="8"/>
        <v>6206.2204055338161</v>
      </c>
      <c r="J39" s="10">
        <f t="shared" si="6"/>
        <v>37300327825.183571</v>
      </c>
      <c r="K39" s="11">
        <f t="shared" si="7"/>
        <v>4.5041600000002013E-3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6002348.9210126232</v>
      </c>
      <c r="D40" s="11">
        <v>5.0000000000000001E-4</v>
      </c>
      <c r="E40" s="10">
        <f t="shared" si="2"/>
        <v>2999.6746231941506</v>
      </c>
      <c r="F40" s="3"/>
      <c r="G40" s="29">
        <v>-3.94</v>
      </c>
      <c r="H40" s="10"/>
      <c r="I40" s="10">
        <f t="shared" si="8"/>
        <v>6186.4238492163231</v>
      </c>
      <c r="J40" s="10">
        <f t="shared" si="6"/>
        <v>37133074516.270355</v>
      </c>
      <c r="K40" s="11">
        <f t="shared" si="7"/>
        <v>-3.8919700000000113E-2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5999349.2463894291</v>
      </c>
      <c r="D41" s="11">
        <v>1.4E-3</v>
      </c>
      <c r="E41" s="10">
        <f t="shared" si="2"/>
        <v>8387.3466596221551</v>
      </c>
      <c r="F41" s="3"/>
      <c r="G41" s="29">
        <v>-0.93</v>
      </c>
      <c r="H41" s="10"/>
      <c r="I41" s="10">
        <f t="shared" si="8"/>
        <v>6440.1664055968386</v>
      </c>
      <c r="J41" s="10">
        <f t="shared" si="6"/>
        <v>38636807472.039909</v>
      </c>
      <c r="K41" s="11">
        <f t="shared" si="7"/>
        <v>-7.9130200000000483E-3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5990961.8997298069</v>
      </c>
      <c r="D42" s="11">
        <v>3.7000000000000002E-3</v>
      </c>
      <c r="E42" s="10">
        <f t="shared" si="2"/>
        <v>22084.845102122985</v>
      </c>
      <c r="F42" s="3"/>
      <c r="G42" s="29">
        <v>-7.73</v>
      </c>
      <c r="H42" s="10"/>
      <c r="I42" s="10">
        <f t="shared" si="8"/>
        <v>6500.6221919822738</v>
      </c>
      <c r="J42" s="10">
        <f t="shared" si="6"/>
        <v>38944979876.703865</v>
      </c>
      <c r="K42" s="11">
        <f t="shared" si="7"/>
        <v>-7.3886009999999835E-2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5968877.0546276839</v>
      </c>
      <c r="D43" s="11">
        <v>4.4999999999999997E-3</v>
      </c>
      <c r="E43" s="10">
        <f t="shared" si="2"/>
        <v>26739.618462742306</v>
      </c>
      <c r="F43" s="3"/>
      <c r="G43" s="29">
        <v>5.99</v>
      </c>
      <c r="H43" s="10"/>
      <c r="I43" s="10">
        <f t="shared" si="8"/>
        <v>7045.217505128724</v>
      </c>
      <c r="J43" s="10">
        <f t="shared" si="6"/>
        <v>42052037111.224136</v>
      </c>
      <c r="K43" s="11">
        <f t="shared" si="7"/>
        <v>6.4669549999999854E-2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5942137.4361649416</v>
      </c>
      <c r="D44" s="11">
        <v>6.4000000000000003E-3</v>
      </c>
      <c r="E44" s="10">
        <f t="shared" si="2"/>
        <v>37787.83743189089</v>
      </c>
      <c r="F44" s="3"/>
      <c r="G44" s="29">
        <v>7.8</v>
      </c>
      <c r="H44" s="10"/>
      <c r="I44" s="10">
        <f t="shared" si="8"/>
        <v>6647.0586896204586</v>
      </c>
      <c r="J44" s="10">
        <f t="shared" si="6"/>
        <v>39497736279.97921</v>
      </c>
      <c r="K44" s="11">
        <f t="shared" si="7"/>
        <v>8.4899200000000175E-2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5904349.5987330507</v>
      </c>
      <c r="D45" s="11">
        <v>5.4000000000000003E-3</v>
      </c>
      <c r="E45" s="10">
        <f t="shared" si="2"/>
        <v>31712.241727828979</v>
      </c>
      <c r="F45" s="3"/>
      <c r="G45" s="29">
        <v>5.12</v>
      </c>
      <c r="H45" s="10"/>
      <c r="I45" s="10">
        <f t="shared" si="8"/>
        <v>6166.1026805384581</v>
      </c>
      <c r="J45" s="10">
        <f t="shared" si="6"/>
        <v>36406825887.58403</v>
      </c>
      <c r="K45" s="11">
        <f t="shared" si="7"/>
        <v>5.6876479999999896E-2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5872637.3570052218</v>
      </c>
      <c r="D46" s="11">
        <v>3.0000000000000001E-3</v>
      </c>
      <c r="E46" s="10">
        <f t="shared" si="2"/>
        <v>17565.216421749443</v>
      </c>
      <c r="F46" s="3"/>
      <c r="G46" s="29">
        <v>3.79</v>
      </c>
      <c r="H46" s="10"/>
      <c r="I46" s="10">
        <f t="shared" si="8"/>
        <v>5865.7750005122325</v>
      </c>
      <c r="J46" s="10">
        <f t="shared" si="6"/>
        <v>34447569395.795464</v>
      </c>
      <c r="K46" s="11">
        <f t="shared" si="7"/>
        <v>4.1013699999999931E-2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5855072.1405834723</v>
      </c>
      <c r="D47" s="11">
        <v>3.0000000000000001E-3</v>
      </c>
      <c r="E47" s="10">
        <f t="shared" si="2"/>
        <v>17512.678386590444</v>
      </c>
      <c r="F47" s="3"/>
      <c r="G47" s="29">
        <v>-1.4</v>
      </c>
      <c r="H47" s="10"/>
      <c r="I47" s="10">
        <f t="shared" si="8"/>
        <v>5651.580114184635</v>
      </c>
      <c r="J47" s="10">
        <f t="shared" si="6"/>
        <v>33090409276.838017</v>
      </c>
      <c r="K47" s="11">
        <f t="shared" si="7"/>
        <v>-1.1042000000000107E-2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5837559.4621968819</v>
      </c>
      <c r="D48" s="11">
        <v>3.0000000000000001E-3</v>
      </c>
      <c r="E48" s="10">
        <f t="shared" si="2"/>
        <v>17460.297494107857</v>
      </c>
      <c r="F48" s="3"/>
      <c r="G48" s="29">
        <v>10.19</v>
      </c>
      <c r="H48" s="10"/>
      <c r="I48" s="10">
        <f t="shared" si="8"/>
        <v>5731.8256736152489</v>
      </c>
      <c r="J48" s="10">
        <f t="shared" si="6"/>
        <v>33459873196.675713</v>
      </c>
      <c r="K48" s="11">
        <f t="shared" si="7"/>
        <v>0.10520569999999996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5820099.164702774</v>
      </c>
      <c r="D49" s="11">
        <v>4.0000000000000001E-3</v>
      </c>
      <c r="E49" s="10">
        <f t="shared" si="2"/>
        <v>23187.646074512973</v>
      </c>
      <c r="F49" s="3"/>
      <c r="G49" s="29">
        <v>-0.05</v>
      </c>
      <c r="H49" s="10"/>
      <c r="I49" s="10">
        <f t="shared" si="8"/>
        <v>5201.7657442737527</v>
      </c>
      <c r="J49" s="10">
        <f t="shared" si="6"/>
        <v>30274792463.227173</v>
      </c>
      <c r="K49" s="11">
        <f t="shared" si="7"/>
        <v>3.4980000000000011E-3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5796911.5186282611</v>
      </c>
      <c r="D50" s="11">
        <v>4.0000000000000001E-3</v>
      </c>
      <c r="E50" s="10">
        <f t="shared" si="2"/>
        <v>23095.265014455654</v>
      </c>
      <c r="F50" s="3"/>
      <c r="G50" s="29">
        <v>-4.59</v>
      </c>
      <c r="H50" s="10"/>
      <c r="I50" s="10">
        <f t="shared" si="8"/>
        <v>5204.3679282378716</v>
      </c>
      <c r="J50" s="10">
        <f t="shared" si="6"/>
        <v>30169260390.381618</v>
      </c>
      <c r="K50" s="11">
        <f t="shared" si="7"/>
        <v>-4.2083599999999888E-2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5773816.2536138054</v>
      </c>
      <c r="D51" s="11">
        <v>4.0000000000000001E-3</v>
      </c>
      <c r="E51" s="10">
        <f t="shared" si="2"/>
        <v>23003.252006429248</v>
      </c>
      <c r="F51" s="3"/>
      <c r="G51" s="29">
        <v>6.25</v>
      </c>
      <c r="H51" s="10"/>
      <c r="I51" s="10">
        <f t="shared" si="8"/>
        <v>5454.7405180147489</v>
      </c>
      <c r="J51" s="10">
        <f t="shared" si="6"/>
        <v>31494669462.159344</v>
      </c>
      <c r="K51" s="11">
        <f t="shared" si="7"/>
        <v>6.6749999999999865E-2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5750813.0016073762</v>
      </c>
      <c r="D52" s="11">
        <v>4.0000000000000001E-3</v>
      </c>
      <c r="E52" s="10">
        <f t="shared" si="2"/>
        <v>22911.60558409337</v>
      </c>
      <c r="F52" s="3"/>
      <c r="G52" s="29">
        <v>6.11</v>
      </c>
      <c r="H52" s="10"/>
      <c r="I52" s="10">
        <f t="shared" si="8"/>
        <v>5133.873428719764</v>
      </c>
      <c r="J52" s="10">
        <f t="shared" si="6"/>
        <v>29523946062.488258</v>
      </c>
      <c r="K52" s="11">
        <f t="shared" si="7"/>
        <v>6.5344399999999858E-2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5727901.3960232828</v>
      </c>
      <c r="D53" s="11">
        <v>4.0000000000000001E-3</v>
      </c>
      <c r="E53" s="10">
        <f t="shared" si="2"/>
        <v>22820.324286945164</v>
      </c>
      <c r="F53" s="3"/>
      <c r="G53" s="29">
        <v>6.1</v>
      </c>
      <c r="H53" s="10"/>
      <c r="I53" s="10">
        <f t="shared" si="8"/>
        <v>4838.2559878614311</v>
      </c>
      <c r="J53" s="10">
        <f t="shared" si="6"/>
        <v>27713053227.189499</v>
      </c>
      <c r="K53" s="11">
        <f t="shared" si="7"/>
        <v>6.5243999999999858E-2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5705081.0717363376</v>
      </c>
      <c r="D54" s="11">
        <v>3.5000000000000001E-3</v>
      </c>
      <c r="E54" s="10">
        <f t="shared" si="2"/>
        <v>19898.140260166489</v>
      </c>
      <c r="F54" s="3"/>
      <c r="G54" s="29">
        <v>6.1</v>
      </c>
      <c r="H54" s="10"/>
      <c r="I54" s="10">
        <f t="shared" si="8"/>
        <v>4560.0904692379181</v>
      </c>
      <c r="J54" s="10">
        <f t="shared" si="6"/>
        <v>26015685821.454521</v>
      </c>
      <c r="K54" s="11">
        <f t="shared" si="7"/>
        <v>6.4713499999999868E-2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5685182.9314761711</v>
      </c>
      <c r="D55" s="11">
        <v>3.0000000000000001E-3</v>
      </c>
      <c r="E55" s="10">
        <f t="shared" si="2"/>
        <v>17004.535188861191</v>
      </c>
      <c r="F55" s="3"/>
      <c r="G55" s="29">
        <v>3.08</v>
      </c>
      <c r="H55" s="10"/>
      <c r="I55" s="10">
        <f t="shared" si="8"/>
        <v>4297.9175016380004</v>
      </c>
      <c r="J55" s="10">
        <f t="shared" si="6"/>
        <v>24434447221.20507</v>
      </c>
      <c r="K55" s="11">
        <f t="shared" si="7"/>
        <v>3.3892399999999823E-2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5668178.3962873099</v>
      </c>
      <c r="D56" s="11">
        <v>2E-3</v>
      </c>
      <c r="E56" s="10">
        <f t="shared" si="2"/>
        <v>11313.729333906434</v>
      </c>
      <c r="F56" s="3"/>
      <c r="G56" s="29">
        <v>3.32</v>
      </c>
      <c r="H56" s="10"/>
      <c r="I56" s="10">
        <f t="shared" si="8"/>
        <v>4169.4969942161433</v>
      </c>
      <c r="J56" s="10">
        <f t="shared" si="6"/>
        <v>23633452786.00082</v>
      </c>
      <c r="K56" s="11">
        <f t="shared" si="7"/>
        <v>3.5266400000000031E-2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5656864.6669534035</v>
      </c>
      <c r="D57" s="11">
        <v>1E-3</v>
      </c>
      <c r="E57" s="10">
        <f t="shared" si="2"/>
        <v>5651.2134534996003</v>
      </c>
      <c r="F57" s="3"/>
      <c r="G57" s="30">
        <v>0</v>
      </c>
      <c r="H57" s="10"/>
      <c r="I57" s="10">
        <f t="shared" si="8"/>
        <v>4035.5178031515134</v>
      </c>
      <c r="J57" s="10">
        <f t="shared" si="6"/>
        <v>22828378073.509216</v>
      </c>
      <c r="K57" s="11">
        <f t="shared" si="7"/>
        <v>9.9999999999988987E-4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5651213.4534999039</v>
      </c>
      <c r="D58" s="11">
        <v>1E-3</v>
      </c>
      <c r="E58" s="10">
        <f t="shared" si="2"/>
        <v>5645.5678856140003</v>
      </c>
      <c r="F58" s="3"/>
      <c r="G58" s="30">
        <v>7.12</v>
      </c>
      <c r="H58" s="10"/>
      <c r="I58" s="10">
        <f t="shared" si="8"/>
        <v>4035.5178031515134</v>
      </c>
      <c r="J58" s="10">
        <f t="shared" si="6"/>
        <v>22805572501.008209</v>
      </c>
      <c r="K58" s="11">
        <f t="shared" si="7"/>
        <v>7.2271199999999647E-2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5645567.8856142899</v>
      </c>
      <c r="D59" s="11">
        <v>1.5E-3</v>
      </c>
      <c r="E59" s="10">
        <f t="shared" si="2"/>
        <v>8455.6683259326965</v>
      </c>
      <c r="F59" s="3"/>
      <c r="G59" s="30">
        <v>3.92</v>
      </c>
      <c r="H59" s="10"/>
      <c r="I59" s="10">
        <f t="shared" si="8"/>
        <v>3767.286970828523</v>
      </c>
      <c r="J59" s="10">
        <f t="shared" si="6"/>
        <v>21268474338.402649</v>
      </c>
      <c r="K59" s="11">
        <f t="shared" si="7"/>
        <v>4.0758800000000095E-2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5637112.2172883572</v>
      </c>
      <c r="D60" s="11">
        <v>1.8E-3</v>
      </c>
      <c r="E60" s="10">
        <f t="shared" si="2"/>
        <v>10128.570564104244</v>
      </c>
      <c r="F60" s="3"/>
      <c r="G60" s="30">
        <v>2.86</v>
      </c>
      <c r="H60" s="10"/>
      <c r="I60" s="10">
        <f t="shared" si="8"/>
        <v>3625.1799180413041</v>
      </c>
      <c r="J60" s="10">
        <f t="shared" si="6"/>
        <v>20435546005.859039</v>
      </c>
      <c r="K60" s="11">
        <f t="shared" si="7"/>
        <v>3.0451479999999975E-2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5626983.646724253</v>
      </c>
      <c r="D61" s="11">
        <v>2E-3</v>
      </c>
      <c r="E61" s="10">
        <f t="shared" si="2"/>
        <v>11231.504284879193</v>
      </c>
      <c r="F61" s="3"/>
      <c r="G61" s="30">
        <v>5.18</v>
      </c>
      <c r="H61" s="10"/>
      <c r="I61" s="10">
        <f t="shared" si="8"/>
        <v>3524.38257635748</v>
      </c>
      <c r="J61" s="10">
        <f t="shared" si="6"/>
        <v>19831643121.963432</v>
      </c>
      <c r="K61" s="11">
        <f t="shared" si="7"/>
        <v>5.3903600000000162E-2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5615752.1424393738</v>
      </c>
      <c r="D62" s="11">
        <v>2E-3</v>
      </c>
      <c r="E62" s="10">
        <f t="shared" si="2"/>
        <v>11209.086112653837</v>
      </c>
      <c r="F62" s="3"/>
      <c r="G62" s="30">
        <v>1.87</v>
      </c>
      <c r="H62" s="10"/>
      <c r="I62" s="10">
        <f t="shared" si="8"/>
        <v>3350.81058790405</v>
      </c>
      <c r="J62" s="10">
        <f t="shared" si="6"/>
        <v>18817321737.930706</v>
      </c>
      <c r="K62" s="11">
        <f t="shared" si="7"/>
        <v>2.0737400000000017E-2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5604543.0563267199</v>
      </c>
      <c r="D63" s="11">
        <v>2E-3</v>
      </c>
      <c r="E63" s="10">
        <f t="shared" si="2"/>
        <v>11186.712687279098</v>
      </c>
      <c r="F63" s="3"/>
      <c r="G63" s="30">
        <v>13.76</v>
      </c>
      <c r="H63" s="10"/>
      <c r="I63" s="10">
        <f t="shared" si="8"/>
        <v>3289.300665459949</v>
      </c>
      <c r="J63" s="10">
        <f t="shared" si="6"/>
        <v>18435027204.774418</v>
      </c>
      <c r="K63" s="11">
        <f t="shared" si="7"/>
        <v>0.13987520000000009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5593356.3436394408</v>
      </c>
      <c r="D64" s="11">
        <v>2E-3</v>
      </c>
      <c r="E64" s="10">
        <f t="shared" si="2"/>
        <v>11164.38391944021</v>
      </c>
      <c r="F64" s="3"/>
      <c r="G64" s="30">
        <v>3.42</v>
      </c>
      <c r="H64" s="10"/>
      <c r="I64" s="10">
        <f t="shared" si="8"/>
        <v>2891.4387002988301</v>
      </c>
      <c r="J64" s="10">
        <f t="shared" si="6"/>
        <v>16172846996.561041</v>
      </c>
      <c r="K64" s="11">
        <f t="shared" si="7"/>
        <v>3.6268399999999978E-2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5582191.9597200006</v>
      </c>
      <c r="D65" s="11">
        <v>2E-3</v>
      </c>
      <c r="E65" s="10">
        <f t="shared" si="2"/>
        <v>11142.099720000289</v>
      </c>
      <c r="F65" s="3"/>
      <c r="G65" s="30">
        <v>4.3499999999999996</v>
      </c>
      <c r="H65" s="10"/>
      <c r="I65" s="10">
        <f t="shared" si="8"/>
        <v>2795.8216015266198</v>
      </c>
      <c r="J65" s="10">
        <f t="shared" si="6"/>
        <v>15606812864.853392</v>
      </c>
      <c r="K65" s="11">
        <f t="shared" si="7"/>
        <v>4.5587000000000266E-2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5571049.8600000003</v>
      </c>
      <c r="D66" s="11">
        <v>2E-3</v>
      </c>
      <c r="E66" s="10">
        <f t="shared" si="2"/>
        <v>11119.860000000335</v>
      </c>
      <c r="F66" s="14"/>
      <c r="G66" s="30">
        <v>-7.64</v>
      </c>
      <c r="H66" s="10"/>
      <c r="I66" s="10">
        <f t="shared" si="8"/>
        <v>2679.2732166043311</v>
      </c>
      <c r="J66" s="10">
        <f t="shared" ref="J66:J67" si="9">IF(I66="","",I66*C66)</f>
        <v>14926364678.265308</v>
      </c>
      <c r="K66" s="11">
        <f t="shared" ref="K66" si="10">IFERROR(J66/J67-1,"")</f>
        <v>-7.4552800000000086E-2</v>
      </c>
    </row>
    <row r="67" spans="1:11" ht="22.5" customHeight="1">
      <c r="A67" s="3">
        <f t="shared" si="0"/>
        <v>1950</v>
      </c>
      <c r="B67" s="3">
        <v>1700</v>
      </c>
      <c r="C67" s="14">
        <v>5559930</v>
      </c>
      <c r="D67" s="11">
        <v>1.5E-3</v>
      </c>
      <c r="E67" s="3" t="s">
        <v>72</v>
      </c>
      <c r="F67" s="3"/>
      <c r="G67" s="30">
        <v>14.68</v>
      </c>
      <c r="H67" s="10"/>
      <c r="I67" s="10">
        <f t="shared" ref="I67" si="11">IF(H67&lt;&gt;"",H67,I66/(1+IF(G66="",0,G66)/100))</f>
        <v>2900.9021401086306</v>
      </c>
      <c r="J67" s="10">
        <f t="shared" si="9"/>
        <v>16128812835.854179</v>
      </c>
      <c r="K67" s="11"/>
    </row>
  </sheetData>
  <dataValidations count="1">
    <dataValidation type="custom" allowBlank="1" showDropDown="1" sqref="D2:D67" xr:uid="{00000000-0002-0000-0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67"/>
  <sheetViews>
    <sheetView workbookViewId="0">
      <selection activeCell="I30" sqref="I3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579077699.51143062</v>
      </c>
      <c r="D2" s="11">
        <v>2.5999999999999999E-3</v>
      </c>
      <c r="E2" s="10">
        <f t="shared" ref="E2:E66" si="2">SUM(C2-C3)</f>
        <v>1501697.6049567461</v>
      </c>
      <c r="F2" s="14">
        <v>579087437</v>
      </c>
      <c r="G2" s="26">
        <v>5.09</v>
      </c>
      <c r="H2" s="10"/>
      <c r="I2" s="10">
        <f>IF(H2&lt;&gt;"",H2,63496)</f>
        <v>7937</v>
      </c>
      <c r="J2" s="10">
        <f t="shared" ref="J2:J33" si="3">IF(I2="","",I2*C2)</f>
        <v>4596139701022.2246</v>
      </c>
      <c r="K2" s="11">
        <f t="shared" ref="K2:K33" si="4">IFERROR(J2/J3-1,"")</f>
        <v>5.3632339999999834E-2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577576001.90647388</v>
      </c>
      <c r="D3" s="11">
        <v>2.8000000000000004E-3</v>
      </c>
      <c r="E3" s="10">
        <f t="shared" si="2"/>
        <v>1612697.2530295849</v>
      </c>
      <c r="F3" s="3"/>
      <c r="G3" s="26">
        <v>6.01</v>
      </c>
      <c r="H3" s="10"/>
      <c r="I3" s="10">
        <f t="shared" ref="I3:I34" si="5">IF(H3&lt;&gt;"",H3,I2/(1+IF(G2="",0,G2)/100))</f>
        <v>7552.5739842040157</v>
      </c>
      <c r="J3" s="10">
        <f t="shared" si="3"/>
        <v>4362185485899.4033</v>
      </c>
      <c r="K3" s="11">
        <f t="shared" si="4"/>
        <v>6.3068279999999977E-2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575963304.65344429</v>
      </c>
      <c r="D4" s="11">
        <v>1.5999999999999999E-3</v>
      </c>
      <c r="E4" s="10">
        <f t="shared" si="2"/>
        <v>920069.17676270008</v>
      </c>
      <c r="F4" s="3"/>
      <c r="G4" s="26">
        <v>4.6900000000000004</v>
      </c>
      <c r="H4" s="10"/>
      <c r="I4" s="10">
        <f t="shared" si="5"/>
        <v>7124.3976834298792</v>
      </c>
      <c r="J4" s="10">
        <f t="shared" si="3"/>
        <v>4103391633413.6162</v>
      </c>
      <c r="K4" s="11">
        <f t="shared" si="4"/>
        <v>4.8575040000000014E-2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575043235.47668159</v>
      </c>
      <c r="D5" s="11">
        <v>7.000000000000001E-4</v>
      </c>
      <c r="E5" s="10">
        <f t="shared" si="2"/>
        <v>402248.69075012207</v>
      </c>
      <c r="F5" s="3"/>
      <c r="G5" s="26">
        <v>5.47</v>
      </c>
      <c r="H5" s="10"/>
      <c r="I5" s="10">
        <f t="shared" si="5"/>
        <v>6805.2322890723844</v>
      </c>
      <c r="J5" s="10">
        <f t="shared" si="3"/>
        <v>3913302793678.5679</v>
      </c>
      <c r="K5" s="11">
        <f t="shared" si="4"/>
        <v>5.543828999999989E-2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574640986.78593147</v>
      </c>
      <c r="D6" s="11">
        <v>2.2000000000000006E-3</v>
      </c>
      <c r="E6" s="10">
        <f t="shared" si="2"/>
        <v>1261435.0138984919</v>
      </c>
      <c r="F6" s="3"/>
      <c r="G6" s="26">
        <v>5.29</v>
      </c>
      <c r="H6" s="10"/>
      <c r="I6" s="10">
        <f t="shared" si="5"/>
        <v>6452.2919209940119</v>
      </c>
      <c r="J6" s="10">
        <f t="shared" si="3"/>
        <v>3707751396510.8926</v>
      </c>
      <c r="K6" s="11">
        <f t="shared" si="4"/>
        <v>5.5216380000000065E-2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573379551.77203298</v>
      </c>
      <c r="D7" s="11">
        <v>3.4999999999999996E-3</v>
      </c>
      <c r="E7" s="10">
        <f t="shared" si="2"/>
        <v>1999829.0295985937</v>
      </c>
      <c r="F7" s="3"/>
      <c r="G7" s="26">
        <v>7.42</v>
      </c>
      <c r="H7" s="10"/>
      <c r="I7" s="10">
        <f t="shared" si="5"/>
        <v>6128.1146557071061</v>
      </c>
      <c r="J7" s="10">
        <f t="shared" si="3"/>
        <v>3513735634496.9668</v>
      </c>
      <c r="K7" s="11">
        <f t="shared" si="4"/>
        <v>7.7959700000000298E-2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571379722.74243438</v>
      </c>
      <c r="D8" s="11">
        <v>3.4999999999999996E-3</v>
      </c>
      <c r="E8" s="10">
        <f t="shared" si="2"/>
        <v>1992854.0404570103</v>
      </c>
      <c r="F8" s="3"/>
      <c r="G8" s="26">
        <v>-1.51</v>
      </c>
      <c r="H8" s="10"/>
      <c r="I8" s="10">
        <f t="shared" si="5"/>
        <v>5704.8172181224218</v>
      </c>
      <c r="J8" s="10">
        <f t="shared" si="3"/>
        <v>3259616880387.0552</v>
      </c>
      <c r="K8" s="11">
        <f t="shared" si="4"/>
        <v>-1.1652849999999826E-2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569386868.70197737</v>
      </c>
      <c r="D9" s="11">
        <v>9.5000000000000015E-3</v>
      </c>
      <c r="E9" s="10">
        <f t="shared" si="2"/>
        <v>5358271.6717869043</v>
      </c>
      <c r="F9" s="3"/>
      <c r="G9" s="26">
        <v>4.83</v>
      </c>
      <c r="H9" s="10"/>
      <c r="I9" s="10">
        <f t="shared" si="5"/>
        <v>5792.2806560284516</v>
      </c>
      <c r="J9" s="10">
        <f t="shared" si="3"/>
        <v>3298048545379.0752</v>
      </c>
      <c r="K9" s="11">
        <f t="shared" si="4"/>
        <v>5.8258850000000084E-2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564028597.03019047</v>
      </c>
      <c r="D10" s="11">
        <v>5.4000000000000012E-3</v>
      </c>
      <c r="E10" s="10">
        <f t="shared" si="2"/>
        <v>3029395.6872519255</v>
      </c>
      <c r="F10" s="3"/>
      <c r="G10" s="26">
        <v>6.3</v>
      </c>
      <c r="H10" s="10"/>
      <c r="I10" s="10">
        <f t="shared" si="5"/>
        <v>5525.403659284987</v>
      </c>
      <c r="J10" s="10">
        <f t="shared" si="3"/>
        <v>3116485673971.9917</v>
      </c>
      <c r="K10" s="11">
        <f t="shared" si="4"/>
        <v>6.874020000000014E-2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560999201.34293854</v>
      </c>
      <c r="D11" s="11">
        <v>6.899999999999999E-3</v>
      </c>
      <c r="E11" s="10">
        <f t="shared" si="2"/>
        <v>3844368.3476673365</v>
      </c>
      <c r="F11" s="3"/>
      <c r="G11" s="26">
        <v>5.58</v>
      </c>
      <c r="H11" s="10"/>
      <c r="I11" s="10">
        <f t="shared" si="5"/>
        <v>5197.9338281138171</v>
      </c>
      <c r="J11" s="10">
        <f t="shared" si="3"/>
        <v>2916036726205.2944</v>
      </c>
      <c r="K11" s="11">
        <f t="shared" si="4"/>
        <v>6.3085019999999714E-2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557154832.99527121</v>
      </c>
      <c r="D12" s="11">
        <v>6.899999999999999E-3</v>
      </c>
      <c r="E12" s="10">
        <f t="shared" si="2"/>
        <v>3818023.9821902514</v>
      </c>
      <c r="F12" s="3"/>
      <c r="G12" s="26">
        <v>5.33</v>
      </c>
      <c r="H12" s="10"/>
      <c r="I12" s="10">
        <f t="shared" si="5"/>
        <v>4923.2182497762997</v>
      </c>
      <c r="J12" s="10">
        <f t="shared" si="3"/>
        <v>2742994841753.3857</v>
      </c>
      <c r="K12" s="11">
        <f t="shared" si="4"/>
        <v>6.0567769999999799E-2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553336809.01308095</v>
      </c>
      <c r="D13" s="11">
        <v>7.2000000000000007E-3</v>
      </c>
      <c r="E13" s="10">
        <f t="shared" si="2"/>
        <v>3955545.1001729965</v>
      </c>
      <c r="F13" s="3"/>
      <c r="G13" s="26">
        <v>6.78</v>
      </c>
      <c r="H13" s="10"/>
      <c r="I13" s="10">
        <f t="shared" si="5"/>
        <v>4674.0892905879618</v>
      </c>
      <c r="J13" s="10">
        <f t="shared" si="3"/>
        <v>2586345653096.1582</v>
      </c>
      <c r="K13" s="11">
        <f t="shared" si="4"/>
        <v>7.5488160000000359E-2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549381263.91290796</v>
      </c>
      <c r="D14" s="11">
        <v>7.5999999999999983E-3</v>
      </c>
      <c r="E14" s="10">
        <f t="shared" si="2"/>
        <v>4143804.6900933981</v>
      </c>
      <c r="F14" s="3"/>
      <c r="G14" s="26">
        <v>5.79</v>
      </c>
      <c r="H14" s="10"/>
      <c r="I14" s="10">
        <f t="shared" si="5"/>
        <v>4377.3078203670739</v>
      </c>
      <c r="J14" s="10">
        <f t="shared" si="3"/>
        <v>2404810902889.1191</v>
      </c>
      <c r="K14" s="11">
        <f t="shared" si="4"/>
        <v>6.5940040000000089E-2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545237459.22281456</v>
      </c>
      <c r="D15" s="11">
        <v>8.0000000000000002E-3</v>
      </c>
      <c r="E15" s="10">
        <f t="shared" si="2"/>
        <v>4327281.4224033356</v>
      </c>
      <c r="F15" s="3"/>
      <c r="G15" s="26">
        <v>5.39</v>
      </c>
      <c r="H15" s="10"/>
      <c r="I15" s="10">
        <f t="shared" si="5"/>
        <v>4137.733075306809</v>
      </c>
      <c r="J15" s="10">
        <f t="shared" si="3"/>
        <v>2256047068922.4873</v>
      </c>
      <c r="K15" s="11">
        <f t="shared" si="4"/>
        <v>6.2331200000000031E-2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540910177.80041122</v>
      </c>
      <c r="D16" s="11">
        <v>8.5000000000000006E-3</v>
      </c>
      <c r="E16" s="10">
        <f t="shared" si="2"/>
        <v>4558985.1376335621</v>
      </c>
      <c r="F16" s="3"/>
      <c r="G16" s="26">
        <v>0.52</v>
      </c>
      <c r="H16" s="10"/>
      <c r="I16" s="10">
        <f t="shared" si="5"/>
        <v>3926.1154524213007</v>
      </c>
      <c r="J16" s="10">
        <f t="shared" si="3"/>
        <v>2123675807434.1477</v>
      </c>
      <c r="K16" s="11">
        <f t="shared" si="4"/>
        <v>1.3744200000000095E-2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536351192.66277766</v>
      </c>
      <c r="D17" s="11">
        <v>8.9000000000000017E-3</v>
      </c>
      <c r="E17" s="10">
        <f t="shared" si="2"/>
        <v>4731416.0121901631</v>
      </c>
      <c r="F17" s="3"/>
      <c r="G17" s="26">
        <v>8.86</v>
      </c>
      <c r="H17" s="10"/>
      <c r="I17" s="10">
        <f t="shared" si="5"/>
        <v>3905.8052650430764</v>
      </c>
      <c r="J17" s="10">
        <f t="shared" si="3"/>
        <v>2094883312214.4104</v>
      </c>
      <c r="K17" s="11">
        <f t="shared" si="4"/>
        <v>9.8288539999999758E-2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531619776.6505875</v>
      </c>
      <c r="D18" s="11">
        <v>9.1000000000000004E-3</v>
      </c>
      <c r="E18" s="10">
        <f t="shared" si="2"/>
        <v>4794113.5343577266</v>
      </c>
      <c r="F18" s="3"/>
      <c r="G18" s="26">
        <v>6.14</v>
      </c>
      <c r="H18" s="10"/>
      <c r="I18" s="10">
        <f t="shared" si="5"/>
        <v>3587.9159149761863</v>
      </c>
      <c r="J18" s="10">
        <f t="shared" si="3"/>
        <v>1907407057360.7285</v>
      </c>
      <c r="K18" s="11">
        <f t="shared" si="4"/>
        <v>7.1058740000000009E-2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526825663.11622977</v>
      </c>
      <c r="D19" s="11">
        <v>9.0000000000000011E-3</v>
      </c>
      <c r="E19" s="10">
        <f t="shared" si="2"/>
        <v>4699138.7195698619</v>
      </c>
      <c r="F19" s="3"/>
      <c r="G19" s="26">
        <v>9.01</v>
      </c>
      <c r="H19" s="10"/>
      <c r="I19" s="10">
        <f t="shared" si="5"/>
        <v>3380.3617062146095</v>
      </c>
      <c r="J19" s="10">
        <f t="shared" si="3"/>
        <v>1780861297449.2214</v>
      </c>
      <c r="K19" s="11">
        <f t="shared" si="4"/>
        <v>9.9910900000000025E-2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522126524.39665991</v>
      </c>
      <c r="D20" s="11">
        <v>8.6999999999999994E-3</v>
      </c>
      <c r="E20" s="10">
        <f t="shared" si="2"/>
        <v>4503321.8620510697</v>
      </c>
      <c r="F20" s="3"/>
      <c r="G20" s="26">
        <v>7.32</v>
      </c>
      <c r="H20" s="10"/>
      <c r="I20" s="10">
        <f t="shared" si="5"/>
        <v>3100.9647795749097</v>
      </c>
      <c r="J20" s="10">
        <f t="shared" si="3"/>
        <v>1619095962635.9021</v>
      </c>
      <c r="K20" s="11">
        <f t="shared" si="4"/>
        <v>8.2536839999999945E-2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517623202.53460884</v>
      </c>
      <c r="D21" s="11">
        <v>8.3000000000000018E-3</v>
      </c>
      <c r="E21" s="10">
        <f t="shared" si="2"/>
        <v>4260907.0525014997</v>
      </c>
      <c r="F21" s="3"/>
      <c r="G21" s="26">
        <v>10</v>
      </c>
      <c r="H21" s="10"/>
      <c r="I21" s="10">
        <f t="shared" si="5"/>
        <v>2889.4565594249998</v>
      </c>
      <c r="J21" s="10">
        <f t="shared" si="3"/>
        <v>1495649757874.2007</v>
      </c>
      <c r="K21" s="11">
        <f t="shared" si="4"/>
        <v>0.10912999999999995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513362295.48210734</v>
      </c>
      <c r="D22" s="11">
        <v>7.9000000000000008E-3</v>
      </c>
      <c r="E22" s="10">
        <f t="shared" si="2"/>
        <v>4023774.3172027469</v>
      </c>
      <c r="F22" s="3"/>
      <c r="G22" s="26">
        <v>9.83</v>
      </c>
      <c r="H22" s="10"/>
      <c r="I22" s="10">
        <f t="shared" si="5"/>
        <v>2626.7786903863635</v>
      </c>
      <c r="J22" s="10">
        <f t="shared" si="3"/>
        <v>1348489138220.2273</v>
      </c>
      <c r="K22" s="11">
        <f t="shared" si="4"/>
        <v>0.10697657000000027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509338521.16490459</v>
      </c>
      <c r="D23" s="11">
        <v>7.7000000000000011E-3</v>
      </c>
      <c r="E23" s="10">
        <f t="shared" si="2"/>
        <v>3891938.6850945354</v>
      </c>
      <c r="F23" s="3"/>
      <c r="G23" s="26">
        <v>9.2100000000000009</v>
      </c>
      <c r="H23" s="10"/>
      <c r="I23" s="10">
        <f t="shared" si="5"/>
        <v>2391.6768554915443</v>
      </c>
      <c r="J23" s="10">
        <f t="shared" si="3"/>
        <v>1218173152680.3923</v>
      </c>
      <c r="K23" s="11">
        <f t="shared" si="4"/>
        <v>0.10050917000000026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505446582.47981006</v>
      </c>
      <c r="D24" s="11">
        <v>7.8000000000000005E-3</v>
      </c>
      <c r="E24" s="10">
        <f t="shared" si="2"/>
        <v>3911969.9775179029</v>
      </c>
      <c r="F24" s="3"/>
      <c r="G24" s="26">
        <v>9.89</v>
      </c>
      <c r="H24" s="10"/>
      <c r="I24" s="10">
        <f t="shared" si="5"/>
        <v>2189.9797230029703</v>
      </c>
      <c r="J24" s="10">
        <f t="shared" si="3"/>
        <v>1106917766691.9324</v>
      </c>
      <c r="K24" s="11">
        <f t="shared" si="4"/>
        <v>0.10747141999999998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501534612.50229216</v>
      </c>
      <c r="D25" s="11">
        <v>8.0999999999999996E-3</v>
      </c>
      <c r="E25" s="10">
        <f t="shared" si="2"/>
        <v>4029789.0698031783</v>
      </c>
      <c r="F25" s="3"/>
      <c r="G25" s="26">
        <v>8.89</v>
      </c>
      <c r="H25" s="10"/>
      <c r="I25" s="10">
        <f t="shared" si="5"/>
        <v>1992.8835408162438</v>
      </c>
      <c r="J25" s="10">
        <f t="shared" si="3"/>
        <v>999500074405.47083</v>
      </c>
      <c r="K25" s="11">
        <f t="shared" si="4"/>
        <v>9.7720089999999926E-2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497504823.43248898</v>
      </c>
      <c r="D26" s="11">
        <v>8.5000000000000006E-3</v>
      </c>
      <c r="E26" s="10">
        <f t="shared" si="2"/>
        <v>4193149.2307150364</v>
      </c>
      <c r="F26" s="3"/>
      <c r="G26" s="26">
        <v>4.55</v>
      </c>
      <c r="H26" s="10"/>
      <c r="I26" s="10">
        <f t="shared" si="5"/>
        <v>1830.1804948261952</v>
      </c>
      <c r="J26" s="10">
        <f t="shared" si="3"/>
        <v>910523623928.09155</v>
      </c>
      <c r="K26" s="11">
        <f t="shared" si="4"/>
        <v>5.4386749999999928E-2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493311674.20177394</v>
      </c>
      <c r="D27" s="11">
        <v>8.9000000000000017E-3</v>
      </c>
      <c r="E27" s="10">
        <f t="shared" si="2"/>
        <v>4351743.3842756748</v>
      </c>
      <c r="F27" s="3"/>
      <c r="G27" s="26">
        <v>-7.36</v>
      </c>
      <c r="H27" s="26"/>
      <c r="I27" s="10">
        <f t="shared" si="5"/>
        <v>1750.5313197763701</v>
      </c>
      <c r="J27" s="10">
        <f t="shared" si="3"/>
        <v>863557536101.52209</v>
      </c>
      <c r="K27" s="11">
        <f t="shared" si="4"/>
        <v>-6.5355040000000142E-2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488959930.81749827</v>
      </c>
      <c r="D28" s="11">
        <v>9.2999999999999992E-3</v>
      </c>
      <c r="E28" s="10">
        <f t="shared" si="2"/>
        <v>4505426.8865578175</v>
      </c>
      <c r="F28" s="3"/>
      <c r="G28" s="26">
        <v>9.06</v>
      </c>
      <c r="H28" s="10"/>
      <c r="I28" s="10">
        <f t="shared" si="5"/>
        <v>1889.6063469088624</v>
      </c>
      <c r="J28" s="10">
        <f t="shared" si="3"/>
        <v>923941788656.86304</v>
      </c>
      <c r="K28" s="11">
        <f t="shared" si="4"/>
        <v>0.10074258000000014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484454503.93094045</v>
      </c>
      <c r="D29" s="11">
        <v>9.7000000000000003E-3</v>
      </c>
      <c r="E29" s="10">
        <f t="shared" si="2"/>
        <v>4654064.2647619247</v>
      </c>
      <c r="F29" s="3"/>
      <c r="G29" s="26">
        <v>9.94</v>
      </c>
      <c r="H29" s="10"/>
      <c r="I29" s="10">
        <f t="shared" si="5"/>
        <v>1732.6300631843594</v>
      </c>
      <c r="J29" s="10">
        <f t="shared" si="3"/>
        <v>839380437755.81287</v>
      </c>
      <c r="K29" s="11">
        <f t="shared" si="4"/>
        <v>0.11006417999999996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479800439.66617852</v>
      </c>
      <c r="D30" s="12">
        <v>1.0200000000000001E-2</v>
      </c>
      <c r="E30" s="10">
        <f t="shared" si="2"/>
        <v>4844550.0738418102</v>
      </c>
      <c r="F30" s="3"/>
      <c r="G30" s="26">
        <v>5.19</v>
      </c>
      <c r="H30" s="10"/>
      <c r="I30" s="10">
        <f t="shared" si="5"/>
        <v>1575.9778635477164</v>
      </c>
      <c r="J30" s="10">
        <f t="shared" si="3"/>
        <v>756154871834.35901</v>
      </c>
      <c r="K30" s="11">
        <f t="shared" si="4"/>
        <v>6.2629379999999957E-2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474955889.59233671</v>
      </c>
      <c r="D31" s="13">
        <v>1.0700000000000001E-2</v>
      </c>
      <c r="E31" s="10">
        <f t="shared" si="2"/>
        <v>5028226.0004333258</v>
      </c>
      <c r="F31" s="3"/>
      <c r="G31" s="26">
        <v>1.24</v>
      </c>
      <c r="H31" s="10"/>
      <c r="I31" s="10">
        <f t="shared" si="5"/>
        <v>1498.2202334325661</v>
      </c>
      <c r="J31" s="10">
        <f t="shared" si="3"/>
        <v>711588523775.20288</v>
      </c>
      <c r="K31" s="11">
        <f t="shared" si="4"/>
        <v>2.3232680000000006E-2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469927663.59190339</v>
      </c>
      <c r="D32" s="12">
        <v>1.1300000000000001E-2</v>
      </c>
      <c r="E32" s="10">
        <f t="shared" si="2"/>
        <v>5250848.0160076618</v>
      </c>
      <c r="F32" s="3"/>
      <c r="G32" s="26">
        <v>-1.03</v>
      </c>
      <c r="H32" s="10"/>
      <c r="I32" s="10">
        <f t="shared" si="5"/>
        <v>1479.8698473257273</v>
      </c>
      <c r="J32" s="10">
        <f t="shared" si="3"/>
        <v>695431779773.88574</v>
      </c>
      <c r="K32" s="11">
        <f t="shared" si="4"/>
        <v>8.8361000000025669E-4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464676815.57589573</v>
      </c>
      <c r="D33" s="13">
        <v>1.1800000000000001E-2</v>
      </c>
      <c r="E33" s="10">
        <f t="shared" si="2"/>
        <v>5419239.3988887072</v>
      </c>
      <c r="F33" s="3"/>
      <c r="G33" s="26">
        <v>7.76</v>
      </c>
      <c r="H33" s="10"/>
      <c r="I33" s="10">
        <f t="shared" si="5"/>
        <v>1495.271140068432</v>
      </c>
      <c r="J33" s="10">
        <f t="shared" si="3"/>
        <v>694817831789.53809</v>
      </c>
      <c r="K33" s="11">
        <f t="shared" si="4"/>
        <v>9.0315679999999787E-2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459257576.17700702</v>
      </c>
      <c r="D34" s="12">
        <v>1.2300000000000002E-2</v>
      </c>
      <c r="E34" s="10">
        <f t="shared" si="2"/>
        <v>5580231.3414770365</v>
      </c>
      <c r="F34" s="3"/>
      <c r="G34" s="26">
        <v>4.95</v>
      </c>
      <c r="H34" s="10"/>
      <c r="I34" s="10">
        <f t="shared" si="5"/>
        <v>1387.5938567821383</v>
      </c>
      <c r="J34" s="10">
        <f t="shared" ref="J34:J65" si="6">IF(I34="","",I34*C34)</f>
        <v>637262991383.86987</v>
      </c>
      <c r="K34" s="11">
        <f t="shared" ref="K34:K65" si="7">IFERROR(J34/J35-1,"")</f>
        <v>7.5568749999999962E-2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453677344.83552998</v>
      </c>
      <c r="D35" s="11">
        <v>1.2700000000000003E-2</v>
      </c>
      <c r="E35" s="10">
        <f t="shared" si="2"/>
        <v>5689446.3112581968</v>
      </c>
      <c r="F35" s="3"/>
      <c r="G35" s="26">
        <v>1.24</v>
      </c>
      <c r="H35" s="10"/>
      <c r="I35" s="10">
        <f t="shared" ref="I35:I66" si="8">IF(H35&lt;&gt;"",H35,I34/(1+IF(G34="",0,G34)/100))</f>
        <v>1305.9706887361301</v>
      </c>
      <c r="J35" s="10">
        <f t="shared" si="6"/>
        <v>592489314498.83594</v>
      </c>
      <c r="K35" s="11">
        <f t="shared" si="7"/>
        <v>5.2600379999999891E-2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447987898.52427179</v>
      </c>
      <c r="D36" s="11">
        <v>1.3100000000000001E-2</v>
      </c>
      <c r="E36" s="10">
        <f t="shared" si="2"/>
        <v>5792756.3623216152</v>
      </c>
      <c r="F36" s="3"/>
      <c r="G36" s="26">
        <v>0.14</v>
      </c>
      <c r="H36" s="10"/>
      <c r="I36" s="10">
        <f t="shared" si="8"/>
        <v>1256.4659310526554</v>
      </c>
      <c r="J36" s="10">
        <f t="shared" si="6"/>
        <v>562881532019.6217</v>
      </c>
      <c r="K36" s="11">
        <f t="shared" si="7"/>
        <v>6.3147140000000324E-2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442195142.16195017</v>
      </c>
      <c r="D37" s="11">
        <v>1.3600000000000001E-2</v>
      </c>
      <c r="E37" s="10">
        <f t="shared" si="2"/>
        <v>5933162.9177215099</v>
      </c>
      <c r="F37" s="3"/>
      <c r="G37" s="26">
        <v>-0.86</v>
      </c>
      <c r="H37" s="10"/>
      <c r="I37" s="10">
        <f t="shared" si="8"/>
        <v>1197.3184019941446</v>
      </c>
      <c r="J37" s="10">
        <f t="shared" si="6"/>
        <v>529448380982.91974</v>
      </c>
      <c r="K37" s="11">
        <f t="shared" si="7"/>
        <v>5.8603839999999963E-2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436261979.24422866</v>
      </c>
      <c r="D38" s="11">
        <v>1.4100000000000001E-2</v>
      </c>
      <c r="E38" s="10">
        <f t="shared" si="2"/>
        <v>6065766.5983074903</v>
      </c>
      <c r="F38" s="3"/>
      <c r="G38" s="26">
        <v>-0.35</v>
      </c>
      <c r="H38" s="10"/>
      <c r="I38" s="10">
        <f t="shared" si="8"/>
        <v>1146.4174664823292</v>
      </c>
      <c r="J38" s="10">
        <f t="shared" si="6"/>
        <v>500138352967.73511</v>
      </c>
      <c r="K38" s="11">
        <f t="shared" si="7"/>
        <v>4.8072350000000208E-2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430196212.64592117</v>
      </c>
      <c r="D39" s="11">
        <v>1.4600000000000002E-2</v>
      </c>
      <c r="E39" s="10">
        <f t="shared" si="2"/>
        <v>6190483.6434362531</v>
      </c>
      <c r="F39" s="3"/>
      <c r="G39" s="26">
        <v>6.65</v>
      </c>
      <c r="H39" s="10"/>
      <c r="I39" s="10">
        <f t="shared" si="8"/>
        <v>1109.2573454110586</v>
      </c>
      <c r="J39" s="10">
        <f t="shared" si="6"/>
        <v>477198308845.5058</v>
      </c>
      <c r="K39" s="11">
        <f t="shared" si="7"/>
        <v>8.2070899999999947E-2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424005729.00248492</v>
      </c>
      <c r="D40" s="11">
        <v>1.5300000000000001E-2</v>
      </c>
      <c r="E40" s="10">
        <f t="shared" si="2"/>
        <v>6389527.8772166371</v>
      </c>
      <c r="F40" s="3"/>
      <c r="G40" s="26">
        <v>7.75</v>
      </c>
      <c r="H40" s="10"/>
      <c r="I40" s="10">
        <f t="shared" si="8"/>
        <v>1040.0912755846775</v>
      </c>
      <c r="J40" s="10">
        <f t="shared" si="6"/>
        <v>441004659533.40564</v>
      </c>
      <c r="K40" s="11">
        <f t="shared" si="7"/>
        <v>9.398575000000009E-2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417616201.12526828</v>
      </c>
      <c r="D41" s="11">
        <v>1.5900000000000001E-2</v>
      </c>
      <c r="E41" s="10">
        <f t="shared" si="2"/>
        <v>6536172.4558438659</v>
      </c>
      <c r="F41" s="3"/>
      <c r="G41" s="26">
        <v>11.56</v>
      </c>
      <c r="H41" s="10"/>
      <c r="I41" s="10">
        <f t="shared" si="8"/>
        <v>965.28192629668456</v>
      </c>
      <c r="J41" s="10">
        <f t="shared" si="6"/>
        <v>403117371074.90259</v>
      </c>
      <c r="K41" s="11">
        <f t="shared" si="7"/>
        <v>0.13333803999999994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411080028.66942441</v>
      </c>
      <c r="D42" s="11">
        <v>1.66E-2</v>
      </c>
      <c r="E42" s="10">
        <f t="shared" si="2"/>
        <v>6712500.9599767923</v>
      </c>
      <c r="F42" s="3"/>
      <c r="G42" s="26">
        <v>-6.3</v>
      </c>
      <c r="H42" s="10"/>
      <c r="I42" s="10">
        <f t="shared" si="8"/>
        <v>865.2580909794591</v>
      </c>
      <c r="J42" s="10">
        <f t="shared" si="6"/>
        <v>355690320846.28748</v>
      </c>
      <c r="K42" s="11">
        <f t="shared" si="7"/>
        <v>-4.7445799999999982E-2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404367527.70944762</v>
      </c>
      <c r="D43" s="11">
        <v>1.72E-2</v>
      </c>
      <c r="E43" s="10">
        <f t="shared" si="2"/>
        <v>6837516.197996974</v>
      </c>
      <c r="F43" s="3"/>
      <c r="G43" s="26">
        <v>8.32</v>
      </c>
      <c r="H43" s="10"/>
      <c r="I43" s="10">
        <f t="shared" si="8"/>
        <v>923.43446209120498</v>
      </c>
      <c r="J43" s="10">
        <f t="shared" si="6"/>
        <v>373406910437.52417</v>
      </c>
      <c r="K43" s="11">
        <f t="shared" si="7"/>
        <v>0.10183103999999998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397530011.51145065</v>
      </c>
      <c r="D44" s="11">
        <v>1.7800000000000003E-2</v>
      </c>
      <c r="E44" s="10">
        <f t="shared" si="2"/>
        <v>6952283.5575789213</v>
      </c>
      <c r="F44" s="3"/>
      <c r="G44" s="26">
        <v>11.7</v>
      </c>
      <c r="H44" s="10"/>
      <c r="I44" s="10">
        <f t="shared" si="8"/>
        <v>852.50596574151132</v>
      </c>
      <c r="J44" s="10">
        <f t="shared" si="6"/>
        <v>338896706374.80334</v>
      </c>
      <c r="K44" s="11">
        <f t="shared" si="7"/>
        <v>0.13688260000000008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390577727.95387173</v>
      </c>
      <c r="D45" s="11">
        <v>1.83E-2</v>
      </c>
      <c r="E45" s="10">
        <f t="shared" si="2"/>
        <v>7019122.4801687598</v>
      </c>
      <c r="F45" s="3"/>
      <c r="G45" s="26">
        <v>9.39</v>
      </c>
      <c r="H45" s="10"/>
      <c r="I45" s="10">
        <f t="shared" si="8"/>
        <v>763.21035428962523</v>
      </c>
      <c r="J45" s="10">
        <f t="shared" si="6"/>
        <v>298092966129.31128</v>
      </c>
      <c r="K45" s="11">
        <f t="shared" si="7"/>
        <v>0.11391836999999994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383558605.47370297</v>
      </c>
      <c r="D46" s="11">
        <v>1.8800000000000001E-2</v>
      </c>
      <c r="E46" s="10">
        <f t="shared" si="2"/>
        <v>7077838.4205983281</v>
      </c>
      <c r="F46" s="3"/>
      <c r="G46" s="26">
        <v>10.029999999999999</v>
      </c>
      <c r="H46" s="10"/>
      <c r="I46" s="10">
        <f t="shared" si="8"/>
        <v>697.69663981134033</v>
      </c>
      <c r="J46" s="10">
        <f t="shared" si="6"/>
        <v>267607550209.72614</v>
      </c>
      <c r="K46" s="11">
        <f t="shared" si="7"/>
        <v>0.12098564000000001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376480767.05310464</v>
      </c>
      <c r="D47" s="11">
        <v>1.9300000000000001E-2</v>
      </c>
      <c r="E47" s="10">
        <f t="shared" si="2"/>
        <v>7128498.7777150273</v>
      </c>
      <c r="F47" s="3"/>
      <c r="G47" s="26">
        <v>5.99</v>
      </c>
      <c r="H47" s="10"/>
      <c r="I47" s="10">
        <f t="shared" si="8"/>
        <v>634.09673708201422</v>
      </c>
      <c r="J47" s="10">
        <f t="shared" si="6"/>
        <v>238725225962.50754</v>
      </c>
      <c r="K47" s="11">
        <f t="shared" si="7"/>
        <v>8.0356070000000113E-2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369352268.27538961</v>
      </c>
      <c r="D48" s="11">
        <v>1.9800000000000002E-2</v>
      </c>
      <c r="E48" s="10">
        <f t="shared" si="2"/>
        <v>7171185.4401379824</v>
      </c>
      <c r="F48" s="3"/>
      <c r="G48" s="26">
        <v>4.8899999999999997</v>
      </c>
      <c r="H48" s="10"/>
      <c r="I48" s="10">
        <f t="shared" si="8"/>
        <v>598.26090865365995</v>
      </c>
      <c r="J48" s="10">
        <f t="shared" si="6"/>
        <v>220969023631.72498</v>
      </c>
      <c r="K48" s="11">
        <f t="shared" si="7"/>
        <v>6.9668220000000058E-2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362181082.83525163</v>
      </c>
      <c r="D49" s="11">
        <v>2.06E-2</v>
      </c>
      <c r="E49" s="10">
        <f t="shared" si="2"/>
        <v>7310337.3568549752</v>
      </c>
      <c r="F49" s="3"/>
      <c r="G49" s="26">
        <v>7.98</v>
      </c>
      <c r="H49" s="10"/>
      <c r="I49" s="10">
        <f t="shared" si="8"/>
        <v>570.36982424793587</v>
      </c>
      <c r="J49" s="10">
        <f t="shared" si="6"/>
        <v>206577160562.66959</v>
      </c>
      <c r="K49" s="11">
        <f t="shared" si="7"/>
        <v>0.10204388000000031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354870745.47839665</v>
      </c>
      <c r="D50" s="11">
        <v>2.1400000000000002E-2</v>
      </c>
      <c r="E50" s="10">
        <f t="shared" si="2"/>
        <v>7435122.3352630734</v>
      </c>
      <c r="F50" s="3"/>
      <c r="G50" s="26">
        <v>12.82</v>
      </c>
      <c r="H50" s="10"/>
      <c r="I50" s="10">
        <f t="shared" si="8"/>
        <v>528.21802578990162</v>
      </c>
      <c r="J50" s="10">
        <f t="shared" si="6"/>
        <v>187449124587.18933</v>
      </c>
      <c r="K50" s="11">
        <f t="shared" si="7"/>
        <v>0.15234348000000031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347435623.14313358</v>
      </c>
      <c r="D51" s="11">
        <v>2.23E-2</v>
      </c>
      <c r="E51" s="10">
        <f t="shared" si="2"/>
        <v>7578806.9999920726</v>
      </c>
      <c r="F51" s="3"/>
      <c r="G51" s="26">
        <v>5.32</v>
      </c>
      <c r="H51" s="10"/>
      <c r="I51" s="10">
        <f t="shared" si="8"/>
        <v>468.19537829276862</v>
      </c>
      <c r="J51" s="10">
        <f t="shared" si="6"/>
        <v>162667753009.88321</v>
      </c>
      <c r="K51" s="11">
        <f t="shared" si="7"/>
        <v>7.6686359999999842E-2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339856816.14314151</v>
      </c>
      <c r="D52" s="11">
        <v>2.3200000000000002E-2</v>
      </c>
      <c r="E52" s="10">
        <f t="shared" si="2"/>
        <v>7705901.2260759473</v>
      </c>
      <c r="F52" s="3"/>
      <c r="G52" s="26">
        <v>-18.399999999999999</v>
      </c>
      <c r="H52" s="10"/>
      <c r="I52" s="10">
        <f t="shared" si="8"/>
        <v>444.54555477854979</v>
      </c>
      <c r="J52" s="10">
        <f t="shared" si="6"/>
        <v>151081836877.62445</v>
      </c>
      <c r="K52" s="11">
        <f t="shared" si="7"/>
        <v>-0.16506879999999979</v>
      </c>
      <c r="L52" t="s">
        <v>108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332150914.91706556</v>
      </c>
      <c r="D53" s="11">
        <v>2.3900000000000001E-2</v>
      </c>
      <c r="E53" s="10">
        <f t="shared" si="2"/>
        <v>7753107.5949974656</v>
      </c>
      <c r="F53" s="3"/>
      <c r="G53" s="26">
        <v>5.36</v>
      </c>
      <c r="H53" s="10"/>
      <c r="I53" s="10">
        <f t="shared" si="8"/>
        <v>544.78621909135995</v>
      </c>
      <c r="J53" s="10">
        <f t="shared" si="6"/>
        <v>180951241105.40414</v>
      </c>
      <c r="K53" s="11">
        <f t="shared" si="7"/>
        <v>7.8781040000000191E-2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324397807.3220681</v>
      </c>
      <c r="D54" s="11">
        <v>2.4400000000000002E-2</v>
      </c>
      <c r="E54" s="10">
        <f t="shared" si="2"/>
        <v>7726773.2318024635</v>
      </c>
      <c r="F54" s="3"/>
      <c r="G54" s="26">
        <v>7.34</v>
      </c>
      <c r="H54" s="10"/>
      <c r="I54" s="10">
        <f t="shared" si="8"/>
        <v>517.071202630372</v>
      </c>
      <c r="J54" s="10">
        <f t="shared" si="6"/>
        <v>167736764362.67746</v>
      </c>
      <c r="K54" s="11">
        <f t="shared" si="7"/>
        <v>9.9590960000000006E-2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316671034.09026563</v>
      </c>
      <c r="D55" s="11">
        <v>2.4700000000000003E-2</v>
      </c>
      <c r="E55" s="10">
        <f t="shared" si="2"/>
        <v>7633233.6703713536</v>
      </c>
      <c r="F55" s="3"/>
      <c r="G55" s="26">
        <v>6.42</v>
      </c>
      <c r="H55" s="10"/>
      <c r="I55" s="10">
        <f t="shared" si="8"/>
        <v>481.71343639870696</v>
      </c>
      <c r="J55" s="10">
        <f t="shared" si="6"/>
        <v>152544692039.55392</v>
      </c>
      <c r="K55" s="11">
        <f t="shared" si="7"/>
        <v>9.048573999999987E-2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309037800.41989428</v>
      </c>
      <c r="D56" s="11">
        <v>2.5000000000000001E-2</v>
      </c>
      <c r="E56" s="10">
        <f t="shared" si="2"/>
        <v>7537507.327314496</v>
      </c>
      <c r="F56" s="3"/>
      <c r="G56" s="26">
        <v>7.6</v>
      </c>
      <c r="H56" s="10"/>
      <c r="I56" s="10">
        <f t="shared" si="8"/>
        <v>452.65310693357162</v>
      </c>
      <c r="J56" s="10">
        <f t="shared" si="6"/>
        <v>139886920519.98218</v>
      </c>
      <c r="K56" s="11">
        <f t="shared" si="7"/>
        <v>0.10289999999999999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301500293.09257978</v>
      </c>
      <c r="D57" s="11">
        <v>2.52E-2</v>
      </c>
      <c r="E57" s="10">
        <f t="shared" si="2"/>
        <v>7411048.9523341656</v>
      </c>
      <c r="F57" s="3"/>
      <c r="G57" s="26">
        <v>7.28</v>
      </c>
      <c r="H57" s="10"/>
      <c r="I57" s="10">
        <f t="shared" si="8"/>
        <v>420.68132614644202</v>
      </c>
      <c r="J57" s="10">
        <f t="shared" si="6"/>
        <v>126835543131.72742</v>
      </c>
      <c r="K57" s="11">
        <f t="shared" si="7"/>
        <v>9.9834559999999906E-2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294089244.14024562</v>
      </c>
      <c r="D58" s="11">
        <v>2.5399999999999999E-2</v>
      </c>
      <c r="E58" s="10">
        <f t="shared" si="2"/>
        <v>7284832.0666688681</v>
      </c>
      <c r="F58" s="3"/>
      <c r="G58" s="26">
        <v>6.81</v>
      </c>
      <c r="H58" s="10"/>
      <c r="I58" s="10">
        <f t="shared" si="8"/>
        <v>392.13397291801084</v>
      </c>
      <c r="J58" s="10">
        <f t="shared" si="6"/>
        <v>115322383697.16936</v>
      </c>
      <c r="K58" s="11">
        <f t="shared" si="7"/>
        <v>9.5229740000000174E-2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286804412.07357675</v>
      </c>
      <c r="D59" s="11">
        <v>2.5600000000000005E-2</v>
      </c>
      <c r="E59" s="10">
        <f t="shared" si="2"/>
        <v>7158924.4823358059</v>
      </c>
      <c r="F59" s="3"/>
      <c r="G59" s="26">
        <v>-0.04</v>
      </c>
      <c r="H59" s="10"/>
      <c r="I59" s="10">
        <f t="shared" si="8"/>
        <v>367.13226562869659</v>
      </c>
      <c r="J59" s="10">
        <f t="shared" si="6"/>
        <v>105295153596.87854</v>
      </c>
      <c r="K59" s="11">
        <f t="shared" si="7"/>
        <v>2.5189760000000172E-2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279645487.59124094</v>
      </c>
      <c r="D60" s="11">
        <v>2.5600000000000005E-2</v>
      </c>
      <c r="E60" s="10">
        <f t="shared" si="2"/>
        <v>6980230.579500556</v>
      </c>
      <c r="F60" s="3"/>
      <c r="G60" s="26">
        <v>-0.51</v>
      </c>
      <c r="H60" s="10"/>
      <c r="I60" s="10">
        <f t="shared" si="8"/>
        <v>367.27917729961644</v>
      </c>
      <c r="J60" s="10">
        <f t="shared" si="6"/>
        <v>102707964618.06107</v>
      </c>
      <c r="K60" s="11">
        <f t="shared" si="7"/>
        <v>2.0369440000000072E-2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272665257.01174039</v>
      </c>
      <c r="D61" s="11">
        <v>2.5600000000000005E-2</v>
      </c>
      <c r="E61" s="10">
        <f t="shared" si="2"/>
        <v>6805997.0548952818</v>
      </c>
      <c r="F61" s="3"/>
      <c r="G61" s="26">
        <v>6.03</v>
      </c>
      <c r="H61" s="10"/>
      <c r="I61" s="10">
        <f t="shared" si="8"/>
        <v>369.16190300494162</v>
      </c>
      <c r="J61" s="10">
        <f t="shared" si="6"/>
        <v>100657625161.78558</v>
      </c>
      <c r="K61" s="11">
        <f t="shared" si="7"/>
        <v>8.7443680000000246E-2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265859259.9568451</v>
      </c>
      <c r="D62" s="11">
        <v>2.5600000000000005E-2</v>
      </c>
      <c r="E62" s="10">
        <f t="shared" si="2"/>
        <v>6636112.5730257928</v>
      </c>
      <c r="F62" s="3"/>
      <c r="G62" s="26">
        <v>0.65</v>
      </c>
      <c r="H62" s="10"/>
      <c r="I62" s="10">
        <f t="shared" si="8"/>
        <v>348.16740828533585</v>
      </c>
      <c r="J62" s="10">
        <f t="shared" si="6"/>
        <v>92563529507.832138</v>
      </c>
      <c r="K62" s="11">
        <f t="shared" si="7"/>
        <v>3.2266400000000139E-2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259223147.38381931</v>
      </c>
      <c r="D63" s="11">
        <v>2.5600000000000005E-2</v>
      </c>
      <c r="E63" s="10">
        <f t="shared" si="2"/>
        <v>6470468.5774432421</v>
      </c>
      <c r="F63" s="3"/>
      <c r="G63" s="26">
        <v>6.3</v>
      </c>
      <c r="H63" s="10"/>
      <c r="I63" s="10">
        <f t="shared" si="8"/>
        <v>345.91893520649364</v>
      </c>
      <c r="J63" s="10">
        <f t="shared" si="6"/>
        <v>89670195123.886749</v>
      </c>
      <c r="K63" s="11">
        <f t="shared" si="7"/>
        <v>9.0212800000000204E-2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252752678.80637607</v>
      </c>
      <c r="D64" s="11">
        <v>2.5500000000000002E-2</v>
      </c>
      <c r="E64" s="10">
        <f t="shared" si="2"/>
        <v>6284927.65437603</v>
      </c>
      <c r="F64" s="3"/>
      <c r="G64" s="26">
        <v>0.49</v>
      </c>
      <c r="H64" s="10"/>
      <c r="I64" s="10">
        <f t="shared" si="8"/>
        <v>325.4176248414804</v>
      </c>
      <c r="J64" s="10">
        <f t="shared" si="6"/>
        <v>82250176409.492477</v>
      </c>
      <c r="K64" s="11">
        <f t="shared" si="7"/>
        <v>3.0524949999999995E-2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246467751.15200004</v>
      </c>
      <c r="D65" s="11">
        <v>2.5500000000000002E-2</v>
      </c>
      <c r="E65" s="10">
        <f t="shared" si="2"/>
        <v>6128647.15200001</v>
      </c>
      <c r="F65" s="3"/>
      <c r="G65" s="26">
        <v>4.76</v>
      </c>
      <c r="H65" s="10"/>
      <c r="I65" s="10">
        <f t="shared" si="8"/>
        <v>323.83085365855351</v>
      </c>
      <c r="J65" s="10">
        <f t="shared" si="6"/>
        <v>79813862254.85611</v>
      </c>
      <c r="K65" s="11">
        <f t="shared" si="7"/>
        <v>7.4313800000000318E-2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240339104.00000003</v>
      </c>
      <c r="D66" s="11">
        <v>2.5600000000000005E-2</v>
      </c>
      <c r="E66" s="10">
        <f t="shared" si="2"/>
        <v>5999104.0000000298</v>
      </c>
      <c r="F66" s="3"/>
      <c r="G66" s="26">
        <v>-5.52</v>
      </c>
      <c r="H66" s="10"/>
      <c r="I66" s="10">
        <f t="shared" si="8"/>
        <v>309.1168897084321</v>
      </c>
      <c r="J66" s="10">
        <f t="shared" ref="J66:J67" si="9">IF(I66="","",I66*C66)</f>
        <v>74292876303.791397</v>
      </c>
      <c r="K66" s="11">
        <f t="shared" ref="K66" si="10">IFERROR(J66/J67-1,"")</f>
        <v>-3.1013120000000005E-2</v>
      </c>
    </row>
    <row r="67" spans="1:11" ht="22.5" customHeight="1">
      <c r="A67" s="3">
        <f t="shared" si="0"/>
        <v>1950</v>
      </c>
      <c r="B67" s="3">
        <v>1700</v>
      </c>
      <c r="C67" s="10">
        <v>234340000</v>
      </c>
      <c r="D67" s="11">
        <v>2.5600000000000005E-2</v>
      </c>
      <c r="E67" s="3" t="s">
        <v>72</v>
      </c>
      <c r="F67" s="10"/>
      <c r="G67" s="26">
        <v>8.11</v>
      </c>
      <c r="H67" s="10"/>
      <c r="I67" s="10">
        <f t="shared" ref="I67" si="11">IF(H67&lt;&gt;"",H67,I66/(1+IF(G66="",0,G66)/100))</f>
        <v>327.17706362027104</v>
      </c>
      <c r="J67" s="10">
        <f t="shared" si="9"/>
        <v>76670673088.774323</v>
      </c>
      <c r="K67" s="11"/>
    </row>
  </sheetData>
  <dataValidations count="1">
    <dataValidation type="custom" allowBlank="1" showDropDown="1" sqref="D2:D67" xr:uid="{00000000-0002-0000-0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69"/>
  <sheetViews>
    <sheetView topLeftCell="A34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62285576.664969265</v>
      </c>
      <c r="D2" s="11">
        <v>3.0999999999999999E-3</v>
      </c>
      <c r="E2" s="10">
        <f t="shared" ref="E2:E66" si="2">SUM(C2-C3)</f>
        <v>192488.57308484614</v>
      </c>
      <c r="F2" s="14">
        <v>62265521</v>
      </c>
      <c r="G2" s="26">
        <v>1.8</v>
      </c>
      <c r="H2" s="10"/>
      <c r="I2" s="10">
        <f>IF(H2&lt;&gt;"",H2,101904)</f>
        <v>12738</v>
      </c>
      <c r="J2" s="10">
        <f t="shared" ref="J2:J33" si="3">IF(I2="","",I2*C2)</f>
        <v>793393675558.37854</v>
      </c>
      <c r="K2" s="11">
        <f t="shared" ref="K2:K33" si="4">IFERROR(J2/J3-1,"")</f>
        <v>2.1155800000000058E-2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62093088.091884419</v>
      </c>
      <c r="D3" s="11">
        <v>3.5999999999999999E-3</v>
      </c>
      <c r="E3" s="10">
        <f t="shared" si="2"/>
        <v>222733.27733238786</v>
      </c>
      <c r="F3" s="3"/>
      <c r="G3" s="26">
        <v>0.91</v>
      </c>
      <c r="H3" s="10"/>
      <c r="I3" s="10">
        <f t="shared" ref="I3:I34" si="5">IF(H3&lt;&gt;"",H3,I2/(1+IF(G2="",0,G2)/100))</f>
        <v>12512.770137524558</v>
      </c>
      <c r="J3" s="10">
        <f t="shared" si="3"/>
        <v>776956538422.81311</v>
      </c>
      <c r="K3" s="11">
        <f t="shared" si="4"/>
        <v>1.2732760000000232E-2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61870354.814552031</v>
      </c>
      <c r="D4" s="11">
        <v>4.1000000000000003E-3</v>
      </c>
      <c r="E4" s="10">
        <f t="shared" si="2"/>
        <v>252632.66083025932</v>
      </c>
      <c r="F4" s="3"/>
      <c r="G4" s="26">
        <v>2</v>
      </c>
      <c r="H4" s="10"/>
      <c r="I4" s="10">
        <f t="shared" si="5"/>
        <v>12399.930767539943</v>
      </c>
      <c r="J4" s="10">
        <f t="shared" si="3"/>
        <v>767188116263.57678</v>
      </c>
      <c r="K4" s="11">
        <f t="shared" si="4"/>
        <v>2.4182000000000148E-2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61617722.153721772</v>
      </c>
      <c r="D5" s="11">
        <v>4.3E-3</v>
      </c>
      <c r="E5" s="10">
        <f t="shared" si="2"/>
        <v>263821.77164293826</v>
      </c>
      <c r="F5" s="3"/>
      <c r="G5" s="26">
        <v>1.65</v>
      </c>
      <c r="H5" s="10"/>
      <c r="I5" s="10">
        <f t="shared" si="5"/>
        <v>12156.794870137199</v>
      </c>
      <c r="J5" s="10">
        <f t="shared" si="3"/>
        <v>749074008587.90405</v>
      </c>
      <c r="K5" s="11">
        <f t="shared" si="4"/>
        <v>2.0870949999999944E-2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61353900.382078834</v>
      </c>
      <c r="D6" s="11">
        <v>4.3E-3</v>
      </c>
      <c r="E6" s="10">
        <f t="shared" si="2"/>
        <v>262692.19520356506</v>
      </c>
      <c r="F6" s="3"/>
      <c r="G6" s="26">
        <v>-0.2</v>
      </c>
      <c r="H6" s="10"/>
      <c r="I6" s="10">
        <f t="shared" si="5"/>
        <v>11959.463718777373</v>
      </c>
      <c r="J6" s="10">
        <f t="shared" si="3"/>
        <v>733759745624.953</v>
      </c>
      <c r="K6" s="11">
        <f t="shared" si="4"/>
        <v>2.2913999999998325E-3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61091208.186875269</v>
      </c>
      <c r="D7" s="11">
        <v>4.1999999999999997E-3</v>
      </c>
      <c r="E7" s="10">
        <f t="shared" si="2"/>
        <v>255509.93266767263</v>
      </c>
      <c r="F7" s="3"/>
      <c r="G7" s="26">
        <v>4.1399999999999997</v>
      </c>
      <c r="H7" s="10"/>
      <c r="I7" s="10">
        <f t="shared" si="5"/>
        <v>11983.430579937249</v>
      </c>
      <c r="J7" s="10">
        <f t="shared" si="3"/>
        <v>732082252351.91394</v>
      </c>
      <c r="K7" s="11">
        <f t="shared" si="4"/>
        <v>4.5773880000000267E-2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60835698.254207596</v>
      </c>
      <c r="D8" s="11">
        <v>4.1999999999999997E-3</v>
      </c>
      <c r="E8" s="10">
        <f t="shared" si="2"/>
        <v>254441.27929463238</v>
      </c>
      <c r="F8" s="3"/>
      <c r="G8" s="26">
        <v>-5.94</v>
      </c>
      <c r="H8" s="10"/>
      <c r="I8" s="10">
        <f t="shared" si="5"/>
        <v>11507.039158764401</v>
      </c>
      <c r="J8" s="10">
        <f t="shared" si="3"/>
        <v>700038762061.94189</v>
      </c>
      <c r="K8" s="11">
        <f t="shared" si="4"/>
        <v>-5.5449480000000051E-2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60581256.974912964</v>
      </c>
      <c r="D9" s="11">
        <v>4.4000000000000003E-3</v>
      </c>
      <c r="E9" s="10">
        <f t="shared" si="2"/>
        <v>265389.81550140679</v>
      </c>
      <c r="F9" s="3"/>
      <c r="G9" s="26">
        <v>-1.17</v>
      </c>
      <c r="H9" s="10"/>
      <c r="I9" s="10">
        <f t="shared" si="5"/>
        <v>12233.722261072082</v>
      </c>
      <c r="J9" s="10">
        <f t="shared" si="3"/>
        <v>741134272057.72107</v>
      </c>
      <c r="K9" s="11">
        <f t="shared" si="4"/>
        <v>-7.3514800000000768E-3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60315867.159411557</v>
      </c>
      <c r="D10" s="11">
        <v>4.7000000000000002E-3</v>
      </c>
      <c r="E10" s="10">
        <f t="shared" si="2"/>
        <v>282158.4310234189</v>
      </c>
      <c r="F10" s="3"/>
      <c r="G10" s="26">
        <v>1.73</v>
      </c>
      <c r="H10" s="10"/>
      <c r="I10" s="10">
        <f t="shared" si="5"/>
        <v>12378.551311415646</v>
      </c>
      <c r="J10" s="10">
        <f t="shared" si="3"/>
        <v>746623056525.30579</v>
      </c>
      <c r="K10" s="11">
        <f t="shared" si="4"/>
        <v>2.2081310000000132E-2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60033708.728388138</v>
      </c>
      <c r="D11" s="11">
        <v>5.1999999999999998E-3</v>
      </c>
      <c r="E11" s="10">
        <f t="shared" si="2"/>
        <v>310560.37145604938</v>
      </c>
      <c r="F11" s="3"/>
      <c r="G11" s="26">
        <v>1.55</v>
      </c>
      <c r="H11" s="10"/>
      <c r="I11" s="10">
        <f t="shared" si="5"/>
        <v>12168.044147661107</v>
      </c>
      <c r="J11" s="10">
        <f t="shared" si="3"/>
        <v>730492818154.85474</v>
      </c>
      <c r="K11" s="11">
        <f t="shared" si="4"/>
        <v>2.0780600000000149E-2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59723148.356932089</v>
      </c>
      <c r="D12" s="11">
        <v>5.4999999999999997E-3</v>
      </c>
      <c r="E12" s="10">
        <f t="shared" si="2"/>
        <v>326680.57281266153</v>
      </c>
      <c r="F12" s="3"/>
      <c r="G12" s="26">
        <v>1.85</v>
      </c>
      <c r="H12" s="10"/>
      <c r="I12" s="10">
        <f t="shared" si="5"/>
        <v>11982.31821532359</v>
      </c>
      <c r="J12" s="10">
        <f t="shared" si="3"/>
        <v>715621768433.74048</v>
      </c>
      <c r="K12" s="11">
        <f t="shared" si="4"/>
        <v>2.4101749999999811E-2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59396467.784119427</v>
      </c>
      <c r="D13" s="11">
        <v>5.8999999999999999E-3</v>
      </c>
      <c r="E13" s="10">
        <f t="shared" si="2"/>
        <v>348383.69611920416</v>
      </c>
      <c r="F13" s="3"/>
      <c r="G13" s="26">
        <v>2.11</v>
      </c>
      <c r="H13" s="10"/>
      <c r="I13" s="10">
        <f t="shared" si="5"/>
        <v>11764.671787259294</v>
      </c>
      <c r="J13" s="10">
        <f t="shared" si="3"/>
        <v>698779948802.68542</v>
      </c>
      <c r="K13" s="11">
        <f t="shared" si="4"/>
        <v>2.7124489999999835E-2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59048084.088000223</v>
      </c>
      <c r="D14" s="11">
        <v>6.1000000000000004E-3</v>
      </c>
      <c r="E14" s="10">
        <f t="shared" si="2"/>
        <v>358009.455259718</v>
      </c>
      <c r="F14" s="3"/>
      <c r="G14" s="26">
        <v>1.38</v>
      </c>
      <c r="H14" s="10"/>
      <c r="I14" s="10">
        <f t="shared" si="5"/>
        <v>11521.566729271664</v>
      </c>
      <c r="J14" s="10">
        <f t="shared" si="3"/>
        <v>680326441055.53894</v>
      </c>
      <c r="K14" s="11">
        <f t="shared" si="4"/>
        <v>1.9984180000000018E-2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58690074.632740505</v>
      </c>
      <c r="D15" s="11">
        <v>6.1000000000000004E-3</v>
      </c>
      <c r="E15" s="10">
        <f t="shared" si="2"/>
        <v>355838.83834581077</v>
      </c>
      <c r="F15" s="3"/>
      <c r="G15" s="26">
        <v>0.08</v>
      </c>
      <c r="H15" s="10"/>
      <c r="I15" s="10">
        <f t="shared" si="5"/>
        <v>11364.73340823798</v>
      </c>
      <c r="J15" s="10">
        <f t="shared" si="3"/>
        <v>666997051910.6864</v>
      </c>
      <c r="K15" s="11">
        <f t="shared" si="4"/>
        <v>6.9048800000000021E-3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58334235.794394694</v>
      </c>
      <c r="D16" s="11">
        <v>6.3E-3</v>
      </c>
      <c r="E16" s="10">
        <f t="shared" si="2"/>
        <v>365204.89466827363</v>
      </c>
      <c r="F16" s="3"/>
      <c r="G16" s="26">
        <v>0.28000000000000003</v>
      </c>
      <c r="H16" s="10"/>
      <c r="I16" s="10">
        <f t="shared" si="5"/>
        <v>11355.64888912668</v>
      </c>
      <c r="J16" s="10">
        <f t="shared" si="3"/>
        <v>662423099896.67188</v>
      </c>
      <c r="K16" s="11">
        <f t="shared" si="4"/>
        <v>9.1176399999999269E-3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57969030.899726421</v>
      </c>
      <c r="D17" s="11">
        <v>6.8999999999999999E-3</v>
      </c>
      <c r="E17" s="10">
        <f t="shared" si="2"/>
        <v>397245.32049667835</v>
      </c>
      <c r="F17" s="3"/>
      <c r="G17" s="26">
        <v>2.98</v>
      </c>
      <c r="H17" s="10"/>
      <c r="I17" s="10">
        <f t="shared" si="5"/>
        <v>11323.941851941245</v>
      </c>
      <c r="J17" s="10">
        <f t="shared" si="3"/>
        <v>656437935121.88721</v>
      </c>
      <c r="K17" s="11">
        <f t="shared" si="4"/>
        <v>3.690561999999975E-2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57571785.579229742</v>
      </c>
      <c r="D18" s="11">
        <v>7.7999999999999996E-3</v>
      </c>
      <c r="E18" s="10">
        <f t="shared" si="2"/>
        <v>445584.3694363907</v>
      </c>
      <c r="F18" s="3"/>
      <c r="G18" s="26">
        <v>-0.35</v>
      </c>
      <c r="H18" s="10"/>
      <c r="I18" s="10">
        <f t="shared" si="5"/>
        <v>10996.253497709502</v>
      </c>
      <c r="J18" s="10">
        <f t="shared" si="3"/>
        <v>633073948544.98657</v>
      </c>
      <c r="K18" s="11">
        <f t="shared" si="4"/>
        <v>4.2727000000000182E-3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57126201.209793352</v>
      </c>
      <c r="D19" s="11">
        <v>8.6E-3</v>
      </c>
      <c r="E19" s="10">
        <f t="shared" si="2"/>
        <v>487096.30220525712</v>
      </c>
      <c r="F19" s="3"/>
      <c r="G19" s="26">
        <v>-1.77</v>
      </c>
      <c r="H19" s="10"/>
      <c r="I19" s="10">
        <f t="shared" si="5"/>
        <v>11034.875562177122</v>
      </c>
      <c r="J19" s="10">
        <f t="shared" si="3"/>
        <v>630380521689.96179</v>
      </c>
      <c r="K19" s="11">
        <f t="shared" si="4"/>
        <v>-9.2522200000001442E-3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56639104.907588094</v>
      </c>
      <c r="D20" s="11">
        <v>9.1999999999999998E-3</v>
      </c>
      <c r="E20" s="10">
        <f t="shared" si="2"/>
        <v>516329.53344214708</v>
      </c>
      <c r="F20" s="3"/>
      <c r="G20" s="26">
        <v>1.36</v>
      </c>
      <c r="H20" s="10"/>
      <c r="I20" s="10">
        <f t="shared" si="5"/>
        <v>11233.71226934452</v>
      </c>
      <c r="J20" s="10">
        <f t="shared" si="3"/>
        <v>636267407725.06384</v>
      </c>
      <c r="K20" s="11">
        <f t="shared" si="4"/>
        <v>2.2925120000000243E-2</v>
      </c>
      <c r="L20" t="s">
        <v>109</v>
      </c>
      <c r="M20" t="s">
        <v>110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56122775.374145947</v>
      </c>
      <c r="D21" s="11">
        <v>9.7000000000000003E-3</v>
      </c>
      <c r="E21" s="10">
        <f t="shared" si="2"/>
        <v>539161.05885829031</v>
      </c>
      <c r="F21" s="3"/>
      <c r="G21" s="26">
        <v>3.08</v>
      </c>
      <c r="H21" s="10"/>
      <c r="I21" s="10">
        <f t="shared" si="5"/>
        <v>11082.983691144947</v>
      </c>
      <c r="J21" s="10">
        <f t="shared" si="3"/>
        <v>622007804173.45081</v>
      </c>
      <c r="K21" s="11">
        <f t="shared" si="4"/>
        <v>4.0798759999999934E-2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55583614.315287657</v>
      </c>
      <c r="D22" s="11">
        <v>0.01</v>
      </c>
      <c r="E22" s="10">
        <f t="shared" si="2"/>
        <v>550332.81500285119</v>
      </c>
      <c r="F22" s="3"/>
      <c r="G22" s="26">
        <v>2.34</v>
      </c>
      <c r="H22" s="10"/>
      <c r="I22" s="10">
        <f t="shared" si="5"/>
        <v>10751.827407009068</v>
      </c>
      <c r="J22" s="10">
        <f t="shared" si="3"/>
        <v>597625427775.73145</v>
      </c>
      <c r="K22" s="11">
        <f t="shared" si="4"/>
        <v>3.3634000000000164E-2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55033281.500284806</v>
      </c>
      <c r="D23" s="11">
        <v>1.03E-2</v>
      </c>
      <c r="E23" s="10">
        <f t="shared" si="2"/>
        <v>561063.84188155085</v>
      </c>
      <c r="F23" s="3"/>
      <c r="G23" s="26">
        <v>0.99</v>
      </c>
      <c r="H23" s="10"/>
      <c r="I23" s="10">
        <f t="shared" si="5"/>
        <v>10505.987304093285</v>
      </c>
      <c r="J23" s="10">
        <f t="shared" si="3"/>
        <v>578178956744.58398</v>
      </c>
      <c r="K23" s="11">
        <f t="shared" si="4"/>
        <v>2.030196999999978E-2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54472217.658403255</v>
      </c>
      <c r="D24" s="11">
        <v>1.03E-2</v>
      </c>
      <c r="E24" s="10">
        <f t="shared" si="2"/>
        <v>555343.80073399097</v>
      </c>
      <c r="F24" s="3"/>
      <c r="G24" s="26">
        <v>-0.52</v>
      </c>
      <c r="H24" s="10"/>
      <c r="I24" s="10">
        <f t="shared" si="5"/>
        <v>10402.99762758024</v>
      </c>
      <c r="J24" s="10">
        <f t="shared" si="3"/>
        <v>566674351069.40356</v>
      </c>
      <c r="K24" s="11">
        <f t="shared" si="4"/>
        <v>5.0464399999998744E-3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53916873.857669264</v>
      </c>
      <c r="D25" s="11">
        <v>9.9000000000000008E-3</v>
      </c>
      <c r="E25" s="10">
        <f t="shared" si="2"/>
        <v>528544.46102676541</v>
      </c>
      <c r="F25" s="3"/>
      <c r="G25" s="26">
        <v>0.85</v>
      </c>
      <c r="H25" s="10"/>
      <c r="I25" s="10">
        <f t="shared" si="5"/>
        <v>10457.37598269023</v>
      </c>
      <c r="J25" s="10">
        <f t="shared" si="3"/>
        <v>563829021740.92932</v>
      </c>
      <c r="K25" s="11">
        <f t="shared" si="4"/>
        <v>1.8484149999999921E-2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53388329.396642499</v>
      </c>
      <c r="D26" s="11">
        <v>8.8000000000000005E-3</v>
      </c>
      <c r="E26" s="10">
        <f t="shared" si="2"/>
        <v>465718.97173914313</v>
      </c>
      <c r="F26" s="3"/>
      <c r="G26" s="26">
        <v>2.42</v>
      </c>
      <c r="H26" s="10"/>
      <c r="I26" s="10">
        <f t="shared" si="5"/>
        <v>10369.237464244155</v>
      </c>
      <c r="J26" s="10">
        <f t="shared" si="3"/>
        <v>553596265333.073</v>
      </c>
      <c r="K26" s="11">
        <f t="shared" si="4"/>
        <v>3.3212959999999958E-2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52922610.424903356</v>
      </c>
      <c r="D27" s="11">
        <v>7.6E-3</v>
      </c>
      <c r="E27" s="10">
        <f t="shared" si="2"/>
        <v>399178.08577735722</v>
      </c>
      <c r="F27" s="3"/>
      <c r="G27" s="26">
        <v>-4.8899999999999997</v>
      </c>
      <c r="H27" s="10"/>
      <c r="I27" s="10">
        <f t="shared" si="5"/>
        <v>10124.231072294626</v>
      </c>
      <c r="J27" s="10">
        <f t="shared" si="3"/>
        <v>535800736890.75006</v>
      </c>
      <c r="K27" s="11">
        <f t="shared" si="4"/>
        <v>-4.1671639999999788E-2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52523432.339125998</v>
      </c>
      <c r="D28" s="11">
        <v>6.8999999999999999E-3</v>
      </c>
      <c r="E28" s="10">
        <f t="shared" si="2"/>
        <v>359928.17870688438</v>
      </c>
      <c r="F28" s="3"/>
      <c r="G28" s="26">
        <v>4.8600000000000003</v>
      </c>
      <c r="H28" s="10"/>
      <c r="I28" s="10">
        <f t="shared" si="5"/>
        <v>10644.759827877851</v>
      </c>
      <c r="J28" s="10">
        <f t="shared" si="3"/>
        <v>559099322585.78882</v>
      </c>
      <c r="K28" s="11">
        <f t="shared" si="4"/>
        <v>5.5835339999999789E-2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52163504.160419114</v>
      </c>
      <c r="D29" s="11">
        <v>6.7999999999999996E-3</v>
      </c>
      <c r="E29" s="10">
        <f t="shared" si="2"/>
        <v>352316.07895395905</v>
      </c>
      <c r="F29" s="3"/>
      <c r="G29" s="26">
        <v>6.79</v>
      </c>
      <c r="H29" s="10"/>
      <c r="I29" s="10">
        <f t="shared" si="5"/>
        <v>10151.401705014163</v>
      </c>
      <c r="J29" s="10">
        <f t="shared" si="3"/>
        <v>529532685073.59198</v>
      </c>
      <c r="K29" s="11">
        <f t="shared" si="4"/>
        <v>7.5161720000000098E-2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51811188.081465155</v>
      </c>
      <c r="D30" s="12">
        <v>7.6E-3</v>
      </c>
      <c r="E30" s="10">
        <f t="shared" si="2"/>
        <v>390794.98751403391</v>
      </c>
      <c r="F30" s="3"/>
      <c r="G30" s="26">
        <v>4.7300000000000004</v>
      </c>
      <c r="H30" s="10"/>
      <c r="I30" s="10">
        <f t="shared" si="5"/>
        <v>9505.9478462535462</v>
      </c>
      <c r="J30" s="10">
        <f t="shared" si="3"/>
        <v>492514451754.84106</v>
      </c>
      <c r="K30" s="11">
        <f t="shared" si="4"/>
        <v>5.5259479999999916E-2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51420393.093951121</v>
      </c>
      <c r="D31" s="13">
        <v>9.2999999999999992E-3</v>
      </c>
      <c r="E31" s="10">
        <f t="shared" si="2"/>
        <v>473803.28522118926</v>
      </c>
      <c r="F31" s="3"/>
      <c r="G31" s="26">
        <v>3.33</v>
      </c>
      <c r="H31" s="10"/>
      <c r="I31" s="10">
        <f t="shared" si="5"/>
        <v>9076.6235522329298</v>
      </c>
      <c r="J31" s="10">
        <f t="shared" si="3"/>
        <v>466723551021.63226</v>
      </c>
      <c r="K31" s="11">
        <f t="shared" si="4"/>
        <v>4.2909690000000333E-2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50946589.808729932</v>
      </c>
      <c r="D32" s="12">
        <v>1.15E-2</v>
      </c>
      <c r="E32" s="10">
        <f t="shared" si="2"/>
        <v>579224.69876460731</v>
      </c>
      <c r="F32" s="3"/>
      <c r="G32" s="26">
        <v>5.23</v>
      </c>
      <c r="H32" s="10"/>
      <c r="I32" s="10">
        <f t="shared" si="5"/>
        <v>8784.112602567433</v>
      </c>
      <c r="J32" s="10">
        <f t="shared" si="3"/>
        <v>447520581596.69812</v>
      </c>
      <c r="K32" s="11">
        <f t="shared" si="4"/>
        <v>6.4401450000000082E-2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50367365.109965324</v>
      </c>
      <c r="D33" s="13">
        <v>1.32E-2</v>
      </c>
      <c r="E33" s="10">
        <f t="shared" si="2"/>
        <v>656187.54387243092</v>
      </c>
      <c r="F33" s="3"/>
      <c r="G33" s="26">
        <v>4.5</v>
      </c>
      <c r="H33" s="10"/>
      <c r="I33" s="10">
        <f t="shared" si="5"/>
        <v>8347.5364464196828</v>
      </c>
      <c r="J33" s="10">
        <f t="shared" si="3"/>
        <v>420443415965.56268</v>
      </c>
      <c r="K33" s="11">
        <f t="shared" si="4"/>
        <v>5.8794000000000013E-2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49711177.566092893</v>
      </c>
      <c r="D34" s="12">
        <v>1.3899999999999999E-2</v>
      </c>
      <c r="E34" s="10">
        <f t="shared" si="2"/>
        <v>681512.34655162692</v>
      </c>
      <c r="F34" s="3"/>
      <c r="G34" s="26">
        <v>2.22</v>
      </c>
      <c r="H34" s="10"/>
      <c r="I34" s="10">
        <f t="shared" si="5"/>
        <v>7988.0731544685968</v>
      </c>
      <c r="J34" s="10">
        <f t="shared" ref="J34:J65" si="6">IF(I34="","",I34*C34)</f>
        <v>397096522992.72821</v>
      </c>
      <c r="K34" s="11">
        <f t="shared" ref="K34:K65" si="7">IFERROR(J34/J35-1,"")</f>
        <v>4.9589279999999958E-2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49029665.219541267</v>
      </c>
      <c r="D35" s="11">
        <v>1.37E-2</v>
      </c>
      <c r="E35" s="10">
        <f t="shared" si="2"/>
        <v>662628.40436787903</v>
      </c>
      <c r="F35" s="3"/>
      <c r="G35" s="26">
        <v>-0.39</v>
      </c>
      <c r="H35" s="10"/>
      <c r="I35" s="10">
        <f t="shared" ref="I35:I66" si="8">IF(H35&lt;&gt;"",H35,I34/(1+IF(G34="",0,G34)/100))</f>
        <v>7716.4539745639468</v>
      </c>
      <c r="J35" s="10">
        <f t="shared" si="6"/>
        <v>378335155054.8689</v>
      </c>
      <c r="K35" s="11">
        <f t="shared" si="7"/>
        <v>3.7116469999999735E-2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48367036.815173388</v>
      </c>
      <c r="D36" s="11">
        <v>1.2999999999999999E-2</v>
      </c>
      <c r="E36" s="10">
        <f t="shared" si="2"/>
        <v>620702.34807231277</v>
      </c>
      <c r="F36" s="3"/>
      <c r="G36" s="26">
        <v>-3.59</v>
      </c>
      <c r="H36" s="10"/>
      <c r="I36" s="10">
        <f t="shared" si="8"/>
        <v>7542.2284962994308</v>
      </c>
      <c r="J36" s="10">
        <f t="shared" si="6"/>
        <v>364795243348.96442</v>
      </c>
      <c r="K36" s="11">
        <f t="shared" si="7"/>
        <v>2.5257300000000038E-2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47746334.467101075</v>
      </c>
      <c r="D37" s="11">
        <v>1.23E-2</v>
      </c>
      <c r="E37" s="10">
        <f t="shared" si="2"/>
        <v>580144.14101091027</v>
      </c>
      <c r="F37" s="3"/>
      <c r="G37" s="26">
        <v>-6.12</v>
      </c>
      <c r="H37" s="10"/>
      <c r="I37" s="10">
        <f t="shared" si="8"/>
        <v>7452.0585873919881</v>
      </c>
      <c r="J37" s="10">
        <f t="shared" si="6"/>
        <v>355808481782.0506</v>
      </c>
      <c r="K37" s="11">
        <f t="shared" si="7"/>
        <v>3.9991400000001232E-3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47166190.326090164</v>
      </c>
      <c r="D38" s="11">
        <v>1.17E-2</v>
      </c>
      <c r="E38" s="10">
        <f t="shared" si="2"/>
        <v>545462.51538524777</v>
      </c>
      <c r="F38" s="3"/>
      <c r="G38" s="26">
        <v>-4.18</v>
      </c>
      <c r="H38" s="10"/>
      <c r="I38" s="10">
        <f t="shared" si="8"/>
        <v>7513.6706870255975</v>
      </c>
      <c r="J38" s="10">
        <f t="shared" si="6"/>
        <v>354391221671.81396</v>
      </c>
      <c r="K38" s="11">
        <f t="shared" si="7"/>
        <v>6.8438399999999344E-3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46620727.810704917</v>
      </c>
      <c r="D39" s="11">
        <v>1.1599999999999999E-2</v>
      </c>
      <c r="E39" s="10">
        <f t="shared" si="2"/>
        <v>534599.09312394261</v>
      </c>
      <c r="F39" s="3"/>
      <c r="G39" s="26">
        <v>5.27</v>
      </c>
      <c r="H39" s="10"/>
      <c r="I39" s="10">
        <f t="shared" si="8"/>
        <v>7549.9102562556245</v>
      </c>
      <c r="J39" s="10">
        <f t="shared" si="6"/>
        <v>351982311052.14288</v>
      </c>
      <c r="K39" s="11">
        <f t="shared" si="7"/>
        <v>6.4911319999999995E-2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46086128.717580974</v>
      </c>
      <c r="D40" s="11">
        <v>1.2200000000000001E-2</v>
      </c>
      <c r="E40" s="10">
        <f t="shared" si="2"/>
        <v>555473.98770449311</v>
      </c>
      <c r="F40" s="3"/>
      <c r="G40" s="26">
        <v>4.3899999999999997</v>
      </c>
      <c r="H40" s="10"/>
      <c r="I40" s="10">
        <f t="shared" si="8"/>
        <v>7171.9485667860026</v>
      </c>
      <c r="J40" s="10">
        <f t="shared" si="6"/>
        <v>330527344804.77008</v>
      </c>
      <c r="K40" s="11">
        <f t="shared" si="7"/>
        <v>5.6635579999999797E-2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45530654.729876481</v>
      </c>
      <c r="D41" s="11">
        <v>1.3100000000000001E-2</v>
      </c>
      <c r="E41" s="10">
        <f t="shared" si="2"/>
        <v>588739.09481925517</v>
      </c>
      <c r="F41" s="3"/>
      <c r="G41" s="26">
        <v>3.97</v>
      </c>
      <c r="H41" s="10"/>
      <c r="I41" s="10">
        <f t="shared" si="8"/>
        <v>6870.3406138384926</v>
      </c>
      <c r="J41" s="10">
        <f t="shared" si="6"/>
        <v>312811106365.32806</v>
      </c>
      <c r="K41" s="11">
        <f t="shared" si="7"/>
        <v>5.3320070000000275E-2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44941915.635057226</v>
      </c>
      <c r="D42" s="11">
        <v>1.4E-2</v>
      </c>
      <c r="E42" s="10">
        <f t="shared" si="2"/>
        <v>620499.82139132172</v>
      </c>
      <c r="F42" s="3"/>
      <c r="G42" s="26">
        <v>-3.09</v>
      </c>
      <c r="H42" s="10"/>
      <c r="I42" s="10">
        <f t="shared" si="8"/>
        <v>6608.0028987578071</v>
      </c>
      <c r="J42" s="10">
        <f t="shared" si="6"/>
        <v>296976308792.18695</v>
      </c>
      <c r="K42" s="11">
        <f t="shared" si="7"/>
        <v>-1.7332600000000031E-2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44321415.813665904</v>
      </c>
      <c r="D43" s="11">
        <v>1.4999999999999999E-2</v>
      </c>
      <c r="E43" s="10">
        <f t="shared" si="2"/>
        <v>654996.29281279445</v>
      </c>
      <c r="F43" s="3"/>
      <c r="G43" s="26">
        <v>-1.23</v>
      </c>
      <c r="H43" s="10"/>
      <c r="I43" s="10">
        <f t="shared" si="8"/>
        <v>6818.7007519944354</v>
      </c>
      <c r="J43" s="10">
        <f t="shared" si="6"/>
        <v>302214471338.10175</v>
      </c>
      <c r="K43" s="11">
        <f t="shared" si="7"/>
        <v>2.5154999999998928E-3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43666419.52085311</v>
      </c>
      <c r="D44" s="11">
        <v>1.52E-2</v>
      </c>
      <c r="E44" s="10">
        <f t="shared" si="2"/>
        <v>653791.93924051523</v>
      </c>
      <c r="F44" s="3"/>
      <c r="G44" s="26">
        <v>8.0299999999999994</v>
      </c>
      <c r="H44" s="10"/>
      <c r="I44" s="10">
        <f t="shared" si="8"/>
        <v>6903.6152191904785</v>
      </c>
      <c r="J44" s="10">
        <f t="shared" si="6"/>
        <v>301456158371.71771</v>
      </c>
      <c r="K44" s="11">
        <f t="shared" si="7"/>
        <v>9.6720560000000066E-2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43012627.581612594</v>
      </c>
      <c r="D45" s="11">
        <v>1.4500000000000001E-2</v>
      </c>
      <c r="E45" s="10">
        <f t="shared" si="2"/>
        <v>614768.950156115</v>
      </c>
      <c r="F45" s="3"/>
      <c r="G45" s="26">
        <v>8.41</v>
      </c>
      <c r="H45" s="10"/>
      <c r="I45" s="10">
        <f t="shared" si="8"/>
        <v>6390.4611859580473</v>
      </c>
      <c r="J45" s="10">
        <f t="shared" si="6"/>
        <v>274870527066.36383</v>
      </c>
      <c r="K45" s="11">
        <f t="shared" si="7"/>
        <v>9.981944999999981E-2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42397858.631456479</v>
      </c>
      <c r="D46" s="11">
        <v>1.35E-2</v>
      </c>
      <c r="E46" s="10">
        <f t="shared" si="2"/>
        <v>564747.00693109632</v>
      </c>
      <c r="F46" s="3"/>
      <c r="G46" s="26">
        <v>4.7</v>
      </c>
      <c r="H46" s="10"/>
      <c r="I46" s="10">
        <f t="shared" si="8"/>
        <v>5894.7156036878951</v>
      </c>
      <c r="J46" s="10">
        <f t="shared" si="6"/>
        <v>249923318837.80002</v>
      </c>
      <c r="K46" s="11">
        <f t="shared" si="7"/>
        <v>6.1134500000000092E-2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41833111.624525383</v>
      </c>
      <c r="D47" s="11">
        <v>1.24E-2</v>
      </c>
      <c r="E47" s="10">
        <f t="shared" si="2"/>
        <v>512377.10800485313</v>
      </c>
      <c r="F47" s="3"/>
      <c r="G47" s="26">
        <v>0.4</v>
      </c>
      <c r="H47" s="10"/>
      <c r="I47" s="10">
        <f t="shared" si="8"/>
        <v>5630.1008631211989</v>
      </c>
      <c r="J47" s="10">
        <f t="shared" si="6"/>
        <v>235524637864.28583</v>
      </c>
      <c r="K47" s="11">
        <f t="shared" si="7"/>
        <v>1.6449599999999842E-2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41320734.51652053</v>
      </c>
      <c r="D48" s="11">
        <v>1.1599999999999999E-2</v>
      </c>
      <c r="E48" s="10">
        <f t="shared" si="2"/>
        <v>473824.16013408452</v>
      </c>
      <c r="F48" s="3"/>
      <c r="G48" s="29">
        <v>3.21</v>
      </c>
      <c r="H48" s="10"/>
      <c r="I48" s="10">
        <f t="shared" si="8"/>
        <v>5607.6701823916328</v>
      </c>
      <c r="J48" s="10">
        <f t="shared" si="6"/>
        <v>231713050862.81293</v>
      </c>
      <c r="K48" s="11">
        <f t="shared" si="7"/>
        <v>4.4072360000000144E-2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40846910.356386445</v>
      </c>
      <c r="D49" s="11">
        <v>1.15E-2</v>
      </c>
      <c r="E49" s="10">
        <f t="shared" si="2"/>
        <v>464398.88195595145</v>
      </c>
      <c r="F49" s="3"/>
      <c r="G49" s="29">
        <v>3.29</v>
      </c>
      <c r="H49" s="10"/>
      <c r="I49" s="10">
        <f t="shared" si="8"/>
        <v>5433.2624575056998</v>
      </c>
      <c r="J49" s="10">
        <f t="shared" si="6"/>
        <v>221931984544.45523</v>
      </c>
      <c r="K49" s="11">
        <f t="shared" si="7"/>
        <v>4.4778349999999856E-2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40382511.474430494</v>
      </c>
      <c r="D50" s="11">
        <v>1.1900000000000001E-2</v>
      </c>
      <c r="E50" s="10">
        <f t="shared" si="2"/>
        <v>474900.56976551563</v>
      </c>
      <c r="F50" s="3"/>
      <c r="G50" s="29">
        <v>2.5499999999999998</v>
      </c>
      <c r="H50" s="10"/>
      <c r="I50" s="10">
        <f t="shared" si="8"/>
        <v>5260.2018177032633</v>
      </c>
      <c r="J50" s="10">
        <f t="shared" si="6"/>
        <v>212420160261.22217</v>
      </c>
      <c r="K50" s="11">
        <f t="shared" si="7"/>
        <v>3.7703450000000194E-2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39907610.904664978</v>
      </c>
      <c r="D51" s="11">
        <v>1.2500000000000001E-2</v>
      </c>
      <c r="E51" s="10">
        <f t="shared" si="2"/>
        <v>492686.55437857658</v>
      </c>
      <c r="F51" s="3"/>
      <c r="G51" s="29">
        <v>3.69</v>
      </c>
      <c r="H51" s="10"/>
      <c r="I51" s="10">
        <f t="shared" si="8"/>
        <v>5129.4020650446246</v>
      </c>
      <c r="J51" s="10">
        <f t="shared" si="6"/>
        <v>204702181785.38593</v>
      </c>
      <c r="K51" s="11">
        <f t="shared" si="7"/>
        <v>4.9861249999999968E-2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39414924.350286402</v>
      </c>
      <c r="D52" s="11">
        <v>1.34E-2</v>
      </c>
      <c r="E52" s="10">
        <f t="shared" si="2"/>
        <v>521176.22488044202</v>
      </c>
      <c r="F52" s="3"/>
      <c r="G52" s="29">
        <v>6.98</v>
      </c>
      <c r="H52" s="10"/>
      <c r="I52" s="10">
        <f t="shared" si="8"/>
        <v>4946.8628267379927</v>
      </c>
      <c r="J52" s="10">
        <f t="shared" si="6"/>
        <v>194980224087.12192</v>
      </c>
      <c r="K52" s="11">
        <f t="shared" si="7"/>
        <v>8.4135320000000124E-2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38893748.12540596</v>
      </c>
      <c r="D53" s="11">
        <v>1.41E-2</v>
      </c>
      <c r="E53" s="10">
        <f t="shared" si="2"/>
        <v>540776.89435777813</v>
      </c>
      <c r="F53" s="3"/>
      <c r="G53" s="29">
        <v>0.82</v>
      </c>
      <c r="H53" s="10"/>
      <c r="I53" s="10">
        <f t="shared" si="8"/>
        <v>4624.1006045410286</v>
      </c>
      <c r="J53" s="10">
        <f t="shared" si="6"/>
        <v>179848604219.55618</v>
      </c>
      <c r="K53" s="11">
        <f t="shared" si="7"/>
        <v>2.2415619999999858E-2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38352971.231048182</v>
      </c>
      <c r="D54" s="11">
        <v>1.41E-2</v>
      </c>
      <c r="E54" s="10">
        <f t="shared" si="2"/>
        <v>533257.95716179907</v>
      </c>
      <c r="F54" s="3"/>
      <c r="G54" s="29">
        <v>3</v>
      </c>
      <c r="H54" s="10"/>
      <c r="I54" s="10">
        <f t="shared" si="8"/>
        <v>4586.4913752638649</v>
      </c>
      <c r="J54" s="10">
        <f t="shared" si="6"/>
        <v>175905571766.94562</v>
      </c>
      <c r="K54" s="11">
        <f t="shared" si="7"/>
        <v>4.452300000000009E-2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37819713.273886383</v>
      </c>
      <c r="D55" s="11">
        <v>1.4E-2</v>
      </c>
      <c r="E55" s="10">
        <f t="shared" si="2"/>
        <v>522165.66650336236</v>
      </c>
      <c r="F55" s="3"/>
      <c r="G55" s="29">
        <v>5.84</v>
      </c>
      <c r="H55" s="10"/>
      <c r="I55" s="10">
        <f t="shared" si="8"/>
        <v>4452.9042478289948</v>
      </c>
      <c r="J55" s="10">
        <f t="shared" si="6"/>
        <v>168407561888.96329</v>
      </c>
      <c r="K55" s="11">
        <f t="shared" si="7"/>
        <v>7.3217599999999994E-2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37297547.60738302</v>
      </c>
      <c r="D56" s="11">
        <v>1.4E-2</v>
      </c>
      <c r="E56" s="10">
        <f t="shared" si="2"/>
        <v>514956.27860292047</v>
      </c>
      <c r="F56" s="3"/>
      <c r="G56" s="29">
        <v>5.25</v>
      </c>
      <c r="H56" s="10"/>
      <c r="I56" s="10">
        <f t="shared" si="8"/>
        <v>4207.203559929133</v>
      </c>
      <c r="J56" s="10">
        <f t="shared" si="6"/>
        <v>156918375070.40817</v>
      </c>
      <c r="K56" s="11">
        <f t="shared" si="7"/>
        <v>6.7235000000000156E-2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36782591.3287801</v>
      </c>
      <c r="D57" s="11">
        <v>1.4E-2</v>
      </c>
      <c r="E57" s="10">
        <f t="shared" si="2"/>
        <v>507846.42860248685</v>
      </c>
      <c r="F57" s="3"/>
      <c r="G57" s="29">
        <v>4.3600000000000003</v>
      </c>
      <c r="H57" s="10"/>
      <c r="I57" s="10">
        <f t="shared" si="8"/>
        <v>3997.3430498139032</v>
      </c>
      <c r="J57" s="10">
        <f t="shared" si="6"/>
        <v>147032635802.24426</v>
      </c>
      <c r="K57" s="11">
        <f t="shared" si="7"/>
        <v>5.8210399999999884E-2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36274744.900177613</v>
      </c>
      <c r="D58" s="11">
        <v>1.2999999999999999E-2</v>
      </c>
      <c r="E58" s="10">
        <f t="shared" si="2"/>
        <v>465519.92468144745</v>
      </c>
      <c r="F58" s="3"/>
      <c r="G58" s="29">
        <v>5.18</v>
      </c>
      <c r="H58" s="10"/>
      <c r="I58" s="10">
        <f t="shared" si="8"/>
        <v>3830.3402163797459</v>
      </c>
      <c r="J58" s="10">
        <f t="shared" si="6"/>
        <v>138944614230.06641</v>
      </c>
      <c r="K58" s="11">
        <f t="shared" si="7"/>
        <v>6.5473399999999904E-2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35809224.975496165</v>
      </c>
      <c r="D59" s="11">
        <v>1.2999999999999999E-2</v>
      </c>
      <c r="E59" s="10">
        <f t="shared" si="2"/>
        <v>459545.82890567183</v>
      </c>
      <c r="F59" s="3"/>
      <c r="G59" s="29">
        <v>3.07</v>
      </c>
      <c r="H59" s="10"/>
      <c r="I59" s="10">
        <f t="shared" si="8"/>
        <v>3641.7001486782142</v>
      </c>
      <c r="J59" s="10">
        <f t="shared" si="6"/>
        <v>130406459917.31601</v>
      </c>
      <c r="K59" s="11">
        <f t="shared" si="7"/>
        <v>4.4099099999999725E-2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35349679.146590494</v>
      </c>
      <c r="D60" s="11">
        <v>1.4E-2</v>
      </c>
      <c r="E60" s="10">
        <f t="shared" si="2"/>
        <v>488062.63121525198</v>
      </c>
      <c r="F60" s="3"/>
      <c r="G60" s="29">
        <v>7.74</v>
      </c>
      <c r="H60" s="10"/>
      <c r="I60" s="10">
        <f t="shared" si="8"/>
        <v>3533.229988045226</v>
      </c>
      <c r="J60" s="10">
        <f t="shared" si="6"/>
        <v>124898546428.51051</v>
      </c>
      <c r="K60" s="11">
        <f t="shared" si="7"/>
        <v>9.2483599999999777E-2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34861616.515375242</v>
      </c>
      <c r="D61" s="11">
        <v>1.4999999999999999E-2</v>
      </c>
      <c r="E61" s="10">
        <f t="shared" si="2"/>
        <v>515196.30318288505</v>
      </c>
      <c r="F61" s="3"/>
      <c r="G61" s="29">
        <v>4.7300000000000004</v>
      </c>
      <c r="H61" s="10"/>
      <c r="I61" s="10">
        <f t="shared" si="8"/>
        <v>3279.4041099361671</v>
      </c>
      <c r="J61" s="10">
        <f t="shared" si="6"/>
        <v>114325328479.54013</v>
      </c>
      <c r="K61" s="11">
        <f t="shared" si="7"/>
        <v>6.3009499999999941E-2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34346420.212192357</v>
      </c>
      <c r="D62" s="11">
        <v>1.7000000000000001E-2</v>
      </c>
      <c r="E62" s="10">
        <f t="shared" si="2"/>
        <v>574128.95143290609</v>
      </c>
      <c r="F62" s="3"/>
      <c r="G62" s="29">
        <v>9.1999999999999993</v>
      </c>
      <c r="H62" s="10"/>
      <c r="I62" s="10">
        <f t="shared" si="8"/>
        <v>3131.2939080838037</v>
      </c>
      <c r="J62" s="10">
        <f t="shared" si="6"/>
        <v>107548736374.92435</v>
      </c>
      <c r="K62" s="11">
        <f t="shared" si="7"/>
        <v>0.11056399999999988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33772291.26075945</v>
      </c>
      <c r="D63" s="11">
        <v>1.7999999999999999E-2</v>
      </c>
      <c r="E63" s="10">
        <f t="shared" si="2"/>
        <v>597152.49773445353</v>
      </c>
      <c r="F63" s="3"/>
      <c r="G63" s="29">
        <v>6.22</v>
      </c>
      <c r="H63" s="10"/>
      <c r="I63" s="10">
        <f t="shared" si="8"/>
        <v>2867.4852638130069</v>
      </c>
      <c r="J63" s="10">
        <f t="shared" si="6"/>
        <v>96841547515.428513</v>
      </c>
      <c r="K63" s="11">
        <f t="shared" si="7"/>
        <v>8.1319600000000047E-2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33175138.763024997</v>
      </c>
      <c r="D64" s="11">
        <v>1.8499999999999999E-2</v>
      </c>
      <c r="E64" s="10">
        <f t="shared" si="2"/>
        <v>602592.11302499846</v>
      </c>
      <c r="F64" s="3"/>
      <c r="G64" s="29">
        <v>4.63</v>
      </c>
      <c r="H64" s="10"/>
      <c r="I64" s="10">
        <f t="shared" si="8"/>
        <v>2699.5718921229586</v>
      </c>
      <c r="J64" s="10">
        <f t="shared" si="6"/>
        <v>89558672121.941101</v>
      </c>
      <c r="K64" s="11">
        <f t="shared" si="7"/>
        <v>6.5656549999999925E-2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32572546.649999999</v>
      </c>
      <c r="D65" s="11">
        <v>1.8499999999999999E-2</v>
      </c>
      <c r="E65" s="10">
        <f t="shared" si="2"/>
        <v>591646.64999999851</v>
      </c>
      <c r="F65" s="3"/>
      <c r="G65" s="29">
        <v>6.01</v>
      </c>
      <c r="H65" s="10"/>
      <c r="I65" s="10">
        <f t="shared" si="8"/>
        <v>2580.1126752584905</v>
      </c>
      <c r="J65" s="10">
        <f t="shared" si="6"/>
        <v>84040840477.11348</v>
      </c>
      <c r="K65" s="11">
        <f t="shared" si="7"/>
        <v>7.9711850000000029E-2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31980900</v>
      </c>
      <c r="D66" s="11">
        <v>1.8499999999999999E-2</v>
      </c>
      <c r="E66" s="10">
        <f t="shared" si="2"/>
        <v>580900</v>
      </c>
      <c r="F66" s="3"/>
      <c r="G66" s="29">
        <v>6.35</v>
      </c>
      <c r="H66" s="10"/>
      <c r="I66" s="10">
        <f t="shared" si="8"/>
        <v>2433.8389541161123</v>
      </c>
      <c r="J66" s="10">
        <f t="shared" ref="J66:J67" si="9">IF(I66="","",I66*C66)</f>
        <v>77836360207.691971</v>
      </c>
      <c r="K66" s="11">
        <f t="shared" ref="K66" si="10">IFERROR(J66/J67-1,"")</f>
        <v>8.3174749999999742E-2</v>
      </c>
    </row>
    <row r="67" spans="1:11" ht="22.5" customHeight="1">
      <c r="A67" s="3">
        <f t="shared" si="0"/>
        <v>1950</v>
      </c>
      <c r="B67" s="3">
        <v>1700</v>
      </c>
      <c r="C67" s="10">
        <v>31400000</v>
      </c>
      <c r="D67" s="11">
        <v>1.7999999999999999E-2</v>
      </c>
      <c r="E67" s="3" t="s">
        <v>72</v>
      </c>
      <c r="F67" s="10"/>
      <c r="G67" s="29">
        <v>5.5</v>
      </c>
      <c r="H67" s="10"/>
      <c r="I67" s="10">
        <f t="shared" ref="I67" si="11">IF(H67&lt;&gt;"",H67,I66/(1+IF(G66="",0,G66)/100))</f>
        <v>2288.5180574669607</v>
      </c>
      <c r="J67" s="10">
        <f t="shared" si="9"/>
        <v>71859467004.46257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0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67"/>
  <sheetViews>
    <sheetView topLeftCell="A39" workbookViewId="0">
      <selection activeCell="J70" sqref="J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44284291.401775993</v>
      </c>
      <c r="D2" s="11">
        <v>1.09E-2</v>
      </c>
      <c r="E2" s="10">
        <f t="shared" ref="E2:E66" si="2">SUM(C2-C3)</f>
        <v>477494.09069082141</v>
      </c>
      <c r="F2" s="14">
        <v>44277194</v>
      </c>
      <c r="G2" s="29">
        <v>4.8600000000000003</v>
      </c>
      <c r="H2" s="10"/>
      <c r="I2" s="10">
        <f>IF(H2&lt;&gt;"",H2,29552)</f>
        <v>3694</v>
      </c>
      <c r="J2" s="10">
        <f t="shared" ref="J2:J33" si="3">IF(I2="","",I2*C2)</f>
        <v>163586172438.16052</v>
      </c>
      <c r="K2" s="11">
        <f t="shared" ref="K2:K33" si="4">IFERROR(J2/J3-1,"")</f>
        <v>6.0029739999999832E-2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43806797.311085172</v>
      </c>
      <c r="D3" s="11">
        <v>1.0999999999999999E-2</v>
      </c>
      <c r="E3" s="10">
        <f t="shared" si="2"/>
        <v>476631.82039755583</v>
      </c>
      <c r="F3" s="3"/>
      <c r="G3" s="29">
        <v>5.46</v>
      </c>
      <c r="H3" s="10"/>
      <c r="I3" s="10">
        <f t="shared" ref="I3:I34" si="5">IF(H3&lt;&gt;"",H3,I2/(1+IF(G2="",0,G2)/100))</f>
        <v>3522.7922944878887</v>
      </c>
      <c r="J3" s="10">
        <f t="shared" si="3"/>
        <v>154322248013.68359</v>
      </c>
      <c r="K3" s="11">
        <f t="shared" si="4"/>
        <v>6.6200599999999721E-2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43330165.490687616</v>
      </c>
      <c r="D4" s="11">
        <v>9.5999999999999992E-3</v>
      </c>
      <c r="E4" s="10">
        <f t="shared" si="2"/>
        <v>412014.25189243257</v>
      </c>
      <c r="F4" s="3"/>
      <c r="G4" s="29">
        <v>6.8</v>
      </c>
      <c r="H4" s="10"/>
      <c r="I4" s="10">
        <f t="shared" si="5"/>
        <v>3340.4061203184988</v>
      </c>
      <c r="J4" s="10">
        <f t="shared" si="3"/>
        <v>144740349999.50632</v>
      </c>
      <c r="K4" s="11">
        <f t="shared" si="4"/>
        <v>7.8252800000000011E-2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42918151.238795184</v>
      </c>
      <c r="D5" s="11">
        <v>9.5999999999999992E-3</v>
      </c>
      <c r="E5" s="10">
        <f t="shared" si="2"/>
        <v>408096.52525003254</v>
      </c>
      <c r="F5" s="3"/>
      <c r="G5" s="29">
        <v>5.12</v>
      </c>
      <c r="H5" s="10"/>
      <c r="I5" s="10">
        <f t="shared" si="5"/>
        <v>3127.721086440542</v>
      </c>
      <c r="J5" s="10">
        <f t="shared" si="3"/>
        <v>134236006620.62396</v>
      </c>
      <c r="K5" s="11">
        <f t="shared" si="4"/>
        <v>6.1291519999999711E-2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42510054.713545151</v>
      </c>
      <c r="D6" s="11">
        <v>1.1900000000000001E-2</v>
      </c>
      <c r="E6" s="10">
        <f t="shared" si="2"/>
        <v>499920.59599880129</v>
      </c>
      <c r="F6" s="3"/>
      <c r="G6" s="29">
        <v>5.2</v>
      </c>
      <c r="H6" s="10"/>
      <c r="I6" s="10">
        <f t="shared" si="5"/>
        <v>2975.3815510279132</v>
      </c>
      <c r="J6" s="10">
        <f t="shared" si="3"/>
        <v>126483632527.86943</v>
      </c>
      <c r="K6" s="11">
        <f t="shared" si="4"/>
        <v>6.451880000000032E-2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42010134.11754635</v>
      </c>
      <c r="D7" s="11">
        <v>1.7100000000000001E-2</v>
      </c>
      <c r="E7" s="10">
        <f t="shared" si="2"/>
        <v>706295.63800023496</v>
      </c>
      <c r="F7" s="3"/>
      <c r="G7" s="29">
        <v>4.13</v>
      </c>
      <c r="H7" s="10"/>
      <c r="I7" s="10">
        <f t="shared" si="5"/>
        <v>2828.3094591520085</v>
      </c>
      <c r="J7" s="10">
        <f t="shared" si="3"/>
        <v>118817659704.90085</v>
      </c>
      <c r="K7" s="11">
        <f t="shared" si="4"/>
        <v>5.9106229999999815E-2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41303838.479546115</v>
      </c>
      <c r="D8" s="11">
        <v>1.8100000000000002E-2</v>
      </c>
      <c r="E8" s="10">
        <f t="shared" si="2"/>
        <v>734308.49276081473</v>
      </c>
      <c r="F8" s="3"/>
      <c r="G8" s="29">
        <v>3.36</v>
      </c>
      <c r="H8" s="10"/>
      <c r="I8" s="10">
        <f t="shared" si="5"/>
        <v>2716.1331596581281</v>
      </c>
      <c r="J8" s="10">
        <f t="shared" si="3"/>
        <v>112186725315.45856</v>
      </c>
      <c r="K8" s="11">
        <f t="shared" si="4"/>
        <v>5.2308160000000159E-2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40569529.9867853</v>
      </c>
      <c r="D9" s="11">
        <v>1.47E-2</v>
      </c>
      <c r="E9" s="10">
        <f t="shared" si="2"/>
        <v>587732.42417043447</v>
      </c>
      <c r="F9" s="3"/>
      <c r="G9" s="29">
        <v>6.15</v>
      </c>
      <c r="H9" s="10"/>
      <c r="I9" s="10">
        <f t="shared" si="5"/>
        <v>2627.8378092667645</v>
      </c>
      <c r="J9" s="10">
        <f t="shared" si="3"/>
        <v>106610144803.45619</v>
      </c>
      <c r="K9" s="11">
        <f t="shared" si="4"/>
        <v>7.710404999999998E-2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39981797.562614866</v>
      </c>
      <c r="D10" s="11">
        <v>1.3299999999999999E-2</v>
      </c>
      <c r="E10" s="10">
        <f t="shared" si="2"/>
        <v>524778.3554552272</v>
      </c>
      <c r="F10" s="3"/>
      <c r="G10" s="29">
        <v>4.5599999999999996</v>
      </c>
      <c r="H10" s="10"/>
      <c r="I10" s="10">
        <f t="shared" si="5"/>
        <v>2475.5890807977053</v>
      </c>
      <c r="J10" s="10">
        <f t="shared" si="3"/>
        <v>98978501476.673676</v>
      </c>
      <c r="K10" s="11">
        <f t="shared" si="4"/>
        <v>5.950648000000025E-2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39457019.207159638</v>
      </c>
      <c r="D11" s="11">
        <v>1.1299999999999999E-2</v>
      </c>
      <c r="E11" s="10">
        <f t="shared" si="2"/>
        <v>440882.34652516991</v>
      </c>
      <c r="F11" s="3"/>
      <c r="G11" s="29">
        <v>4.8</v>
      </c>
      <c r="H11" s="10"/>
      <c r="I11" s="10">
        <f t="shared" si="5"/>
        <v>2367.6253641906133</v>
      </c>
      <c r="J11" s="10">
        <f t="shared" si="3"/>
        <v>93419439470.227356</v>
      </c>
      <c r="K11" s="11">
        <f t="shared" si="4"/>
        <v>5.9842399999999962E-2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39016136.860634468</v>
      </c>
      <c r="D12" s="11">
        <v>9.9000000000000008E-3</v>
      </c>
      <c r="E12" s="10">
        <f t="shared" si="2"/>
        <v>382473.26955171674</v>
      </c>
      <c r="F12" s="3"/>
      <c r="G12" s="29">
        <v>4.42</v>
      </c>
      <c r="H12" s="10"/>
      <c r="I12" s="10">
        <f t="shared" si="5"/>
        <v>2259.1845078154706</v>
      </c>
      <c r="J12" s="10">
        <f t="shared" si="3"/>
        <v>88144651950.353516</v>
      </c>
      <c r="K12" s="11">
        <f t="shared" si="4"/>
        <v>5.4537579999999863E-2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38633663.591082752</v>
      </c>
      <c r="D13" s="11">
        <v>8.9999999999999993E-3</v>
      </c>
      <c r="E13" s="10">
        <f t="shared" si="2"/>
        <v>344601.55829508603</v>
      </c>
      <c r="F13" s="3"/>
      <c r="G13" s="29">
        <v>4.17</v>
      </c>
      <c r="H13" s="10"/>
      <c r="I13" s="10">
        <f t="shared" si="5"/>
        <v>2163.5553608652276</v>
      </c>
      <c r="J13" s="10">
        <f t="shared" si="3"/>
        <v>83586069972.350845</v>
      </c>
      <c r="K13" s="11">
        <f t="shared" si="4"/>
        <v>5.1075299999999935E-2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38289062.032787666</v>
      </c>
      <c r="D14" s="11">
        <v>8.3999999999999995E-3</v>
      </c>
      <c r="E14" s="10">
        <f t="shared" si="2"/>
        <v>318948.94989628345</v>
      </c>
      <c r="F14" s="3"/>
      <c r="G14" s="29">
        <v>2.71</v>
      </c>
      <c r="H14" s="10"/>
      <c r="I14" s="10">
        <f t="shared" si="5"/>
        <v>2076.9466841367262</v>
      </c>
      <c r="J14" s="10">
        <f t="shared" si="3"/>
        <v>79524340427.703751</v>
      </c>
      <c r="K14" s="11">
        <f t="shared" si="4"/>
        <v>3.5727639999999505E-2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37970113.082891382</v>
      </c>
      <c r="D15" s="11">
        <v>7.4999999999999997E-3</v>
      </c>
      <c r="E15" s="10">
        <f t="shared" si="2"/>
        <v>282655.92865676433</v>
      </c>
      <c r="F15" s="3"/>
      <c r="G15" s="29">
        <v>2.4900000000000002</v>
      </c>
      <c r="H15" s="10"/>
      <c r="I15" s="10">
        <f t="shared" si="5"/>
        <v>2022.1465136176871</v>
      </c>
      <c r="J15" s="10">
        <f t="shared" si="3"/>
        <v>76781131792.238144</v>
      </c>
      <c r="K15" s="11">
        <f t="shared" si="4"/>
        <v>3.2586750000000109E-2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37687457.154234618</v>
      </c>
      <c r="D16" s="11">
        <v>6.4999999999999997E-3</v>
      </c>
      <c r="E16" s="10">
        <f t="shared" si="2"/>
        <v>243386.45951566845</v>
      </c>
      <c r="F16" s="3"/>
      <c r="G16" s="29">
        <v>1.68</v>
      </c>
      <c r="H16" s="10"/>
      <c r="I16" s="10">
        <f t="shared" si="5"/>
        <v>1973.0183565398452</v>
      </c>
      <c r="J16" s="10">
        <f t="shared" si="3"/>
        <v>74358044776.613815</v>
      </c>
      <c r="K16" s="11">
        <f t="shared" si="4"/>
        <v>2.3409199999999908E-2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37444070.694718949</v>
      </c>
      <c r="D17" s="11">
        <v>6.1999999999999998E-3</v>
      </c>
      <c r="E17" s="10">
        <f t="shared" si="2"/>
        <v>230722.757212542</v>
      </c>
      <c r="F17" s="3"/>
      <c r="G17" s="29">
        <v>2.5099999999999998</v>
      </c>
      <c r="H17" s="10"/>
      <c r="I17" s="10">
        <f t="shared" si="5"/>
        <v>1940.419312096622</v>
      </c>
      <c r="J17" s="10">
        <f t="shared" si="3"/>
        <v>72657197899.543823</v>
      </c>
      <c r="K17" s="11">
        <f t="shared" si="4"/>
        <v>3.1455620000000017E-2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37213347.937506407</v>
      </c>
      <c r="D18" s="11">
        <v>6.6E-3</v>
      </c>
      <c r="E18" s="10">
        <f t="shared" si="2"/>
        <v>243997.71149169654</v>
      </c>
      <c r="F18" s="3"/>
      <c r="G18" s="29">
        <v>11.43</v>
      </c>
      <c r="H18" s="10"/>
      <c r="I18" s="10">
        <f t="shared" si="5"/>
        <v>1892.9073379149568</v>
      </c>
      <c r="J18" s="10">
        <f t="shared" si="3"/>
        <v>70441419379.2883</v>
      </c>
      <c r="K18" s="11">
        <f t="shared" si="4"/>
        <v>0.12165438000000006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36969350.226014711</v>
      </c>
      <c r="D19" s="11">
        <v>7.3000000000000001E-3</v>
      </c>
      <c r="E19" s="10">
        <f t="shared" si="2"/>
        <v>267920.43745648116</v>
      </c>
      <c r="F19" s="3"/>
      <c r="G19" s="29">
        <v>5.03</v>
      </c>
      <c r="H19" s="10"/>
      <c r="I19" s="10">
        <f t="shared" si="5"/>
        <v>1698.7412168311555</v>
      </c>
      <c r="J19" s="10">
        <f t="shared" si="3"/>
        <v>62801358988.397385</v>
      </c>
      <c r="K19" s="11">
        <f t="shared" si="4"/>
        <v>5.7967190000000057E-2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36701429.78855823</v>
      </c>
      <c r="D20" s="11">
        <v>7.9000000000000008E-3</v>
      </c>
      <c r="E20" s="10">
        <f t="shared" si="2"/>
        <v>287668.71250085533</v>
      </c>
      <c r="F20" s="3"/>
      <c r="G20" s="29">
        <v>4.95</v>
      </c>
      <c r="H20" s="10"/>
      <c r="I20" s="10">
        <f t="shared" si="5"/>
        <v>1617.3866674580172</v>
      </c>
      <c r="J20" s="10">
        <f t="shared" si="3"/>
        <v>59360403216.660599</v>
      </c>
      <c r="K20" s="11">
        <f t="shared" si="4"/>
        <v>5.7791050000000066E-2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36413761.076057374</v>
      </c>
      <c r="D21" s="11">
        <v>8.8999999999999999E-3</v>
      </c>
      <c r="E21" s="10">
        <f t="shared" si="2"/>
        <v>321223.58368213475</v>
      </c>
      <c r="F21" s="3"/>
      <c r="G21" s="29">
        <v>4.3600000000000003</v>
      </c>
      <c r="H21" s="10"/>
      <c r="I21" s="10">
        <f t="shared" si="5"/>
        <v>1541.1021128709071</v>
      </c>
      <c r="J21" s="10">
        <f t="shared" si="3"/>
        <v>56117324131.88842</v>
      </c>
      <c r="K21" s="11">
        <f t="shared" si="4"/>
        <v>5.2888040000000025E-2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36092537.49237524</v>
      </c>
      <c r="D22" s="11">
        <v>9.7999999999999997E-3</v>
      </c>
      <c r="E22" s="10">
        <f t="shared" si="2"/>
        <v>350274.18045680225</v>
      </c>
      <c r="F22" s="3"/>
      <c r="G22" s="29">
        <v>4.68</v>
      </c>
      <c r="H22" s="10"/>
      <c r="I22" s="10">
        <f t="shared" si="5"/>
        <v>1476.7172411564843</v>
      </c>
      <c r="J22" s="10">
        <f t="shared" si="3"/>
        <v>53298472392.077339</v>
      </c>
      <c r="K22" s="11">
        <f t="shared" si="4"/>
        <v>5.7058639999999938E-2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35742263.311918437</v>
      </c>
      <c r="D23" s="11">
        <v>1.0699999999999999E-2</v>
      </c>
      <c r="E23" s="10">
        <f t="shared" si="2"/>
        <v>378393.40797222406</v>
      </c>
      <c r="F23" s="3"/>
      <c r="G23" s="29">
        <v>4.67</v>
      </c>
      <c r="H23" s="10"/>
      <c r="I23" s="10">
        <f t="shared" si="5"/>
        <v>1410.6966384758161</v>
      </c>
      <c r="J23" s="10">
        <f t="shared" si="3"/>
        <v>50421490705.640831</v>
      </c>
      <c r="K23" s="11">
        <f t="shared" si="4"/>
        <v>5.7899689999999948E-2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35363869.903946213</v>
      </c>
      <c r="D24" s="11">
        <v>1.1900000000000001E-2</v>
      </c>
      <c r="E24" s="10">
        <f t="shared" si="2"/>
        <v>415881.06715778261</v>
      </c>
      <c r="F24" s="3"/>
      <c r="G24" s="29">
        <v>4.2699999999999996</v>
      </c>
      <c r="H24" s="10"/>
      <c r="I24" s="10">
        <f t="shared" si="5"/>
        <v>1347.7564139446033</v>
      </c>
      <c r="J24" s="10">
        <f t="shared" si="3"/>
        <v>47661882484.94603</v>
      </c>
      <c r="K24" s="11">
        <f t="shared" si="4"/>
        <v>5.5108129999999811E-2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34947988.836788431</v>
      </c>
      <c r="D25" s="11">
        <v>1.37E-2</v>
      </c>
      <c r="E25" s="10">
        <f t="shared" si="2"/>
        <v>472316.70816218108</v>
      </c>
      <c r="F25" s="3"/>
      <c r="G25" s="29">
        <v>1.65</v>
      </c>
      <c r="H25" s="10"/>
      <c r="I25" s="10">
        <f t="shared" si="5"/>
        <v>1292.5639339643267</v>
      </c>
      <c r="J25" s="10">
        <f t="shared" si="3"/>
        <v>45172509935.02063</v>
      </c>
      <c r="K25" s="11">
        <f t="shared" si="4"/>
        <v>3.0426049999999982E-2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34475672.12862625</v>
      </c>
      <c r="D26" s="11">
        <v>1.5599999999999999E-2</v>
      </c>
      <c r="E26" s="10">
        <f t="shared" si="2"/>
        <v>529559.35920300335</v>
      </c>
      <c r="F26" s="3"/>
      <c r="G26" s="29">
        <v>2.27</v>
      </c>
      <c r="H26" s="10"/>
      <c r="I26" s="10">
        <f t="shared" si="5"/>
        <v>1271.5828174759731</v>
      </c>
      <c r="J26" s="10">
        <f t="shared" si="3"/>
        <v>43838672299.696449</v>
      </c>
      <c r="K26" s="11">
        <f t="shared" si="4"/>
        <v>3.8654120000000125E-2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33946112.769423246</v>
      </c>
      <c r="D27" s="11">
        <v>1.7299999999999999E-2</v>
      </c>
      <c r="E27" s="10">
        <f t="shared" si="2"/>
        <v>577280.79318885878</v>
      </c>
      <c r="F27" s="3"/>
      <c r="G27" s="29">
        <v>-4.6399999999999997</v>
      </c>
      <c r="H27" s="10"/>
      <c r="I27" s="10">
        <f t="shared" si="5"/>
        <v>1243.358577760803</v>
      </c>
      <c r="J27" s="10">
        <f t="shared" si="3"/>
        <v>42207190493.497917</v>
      </c>
      <c r="K27" s="11">
        <f t="shared" si="4"/>
        <v>-2.9902719999999938E-2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33368831.976234388</v>
      </c>
      <c r="D28" s="11">
        <v>1.8200000000000001E-2</v>
      </c>
      <c r="E28" s="10">
        <f t="shared" si="2"/>
        <v>596457.22055339441</v>
      </c>
      <c r="F28" s="3"/>
      <c r="G28" s="29">
        <v>3.79</v>
      </c>
      <c r="H28" s="10"/>
      <c r="I28" s="10">
        <f t="shared" si="5"/>
        <v>1303.8575689605736</v>
      </c>
      <c r="J28" s="10">
        <f t="shared" si="3"/>
        <v>43508204139.586823</v>
      </c>
      <c r="K28" s="11">
        <f t="shared" si="4"/>
        <v>5.6789780000000123E-2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32772374.755680993</v>
      </c>
      <c r="D29" s="11">
        <v>1.8499999999999999E-2</v>
      </c>
      <c r="E29" s="10">
        <f t="shared" si="2"/>
        <v>595276.32104084268</v>
      </c>
      <c r="F29" s="3"/>
      <c r="G29" s="29">
        <v>2.91</v>
      </c>
      <c r="H29" s="10"/>
      <c r="I29" s="10">
        <f t="shared" si="5"/>
        <v>1256.2458512000901</v>
      </c>
      <c r="J29" s="10">
        <f t="shared" si="3"/>
        <v>41170159820.798813</v>
      </c>
      <c r="K29" s="11">
        <f t="shared" si="4"/>
        <v>4.8138349999999885E-2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32177098.434640151</v>
      </c>
      <c r="D30" s="12">
        <v>1.8800000000000001E-2</v>
      </c>
      <c r="E30" s="10">
        <f t="shared" si="2"/>
        <v>593766.63778094947</v>
      </c>
      <c r="F30" s="3"/>
      <c r="G30" s="29">
        <v>2.46</v>
      </c>
      <c r="H30" s="10"/>
      <c r="I30" s="10">
        <f t="shared" si="5"/>
        <v>1220.7228172190169</v>
      </c>
      <c r="J30" s="10">
        <f t="shared" si="3"/>
        <v>39279318251.067543</v>
      </c>
      <c r="K30" s="11">
        <f t="shared" si="4"/>
        <v>4.3862480000000037E-2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31583331.796859201</v>
      </c>
      <c r="D31" s="13">
        <v>1.9400000000000001E-2</v>
      </c>
      <c r="E31" s="10">
        <f t="shared" si="2"/>
        <v>601056.14759571478</v>
      </c>
      <c r="F31" s="3"/>
      <c r="G31" s="29">
        <v>-2.57</v>
      </c>
      <c r="H31" s="10"/>
      <c r="I31" s="10">
        <f t="shared" si="5"/>
        <v>1191.414032031053</v>
      </c>
      <c r="J31" s="10">
        <f t="shared" si="3"/>
        <v>37628824681.07058</v>
      </c>
      <c r="K31" s="11">
        <f t="shared" si="4"/>
        <v>-6.7985799999999985E-3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30982275.649263486</v>
      </c>
      <c r="D32" s="12">
        <v>1.9800000000000002E-2</v>
      </c>
      <c r="E32" s="10">
        <f t="shared" si="2"/>
        <v>601538.59370015562</v>
      </c>
      <c r="F32" s="3"/>
      <c r="G32" s="29">
        <v>-1.68</v>
      </c>
      <c r="H32" s="10"/>
      <c r="I32" s="10">
        <f t="shared" si="5"/>
        <v>1222.8410469373428</v>
      </c>
      <c r="J32" s="10">
        <f t="shared" si="3"/>
        <v>37886398391.446701</v>
      </c>
      <c r="K32" s="11">
        <f t="shared" si="4"/>
        <v>2.6673600000000075E-3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30380737.055563331</v>
      </c>
      <c r="D33" s="13">
        <v>2.0199999999999999E-2</v>
      </c>
      <c r="E33" s="10">
        <f t="shared" si="2"/>
        <v>601539.78486804292</v>
      </c>
      <c r="F33" s="3"/>
      <c r="G33" s="29">
        <v>-0.2</v>
      </c>
      <c r="H33" s="10"/>
      <c r="I33" s="10">
        <f t="shared" si="5"/>
        <v>1243.7358085204869</v>
      </c>
      <c r="J33" s="10">
        <f t="shared" si="3"/>
        <v>37785610565.249374</v>
      </c>
      <c r="K33" s="11">
        <f t="shared" si="4"/>
        <v>1.8159599999999942E-2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29779197.270695288</v>
      </c>
      <c r="D34" s="12">
        <v>2.0400000000000001E-2</v>
      </c>
      <c r="E34" s="10">
        <f t="shared" si="2"/>
        <v>595350.47463953495</v>
      </c>
      <c r="F34" s="3"/>
      <c r="G34" s="29">
        <v>-5.34</v>
      </c>
      <c r="H34" s="10"/>
      <c r="I34" s="10">
        <f t="shared" si="5"/>
        <v>1246.2282650505881</v>
      </c>
      <c r="J34" s="10">
        <f t="shared" ref="J34:J65" si="6">IF(I34="","",I34*C34)</f>
        <v>37111677349.257797</v>
      </c>
      <c r="K34" s="11">
        <f t="shared" ref="K34:K65" si="7">IFERROR(J34/J35-1,"")</f>
        <v>-2.0824160000000091E-2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29183846.796055753</v>
      </c>
      <c r="D35" s="11">
        <v>2.1100000000000001E-2</v>
      </c>
      <c r="E35" s="10">
        <f t="shared" si="2"/>
        <v>603054.71295345575</v>
      </c>
      <c r="F35" s="3"/>
      <c r="G35" s="29">
        <v>-6.64</v>
      </c>
      <c r="H35" s="10"/>
      <c r="I35" s="10">
        <f t="shared" ref="I35:I66" si="8">IF(H35&lt;&gt;"",H35,I34/(1+IF(G34="",0,G34)/100))</f>
        <v>1298.6955659134933</v>
      </c>
      <c r="J35" s="10">
        <f t="shared" si="6"/>
        <v>37900932430.336311</v>
      </c>
      <c r="K35" s="11">
        <f t="shared" si="7"/>
        <v>-1.9131340000000274E-2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28580792.083102297</v>
      </c>
      <c r="D36" s="11">
        <v>2.2100000000000002E-2</v>
      </c>
      <c r="E36" s="10">
        <f t="shared" si="2"/>
        <v>617978.18710161373</v>
      </c>
      <c r="F36" s="3"/>
      <c r="G36" s="29">
        <v>-4.52</v>
      </c>
      <c r="H36" s="10"/>
      <c r="I36" s="10">
        <f t="shared" si="8"/>
        <v>1351.9629043446735</v>
      </c>
      <c r="J36" s="10">
        <f t="shared" si="6"/>
        <v>38640170673.142235</v>
      </c>
      <c r="K36" s="11">
        <f t="shared" si="7"/>
        <v>2.4961879999999992E-2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27962813.896000683</v>
      </c>
      <c r="D37" s="11">
        <v>2.24E-2</v>
      </c>
      <c r="E37" s="10">
        <f t="shared" si="2"/>
        <v>612643.80992802605</v>
      </c>
      <c r="F37" s="3"/>
      <c r="G37" s="29">
        <v>-6.67</v>
      </c>
      <c r="H37" s="10"/>
      <c r="I37" s="10">
        <f t="shared" si="8"/>
        <v>1348.1879780062561</v>
      </c>
      <c r="J37" s="10">
        <f t="shared" si="6"/>
        <v>37699129525.8144</v>
      </c>
      <c r="K37" s="11">
        <f t="shared" si="7"/>
        <v>8.3931200000000317E-3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27350170.086072657</v>
      </c>
      <c r="D38" s="11">
        <v>2.2700000000000001E-2</v>
      </c>
      <c r="E38" s="10">
        <f t="shared" si="2"/>
        <v>607068.40809020028</v>
      </c>
      <c r="F38" s="3"/>
      <c r="G38" s="29">
        <v>-3.57</v>
      </c>
      <c r="H38" s="10"/>
      <c r="I38" s="10">
        <f t="shared" si="8"/>
        <v>1366.9147095267729</v>
      </c>
      <c r="J38" s="10">
        <f t="shared" si="6"/>
        <v>37385349798.711838</v>
      </c>
      <c r="K38" s="11">
        <f t="shared" si="7"/>
        <v>2.4029509999999865E-2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26743101.677982457</v>
      </c>
      <c r="D39" s="11">
        <v>2.29E-2</v>
      </c>
      <c r="E39" s="10">
        <f t="shared" si="2"/>
        <v>598706.64622719213</v>
      </c>
      <c r="F39" s="3"/>
      <c r="G39" s="29">
        <v>2.0499999999999998</v>
      </c>
      <c r="H39" s="10"/>
      <c r="I39" s="10">
        <f t="shared" si="8"/>
        <v>1365.1400274910345</v>
      </c>
      <c r="J39" s="10">
        <f t="shared" si="6"/>
        <v>36508078559.876503</v>
      </c>
      <c r="K39" s="11">
        <f t="shared" si="7"/>
        <v>4.3869449999999865E-2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26144395.031755265</v>
      </c>
      <c r="D40" s="11">
        <v>2.3599999999999999E-2</v>
      </c>
      <c r="E40" s="10">
        <f t="shared" si="2"/>
        <v>602782.06599201262</v>
      </c>
      <c r="F40" s="3"/>
      <c r="G40" s="29">
        <v>4.97</v>
      </c>
      <c r="H40" s="10"/>
      <c r="I40" s="10">
        <f t="shared" si="8"/>
        <v>1337.7168324262955</v>
      </c>
      <c r="J40" s="10">
        <f t="shared" si="6"/>
        <v>34973797307.581429</v>
      </c>
      <c r="K40" s="11">
        <f t="shared" si="7"/>
        <v>7.4472920000000054E-2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25541612.965763252</v>
      </c>
      <c r="D41" s="11">
        <v>2.4400000000000002E-2</v>
      </c>
      <c r="E41" s="10">
        <f t="shared" si="2"/>
        <v>608371.10148830712</v>
      </c>
      <c r="F41" s="3"/>
      <c r="G41" s="29">
        <v>4.6100000000000003</v>
      </c>
      <c r="H41" s="10"/>
      <c r="I41" s="10">
        <f t="shared" si="8"/>
        <v>1274.3801394934699</v>
      </c>
      <c r="J41" s="10">
        <f t="shared" si="6"/>
        <v>32549724294.197594</v>
      </c>
      <c r="K41" s="11">
        <f t="shared" si="7"/>
        <v>7.1624840000000134E-2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24933241.864274945</v>
      </c>
      <c r="D42" s="11">
        <v>2.4799999999999999E-2</v>
      </c>
      <c r="E42" s="10">
        <f t="shared" si="2"/>
        <v>603380.56033764407</v>
      </c>
      <c r="F42" s="3"/>
      <c r="G42" s="29">
        <v>-7.31</v>
      </c>
      <c r="H42" s="10"/>
      <c r="I42" s="10">
        <f t="shared" si="8"/>
        <v>1218.2201887902397</v>
      </c>
      <c r="J42" s="10">
        <f t="shared" si="6"/>
        <v>30374178611.049732</v>
      </c>
      <c r="K42" s="11">
        <f t="shared" si="7"/>
        <v>-5.0112880000000026E-2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24329861.303937301</v>
      </c>
      <c r="D43" s="11">
        <v>2.4899999999999999E-2</v>
      </c>
      <c r="E43" s="10">
        <f t="shared" si="2"/>
        <v>591095.27414190397</v>
      </c>
      <c r="F43" s="3"/>
      <c r="G43" s="29">
        <v>2.94</v>
      </c>
      <c r="H43" s="10"/>
      <c r="I43" s="10">
        <f t="shared" si="8"/>
        <v>1314.2951653794796</v>
      </c>
      <c r="J43" s="10">
        <f t="shared" si="6"/>
        <v>31976619086.118076</v>
      </c>
      <c r="K43" s="11">
        <f t="shared" si="7"/>
        <v>5.5032060000000049E-2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23738766.029795397</v>
      </c>
      <c r="D44" s="11">
        <v>2.4799999999999999E-2</v>
      </c>
      <c r="E44" s="10">
        <f t="shared" si="2"/>
        <v>574474.43163439259</v>
      </c>
      <c r="F44" s="3"/>
      <c r="G44" s="29">
        <v>5.74</v>
      </c>
      <c r="H44" s="10"/>
      <c r="I44" s="10">
        <f t="shared" si="8"/>
        <v>1276.7584664653969</v>
      </c>
      <c r="J44" s="10">
        <f t="shared" si="6"/>
        <v>30308670511.98243</v>
      </c>
      <c r="K44" s="11">
        <f t="shared" si="7"/>
        <v>8.3623519999999951E-2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23164291.598161004</v>
      </c>
      <c r="D45" s="11">
        <v>2.4899999999999999E-2</v>
      </c>
      <c r="E45" s="10">
        <f t="shared" si="2"/>
        <v>562777.69615982845</v>
      </c>
      <c r="F45" s="3"/>
      <c r="G45" s="29">
        <v>7.97</v>
      </c>
      <c r="H45" s="10"/>
      <c r="I45" s="10">
        <f t="shared" si="8"/>
        <v>1207.4507910586315</v>
      </c>
      <c r="J45" s="10">
        <f t="shared" si="6"/>
        <v>27969742214.512314</v>
      </c>
      <c r="K45" s="11">
        <f t="shared" si="7"/>
        <v>0.10658452999999968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22601513.902001176</v>
      </c>
      <c r="D46" s="11">
        <v>2.5000000000000001E-2</v>
      </c>
      <c r="E46" s="10">
        <f t="shared" si="2"/>
        <v>551256.43663417175</v>
      </c>
      <c r="F46" s="3"/>
      <c r="G46" s="29">
        <v>5.0599999999999996</v>
      </c>
      <c r="H46" s="10"/>
      <c r="I46" s="10">
        <f t="shared" si="8"/>
        <v>1118.3206363421614</v>
      </c>
      <c r="J46" s="10">
        <f t="shared" si="6"/>
        <v>25275739409.182163</v>
      </c>
      <c r="K46" s="11">
        <f t="shared" si="7"/>
        <v>7.6864999999999961E-2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22050257.465367004</v>
      </c>
      <c r="D47" s="11">
        <v>2.4899999999999999E-2</v>
      </c>
      <c r="E47" s="10">
        <f t="shared" si="2"/>
        <v>535712.17766380683</v>
      </c>
      <c r="F47" s="3"/>
      <c r="G47" s="29">
        <v>5.23</v>
      </c>
      <c r="H47" s="10"/>
      <c r="I47" s="10">
        <f t="shared" si="8"/>
        <v>1064.4590104151546</v>
      </c>
      <c r="J47" s="10">
        <f t="shared" si="6"/>
        <v>23471595240.983936</v>
      </c>
      <c r="K47" s="11">
        <f t="shared" si="7"/>
        <v>7.8502269999999985E-2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21514545.287703197</v>
      </c>
      <c r="D48" s="11">
        <v>2.4899999999999999E-2</v>
      </c>
      <c r="E48" s="10">
        <f t="shared" si="2"/>
        <v>522697.02182047814</v>
      </c>
      <c r="F48" s="3"/>
      <c r="G48" s="29">
        <v>4.47</v>
      </c>
      <c r="H48" s="10"/>
      <c r="I48" s="10">
        <f t="shared" si="8"/>
        <v>1011.5546996247787</v>
      </c>
      <c r="J48" s="10">
        <f t="shared" si="6"/>
        <v>21763139396.066303</v>
      </c>
      <c r="K48" s="11">
        <f t="shared" si="7"/>
        <v>7.0713029999999844E-2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20991848.265882719</v>
      </c>
      <c r="D49" s="11">
        <v>2.47E-2</v>
      </c>
      <c r="E49" s="10">
        <f t="shared" si="2"/>
        <v>506000.44126798213</v>
      </c>
      <c r="F49" s="3"/>
      <c r="G49" s="29">
        <v>8.5299999999999994</v>
      </c>
      <c r="H49" s="10"/>
      <c r="I49" s="10">
        <f t="shared" si="8"/>
        <v>968.27290095221474</v>
      </c>
      <c r="J49" s="10">
        <f t="shared" si="6"/>
        <v>20325837816.754978</v>
      </c>
      <c r="K49" s="11">
        <f t="shared" si="7"/>
        <v>0.11210690999999984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20485847.824614737</v>
      </c>
      <c r="D50" s="11">
        <v>2.47E-2</v>
      </c>
      <c r="E50" s="10">
        <f t="shared" si="2"/>
        <v>493803.49494289234</v>
      </c>
      <c r="F50" s="3"/>
      <c r="G50" s="29">
        <v>6.32</v>
      </c>
      <c r="H50" s="10"/>
      <c r="I50" s="10">
        <f t="shared" si="8"/>
        <v>892.17073707934651</v>
      </c>
      <c r="J50" s="10">
        <f t="shared" si="6"/>
        <v>18276873953.381859</v>
      </c>
      <c r="K50" s="11">
        <f t="shared" si="7"/>
        <v>8.946103999999977E-2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19992044.329671845</v>
      </c>
      <c r="D51" s="11">
        <v>2.4899999999999999E-2</v>
      </c>
      <c r="E51" s="10">
        <f t="shared" si="2"/>
        <v>485707.78008471802</v>
      </c>
      <c r="F51" s="3"/>
      <c r="G51" s="29">
        <v>7.17</v>
      </c>
      <c r="H51" s="10"/>
      <c r="I51" s="10">
        <f t="shared" si="8"/>
        <v>839.13726211375717</v>
      </c>
      <c r="J51" s="10">
        <f t="shared" si="6"/>
        <v>16776069342.857697</v>
      </c>
      <c r="K51" s="11">
        <f t="shared" si="7"/>
        <v>9.8385329999999938E-2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19506336.549587127</v>
      </c>
      <c r="D52" s="11">
        <v>2.53E-2</v>
      </c>
      <c r="E52" s="10">
        <f t="shared" si="2"/>
        <v>481332.59992641956</v>
      </c>
      <c r="F52" s="3"/>
      <c r="G52" s="29">
        <v>4.91</v>
      </c>
      <c r="H52" s="10"/>
      <c r="I52" s="10">
        <f t="shared" si="8"/>
        <v>782.99641888005704</v>
      </c>
      <c r="J52" s="10">
        <f t="shared" si="6"/>
        <v>15273391663.795889</v>
      </c>
      <c r="K52" s="11">
        <f t="shared" si="7"/>
        <v>7.5642230000000144E-2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19025003.949660707</v>
      </c>
      <c r="D53" s="11">
        <v>2.5899999999999999E-2</v>
      </c>
      <c r="E53" s="10">
        <f t="shared" si="2"/>
        <v>480307.63456108049</v>
      </c>
      <c r="F53" s="3"/>
      <c r="G53" s="29">
        <v>3.96</v>
      </c>
      <c r="H53" s="10"/>
      <c r="I53" s="10">
        <f t="shared" si="8"/>
        <v>746.35060421318951</v>
      </c>
      <c r="J53" s="10">
        <f t="shared" si="6"/>
        <v>14199323192.987585</v>
      </c>
      <c r="K53" s="11">
        <f t="shared" si="7"/>
        <v>6.6525640000000053E-2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18544696.315099627</v>
      </c>
      <c r="D54" s="11">
        <v>2.6499999999999999E-2</v>
      </c>
      <c r="E54" s="10">
        <f t="shared" si="2"/>
        <v>478747.63989297673</v>
      </c>
      <c r="F54" s="3"/>
      <c r="G54" s="29">
        <v>6.8</v>
      </c>
      <c r="H54" s="10"/>
      <c r="I54" s="10">
        <f t="shared" si="8"/>
        <v>717.92093518005913</v>
      </c>
      <c r="J54" s="10">
        <f t="shared" si="6"/>
        <v>13313625721.166521</v>
      </c>
      <c r="K54" s="11">
        <f t="shared" si="7"/>
        <v>9.630200000000011E-2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18065948.67520665</v>
      </c>
      <c r="D55" s="11">
        <v>2.46E-2</v>
      </c>
      <c r="E55" s="10">
        <f t="shared" si="2"/>
        <v>433752.03729268163</v>
      </c>
      <c r="F55" s="3"/>
      <c r="G55" s="29">
        <v>5.58</v>
      </c>
      <c r="H55" s="10"/>
      <c r="I55" s="10">
        <f t="shared" si="8"/>
        <v>672.21061346447482</v>
      </c>
      <c r="J55" s="10">
        <f t="shared" si="6"/>
        <v>12144122441.778378</v>
      </c>
      <c r="K55" s="11">
        <f t="shared" si="7"/>
        <v>8.1772680000000042E-2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17632196.637913968</v>
      </c>
      <c r="D56" s="11">
        <v>2.5100000000000001E-2</v>
      </c>
      <c r="E56" s="10">
        <f t="shared" si="2"/>
        <v>431731.67067763209</v>
      </c>
      <c r="F56" s="3"/>
      <c r="G56" s="29">
        <v>2.09</v>
      </c>
      <c r="H56" s="10"/>
      <c r="I56" s="10">
        <f t="shared" si="8"/>
        <v>636.68366495972225</v>
      </c>
      <c r="J56" s="10">
        <f t="shared" si="6"/>
        <v>11226131576.717558</v>
      </c>
      <c r="K56" s="11">
        <f t="shared" si="7"/>
        <v>4.6524589999999977E-2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17200464.967236336</v>
      </c>
      <c r="D57" s="11">
        <v>2.7900000000000001E-2</v>
      </c>
      <c r="E57" s="10">
        <f t="shared" si="2"/>
        <v>466867.37288247421</v>
      </c>
      <c r="F57" s="3"/>
      <c r="G57" s="30">
        <v>4.2699999999999996</v>
      </c>
      <c r="H57" s="10"/>
      <c r="I57" s="10">
        <f t="shared" si="8"/>
        <v>623.64939265326893</v>
      </c>
      <c r="J57" s="10">
        <f t="shared" si="6"/>
        <v>10727059530.170771</v>
      </c>
      <c r="K57" s="11">
        <f t="shared" si="7"/>
        <v>7.1791330000000153E-2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16733597.594353862</v>
      </c>
      <c r="D58" s="11">
        <v>2.81E-2</v>
      </c>
      <c r="E58" s="10">
        <f t="shared" si="2"/>
        <v>457362.21418280713</v>
      </c>
      <c r="F58" s="3"/>
      <c r="G58" s="30">
        <v>0.32</v>
      </c>
      <c r="H58" s="10"/>
      <c r="I58" s="10">
        <f t="shared" si="8"/>
        <v>598.11009173613593</v>
      </c>
      <c r="J58" s="10">
        <f t="shared" si="6"/>
        <v>10008533592.234571</v>
      </c>
      <c r="K58" s="11">
        <f t="shared" si="7"/>
        <v>3.1389920000000071E-2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16276235.380171055</v>
      </c>
      <c r="D59" s="11">
        <v>2.8299999999999999E-2</v>
      </c>
      <c r="E59" s="10">
        <f t="shared" si="2"/>
        <v>447940.73836316355</v>
      </c>
      <c r="F59" s="3"/>
      <c r="G59" s="30">
        <v>2.36</v>
      </c>
      <c r="H59" s="10"/>
      <c r="I59" s="10">
        <f t="shared" si="8"/>
        <v>596.20224455356447</v>
      </c>
      <c r="J59" s="10">
        <f t="shared" si="6"/>
        <v>9703928066.5401211</v>
      </c>
      <c r="K59" s="11">
        <f t="shared" si="7"/>
        <v>5.2567879999999789E-2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15828294.641807891</v>
      </c>
      <c r="D60" s="11">
        <v>2.8500000000000001E-2</v>
      </c>
      <c r="E60" s="10">
        <f t="shared" si="2"/>
        <v>438606.12279195338</v>
      </c>
      <c r="F60" s="3"/>
      <c r="G60" s="30">
        <v>3.27</v>
      </c>
      <c r="H60" s="10"/>
      <c r="I60" s="10">
        <f t="shared" si="8"/>
        <v>582.45627642982072</v>
      </c>
      <c r="J60" s="10">
        <f t="shared" si="6"/>
        <v>9219289559.3015079</v>
      </c>
      <c r="K60" s="11">
        <f t="shared" si="7"/>
        <v>6.2131949999999936E-2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15389688.519015938</v>
      </c>
      <c r="D61" s="11">
        <v>2.87E-2</v>
      </c>
      <c r="E61" s="10">
        <f t="shared" si="2"/>
        <v>429361.38864173926</v>
      </c>
      <c r="F61" s="3"/>
      <c r="G61" s="30">
        <v>5.93</v>
      </c>
      <c r="H61" s="10"/>
      <c r="I61" s="10">
        <f t="shared" si="8"/>
        <v>564.01304970448416</v>
      </c>
      <c r="J61" s="10">
        <f t="shared" si="6"/>
        <v>8679985155.6122646</v>
      </c>
      <c r="K61" s="11">
        <f t="shared" si="7"/>
        <v>8.9701909999999607E-2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14960327.130374199</v>
      </c>
      <c r="D62" s="11">
        <v>2.8899999999999999E-2</v>
      </c>
      <c r="E62" s="10">
        <f t="shared" si="2"/>
        <v>420209.40234018117</v>
      </c>
      <c r="F62" s="3"/>
      <c r="G62" s="30">
        <v>5.25</v>
      </c>
      <c r="H62" s="10"/>
      <c r="I62" s="10">
        <f t="shared" si="8"/>
        <v>532.43939366042127</v>
      </c>
      <c r="J62" s="10">
        <f t="shared" si="6"/>
        <v>7965467506.2579889</v>
      </c>
      <c r="K62" s="11">
        <f t="shared" si="7"/>
        <v>8.2917249999999942E-2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14540117.728034018</v>
      </c>
      <c r="D63" s="11">
        <v>2.9000000000000001E-2</v>
      </c>
      <c r="E63" s="10">
        <f t="shared" si="2"/>
        <v>409779.79991543852</v>
      </c>
      <c r="F63" s="3"/>
      <c r="G63" s="30">
        <v>2.13</v>
      </c>
      <c r="H63" s="10"/>
      <c r="I63" s="10">
        <f t="shared" si="8"/>
        <v>505.88065905978272</v>
      </c>
      <c r="J63" s="10">
        <f t="shared" si="6"/>
        <v>7355564339.0646791</v>
      </c>
      <c r="K63" s="11">
        <f t="shared" si="7"/>
        <v>5.0917700000000066E-2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14130337.928118579</v>
      </c>
      <c r="D64" s="11">
        <v>2.9100000000000001E-2</v>
      </c>
      <c r="E64" s="10">
        <f t="shared" si="2"/>
        <v>399565.47829001024</v>
      </c>
      <c r="F64" s="3"/>
      <c r="G64" s="30">
        <v>9.4700000000000006</v>
      </c>
      <c r="H64" s="10"/>
      <c r="I64" s="10">
        <f t="shared" si="8"/>
        <v>495.3301273472855</v>
      </c>
      <c r="J64" s="10">
        <f t="shared" si="6"/>
        <v>6999182085.395154</v>
      </c>
      <c r="K64" s="11">
        <f t="shared" si="7"/>
        <v>0.12655576999999996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13730772.449828569</v>
      </c>
      <c r="D65" s="11">
        <v>2.92E-2</v>
      </c>
      <c r="E65" s="10">
        <f t="shared" si="2"/>
        <v>389563.30697142705</v>
      </c>
      <c r="F65" s="3"/>
      <c r="G65" s="30">
        <v>3</v>
      </c>
      <c r="H65" s="10"/>
      <c r="I65" s="10">
        <f t="shared" si="8"/>
        <v>452.48024787365074</v>
      </c>
      <c r="J65" s="10">
        <f t="shared" si="6"/>
        <v>6212903321.5951252</v>
      </c>
      <c r="K65" s="11">
        <f t="shared" si="7"/>
        <v>6.0075999999999796E-2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13341209.142857142</v>
      </c>
      <c r="D66" s="11">
        <v>2.9414285714285698E-2</v>
      </c>
      <c r="E66" s="10">
        <f t="shared" si="2"/>
        <v>381209.14285714179</v>
      </c>
      <c r="F66" s="3"/>
      <c r="G66" s="30">
        <v>8.8000000000000007</v>
      </c>
      <c r="H66" s="10"/>
      <c r="I66" s="10">
        <f t="shared" si="8"/>
        <v>439.30121152781624</v>
      </c>
      <c r="J66" s="10">
        <f t="shared" ref="J66:J67" si="9">IF(I66="","",I66*C66)</f>
        <v>5860809339.7031212</v>
      </c>
      <c r="K66" s="11">
        <f t="shared" ref="K66" si="10">IFERROR(J66/J67-1,"")</f>
        <v>0.12000274285714307</v>
      </c>
    </row>
    <row r="67" spans="1:11" ht="22.5" customHeight="1">
      <c r="A67" s="3">
        <f t="shared" si="0"/>
        <v>1950</v>
      </c>
      <c r="B67" s="3">
        <v>1700</v>
      </c>
      <c r="C67" s="10">
        <v>12960000</v>
      </c>
      <c r="D67" s="11">
        <v>2.9564285714285699E-2</v>
      </c>
      <c r="E67" s="3" t="s">
        <v>72</v>
      </c>
      <c r="F67" s="3"/>
      <c r="G67" s="30">
        <v>9.4700000000000006</v>
      </c>
      <c r="H67" s="10"/>
      <c r="I67" s="10">
        <f t="shared" ref="I67" si="11">IF(H67&lt;&gt;"",H67,I66/(1+IF(G66="",0,G66)/100))</f>
        <v>403.76949588953693</v>
      </c>
      <c r="J67" s="10">
        <f t="shared" si="9"/>
        <v>5232852666.7283983</v>
      </c>
      <c r="K67" s="11"/>
    </row>
  </sheetData>
  <dataValidations count="1">
    <dataValidation type="custom" allowBlank="1" showDropDown="1" sqref="D2:D67" xr:uid="{00000000-0002-0000-0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67"/>
  <sheetViews>
    <sheetView workbookViewId="0">
      <selection activeCell="H5" sqref="H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1638367.4844887413</v>
      </c>
      <c r="D2" s="11">
        <v>3.1199999999999999E-2</v>
      </c>
      <c r="E2" s="10">
        <f t="shared" ref="E2:E66" si="2">SUM(C2-C3)</f>
        <v>49570.466947292909</v>
      </c>
      <c r="F2" s="14">
        <v>1638021</v>
      </c>
      <c r="G2" s="29">
        <v>7.2</v>
      </c>
      <c r="H2" s="10"/>
      <c r="I2" s="10">
        <f>IF(H2&lt;&gt;"",H2,75240)</f>
        <v>9405</v>
      </c>
      <c r="J2" s="10">
        <f t="shared" ref="J2:J33" si="3">IF(I2="","",I2*C2)</f>
        <v>15408846191.616611</v>
      </c>
      <c r="K2" s="11">
        <f t="shared" ref="K2:K33" si="4">IFERROR(J2/J3-1,"")</f>
        <v>0.10544639999999994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1588797.0175414484</v>
      </c>
      <c r="D3" s="11">
        <v>3.6299999999999999E-2</v>
      </c>
      <c r="E3" s="10">
        <f t="shared" si="2"/>
        <v>55653.12335882918</v>
      </c>
      <c r="F3" s="3"/>
      <c r="G3" s="29">
        <v>9.4</v>
      </c>
      <c r="H3" s="10"/>
      <c r="I3" s="10">
        <f t="shared" ref="I3:I34" si="5">IF(H3&lt;&gt;"",H3,I2/(1+IF(G2="",0,G2)/100))</f>
        <v>8773.3208955223872</v>
      </c>
      <c r="J3" s="10">
        <f t="shared" si="3"/>
        <v>13939026072.740038</v>
      </c>
      <c r="K3" s="11">
        <f t="shared" si="4"/>
        <v>0.13371220000000017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1533143.8941826192</v>
      </c>
      <c r="D4" s="11">
        <v>3.4200000000000001E-2</v>
      </c>
      <c r="E4" s="10">
        <f t="shared" si="2"/>
        <v>50699.595030985773</v>
      </c>
      <c r="F4" s="3"/>
      <c r="G4" s="29">
        <v>7.1</v>
      </c>
      <c r="H4" s="10"/>
      <c r="I4" s="10">
        <f t="shared" si="5"/>
        <v>8019.4889355780497</v>
      </c>
      <c r="J4" s="10">
        <f t="shared" si="3"/>
        <v>12295030496.046558</v>
      </c>
      <c r="K4" s="11">
        <f t="shared" si="4"/>
        <v>0.10762819999999973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1482444.2991516334</v>
      </c>
      <c r="D5" s="11">
        <v>4.0500000000000001E-2</v>
      </c>
      <c r="E5" s="10">
        <f t="shared" si="2"/>
        <v>57702.060658953618</v>
      </c>
      <c r="F5" s="3"/>
      <c r="G5" s="29">
        <v>11.6</v>
      </c>
      <c r="H5" s="10"/>
      <c r="I5" s="10">
        <f t="shared" si="5"/>
        <v>7487.8514804650331</v>
      </c>
      <c r="J5" s="10">
        <f t="shared" si="3"/>
        <v>11100322740.109507</v>
      </c>
      <c r="K5" s="11">
        <f t="shared" si="4"/>
        <v>0.16119800000000017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1424742.2384926798</v>
      </c>
      <c r="D6" s="11">
        <v>3.6900000000000002E-2</v>
      </c>
      <c r="E6" s="10">
        <f t="shared" si="2"/>
        <v>50702.081782601774</v>
      </c>
      <c r="F6" s="3"/>
      <c r="G6" s="29">
        <v>11.7</v>
      </c>
      <c r="H6" s="10"/>
      <c r="I6" s="10">
        <f t="shared" si="5"/>
        <v>6709.5443373342587</v>
      </c>
      <c r="J6" s="10">
        <f t="shared" si="3"/>
        <v>9559371218.4394951</v>
      </c>
      <c r="K6" s="11">
        <f t="shared" si="4"/>
        <v>0.15821730000000001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1374040.156710078</v>
      </c>
      <c r="D7" s="11">
        <v>2.93E-2</v>
      </c>
      <c r="E7" s="10">
        <f t="shared" si="2"/>
        <v>39113.355281847296</v>
      </c>
      <c r="F7" s="3"/>
      <c r="G7" s="29">
        <v>11</v>
      </c>
      <c r="H7" s="10"/>
      <c r="I7" s="10">
        <f t="shared" si="5"/>
        <v>6006.754106834609</v>
      </c>
      <c r="J7" s="10">
        <f t="shared" si="3"/>
        <v>8253521354.2739305</v>
      </c>
      <c r="K7" s="11">
        <f t="shared" si="4"/>
        <v>0.14252300000000018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1334926.8014282307</v>
      </c>
      <c r="D8" s="11">
        <v>3.6499999999999998E-2</v>
      </c>
      <c r="E8" s="10">
        <f t="shared" si="2"/>
        <v>47008.999760858947</v>
      </c>
      <c r="F8" s="3"/>
      <c r="G8" s="29">
        <v>6.5</v>
      </c>
      <c r="H8" s="10"/>
      <c r="I8" s="10">
        <f t="shared" si="5"/>
        <v>5411.4901863374853</v>
      </c>
      <c r="J8" s="10">
        <f t="shared" si="3"/>
        <v>7223943285.4077597</v>
      </c>
      <c r="K8" s="11">
        <f t="shared" si="4"/>
        <v>0.10387249999999981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1287917.8016673718</v>
      </c>
      <c r="D9" s="11">
        <v>2.1899999999999999E-2</v>
      </c>
      <c r="E9" s="10">
        <f t="shared" si="2"/>
        <v>27600.939286148874</v>
      </c>
      <c r="F9" s="3"/>
      <c r="G9" s="29">
        <v>9</v>
      </c>
      <c r="H9" s="10"/>
      <c r="I9" s="10">
        <f t="shared" si="5"/>
        <v>5081.2114425704094</v>
      </c>
      <c r="J9" s="10">
        <f t="shared" si="3"/>
        <v>6544182670.9223766</v>
      </c>
      <c r="K9" s="11">
        <f t="shared" si="4"/>
        <v>0.11387100000000028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1260316.8623812229</v>
      </c>
      <c r="D10" s="11">
        <v>1.89E-2</v>
      </c>
      <c r="E10" s="10">
        <f t="shared" si="2"/>
        <v>23378.141818632837</v>
      </c>
      <c r="F10" s="3"/>
      <c r="G10" s="29">
        <v>9.8000000000000007</v>
      </c>
      <c r="H10" s="10"/>
      <c r="I10" s="10">
        <f t="shared" si="5"/>
        <v>4661.6618739178066</v>
      </c>
      <c r="J10" s="10">
        <f t="shared" si="3"/>
        <v>5875171066.4182615</v>
      </c>
      <c r="K10" s="11">
        <f t="shared" si="4"/>
        <v>0.11875219999999986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1236938.7205625901</v>
      </c>
      <c r="D11" s="11">
        <v>4.0899999999999999E-2</v>
      </c>
      <c r="E11" s="10">
        <f t="shared" si="2"/>
        <v>48602.933683360461</v>
      </c>
      <c r="F11" s="3"/>
      <c r="G11" s="29">
        <v>10.7</v>
      </c>
      <c r="H11" s="10"/>
      <c r="I11" s="10">
        <f t="shared" si="5"/>
        <v>4245.5936920927197</v>
      </c>
      <c r="J11" s="10">
        <f t="shared" si="3"/>
        <v>5251539229.5257721</v>
      </c>
      <c r="K11" s="11">
        <f t="shared" si="4"/>
        <v>0.15227630000000003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1188335.7868792296</v>
      </c>
      <c r="D12" s="11">
        <v>3.5200000000000002E-2</v>
      </c>
      <c r="E12" s="10">
        <f t="shared" si="2"/>
        <v>40407.090125723276</v>
      </c>
      <c r="F12" s="3"/>
      <c r="G12" s="29">
        <v>9.1999999999999993</v>
      </c>
      <c r="H12" s="10"/>
      <c r="I12" s="10">
        <f t="shared" si="5"/>
        <v>3835.2246541036311</v>
      </c>
      <c r="J12" s="10">
        <f t="shared" si="3"/>
        <v>4557534707.1928596</v>
      </c>
      <c r="K12" s="11">
        <f t="shared" si="4"/>
        <v>0.13043840000000007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1147928.6967535063</v>
      </c>
      <c r="D13" s="11">
        <v>3.5799999999999998E-2</v>
      </c>
      <c r="E13" s="10">
        <f t="shared" si="2"/>
        <v>39675.465672693215</v>
      </c>
      <c r="F13" s="3"/>
      <c r="G13" s="29">
        <v>8.5</v>
      </c>
      <c r="H13" s="10"/>
      <c r="I13" s="10">
        <f t="shared" si="5"/>
        <v>3512.110489105889</v>
      </c>
      <c r="J13" s="10">
        <f t="shared" si="3"/>
        <v>4031652416.6136427</v>
      </c>
      <c r="K13" s="11">
        <f t="shared" si="4"/>
        <v>0.12384299999999993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1108253.2310808131</v>
      </c>
      <c r="D14" s="11">
        <v>6.1499999999999999E-2</v>
      </c>
      <c r="E14" s="10">
        <f t="shared" si="2"/>
        <v>64208.736421545153</v>
      </c>
      <c r="F14" s="3"/>
      <c r="G14" s="29">
        <v>8.9</v>
      </c>
      <c r="H14" s="10"/>
      <c r="I14" s="10">
        <f t="shared" si="5"/>
        <v>3236.9681927243219</v>
      </c>
      <c r="J14" s="10">
        <f t="shared" si="3"/>
        <v>3587380458.4925499</v>
      </c>
      <c r="K14" s="11">
        <f t="shared" si="4"/>
        <v>0.15597350000000021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1044044.4946592679</v>
      </c>
      <c r="D15" s="11">
        <v>5.2499999999999998E-2</v>
      </c>
      <c r="E15" s="10">
        <f t="shared" si="2"/>
        <v>52078.228949749726</v>
      </c>
      <c r="F15" s="3"/>
      <c r="G15" s="29">
        <v>7</v>
      </c>
      <c r="H15" s="10"/>
      <c r="I15" s="10">
        <f t="shared" si="5"/>
        <v>2972.4225828506169</v>
      </c>
      <c r="J15" s="10">
        <f t="shared" si="3"/>
        <v>3103341433.4260683</v>
      </c>
      <c r="K15" s="11">
        <f t="shared" si="4"/>
        <v>0.12617500000000015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991966.26570951822</v>
      </c>
      <c r="D16" s="11">
        <v>7.6E-3</v>
      </c>
      <c r="E16" s="10">
        <f t="shared" si="2"/>
        <v>7482.0798128149472</v>
      </c>
      <c r="F16" s="3"/>
      <c r="G16" s="29">
        <v>8.6</v>
      </c>
      <c r="H16" s="10"/>
      <c r="I16" s="10">
        <f t="shared" si="5"/>
        <v>2777.9650307015108</v>
      </c>
      <c r="J16" s="10">
        <f t="shared" si="3"/>
        <v>2755647597.7766047</v>
      </c>
      <c r="K16" s="11">
        <f t="shared" si="4"/>
        <v>9.4253599999999826E-2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984484.18589670327</v>
      </c>
      <c r="D17" s="11">
        <v>1.21E-2</v>
      </c>
      <c r="E17" s="10">
        <f t="shared" si="2"/>
        <v>11769.84354248608</v>
      </c>
      <c r="F17" s="3"/>
      <c r="G17" s="29">
        <v>9</v>
      </c>
      <c r="H17" s="10"/>
      <c r="I17" s="10">
        <f t="shared" si="5"/>
        <v>2557.9788496330671</v>
      </c>
      <c r="J17" s="10">
        <f t="shared" si="3"/>
        <v>2518289725.3219957</v>
      </c>
      <c r="K17" s="11">
        <f t="shared" si="4"/>
        <v>0.1031890000000002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972714.34235421719</v>
      </c>
      <c r="D18" s="11">
        <v>3.73E-2</v>
      </c>
      <c r="E18" s="10">
        <f t="shared" si="2"/>
        <v>34977.581191374105</v>
      </c>
      <c r="F18" s="3"/>
      <c r="G18" s="29">
        <v>7.3</v>
      </c>
      <c r="H18" s="10"/>
      <c r="I18" s="10">
        <f t="shared" si="5"/>
        <v>2346.7695868193273</v>
      </c>
      <c r="J18" s="10">
        <f t="shared" si="3"/>
        <v>2282736435.29984</v>
      </c>
      <c r="K18" s="11">
        <f t="shared" si="4"/>
        <v>0.11302290000000004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937736.76116284309</v>
      </c>
      <c r="D19" s="11">
        <v>3.7600000000000001E-2</v>
      </c>
      <c r="E19" s="10">
        <f t="shared" si="2"/>
        <v>33981.20876997197</v>
      </c>
      <c r="F19" s="3"/>
      <c r="G19" s="29">
        <v>7.7</v>
      </c>
      <c r="H19" s="10"/>
      <c r="I19" s="10">
        <f t="shared" si="5"/>
        <v>2187.1105189369314</v>
      </c>
      <c r="J19" s="10">
        <f t="shared" si="3"/>
        <v>2050933934.3331029</v>
      </c>
      <c r="K19" s="11">
        <f t="shared" si="4"/>
        <v>0.11749520000000002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903755.55239287112</v>
      </c>
      <c r="D20" s="11">
        <v>3.7999999999999999E-2</v>
      </c>
      <c r="E20" s="10">
        <f t="shared" si="2"/>
        <v>33085.463382398011</v>
      </c>
      <c r="F20" s="3"/>
      <c r="G20" s="29">
        <v>9.4</v>
      </c>
      <c r="H20" s="10"/>
      <c r="I20" s="10">
        <f t="shared" si="5"/>
        <v>2030.7432859210135</v>
      </c>
      <c r="J20" s="10">
        <f t="shared" si="3"/>
        <v>1835295520.1356597</v>
      </c>
      <c r="K20" s="11">
        <f t="shared" si="4"/>
        <v>0.13557200000000003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870670.08901047311</v>
      </c>
      <c r="D21" s="11">
        <v>4.0099999999999997E-2</v>
      </c>
      <c r="E21" s="10">
        <f t="shared" si="2"/>
        <v>33567.801720334566</v>
      </c>
      <c r="F21" s="3"/>
      <c r="G21" s="29">
        <v>6.8</v>
      </c>
      <c r="H21" s="10"/>
      <c r="I21" s="10">
        <f t="shared" si="5"/>
        <v>1856.2552887760633</v>
      </c>
      <c r="J21" s="10">
        <f t="shared" si="3"/>
        <v>1616185957.5048165</v>
      </c>
      <c r="K21" s="11">
        <f t="shared" si="4"/>
        <v>0.11082680000000011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837102.28729013854</v>
      </c>
      <c r="D22" s="11">
        <v>4.8899999999999999E-2</v>
      </c>
      <c r="E22" s="10">
        <f t="shared" si="2"/>
        <v>39025.933690997888</v>
      </c>
      <c r="F22" s="3"/>
      <c r="G22" s="29">
        <v>8.5</v>
      </c>
      <c r="H22" s="10"/>
      <c r="I22" s="10">
        <f t="shared" si="5"/>
        <v>1738.0667497903214</v>
      </c>
      <c r="J22" s="10">
        <f t="shared" si="3"/>
        <v>1454939651.712415</v>
      </c>
      <c r="K22" s="11">
        <f t="shared" si="4"/>
        <v>0.1380564999999998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798076.35359914065</v>
      </c>
      <c r="D23" s="11">
        <v>8.3900000000000002E-2</v>
      </c>
      <c r="E23" s="10">
        <f t="shared" si="2"/>
        <v>61775.630655012443</v>
      </c>
      <c r="F23" s="3"/>
      <c r="G23" s="29">
        <v>8.6</v>
      </c>
      <c r="H23" s="10"/>
      <c r="I23" s="10">
        <f t="shared" si="5"/>
        <v>1601.9048385164253</v>
      </c>
      <c r="J23" s="10">
        <f t="shared" si="3"/>
        <v>1278442372.336009</v>
      </c>
      <c r="K23" s="11">
        <f t="shared" si="4"/>
        <v>0.17711540000000037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736300.72294412821</v>
      </c>
      <c r="D24" s="11">
        <v>0.1181</v>
      </c>
      <c r="E24" s="10">
        <f t="shared" si="2"/>
        <v>77772.216599321691</v>
      </c>
      <c r="F24" s="3"/>
      <c r="G24" s="29">
        <v>9.9</v>
      </c>
      <c r="H24" s="10"/>
      <c r="I24" s="10">
        <f t="shared" si="5"/>
        <v>1475.050495871478</v>
      </c>
      <c r="J24" s="10">
        <f t="shared" si="3"/>
        <v>1086080746.489264</v>
      </c>
      <c r="K24" s="11">
        <f t="shared" si="4"/>
        <v>0.22879190000000005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658528.50634480652</v>
      </c>
      <c r="D25" s="11">
        <v>8.1600000000000006E-2</v>
      </c>
      <c r="E25" s="10">
        <f t="shared" si="2"/>
        <v>49681.884354415815</v>
      </c>
      <c r="F25" s="3"/>
      <c r="G25" s="29">
        <v>7.4</v>
      </c>
      <c r="H25" s="10"/>
      <c r="I25" s="10">
        <f t="shared" si="5"/>
        <v>1342.1751554790519</v>
      </c>
      <c r="J25" s="10">
        <f t="shared" si="3"/>
        <v>883860600.39072847</v>
      </c>
      <c r="K25" s="11">
        <f t="shared" si="4"/>
        <v>0.16163839999999996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608846.6219903907</v>
      </c>
      <c r="D26" s="11">
        <v>1.5900000000000001E-2</v>
      </c>
      <c r="E26" s="10">
        <f t="shared" si="2"/>
        <v>9529.1478390069678</v>
      </c>
      <c r="F26" s="3"/>
      <c r="G26" s="29">
        <v>4.5999999999999996</v>
      </c>
      <c r="H26" s="10"/>
      <c r="I26" s="10">
        <f t="shared" si="5"/>
        <v>1249.6975376899925</v>
      </c>
      <c r="J26" s="10">
        <f t="shared" si="3"/>
        <v>760874124.33226085</v>
      </c>
      <c r="K26" s="11">
        <f t="shared" si="4"/>
        <v>6.2631399999999893E-2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599317.47415138374</v>
      </c>
      <c r="D27" s="11">
        <v>1.43E-2</v>
      </c>
      <c r="E27" s="10">
        <f t="shared" si="2"/>
        <v>8449.4132705952507</v>
      </c>
      <c r="F27" s="3"/>
      <c r="G27" s="29">
        <v>-6.4</v>
      </c>
      <c r="H27" s="10"/>
      <c r="I27" s="10">
        <f t="shared" si="5"/>
        <v>1194.7395197801075</v>
      </c>
      <c r="J27" s="10">
        <f t="shared" si="3"/>
        <v>716028271.26345122</v>
      </c>
      <c r="K27" s="11">
        <f t="shared" si="4"/>
        <v>-5.0615199999999971E-2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590868.06088078849</v>
      </c>
      <c r="D28" s="11">
        <v>0.03</v>
      </c>
      <c r="E28" s="10">
        <f t="shared" si="2"/>
        <v>17209.749346042401</v>
      </c>
      <c r="F28" s="3"/>
      <c r="G28" s="29">
        <v>2.2999999999999998</v>
      </c>
      <c r="H28" s="10"/>
      <c r="I28" s="10">
        <f t="shared" si="5"/>
        <v>1276.4311108761833</v>
      </c>
      <c r="J28" s="10">
        <f t="shared" si="3"/>
        <v>754202375.33132112</v>
      </c>
      <c r="K28" s="11">
        <f t="shared" si="4"/>
        <v>5.3689999999999793E-2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573658.31153474608</v>
      </c>
      <c r="D29" s="11">
        <v>1.18E-2</v>
      </c>
      <c r="E29" s="10">
        <f t="shared" si="2"/>
        <v>6690.223439523601</v>
      </c>
      <c r="F29" s="3"/>
      <c r="G29" s="29">
        <v>2.4700000000000002</v>
      </c>
      <c r="H29" s="10"/>
      <c r="I29" s="10">
        <f t="shared" si="5"/>
        <v>1247.7332462132781</v>
      </c>
      <c r="J29" s="10">
        <f t="shared" si="3"/>
        <v>715772547.26847672</v>
      </c>
      <c r="K29" s="11">
        <f t="shared" si="4"/>
        <v>3.6791459999999887E-2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566968.08809522248</v>
      </c>
      <c r="D30" s="12">
        <v>-2.8E-3</v>
      </c>
      <c r="E30" s="10">
        <f t="shared" si="2"/>
        <v>-1591.968157507712</v>
      </c>
      <c r="F30" s="3"/>
      <c r="G30" s="29">
        <v>1.73</v>
      </c>
      <c r="H30" s="10"/>
      <c r="I30" s="10">
        <f t="shared" si="5"/>
        <v>1217.6571154613821</v>
      </c>
      <c r="J30" s="10">
        <f t="shared" si="3"/>
        <v>690372726.70868337</v>
      </c>
      <c r="K30" s="11">
        <f t="shared" si="4"/>
        <v>1.4451559999999919E-2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568560.0562527302</v>
      </c>
      <c r="D31" s="13">
        <v>-5.9999999999999995E-4</v>
      </c>
      <c r="E31" s="10">
        <f t="shared" si="2"/>
        <v>-341.34083825466223</v>
      </c>
      <c r="F31" s="3"/>
      <c r="G31" s="29">
        <v>4.3600000000000003</v>
      </c>
      <c r="H31" s="10"/>
      <c r="I31" s="10">
        <f t="shared" si="5"/>
        <v>1196.9498824942318</v>
      </c>
      <c r="J31" s="10">
        <f t="shared" si="3"/>
        <v>680537892.52261925</v>
      </c>
      <c r="K31" s="11">
        <f t="shared" si="4"/>
        <v>4.297383999999993E-2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568901.39709098486</v>
      </c>
      <c r="D32" s="12">
        <v>2.0899999999999998E-2</v>
      </c>
      <c r="E32" s="10">
        <f t="shared" si="2"/>
        <v>11646.624742091866</v>
      </c>
      <c r="F32" s="3"/>
      <c r="G32" s="29">
        <v>5</v>
      </c>
      <c r="H32" s="10"/>
      <c r="I32" s="10">
        <f t="shared" si="5"/>
        <v>1146.9431606882251</v>
      </c>
      <c r="J32" s="10">
        <f t="shared" si="3"/>
        <v>652497566.4994812</v>
      </c>
      <c r="K32" s="11">
        <f t="shared" si="4"/>
        <v>7.1945000000000148E-2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557254.77234889299</v>
      </c>
      <c r="D33" s="13">
        <v>2.46E-2</v>
      </c>
      <c r="E33" s="10">
        <f t="shared" si="2"/>
        <v>13379.335740564857</v>
      </c>
      <c r="F33" s="3"/>
      <c r="G33" s="29">
        <v>5.0999999999999996</v>
      </c>
      <c r="H33" s="10"/>
      <c r="I33" s="10">
        <f t="shared" si="5"/>
        <v>1092.3268197030716</v>
      </c>
      <c r="J33" s="10">
        <f t="shared" si="3"/>
        <v>608704333.24422538</v>
      </c>
      <c r="K33" s="11">
        <f t="shared" si="4"/>
        <v>7.6854599999999884E-2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543875.43660832813</v>
      </c>
      <c r="D34" s="12">
        <v>-6.7000000000000002E-3</v>
      </c>
      <c r="E34" s="10">
        <f t="shared" si="2"/>
        <v>-3668.5446745955851</v>
      </c>
      <c r="F34" s="3"/>
      <c r="G34" s="29">
        <v>3.51</v>
      </c>
      <c r="H34" s="10"/>
      <c r="I34" s="10">
        <f t="shared" si="5"/>
        <v>1039.3214269296591</v>
      </c>
      <c r="J34" s="10">
        <f t="shared" ref="J34:J65" si="6">IF(I34="","",I34*C34)</f>
        <v>565261394.84775889</v>
      </c>
      <c r="K34" s="11">
        <f t="shared" ref="K34:K65" si="7">IFERROR(J34/J35-1,"")</f>
        <v>4.1077730000000034E-2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547543.98128292372</v>
      </c>
      <c r="D35" s="11">
        <v>-8.2600000000000007E-2</v>
      </c>
      <c r="E35" s="10">
        <f t="shared" si="2"/>
        <v>-49299.250985360239</v>
      </c>
      <c r="F35" s="3"/>
      <c r="G35" s="29">
        <v>1.44</v>
      </c>
      <c r="H35" s="10"/>
      <c r="I35" s="10">
        <f t="shared" ref="I35:I66" si="8">IF(H35&lt;&gt;"",H35,I34/(1+IF(G34="",0,G34)/100))</f>
        <v>991.62429818687053</v>
      </c>
      <c r="J35" s="10">
        <f t="shared" si="6"/>
        <v>542957916.16612422</v>
      </c>
      <c r="K35" s="11">
        <f t="shared" si="7"/>
        <v>-4.4619639999999849E-2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596843.23226828396</v>
      </c>
      <c r="D36" s="11">
        <v>-9.8199999999999996E-2</v>
      </c>
      <c r="E36" s="10">
        <f t="shared" si="2"/>
        <v>-64992.243744450505</v>
      </c>
      <c r="F36" s="3"/>
      <c r="G36" s="29">
        <v>0.9</v>
      </c>
      <c r="H36" s="10"/>
      <c r="I36" s="10">
        <f t="shared" si="8"/>
        <v>952.20309025049971</v>
      </c>
      <c r="J36" s="10">
        <f t="shared" si="6"/>
        <v>568315970.16095674</v>
      </c>
      <c r="K36" s="11">
        <f t="shared" si="7"/>
        <v>-4.6797399999999989E-2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661835.47601273446</v>
      </c>
      <c r="D37" s="11">
        <v>-3.6299999999999999E-2</v>
      </c>
      <c r="E37" s="10">
        <f t="shared" si="2"/>
        <v>-24929.571214342955</v>
      </c>
      <c r="F37" s="3"/>
      <c r="G37" s="29">
        <v>-6.15</v>
      </c>
      <c r="H37" s="10"/>
      <c r="I37" s="10">
        <f t="shared" si="8"/>
        <v>900.85439001939426</v>
      </c>
      <c r="J37" s="10">
        <f t="shared" si="6"/>
        <v>596217394.03664732</v>
      </c>
      <c r="K37" s="11">
        <f t="shared" si="7"/>
        <v>-4.4491450000000099E-2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686765.04722707742</v>
      </c>
      <c r="D38" s="11">
        <v>3.2000000000000002E-3</v>
      </c>
      <c r="E38" s="10">
        <f t="shared" si="2"/>
        <v>2190.638109177351</v>
      </c>
      <c r="F38" s="3"/>
      <c r="G38" s="29">
        <v>-10.1</v>
      </c>
      <c r="H38" s="10"/>
      <c r="I38" s="10">
        <f t="shared" si="8"/>
        <v>908.57729704427049</v>
      </c>
      <c r="J38" s="10">
        <f t="shared" si="6"/>
        <v>623979130.31405878</v>
      </c>
      <c r="K38" s="11">
        <f t="shared" si="7"/>
        <v>-6.1004799999999859E-2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684574.40911790007</v>
      </c>
      <c r="D39" s="11">
        <v>2.01E-2</v>
      </c>
      <c r="E39" s="10">
        <f t="shared" si="2"/>
        <v>13488.820334545453</v>
      </c>
      <c r="F39" s="3"/>
      <c r="G39" s="29">
        <v>5.65</v>
      </c>
      <c r="H39" s="10"/>
      <c r="I39" s="10">
        <f t="shared" si="8"/>
        <v>970.70224043191297</v>
      </c>
      <c r="J39" s="10">
        <f t="shared" si="6"/>
        <v>664517912.67309856</v>
      </c>
      <c r="K39" s="11">
        <f t="shared" si="7"/>
        <v>7.7735649999999934E-2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671085.58878335461</v>
      </c>
      <c r="D40" s="11">
        <v>2.1299999999999999E-2</v>
      </c>
      <c r="E40" s="10">
        <f t="shared" si="2"/>
        <v>13996.008069211268</v>
      </c>
      <c r="F40" s="3"/>
      <c r="G40" s="29">
        <v>5.0999999999999996</v>
      </c>
      <c r="H40" s="10"/>
      <c r="I40" s="10">
        <f t="shared" si="8"/>
        <v>918.79057305434264</v>
      </c>
      <c r="J40" s="10">
        <f t="shared" si="6"/>
        <v>616587112.68676937</v>
      </c>
      <c r="K40" s="11">
        <f t="shared" si="7"/>
        <v>7.3386300000000126E-2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657089.58071414335</v>
      </c>
      <c r="D41" s="11">
        <v>2.2100000000000002E-2</v>
      </c>
      <c r="E41" s="10">
        <f t="shared" si="2"/>
        <v>14207.689789436059</v>
      </c>
      <c r="F41" s="3"/>
      <c r="G41" s="29">
        <v>3.34</v>
      </c>
      <c r="H41" s="10"/>
      <c r="I41" s="10">
        <f t="shared" si="8"/>
        <v>874.2060638005164</v>
      </c>
      <c r="J41" s="10">
        <f t="shared" si="6"/>
        <v>574431695.92044294</v>
      </c>
      <c r="K41" s="11">
        <f t="shared" si="7"/>
        <v>5.6238140000000048E-2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642881.89092470729</v>
      </c>
      <c r="D42" s="11">
        <v>2.4199999999999999E-2</v>
      </c>
      <c r="E42" s="10">
        <f t="shared" si="2"/>
        <v>15190.140363579267</v>
      </c>
      <c r="F42" s="3"/>
      <c r="G42" s="29">
        <v>1.1299999999999999</v>
      </c>
      <c r="H42" s="10"/>
      <c r="I42" s="10">
        <f t="shared" si="8"/>
        <v>845.95129069142286</v>
      </c>
      <c r="J42" s="10">
        <f t="shared" si="6"/>
        <v>543846765.38989866</v>
      </c>
      <c r="K42" s="11">
        <f t="shared" si="7"/>
        <v>3.5773460000000146E-2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627691.75056112802</v>
      </c>
      <c r="D43" s="11">
        <v>2.53E-2</v>
      </c>
      <c r="E43" s="10">
        <f t="shared" si="2"/>
        <v>15488.736261773738</v>
      </c>
      <c r="F43" s="3"/>
      <c r="G43" s="29">
        <v>3.85</v>
      </c>
      <c r="H43" s="10"/>
      <c r="I43" s="10">
        <f t="shared" si="8"/>
        <v>836.49885364523163</v>
      </c>
      <c r="J43" s="10">
        <f t="shared" si="6"/>
        <v>525063429.78695226</v>
      </c>
      <c r="K43" s="11">
        <f t="shared" si="7"/>
        <v>6.4774050000000027E-2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612203.01429935428</v>
      </c>
      <c r="D44" s="11">
        <v>2.53E-2</v>
      </c>
      <c r="E44" s="10">
        <f t="shared" si="2"/>
        <v>15106.540780038689</v>
      </c>
      <c r="F44" s="3"/>
      <c r="G44" s="29">
        <v>7.06</v>
      </c>
      <c r="H44" s="10"/>
      <c r="I44" s="10">
        <f t="shared" si="8"/>
        <v>805.48758174793613</v>
      </c>
      <c r="J44" s="10">
        <f t="shared" si="6"/>
        <v>493121925.52678406</v>
      </c>
      <c r="K44" s="11">
        <f t="shared" si="7"/>
        <v>9.7686180000000178E-2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597096.47351931559</v>
      </c>
      <c r="D45" s="11">
        <v>2.4400000000000002E-2</v>
      </c>
      <c r="E45" s="10">
        <f t="shared" si="2"/>
        <v>14222.133887027856</v>
      </c>
      <c r="F45" s="3"/>
      <c r="G45" s="29">
        <v>-0.41</v>
      </c>
      <c r="H45" s="10"/>
      <c r="I45" s="10">
        <f t="shared" si="8"/>
        <v>752.37024261903241</v>
      </c>
      <c r="J45" s="10">
        <f t="shared" si="6"/>
        <v>449237618.64869612</v>
      </c>
      <c r="K45" s="11">
        <f t="shared" si="7"/>
        <v>2.0199960000000017E-2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582874.33963228774</v>
      </c>
      <c r="D46" s="11">
        <v>2.4299999999999999E-2</v>
      </c>
      <c r="E46" s="10">
        <f t="shared" si="2"/>
        <v>13827.83017969795</v>
      </c>
      <c r="F46" s="3"/>
      <c r="G46" s="29">
        <v>1.31</v>
      </c>
      <c r="H46" s="10"/>
      <c r="I46" s="10">
        <f t="shared" si="8"/>
        <v>755.4676600251355</v>
      </c>
      <c r="J46" s="10">
        <f t="shared" si="6"/>
        <v>440342713.45070052</v>
      </c>
      <c r="K46" s="11">
        <f t="shared" si="7"/>
        <v>3.7718330000000133E-2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569046.50945258979</v>
      </c>
      <c r="D47" s="11">
        <v>2.4500000000000001E-2</v>
      </c>
      <c r="E47" s="10">
        <f t="shared" si="2"/>
        <v>13608.23765894433</v>
      </c>
      <c r="F47" s="3"/>
      <c r="G47" s="29">
        <v>3.85</v>
      </c>
      <c r="H47" s="10"/>
      <c r="I47" s="10">
        <f t="shared" si="8"/>
        <v>745.69900308472552</v>
      </c>
      <c r="J47" s="10">
        <f t="shared" si="6"/>
        <v>424337414.80763906</v>
      </c>
      <c r="K47" s="11">
        <f t="shared" si="7"/>
        <v>6.3943250000000118E-2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555438.27179364546</v>
      </c>
      <c r="D48" s="11">
        <v>2.3900000000000001E-2</v>
      </c>
      <c r="E48" s="10">
        <f t="shared" si="2"/>
        <v>12965.108600320527</v>
      </c>
      <c r="F48" s="3"/>
      <c r="G48" s="29">
        <v>7.72</v>
      </c>
      <c r="H48" s="10"/>
      <c r="I48" s="10">
        <f t="shared" si="8"/>
        <v>718.0539268991098</v>
      </c>
      <c r="J48" s="10">
        <f t="shared" si="6"/>
        <v>398834632.21148217</v>
      </c>
      <c r="K48" s="11">
        <f t="shared" si="7"/>
        <v>0.10294508000000002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542473.16319332493</v>
      </c>
      <c r="D49" s="11">
        <v>2.3599999999999999E-2</v>
      </c>
      <c r="E49" s="10">
        <f t="shared" si="2"/>
        <v>12507.196806723834</v>
      </c>
      <c r="F49" s="3"/>
      <c r="G49" s="29">
        <v>5.8</v>
      </c>
      <c r="H49" s="10"/>
      <c r="I49" s="10">
        <f t="shared" si="8"/>
        <v>666.59295107603964</v>
      </c>
      <c r="J49" s="10">
        <f t="shared" si="6"/>
        <v>361608786.73259252</v>
      </c>
      <c r="K49" s="11">
        <f t="shared" si="7"/>
        <v>8.2968800000000176E-2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529965.9663866011</v>
      </c>
      <c r="D50" s="11">
        <v>2.3099999999999999E-2</v>
      </c>
      <c r="E50" s="10">
        <f t="shared" si="2"/>
        <v>11965.803756749548</v>
      </c>
      <c r="F50" s="3"/>
      <c r="G50" s="29">
        <v>6.44</v>
      </c>
      <c r="H50" s="10"/>
      <c r="I50" s="10">
        <f t="shared" si="8"/>
        <v>630.05004827602988</v>
      </c>
      <c r="J50" s="10">
        <f t="shared" si="6"/>
        <v>333905082.70653087</v>
      </c>
      <c r="K50" s="11">
        <f t="shared" si="7"/>
        <v>8.8987640000000257E-2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518000.16262985155</v>
      </c>
      <c r="D51" s="11">
        <v>2.2700000000000001E-2</v>
      </c>
      <c r="E51" s="10">
        <f t="shared" si="2"/>
        <v>11497.607990317396</v>
      </c>
      <c r="F51" s="3"/>
      <c r="G51" s="29">
        <v>5.0199999999999996</v>
      </c>
      <c r="H51" s="10"/>
      <c r="I51" s="10">
        <f t="shared" si="8"/>
        <v>591.92977102220016</v>
      </c>
      <c r="J51" s="10">
        <f t="shared" si="6"/>
        <v>306619717.65495044</v>
      </c>
      <c r="K51" s="11">
        <f t="shared" si="7"/>
        <v>7.4039539999999793E-2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506502.55463953415</v>
      </c>
      <c r="D52" s="11">
        <v>2.23E-2</v>
      </c>
      <c r="E52" s="10">
        <f t="shared" si="2"/>
        <v>11048.622682638757</v>
      </c>
      <c r="F52" s="3"/>
      <c r="G52" s="29">
        <v>2.54</v>
      </c>
      <c r="H52" s="10"/>
      <c r="I52" s="10">
        <f t="shared" si="8"/>
        <v>563.63527996781579</v>
      </c>
      <c r="J52" s="10">
        <f t="shared" si="6"/>
        <v>285482709.18866777</v>
      </c>
      <c r="K52" s="11">
        <f t="shared" si="7"/>
        <v>4.8266420000000254E-2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495453.93195689539</v>
      </c>
      <c r="D53" s="11">
        <v>2.1600000000000001E-2</v>
      </c>
      <c r="E53" s="10">
        <f t="shared" si="2"/>
        <v>10475.533408642281</v>
      </c>
      <c r="F53" s="3"/>
      <c r="G53" s="29">
        <v>3.91</v>
      </c>
      <c r="H53" s="10"/>
      <c r="I53" s="10">
        <f t="shared" si="8"/>
        <v>549.673571257866</v>
      </c>
      <c r="J53" s="10">
        <f t="shared" si="6"/>
        <v>272337932.1724984</v>
      </c>
      <c r="K53" s="11">
        <f t="shared" si="7"/>
        <v>6.1544559999999748E-2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484978.39854825311</v>
      </c>
      <c r="D54" s="11">
        <v>2.1100000000000001E-2</v>
      </c>
      <c r="E54" s="10">
        <f t="shared" si="2"/>
        <v>10021.588688050222</v>
      </c>
      <c r="F54" s="3"/>
      <c r="G54" s="29">
        <v>2.52</v>
      </c>
      <c r="H54" s="10"/>
      <c r="I54" s="10">
        <f t="shared" si="8"/>
        <v>528.99005991518243</v>
      </c>
      <c r="J54" s="10">
        <f t="shared" si="6"/>
        <v>256548752.10560963</v>
      </c>
      <c r="K54" s="11">
        <f t="shared" si="7"/>
        <v>4.6831719999999688E-2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474956.80986020289</v>
      </c>
      <c r="D55" s="11">
        <v>2.0400000000000001E-2</v>
      </c>
      <c r="E55" s="10">
        <f t="shared" si="2"/>
        <v>9495.4125060252263</v>
      </c>
      <c r="F55" s="3"/>
      <c r="G55" s="29">
        <v>3.82</v>
      </c>
      <c r="H55" s="10"/>
      <c r="I55" s="10">
        <f t="shared" si="8"/>
        <v>515.98718290595252</v>
      </c>
      <c r="J55" s="10">
        <f t="shared" si="6"/>
        <v>245071626.32176423</v>
      </c>
      <c r="K55" s="11">
        <f t="shared" si="7"/>
        <v>5.9379279999999923E-2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465461.39735417766</v>
      </c>
      <c r="D56" s="11">
        <v>1.9599999999999999E-2</v>
      </c>
      <c r="E56" s="10">
        <f t="shared" si="2"/>
        <v>8947.6690742858918</v>
      </c>
      <c r="F56" s="3"/>
      <c r="G56" s="29">
        <v>17</v>
      </c>
      <c r="H56" s="10"/>
      <c r="I56" s="10">
        <f t="shared" si="8"/>
        <v>497.00171730490513</v>
      </c>
      <c r="J56" s="10">
        <f t="shared" si="6"/>
        <v>231335113.82416713</v>
      </c>
      <c r="K56" s="11">
        <f t="shared" si="7"/>
        <v>0.1929320000000001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456513.72827989177</v>
      </c>
      <c r="D57" s="11">
        <v>1.95E-2</v>
      </c>
      <c r="E57" s="10">
        <f t="shared" si="2"/>
        <v>8731.74860368605</v>
      </c>
      <c r="F57" s="3"/>
      <c r="G57" s="30">
        <v>3.64</v>
      </c>
      <c r="H57" s="10"/>
      <c r="I57" s="10">
        <f t="shared" si="8"/>
        <v>424.787792568295</v>
      </c>
      <c r="J57" s="10">
        <f t="shared" si="6"/>
        <v>193921458.91313764</v>
      </c>
      <c r="K57" s="11">
        <f t="shared" si="7"/>
        <v>5.6609799999999932E-2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447781.97967620572</v>
      </c>
      <c r="D58" s="11">
        <v>1.9300000000000001E-2</v>
      </c>
      <c r="E58" s="10">
        <f t="shared" si="2"/>
        <v>8478.5560754938051</v>
      </c>
      <c r="F58" s="3"/>
      <c r="G58" s="30">
        <v>11.4</v>
      </c>
      <c r="H58" s="10"/>
      <c r="I58" s="10">
        <f t="shared" si="8"/>
        <v>409.8685763877798</v>
      </c>
      <c r="J58" s="10">
        <f t="shared" si="6"/>
        <v>183531762.54198819</v>
      </c>
      <c r="K58" s="11">
        <f t="shared" si="7"/>
        <v>0.13550020000000051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439303.42360071192</v>
      </c>
      <c r="D59" s="11">
        <v>1.9E-2</v>
      </c>
      <c r="E59" s="10">
        <f t="shared" si="2"/>
        <v>8191.1335116913542</v>
      </c>
      <c r="F59" s="3"/>
      <c r="G59" s="30">
        <v>2.94</v>
      </c>
      <c r="H59" s="10"/>
      <c r="I59" s="10">
        <f t="shared" si="8"/>
        <v>367.9251134540213</v>
      </c>
      <c r="J59" s="10">
        <f t="shared" si="6"/>
        <v>161630761.9690319</v>
      </c>
      <c r="K59" s="11">
        <f t="shared" si="7"/>
        <v>4.8958599999999963E-2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431112.29008902056</v>
      </c>
      <c r="D60" s="11">
        <v>1.8499999999999999E-2</v>
      </c>
      <c r="E60" s="10">
        <f t="shared" si="2"/>
        <v>7830.7092456031824</v>
      </c>
      <c r="F60" s="3"/>
      <c r="G60" s="30">
        <v>1.44</v>
      </c>
      <c r="H60" s="10"/>
      <c r="I60" s="10">
        <f t="shared" si="8"/>
        <v>357.41705212164493</v>
      </c>
      <c r="J60" s="10">
        <f t="shared" si="6"/>
        <v>154086883.85702917</v>
      </c>
      <c r="K60" s="11">
        <f t="shared" si="7"/>
        <v>3.3166399999999818E-2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423281.58084341738</v>
      </c>
      <c r="D61" s="11">
        <v>1.7999999999999999E-2</v>
      </c>
      <c r="E61" s="10">
        <f t="shared" si="2"/>
        <v>7484.3501524376334</v>
      </c>
      <c r="F61" s="3"/>
      <c r="G61" s="30">
        <v>0.64</v>
      </c>
      <c r="H61" s="10"/>
      <c r="I61" s="10">
        <f t="shared" si="8"/>
        <v>352.34330847953959</v>
      </c>
      <c r="J61" s="10">
        <f t="shared" si="6"/>
        <v>149140432.61281937</v>
      </c>
      <c r="K61" s="11">
        <f t="shared" si="7"/>
        <v>2.4515199999999959E-2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415797.23069097975</v>
      </c>
      <c r="D62" s="11">
        <v>1.7500000000000002E-2</v>
      </c>
      <c r="E62" s="10">
        <f t="shared" si="2"/>
        <v>7151.3037219578982</v>
      </c>
      <c r="F62" s="3"/>
      <c r="G62" s="30">
        <v>5.88</v>
      </c>
      <c r="H62" s="10"/>
      <c r="I62" s="10">
        <f t="shared" si="8"/>
        <v>350.10265150987641</v>
      </c>
      <c r="J62" s="10">
        <f t="shared" si="6"/>
        <v>145571712.95537576</v>
      </c>
      <c r="K62" s="11">
        <f t="shared" si="7"/>
        <v>7.7328999999999981E-2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408645.92696902185</v>
      </c>
      <c r="D63" s="11">
        <v>1.7000000000000001E-2</v>
      </c>
      <c r="E63" s="10">
        <f t="shared" si="2"/>
        <v>6830.8562030219473</v>
      </c>
      <c r="F63" s="3"/>
      <c r="G63" s="30">
        <v>2.66</v>
      </c>
      <c r="H63" s="10"/>
      <c r="I63" s="10">
        <f t="shared" si="8"/>
        <v>330.65985220048776</v>
      </c>
      <c r="J63" s="10">
        <f t="shared" si="6"/>
        <v>135122801.81390807</v>
      </c>
      <c r="K63" s="11">
        <f t="shared" si="7"/>
        <v>4.4052199999999653E-2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401815.0707659999</v>
      </c>
      <c r="D64" s="11">
        <v>1.7000000000000001E-2</v>
      </c>
      <c r="E64" s="10">
        <f t="shared" si="2"/>
        <v>6716.6727659999742</v>
      </c>
      <c r="F64" s="3"/>
      <c r="G64" s="30">
        <v>1.95</v>
      </c>
      <c r="H64" s="10"/>
      <c r="I64" s="10">
        <f t="shared" si="8"/>
        <v>322.09219968876658</v>
      </c>
      <c r="J64" s="10">
        <f t="shared" si="6"/>
        <v>129421500.01111832</v>
      </c>
      <c r="K64" s="11">
        <f t="shared" si="7"/>
        <v>3.6831499999999906E-2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395098.39799999993</v>
      </c>
      <c r="D65" s="11">
        <v>1.7000000000000001E-2</v>
      </c>
      <c r="E65" s="10">
        <f t="shared" si="2"/>
        <v>6604.3979999999865</v>
      </c>
      <c r="F65" s="3"/>
      <c r="G65" s="30">
        <v>4.5999999999999996</v>
      </c>
      <c r="H65" s="10"/>
      <c r="I65" s="10">
        <f t="shared" si="8"/>
        <v>315.93153476092846</v>
      </c>
      <c r="J65" s="10">
        <f t="shared" si="6"/>
        <v>124824043.26172413</v>
      </c>
      <c r="K65" s="11">
        <f t="shared" si="7"/>
        <v>6.3782000000000005E-2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388493.99999999994</v>
      </c>
      <c r="D66" s="11">
        <v>1.7000000000000001E-2</v>
      </c>
      <c r="E66" s="10">
        <f t="shared" si="2"/>
        <v>6493.9999999999418</v>
      </c>
      <c r="F66" s="3"/>
      <c r="G66" s="30">
        <v>6.25</v>
      </c>
      <c r="H66" s="10"/>
      <c r="I66" s="10">
        <f t="shared" si="8"/>
        <v>302.03779613855494</v>
      </c>
      <c r="J66" s="10">
        <f t="shared" ref="J66:J67" si="9">IF(I66="","",I66*C66)</f>
        <v>117339871.57305175</v>
      </c>
      <c r="K66" s="11">
        <f t="shared" ref="K66" si="10">IFERROR(J66/J67-1,"")</f>
        <v>8.056249999999987E-2</v>
      </c>
    </row>
    <row r="67" spans="1:11" ht="22.5" customHeight="1">
      <c r="A67" s="3">
        <f t="shared" si="0"/>
        <v>1950</v>
      </c>
      <c r="B67" s="3">
        <v>1700</v>
      </c>
      <c r="C67" s="10">
        <v>382000</v>
      </c>
      <c r="D67" s="11">
        <v>1.7000000000000001E-2</v>
      </c>
      <c r="E67" s="3" t="s">
        <v>72</v>
      </c>
      <c r="F67" s="3"/>
      <c r="G67" s="30">
        <v>5.59</v>
      </c>
      <c r="H67" s="10"/>
      <c r="I67" s="10">
        <f t="shared" ref="I67" si="11">IF(H67&lt;&gt;"",H67,I66/(1+IF(G66="",0,G66)/100))</f>
        <v>284.27086695393405</v>
      </c>
      <c r="J67" s="10">
        <f t="shared" si="9"/>
        <v>108591471.17640281</v>
      </c>
      <c r="K67" s="11"/>
    </row>
  </sheetData>
  <dataValidations count="1">
    <dataValidation type="custom" allowBlank="1" showDropDown="1" sqref="D2:D67" xr:uid="{00000000-0002-0000-0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M67"/>
  <sheetViews>
    <sheetView topLeftCell="A23" workbookViewId="0">
      <selection activeCell="L60" sqref="L6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9105457.7760035135</v>
      </c>
      <c r="D2" s="11">
        <v>1.3299999999999999E-2</v>
      </c>
      <c r="E2" s="10">
        <f t="shared" ref="E2:E66" si="2">SUM(C2-C3)</f>
        <v>119513.06466085836</v>
      </c>
      <c r="F2" s="15">
        <v>9106539</v>
      </c>
      <c r="G2" s="26">
        <v>7.27</v>
      </c>
      <c r="H2" s="10"/>
      <c r="I2" s="10">
        <f>IF(H2&lt;&gt;"",H2,11080)</f>
        <v>1385</v>
      </c>
      <c r="J2" s="10">
        <f t="shared" ref="J2:J33" si="3">IF(I2="","",I2*C2)</f>
        <v>12611059019.764866</v>
      </c>
      <c r="K2" s="11">
        <f t="shared" ref="K2:K33" si="4">IFERROR(J2/J3-1,"")</f>
        <v>8.6966910000000119E-2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8985944.7113426551</v>
      </c>
      <c r="D3" s="11">
        <v>1.35E-2</v>
      </c>
      <c r="E3" s="10">
        <f t="shared" si="2"/>
        <v>119694.37948014401</v>
      </c>
      <c r="F3" s="3"/>
      <c r="G3" s="26">
        <v>7.61</v>
      </c>
      <c r="H3" s="10"/>
      <c r="I3" s="10">
        <f t="shared" ref="I3:I34" si="5">IF(H3&lt;&gt;"",H3,I2/(1+IF(G2="",0,G2)/100))</f>
        <v>1291.1345203691619</v>
      </c>
      <c r="J3" s="10">
        <f t="shared" si="3"/>
        <v>11602063414.943207</v>
      </c>
      <c r="K3" s="11">
        <f t="shared" si="4"/>
        <v>9.0627350000000106E-2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8866250.3318625111</v>
      </c>
      <c r="D4" s="11">
        <v>1.2800000000000001E-2</v>
      </c>
      <c r="E4" s="10">
        <f t="shared" si="2"/>
        <v>112053.71667440794</v>
      </c>
      <c r="F4" s="3"/>
      <c r="G4" s="26">
        <v>8.0299999999999994</v>
      </c>
      <c r="H4" s="10"/>
      <c r="I4" s="10">
        <f t="shared" si="5"/>
        <v>1199.8276371797806</v>
      </c>
      <c r="J4" s="10">
        <f t="shared" si="3"/>
        <v>10637972186.323042</v>
      </c>
      <c r="K4" s="11">
        <f t="shared" si="4"/>
        <v>9.4127840000000074E-2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8754196.6151881032</v>
      </c>
      <c r="D5" s="11">
        <v>1.2699999999999999E-2</v>
      </c>
      <c r="E5" s="10">
        <f t="shared" si="2"/>
        <v>109784.03970859013</v>
      </c>
      <c r="F5" s="3"/>
      <c r="G5" s="26">
        <v>8.0299999999999994</v>
      </c>
      <c r="H5" s="10"/>
      <c r="I5" s="10">
        <f t="shared" si="5"/>
        <v>1110.6430039616594</v>
      </c>
      <c r="J5" s="10">
        <f t="shared" si="3"/>
        <v>9722787225.9635048</v>
      </c>
      <c r="K5" s="11">
        <f t="shared" si="4"/>
        <v>9.4019810000000037E-2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8644412.575479513</v>
      </c>
      <c r="D6" s="11">
        <v>1.47E-2</v>
      </c>
      <c r="E6" s="10">
        <f t="shared" si="2"/>
        <v>125231.95511929505</v>
      </c>
      <c r="F6" s="3"/>
      <c r="G6" s="26">
        <v>8.0399999999999991</v>
      </c>
      <c r="H6" s="10"/>
      <c r="I6" s="10">
        <f t="shared" si="5"/>
        <v>1028.087571935258</v>
      </c>
      <c r="J6" s="10">
        <f t="shared" si="3"/>
        <v>8887213135.5313435</v>
      </c>
      <c r="K6" s="11">
        <f t="shared" si="4"/>
        <v>9.6281880000000042E-2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8519180.620360218</v>
      </c>
      <c r="D7" s="11">
        <v>1.52E-2</v>
      </c>
      <c r="E7" s="10">
        <f t="shared" si="2"/>
        <v>127552.74372485839</v>
      </c>
      <c r="F7" s="3"/>
      <c r="G7" s="26">
        <v>8.5299999999999994</v>
      </c>
      <c r="H7" s="10"/>
      <c r="I7" s="10">
        <f t="shared" si="5"/>
        <v>951.58049975495919</v>
      </c>
      <c r="J7" s="10">
        <f t="shared" si="3"/>
        <v>8106686152.2251396</v>
      </c>
      <c r="K7" s="11">
        <f t="shared" si="4"/>
        <v>0.10179655999999992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8391627.8766353596</v>
      </c>
      <c r="D8" s="11">
        <v>1.38E-2</v>
      </c>
      <c r="E8" s="10">
        <f t="shared" si="2"/>
        <v>114228.11668728385</v>
      </c>
      <c r="F8" s="3"/>
      <c r="G8" s="26">
        <v>7.5</v>
      </c>
      <c r="H8" s="10"/>
      <c r="I8" s="10">
        <f t="shared" si="5"/>
        <v>876.79028817373933</v>
      </c>
      <c r="J8" s="10">
        <f t="shared" si="3"/>
        <v>7357697824.2019014</v>
      </c>
      <c r="K8" s="11">
        <f t="shared" si="4"/>
        <v>8.9835000000000109E-2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8277399.7599480757</v>
      </c>
      <c r="D9" s="11">
        <v>1.2699999999999999E-2</v>
      </c>
      <c r="E9" s="10">
        <f t="shared" si="2"/>
        <v>103804.65779731423</v>
      </c>
      <c r="F9" s="3"/>
      <c r="G9" s="26">
        <v>7.82</v>
      </c>
      <c r="H9" s="10"/>
      <c r="I9" s="10">
        <f t="shared" si="5"/>
        <v>815.61887271975752</v>
      </c>
      <c r="J9" s="10">
        <f t="shared" si="3"/>
        <v>6751203461.2596407</v>
      </c>
      <c r="K9" s="11">
        <f t="shared" si="4"/>
        <v>9.189314000000004E-2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8173595.1021507615</v>
      </c>
      <c r="D10" s="11">
        <v>1.6000000000000001E-3</v>
      </c>
      <c r="E10" s="10">
        <f t="shared" si="2"/>
        <v>13056.861185545102</v>
      </c>
      <c r="F10" s="3"/>
      <c r="G10" s="26">
        <v>7.6</v>
      </c>
      <c r="H10" s="10"/>
      <c r="I10" s="10">
        <f t="shared" si="5"/>
        <v>756.46343231288949</v>
      </c>
      <c r="J10" s="10">
        <f t="shared" si="3"/>
        <v>6183025805.3087873</v>
      </c>
      <c r="K10" s="11">
        <f t="shared" si="4"/>
        <v>7.7721600000000057E-2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8160538.2409652164</v>
      </c>
      <c r="D11" s="11">
        <v>1.03E-2</v>
      </c>
      <c r="E11" s="10">
        <f t="shared" si="2"/>
        <v>83196.618709236383</v>
      </c>
      <c r="F11" s="3"/>
      <c r="G11" s="26">
        <v>8.6199999999999992</v>
      </c>
      <c r="H11" s="10"/>
      <c r="I11" s="10">
        <f t="shared" si="5"/>
        <v>703.03292965881917</v>
      </c>
      <c r="J11" s="10">
        <f t="shared" si="3"/>
        <v>5737127107.1386032</v>
      </c>
      <c r="K11" s="11">
        <f t="shared" si="4"/>
        <v>9.7387860000000215E-2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8077341.62225598</v>
      </c>
      <c r="D12" s="11">
        <v>1.0699999999999999E-2</v>
      </c>
      <c r="E12" s="10">
        <f t="shared" si="2"/>
        <v>85512.570850042626</v>
      </c>
      <c r="F12" s="3"/>
      <c r="G12" s="26">
        <v>7.11</v>
      </c>
      <c r="H12" s="10"/>
      <c r="I12" s="10">
        <f t="shared" si="5"/>
        <v>647.24077486541989</v>
      </c>
      <c r="J12" s="10">
        <f t="shared" si="3"/>
        <v>5227984850.4416685</v>
      </c>
      <c r="K12" s="11">
        <f t="shared" si="4"/>
        <v>8.256076999999995E-2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7991829.0514059374</v>
      </c>
      <c r="D13" s="11">
        <v>1.12E-2</v>
      </c>
      <c r="E13" s="10">
        <f t="shared" si="2"/>
        <v>88517.093923800625</v>
      </c>
      <c r="F13" s="3"/>
      <c r="G13" s="26">
        <v>6.36</v>
      </c>
      <c r="H13" s="10"/>
      <c r="I13" s="10">
        <f t="shared" si="5"/>
        <v>604.27670139615338</v>
      </c>
      <c r="J13" s="10">
        <f t="shared" si="3"/>
        <v>4829276097.3055296</v>
      </c>
      <c r="K13" s="11">
        <f t="shared" si="4"/>
        <v>7.5512320000000299E-2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7903311.9574821368</v>
      </c>
      <c r="D14" s="11">
        <v>1.1599999999999999E-2</v>
      </c>
      <c r="E14" s="10">
        <f t="shared" si="2"/>
        <v>90627.143838269636</v>
      </c>
      <c r="F14" s="3"/>
      <c r="G14" s="26">
        <v>6.07</v>
      </c>
      <c r="H14" s="10"/>
      <c r="I14" s="10">
        <f t="shared" si="5"/>
        <v>568.1428181611069</v>
      </c>
      <c r="J14" s="10">
        <f t="shared" si="3"/>
        <v>4490209928.3302755</v>
      </c>
      <c r="K14" s="11">
        <f t="shared" si="4"/>
        <v>7.3004120000000228E-2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7812684.8136438671</v>
      </c>
      <c r="D15" s="11">
        <v>1.21E-2</v>
      </c>
      <c r="E15" s="10">
        <f t="shared" si="2"/>
        <v>93403.306239591911</v>
      </c>
      <c r="F15" s="3"/>
      <c r="G15" s="26">
        <v>5.92</v>
      </c>
      <c r="H15" s="10"/>
      <c r="I15" s="10">
        <f t="shared" si="5"/>
        <v>535.6300727454576</v>
      </c>
      <c r="J15" s="10">
        <f t="shared" si="3"/>
        <v>4184708935.0693965</v>
      </c>
      <c r="K15" s="11">
        <f t="shared" si="4"/>
        <v>7.2016319999999912E-2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7719281.5074042752</v>
      </c>
      <c r="D16" s="11">
        <v>1.24E-2</v>
      </c>
      <c r="E16" s="10">
        <f t="shared" si="2"/>
        <v>94546.711469589733</v>
      </c>
      <c r="F16" s="3"/>
      <c r="G16" s="26">
        <v>-5.75</v>
      </c>
      <c r="H16" s="10"/>
      <c r="I16" s="10">
        <f t="shared" si="5"/>
        <v>505.69304451043962</v>
      </c>
      <c r="J16" s="10">
        <f t="shared" si="3"/>
        <v>3903586966.9124036</v>
      </c>
      <c r="K16" s="11">
        <f t="shared" si="4"/>
        <v>-4.5812999999999993E-2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7624734.7959346855</v>
      </c>
      <c r="D17" s="11">
        <v>1.2800000000000001E-2</v>
      </c>
      <c r="E17" s="10">
        <f t="shared" si="2"/>
        <v>96363.15697863698</v>
      </c>
      <c r="F17" s="3"/>
      <c r="G17" s="26">
        <v>-14.8</v>
      </c>
      <c r="H17" s="10"/>
      <c r="I17" s="10">
        <f t="shared" si="5"/>
        <v>536.54434430815877</v>
      </c>
      <c r="J17" s="10">
        <f t="shared" si="3"/>
        <v>4091008331.6083784</v>
      </c>
      <c r="K17" s="11">
        <f t="shared" si="4"/>
        <v>-0.13709440000000017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7528371.6389560485</v>
      </c>
      <c r="D18" s="11">
        <v>1.34E-2</v>
      </c>
      <c r="E18" s="10">
        <f t="shared" si="2"/>
        <v>99546.260076980107</v>
      </c>
      <c r="F18" s="3"/>
      <c r="G18" s="26">
        <v>7.31</v>
      </c>
      <c r="H18" s="10"/>
      <c r="I18" s="10">
        <f t="shared" si="5"/>
        <v>629.74688299079673</v>
      </c>
      <c r="J18" s="10">
        <f t="shared" si="3"/>
        <v>4740968573.6288872</v>
      </c>
      <c r="K18" s="11">
        <f t="shared" si="4"/>
        <v>8.7479539999999911E-2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7428825.3788790684</v>
      </c>
      <c r="D19" s="11">
        <v>1.3899999999999999E-2</v>
      </c>
      <c r="E19" s="10">
        <f t="shared" si="2"/>
        <v>101845.02689261176</v>
      </c>
      <c r="F19" s="3"/>
      <c r="G19" s="26">
        <v>3.97</v>
      </c>
      <c r="H19" s="10"/>
      <c r="I19" s="10">
        <f t="shared" si="5"/>
        <v>586.8482741504024</v>
      </c>
      <c r="J19" s="10">
        <f t="shared" si="3"/>
        <v>4359593352.5598907</v>
      </c>
      <c r="K19" s="11">
        <f t="shared" si="4"/>
        <v>5.4151830000000123E-2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7326980.3519864567</v>
      </c>
      <c r="D20" s="11">
        <v>1.4500000000000001E-2</v>
      </c>
      <c r="E20" s="10">
        <f t="shared" si="2"/>
        <v>104722.73543992452</v>
      </c>
      <c r="F20" s="3"/>
      <c r="G20" s="26">
        <v>6.87</v>
      </c>
      <c r="H20" s="10"/>
      <c r="I20" s="10">
        <f t="shared" si="5"/>
        <v>564.44000591555482</v>
      </c>
      <c r="J20" s="10">
        <f t="shared" si="3"/>
        <v>4135640833.2183895</v>
      </c>
      <c r="K20" s="11">
        <f t="shared" si="4"/>
        <v>8.4196149999999914E-2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7222257.6165465321</v>
      </c>
      <c r="D21" s="11">
        <v>1.5100000000000001E-2</v>
      </c>
      <c r="E21" s="10">
        <f t="shared" si="2"/>
        <v>107433.83904034272</v>
      </c>
      <c r="F21" s="3"/>
      <c r="G21" s="26">
        <v>6.93</v>
      </c>
      <c r="H21" s="10"/>
      <c r="I21" s="10">
        <f t="shared" si="5"/>
        <v>528.15570872607361</v>
      </c>
      <c r="J21" s="10">
        <f t="shared" si="3"/>
        <v>3814476590.069417</v>
      </c>
      <c r="K21" s="11">
        <f t="shared" si="4"/>
        <v>8.5446429999999962E-2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7114823.7775061894</v>
      </c>
      <c r="D22" s="11">
        <v>1.6400000000000001E-2</v>
      </c>
      <c r="E22" s="10">
        <f t="shared" si="2"/>
        <v>114800.38365909178</v>
      </c>
      <c r="F22" s="3"/>
      <c r="G22" s="26">
        <v>-2.0299999999999998</v>
      </c>
      <c r="H22" s="10"/>
      <c r="I22" s="10">
        <f t="shared" si="5"/>
        <v>493.92659564768883</v>
      </c>
      <c r="J22" s="10">
        <f t="shared" si="3"/>
        <v>3514200687.0568614</v>
      </c>
      <c r="K22" s="11">
        <f t="shared" si="4"/>
        <v>-4.2329200000000844E-3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7000023.3938470976</v>
      </c>
      <c r="D23" s="11">
        <v>1.7399999999999999E-2</v>
      </c>
      <c r="E23" s="10">
        <f t="shared" si="2"/>
        <v>119717.32558771409</v>
      </c>
      <c r="F23" s="3"/>
      <c r="G23" s="26">
        <v>8.16</v>
      </c>
      <c r="H23" s="10"/>
      <c r="I23" s="10">
        <f t="shared" si="5"/>
        <v>504.16106527272512</v>
      </c>
      <c r="J23" s="10">
        <f t="shared" si="3"/>
        <v>3529139251.1759496</v>
      </c>
      <c r="K23" s="11">
        <f t="shared" si="4"/>
        <v>0.10041984000000004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6880306.0682593836</v>
      </c>
      <c r="D24" s="11">
        <v>1.7299999999999999E-2</v>
      </c>
      <c r="E24" s="10">
        <f t="shared" si="2"/>
        <v>117005.10663608368</v>
      </c>
      <c r="F24" s="3"/>
      <c r="G24" s="26">
        <v>5.91</v>
      </c>
      <c r="H24" s="10"/>
      <c r="I24" s="10">
        <f t="shared" si="5"/>
        <v>466.1252452595462</v>
      </c>
      <c r="J24" s="10">
        <f t="shared" si="3"/>
        <v>3207084353.5281491</v>
      </c>
      <c r="K24" s="11">
        <f t="shared" si="4"/>
        <v>7.7422429999999931E-2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6763300.9616232999</v>
      </c>
      <c r="D25" s="11">
        <v>1.7000000000000001E-2</v>
      </c>
      <c r="E25" s="10">
        <f t="shared" si="2"/>
        <v>113054.19503205083</v>
      </c>
      <c r="F25" s="3"/>
      <c r="G25" s="26">
        <v>5.56</v>
      </c>
      <c r="H25" s="10"/>
      <c r="I25" s="10">
        <f t="shared" si="5"/>
        <v>440.11447951991903</v>
      </c>
      <c r="J25" s="10">
        <f t="shared" si="3"/>
        <v>2976626682.5614066</v>
      </c>
      <c r="K25" s="11">
        <f t="shared" si="4"/>
        <v>7.3545199999999866E-2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6650246.766591249</v>
      </c>
      <c r="D26" s="11">
        <v>1.7600000000000001E-2</v>
      </c>
      <c r="E26" s="10">
        <f t="shared" si="2"/>
        <v>115019.99124607537</v>
      </c>
      <c r="F26" s="3"/>
      <c r="G26" s="26">
        <v>4.3</v>
      </c>
      <c r="H26" s="10"/>
      <c r="I26" s="10">
        <f t="shared" si="5"/>
        <v>416.93300447131395</v>
      </c>
      <c r="J26" s="10">
        <f t="shared" si="3"/>
        <v>2772707364.8705306</v>
      </c>
      <c r="K26" s="11">
        <f t="shared" si="4"/>
        <v>6.1356799999999989E-2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6535226.7753451737</v>
      </c>
      <c r="D27" s="11">
        <v>1.8700000000000001E-2</v>
      </c>
      <c r="E27" s="10">
        <f t="shared" si="2"/>
        <v>119965.38794439379</v>
      </c>
      <c r="F27" s="3"/>
      <c r="G27" s="26">
        <v>-6.7</v>
      </c>
      <c r="H27" s="10"/>
      <c r="I27" s="10">
        <f t="shared" si="5"/>
        <v>399.74401195715626</v>
      </c>
      <c r="J27" s="10">
        <f t="shared" si="3"/>
        <v>2612417770.2263088</v>
      </c>
      <c r="K27" s="11">
        <f t="shared" si="4"/>
        <v>-4.9552900000000122E-2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6415261.3874007799</v>
      </c>
      <c r="D28" s="11">
        <v>1.9599999999999999E-2</v>
      </c>
      <c r="E28" s="10">
        <f t="shared" si="2"/>
        <v>123322.01176251005</v>
      </c>
      <c r="F28" s="3"/>
      <c r="G28" s="26">
        <v>14.19</v>
      </c>
      <c r="H28" s="10"/>
      <c r="I28" s="10">
        <f t="shared" si="5"/>
        <v>428.45017358752011</v>
      </c>
      <c r="J28" s="10">
        <f t="shared" si="3"/>
        <v>2748619855.0411792</v>
      </c>
      <c r="K28" s="11">
        <f t="shared" si="4"/>
        <v>0.16428124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6291939.3756382698</v>
      </c>
      <c r="D29" s="11">
        <v>0.02</v>
      </c>
      <c r="E29" s="10">
        <f t="shared" si="2"/>
        <v>123371.36030663271</v>
      </c>
      <c r="F29" s="3"/>
      <c r="G29" s="26">
        <v>-2.0099999999999998</v>
      </c>
      <c r="H29" s="10"/>
      <c r="I29" s="10">
        <f t="shared" si="5"/>
        <v>375.20813870524574</v>
      </c>
      <c r="J29" s="10">
        <f t="shared" si="3"/>
        <v>2360786861.9794812</v>
      </c>
      <c r="K29" s="11">
        <f t="shared" si="4"/>
        <v>-5.0200000000000244E-4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6168568.0153316371</v>
      </c>
      <c r="D30" s="12">
        <v>2.0400000000000001E-2</v>
      </c>
      <c r="E30" s="10">
        <f t="shared" si="2"/>
        <v>123322.99834649637</v>
      </c>
      <c r="F30" s="3"/>
      <c r="G30" s="26">
        <v>-1.43</v>
      </c>
      <c r="H30" s="10"/>
      <c r="I30" s="10">
        <f t="shared" si="5"/>
        <v>382.90451954816382</v>
      </c>
      <c r="J30" s="10">
        <f t="shared" si="3"/>
        <v>2361972572.210731</v>
      </c>
      <c r="K30" s="11">
        <f t="shared" si="4"/>
        <v>5.80828000000011E-3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6045245.0169851407</v>
      </c>
      <c r="D31" s="13">
        <v>2.1299999999999999E-2</v>
      </c>
      <c r="E31" s="10">
        <f t="shared" si="2"/>
        <v>126078.25209221989</v>
      </c>
      <c r="F31" s="3"/>
      <c r="G31" s="26">
        <v>4.8899999999999997</v>
      </c>
      <c r="H31" s="10"/>
      <c r="I31" s="10">
        <f t="shared" si="5"/>
        <v>388.45949025886557</v>
      </c>
      <c r="J31" s="10">
        <f t="shared" si="3"/>
        <v>2348332797.7879949</v>
      </c>
      <c r="K31" s="11">
        <f t="shared" si="4"/>
        <v>7.1241569999999976E-2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5919166.7648929209</v>
      </c>
      <c r="D32" s="12">
        <v>2.2200000000000001E-2</v>
      </c>
      <c r="E32" s="10">
        <f t="shared" si="2"/>
        <v>128551.65543007478</v>
      </c>
      <c r="F32" s="3"/>
      <c r="G32" s="26">
        <v>5.07</v>
      </c>
      <c r="H32" s="10"/>
      <c r="I32" s="10">
        <f t="shared" si="5"/>
        <v>370.34940438446523</v>
      </c>
      <c r="J32" s="10">
        <f t="shared" si="3"/>
        <v>2192159885.8304152</v>
      </c>
      <c r="K32" s="11">
        <f t="shared" si="4"/>
        <v>7.4025539999999834E-2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5790615.1094628461</v>
      </c>
      <c r="D33" s="13">
        <v>2.3E-2</v>
      </c>
      <c r="E33" s="10">
        <f t="shared" si="2"/>
        <v>130189.78251969162</v>
      </c>
      <c r="F33" s="3"/>
      <c r="G33" s="29">
        <v>7.01</v>
      </c>
      <c r="H33" s="10"/>
      <c r="I33" s="10">
        <f t="shared" si="5"/>
        <v>352.47873263963572</v>
      </c>
      <c r="J33" s="10">
        <f t="shared" si="3"/>
        <v>2041068674.9873896</v>
      </c>
      <c r="K33" s="11">
        <f t="shared" si="4"/>
        <v>9.471229999999986E-2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5660425.3269431544</v>
      </c>
      <c r="D34" s="12">
        <v>2.35E-2</v>
      </c>
      <c r="E34" s="10">
        <f t="shared" si="2"/>
        <v>129965.79890880734</v>
      </c>
      <c r="F34" s="3"/>
      <c r="G34" s="29">
        <v>5.62</v>
      </c>
      <c r="H34" s="10"/>
      <c r="I34" s="10">
        <f t="shared" si="5"/>
        <v>329.3885923181345</v>
      </c>
      <c r="J34" s="10">
        <f t="shared" ref="J34:J65" si="6">IF(I34="","",I34*C34)</f>
        <v>1864479530.3637218</v>
      </c>
      <c r="K34" s="11">
        <f t="shared" ref="K34:K65" si="7">IFERROR(J34/J35-1,"")</f>
        <v>9.4326200000000027E-2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5530459.5280343471</v>
      </c>
      <c r="D35" s="11">
        <v>2.1399999999999999E-2</v>
      </c>
      <c r="E35" s="10">
        <f t="shared" si="2"/>
        <v>115872.16947320849</v>
      </c>
      <c r="F35" s="3"/>
      <c r="G35" s="29">
        <v>4.31</v>
      </c>
      <c r="H35" s="10"/>
      <c r="I35" s="10">
        <f t="shared" ref="I35:I66" si="8">IF(H35&lt;&gt;"",H35,I34/(1+IF(G34="",0,G34)/100))</f>
        <v>308.070138718794</v>
      </c>
      <c r="J35" s="10">
        <f t="shared" si="6"/>
        <v>1703769433.9802172</v>
      </c>
      <c r="K35" s="11">
        <f t="shared" si="7"/>
        <v>9.3000139999999787E-2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5414587.3585611386</v>
      </c>
      <c r="D36" s="11">
        <v>1.9900000000000001E-2</v>
      </c>
      <c r="E36" s="10">
        <f t="shared" si="2"/>
        <v>105647.89531852771</v>
      </c>
      <c r="F36" s="3"/>
      <c r="G36" s="29">
        <v>2.21</v>
      </c>
      <c r="H36" s="10"/>
      <c r="I36" s="10">
        <f t="shared" si="8"/>
        <v>287.88911196971685</v>
      </c>
      <c r="J36" s="10">
        <f t="shared" si="6"/>
        <v>1558800746.3386211</v>
      </c>
      <c r="K36" s="11">
        <f t="shared" si="7"/>
        <v>9.1394990000000176E-2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5308939.4632426109</v>
      </c>
      <c r="D37" s="11">
        <v>0.02</v>
      </c>
      <c r="E37" s="10">
        <f t="shared" si="2"/>
        <v>104096.85222044308</v>
      </c>
      <c r="F37" s="3"/>
      <c r="G37" s="29">
        <v>-17.76</v>
      </c>
      <c r="H37" s="10"/>
      <c r="I37" s="10">
        <f t="shared" si="8"/>
        <v>269.03010183133989</v>
      </c>
      <c r="J37" s="10">
        <f t="shared" si="6"/>
        <v>1428264524.4125786</v>
      </c>
      <c r="K37" s="11">
        <f t="shared" si="7"/>
        <v>-0.10709200000000019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5204842.6110221678</v>
      </c>
      <c r="D38" s="11">
        <v>1.9599999999999999E-2</v>
      </c>
      <c r="E38" s="10">
        <f t="shared" si="2"/>
        <v>100053.85952926148</v>
      </c>
      <c r="F38" s="3"/>
      <c r="G38" s="29">
        <v>-13.52</v>
      </c>
      <c r="H38" s="10"/>
      <c r="I38" s="10">
        <f t="shared" si="8"/>
        <v>307.32248324347717</v>
      </c>
      <c r="J38" s="10">
        <f t="shared" si="6"/>
        <v>1599565156.1107962</v>
      </c>
      <c r="K38" s="11">
        <f t="shared" si="7"/>
        <v>-8.0524719999999883E-2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5104788.7514929064</v>
      </c>
      <c r="D39" s="11">
        <v>2.0199999999999999E-2</v>
      </c>
      <c r="E39" s="10">
        <f t="shared" si="2"/>
        <v>101075.01742810849</v>
      </c>
      <c r="F39" s="3"/>
      <c r="G39" s="29">
        <v>11.33</v>
      </c>
      <c r="H39" s="10"/>
      <c r="I39" s="10">
        <f t="shared" si="8"/>
        <v>340.7878501258341</v>
      </c>
      <c r="J39" s="10">
        <f t="shared" si="6"/>
        <v>1739649983.9678082</v>
      </c>
      <c r="K39" s="11">
        <f t="shared" si="7"/>
        <v>0.13578865999999978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5003713.7340647979</v>
      </c>
      <c r="D40" s="11">
        <v>2.06E-2</v>
      </c>
      <c r="E40" s="10">
        <f t="shared" si="2"/>
        <v>100995.98561800364</v>
      </c>
      <c r="F40" s="3"/>
      <c r="G40" s="29">
        <v>-4.3</v>
      </c>
      <c r="H40" s="10"/>
      <c r="I40" s="10">
        <f t="shared" si="8"/>
        <v>306.10603622189359</v>
      </c>
      <c r="J40" s="10">
        <f t="shared" si="6"/>
        <v>1531666977.5236254</v>
      </c>
      <c r="K40" s="11">
        <f t="shared" si="7"/>
        <v>-2.3285800000000245E-2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4902717.7484467942</v>
      </c>
      <c r="D41" s="11">
        <v>2.0400000000000001E-2</v>
      </c>
      <c r="E41" s="10">
        <f t="shared" si="2"/>
        <v>98015.917354286648</v>
      </c>
      <c r="F41" s="3"/>
      <c r="G41" s="30">
        <v>3.71</v>
      </c>
      <c r="H41" s="10"/>
      <c r="I41" s="10">
        <f t="shared" si="8"/>
        <v>319.86001695077704</v>
      </c>
      <c r="J41" s="10">
        <f t="shared" si="6"/>
        <v>1568183382.1230671</v>
      </c>
      <c r="K41" s="11">
        <f t="shared" si="7"/>
        <v>5.8256839999999643E-2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4804701.8310925076</v>
      </c>
      <c r="D42" s="11">
        <v>2.07E-2</v>
      </c>
      <c r="E42" s="10">
        <f t="shared" si="2"/>
        <v>97440.313415905461</v>
      </c>
      <c r="F42" s="3"/>
      <c r="G42" s="29">
        <v>-6.89</v>
      </c>
      <c r="H42" s="10"/>
      <c r="I42" s="10">
        <f t="shared" si="8"/>
        <v>308.41771955527634</v>
      </c>
      <c r="J42" s="10">
        <f t="shared" si="6"/>
        <v>1481855181.8886118</v>
      </c>
      <c r="K42" s="11">
        <f t="shared" si="7"/>
        <v>-4.9626229999999882E-2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4707261.5176766021</v>
      </c>
      <c r="D43" s="11">
        <v>2.2100000000000002E-2</v>
      </c>
      <c r="E43" s="10">
        <f t="shared" si="2"/>
        <v>101781.11685808934</v>
      </c>
      <c r="F43" s="3"/>
      <c r="G43" s="29">
        <v>8.6199999999999992</v>
      </c>
      <c r="H43" s="10"/>
      <c r="I43" s="10">
        <f t="shared" si="8"/>
        <v>331.24016706613287</v>
      </c>
      <c r="J43" s="10">
        <f t="shared" si="6"/>
        <v>1559234091.5391757</v>
      </c>
      <c r="K43" s="11">
        <f t="shared" si="7"/>
        <v>0.11020501999999999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4605480.4008185128</v>
      </c>
      <c r="D44" s="11">
        <v>2.3099999999999999E-2</v>
      </c>
      <c r="E44" s="10">
        <f t="shared" si="2"/>
        <v>103984.55406011827</v>
      </c>
      <c r="F44" s="3"/>
      <c r="G44" s="29">
        <v>8.42</v>
      </c>
      <c r="H44" s="10"/>
      <c r="I44" s="10">
        <f t="shared" si="8"/>
        <v>304.95320112882791</v>
      </c>
      <c r="J44" s="10">
        <f t="shared" si="6"/>
        <v>1404455990.965683</v>
      </c>
      <c r="K44" s="11">
        <f t="shared" si="7"/>
        <v>0.10924502000000014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4501495.8467583945</v>
      </c>
      <c r="D45" s="11">
        <v>2.4E-2</v>
      </c>
      <c r="E45" s="10">
        <f t="shared" si="2"/>
        <v>105503.80890840013</v>
      </c>
      <c r="F45" s="3"/>
      <c r="G45" s="29">
        <v>9.6</v>
      </c>
      <c r="H45" s="10"/>
      <c r="I45" s="10">
        <f t="shared" si="8"/>
        <v>281.27024638334984</v>
      </c>
      <c r="J45" s="10">
        <f t="shared" si="6"/>
        <v>1266136845.9113595</v>
      </c>
      <c r="K45" s="11">
        <f t="shared" si="7"/>
        <v>0.12230400000000019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4395992.0378499944</v>
      </c>
      <c r="D46" s="11">
        <v>2.3699999999999999E-2</v>
      </c>
      <c r="E46" s="10">
        <f t="shared" si="2"/>
        <v>101772.99140084535</v>
      </c>
      <c r="F46" s="3"/>
      <c r="G46" s="29">
        <v>9.07</v>
      </c>
      <c r="H46" s="10"/>
      <c r="I46" s="10">
        <f t="shared" si="8"/>
        <v>256.63343648115858</v>
      </c>
      <c r="J46" s="10">
        <f t="shared" si="6"/>
        <v>1128158543.4172554</v>
      </c>
      <c r="K46" s="11">
        <f t="shared" si="7"/>
        <v>0.1165495900000002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4294219.046449149</v>
      </c>
      <c r="D47" s="11">
        <v>2.35E-2</v>
      </c>
      <c r="E47" s="10">
        <f t="shared" si="2"/>
        <v>98597.115380122326</v>
      </c>
      <c r="F47" s="3"/>
      <c r="G47" s="29">
        <v>10.43</v>
      </c>
      <c r="H47" s="10"/>
      <c r="I47" s="10">
        <f t="shared" si="8"/>
        <v>235.29241448717207</v>
      </c>
      <c r="J47" s="10">
        <f t="shared" si="6"/>
        <v>1010397167.7758219</v>
      </c>
      <c r="K47" s="11">
        <f t="shared" si="7"/>
        <v>0.13025105000000003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4195621.9310690267</v>
      </c>
      <c r="D48" s="11">
        <v>2.4500000000000001E-2</v>
      </c>
      <c r="E48" s="10">
        <f t="shared" si="2"/>
        <v>100334.5410553352</v>
      </c>
      <c r="F48" s="3"/>
      <c r="G48" s="29">
        <v>2.2200000000000002</v>
      </c>
      <c r="H48" s="10"/>
      <c r="I48" s="10">
        <f t="shared" si="8"/>
        <v>213.06928777250027</v>
      </c>
      <c r="J48" s="10">
        <f t="shared" si="6"/>
        <v>893958176.61555982</v>
      </c>
      <c r="K48" s="11">
        <f t="shared" si="7"/>
        <v>4.7243900000000005E-2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4095287.3900136915</v>
      </c>
      <c r="D49" s="11">
        <v>2.53E-2</v>
      </c>
      <c r="E49" s="10">
        <f t="shared" si="2"/>
        <v>101054.10218213871</v>
      </c>
      <c r="F49" s="3"/>
      <c r="G49" s="29">
        <v>3.3</v>
      </c>
      <c r="H49" s="10"/>
      <c r="I49" s="10">
        <f t="shared" si="8"/>
        <v>208.44187807914329</v>
      </c>
      <c r="J49" s="10">
        <f t="shared" si="6"/>
        <v>853629394.84828687</v>
      </c>
      <c r="K49" s="11">
        <f t="shared" si="7"/>
        <v>5.9134900000000101E-2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3994233.2878315528</v>
      </c>
      <c r="D50" s="11">
        <v>2.5999999999999999E-2</v>
      </c>
      <c r="E50" s="10">
        <f t="shared" si="2"/>
        <v>101218.38741093595</v>
      </c>
      <c r="F50" s="3"/>
      <c r="G50" s="29">
        <v>1.35</v>
      </c>
      <c r="H50" s="10"/>
      <c r="I50" s="10">
        <f t="shared" si="8"/>
        <v>201.78303783072926</v>
      </c>
      <c r="J50" s="10">
        <f t="shared" si="6"/>
        <v>805968526.6232723</v>
      </c>
      <c r="K50" s="11">
        <f t="shared" si="7"/>
        <v>3.9851000000000081E-2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3893014.9004206168</v>
      </c>
      <c r="D51" s="11">
        <v>2.5399999999999999E-2</v>
      </c>
      <c r="E51" s="10">
        <f t="shared" si="2"/>
        <v>96433.175805231091</v>
      </c>
      <c r="F51" s="3"/>
      <c r="G51" s="29">
        <v>6.24</v>
      </c>
      <c r="H51" s="10"/>
      <c r="I51" s="10">
        <f t="shared" si="8"/>
        <v>199.09525192967857</v>
      </c>
      <c r="J51" s="10">
        <f t="shared" si="6"/>
        <v>775080782.36523521</v>
      </c>
      <c r="K51" s="11">
        <f t="shared" si="7"/>
        <v>8.9384960000000069E-2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3796581.7246153858</v>
      </c>
      <c r="D52" s="11">
        <v>2.5100000000000001E-2</v>
      </c>
      <c r="E52" s="10">
        <f t="shared" si="2"/>
        <v>92960.883121496066</v>
      </c>
      <c r="F52" s="3"/>
      <c r="G52" s="29">
        <v>1.34</v>
      </c>
      <c r="H52" s="10"/>
      <c r="I52" s="10">
        <f t="shared" si="8"/>
        <v>187.40140430127877</v>
      </c>
      <c r="J52" s="10">
        <f t="shared" si="6"/>
        <v>711484746.73749411</v>
      </c>
      <c r="K52" s="11">
        <f t="shared" si="7"/>
        <v>3.8836340000000025E-2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3703620.8414938897</v>
      </c>
      <c r="D53" s="11">
        <v>2.6200000000000001E-2</v>
      </c>
      <c r="E53" s="10">
        <f t="shared" si="2"/>
        <v>94557.46057994524</v>
      </c>
      <c r="F53" s="3"/>
      <c r="G53" s="29">
        <v>6.97</v>
      </c>
      <c r="H53" s="10"/>
      <c r="I53" s="10">
        <f t="shared" si="8"/>
        <v>184.92343033479253</v>
      </c>
      <c r="J53" s="10">
        <f t="shared" si="6"/>
        <v>684886270.66848099</v>
      </c>
      <c r="K53" s="11">
        <f t="shared" si="7"/>
        <v>9.7726140000000017E-2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3609063.3809139444</v>
      </c>
      <c r="D54" s="11">
        <v>2.6700000000000002E-2</v>
      </c>
      <c r="E54" s="10">
        <f t="shared" si="2"/>
        <v>93856.036106362473</v>
      </c>
      <c r="F54" s="3"/>
      <c r="G54" s="29">
        <v>3.3</v>
      </c>
      <c r="H54" s="10"/>
      <c r="I54" s="10">
        <f t="shared" si="8"/>
        <v>172.87410520219922</v>
      </c>
      <c r="J54" s="10">
        <f t="shared" si="6"/>
        <v>623913602.59352207</v>
      </c>
      <c r="K54" s="11">
        <f t="shared" si="7"/>
        <v>6.0581100000000054E-2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3515207.344807582</v>
      </c>
      <c r="D55" s="11">
        <v>2.7E-2</v>
      </c>
      <c r="E55" s="10">
        <f t="shared" si="2"/>
        <v>92415.382969624363</v>
      </c>
      <c r="F55" s="3"/>
      <c r="G55" s="29">
        <v>9.5299999999999994</v>
      </c>
      <c r="H55" s="10"/>
      <c r="I55" s="10">
        <f t="shared" si="8"/>
        <v>167.35150552003799</v>
      </c>
      <c r="J55" s="10">
        <f t="shared" si="6"/>
        <v>588275241.36864412</v>
      </c>
      <c r="K55" s="11">
        <f t="shared" si="7"/>
        <v>0.12487309999999963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3422791.9618379576</v>
      </c>
      <c r="D56" s="11">
        <v>2.75E-2</v>
      </c>
      <c r="E56" s="10">
        <f t="shared" si="2"/>
        <v>91607.570754787419</v>
      </c>
      <c r="F56" s="3"/>
      <c r="G56" s="29">
        <v>11.7</v>
      </c>
      <c r="H56" s="10"/>
      <c r="I56" s="10">
        <f t="shared" si="8"/>
        <v>152.79056470376884</v>
      </c>
      <c r="J56" s="10">
        <f t="shared" si="6"/>
        <v>522970316.71274233</v>
      </c>
      <c r="K56" s="11">
        <f t="shared" si="7"/>
        <v>0.14771750000000017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3331184.3910831702</v>
      </c>
      <c r="D57" s="11">
        <v>2.8000000000000001E-2</v>
      </c>
      <c r="E57" s="10">
        <f t="shared" si="2"/>
        <v>90732.648784366436</v>
      </c>
      <c r="F57" s="3"/>
      <c r="G57" s="29">
        <v>10.87</v>
      </c>
      <c r="H57" s="10"/>
      <c r="I57" s="10">
        <f t="shared" si="8"/>
        <v>136.78653957365159</v>
      </c>
      <c r="J57" s="10">
        <f t="shared" si="6"/>
        <v>455661185.53802854</v>
      </c>
      <c r="K57" s="11">
        <f t="shared" si="7"/>
        <v>0.13974360000000008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3240451.7422988038</v>
      </c>
      <c r="D58" s="11">
        <v>2.8500000000000001E-2</v>
      </c>
      <c r="E58" s="10">
        <f t="shared" si="2"/>
        <v>89793.752703466918</v>
      </c>
      <c r="F58" s="3"/>
      <c r="G58" s="26">
        <v>2.98</v>
      </c>
      <c r="H58" s="10"/>
      <c r="I58" s="10">
        <f t="shared" si="8"/>
        <v>123.37561069148695</v>
      </c>
      <c r="J58" s="10">
        <f t="shared" si="6"/>
        <v>399792712.62240779</v>
      </c>
      <c r="K58" s="11">
        <f t="shared" si="7"/>
        <v>5.9149299999999849E-2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3150657.9895953368</v>
      </c>
      <c r="D59" s="11">
        <v>2.8500000000000001E-2</v>
      </c>
      <c r="E59" s="10">
        <f t="shared" si="2"/>
        <v>87305.544680084568</v>
      </c>
      <c r="F59" s="3"/>
      <c r="G59" s="26">
        <v>3.26</v>
      </c>
      <c r="H59" s="10"/>
      <c r="I59" s="10">
        <f t="shared" si="8"/>
        <v>119.805409488723</v>
      </c>
      <c r="J59" s="10">
        <f t="shared" si="6"/>
        <v>377465870.60238612</v>
      </c>
      <c r="K59" s="11">
        <f t="shared" si="7"/>
        <v>6.2029099999999948E-2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3063352.4449152523</v>
      </c>
      <c r="D60" s="11">
        <v>2.8500000000000001E-2</v>
      </c>
      <c r="E60" s="10">
        <f t="shared" si="2"/>
        <v>84886.28554213373</v>
      </c>
      <c r="F60" s="3"/>
      <c r="G60" s="26">
        <v>3.08</v>
      </c>
      <c r="H60" s="10"/>
      <c r="I60" s="10">
        <f t="shared" si="8"/>
        <v>116.02305780430274</v>
      </c>
      <c r="J60" s="10">
        <f t="shared" si="6"/>
        <v>355419517.79135442</v>
      </c>
      <c r="K60" s="11">
        <f t="shared" si="7"/>
        <v>6.0177799999999726E-2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2978466.1593731185</v>
      </c>
      <c r="D61" s="11">
        <v>2.8500000000000001E-2</v>
      </c>
      <c r="E61" s="10">
        <f t="shared" si="2"/>
        <v>82534.0646982342</v>
      </c>
      <c r="F61" s="3"/>
      <c r="G61" s="26">
        <v>2.95</v>
      </c>
      <c r="H61" s="10"/>
      <c r="I61" s="10">
        <f t="shared" si="8"/>
        <v>112.55632305423239</v>
      </c>
      <c r="J61" s="10">
        <f t="shared" si="6"/>
        <v>335245199.24049956</v>
      </c>
      <c r="K61" s="11">
        <f t="shared" si="7"/>
        <v>5.8840750000000108E-2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2895932.0946748843</v>
      </c>
      <c r="D62" s="11">
        <v>2.8500000000000001E-2</v>
      </c>
      <c r="E62" s="10">
        <f t="shared" si="2"/>
        <v>80247.024499984458</v>
      </c>
      <c r="F62" s="3"/>
      <c r="G62" s="26">
        <v>3.18</v>
      </c>
      <c r="H62" s="10"/>
      <c r="I62" s="10">
        <f t="shared" si="8"/>
        <v>109.33105687637919</v>
      </c>
      <c r="J62" s="10">
        <f t="shared" si="6"/>
        <v>316615316.55303174</v>
      </c>
      <c r="K62" s="11">
        <f t="shared" si="7"/>
        <v>6.1206300000000047E-2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2815685.0701748999</v>
      </c>
      <c r="D63" s="11">
        <v>2.8500000000000001E-2</v>
      </c>
      <c r="E63" s="10">
        <f t="shared" si="2"/>
        <v>78023.358774899971</v>
      </c>
      <c r="F63" s="3"/>
      <c r="G63" s="26">
        <v>3.14</v>
      </c>
      <c r="H63" s="10"/>
      <c r="I63" s="10">
        <f t="shared" si="8"/>
        <v>105.96148175652179</v>
      </c>
      <c r="J63" s="10">
        <f t="shared" si="6"/>
        <v>298354162.19544846</v>
      </c>
      <c r="K63" s="11">
        <f t="shared" si="7"/>
        <v>6.0794900000000318E-2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2737661.7113999999</v>
      </c>
      <c r="D64" s="11">
        <v>2.8500000000000001E-2</v>
      </c>
      <c r="E64" s="10">
        <f t="shared" si="2"/>
        <v>75861.311400000006</v>
      </c>
      <c r="F64" s="3"/>
      <c r="G64" s="26">
        <v>3.08</v>
      </c>
      <c r="H64" s="10"/>
      <c r="I64" s="10">
        <f t="shared" si="8"/>
        <v>102.7355844061681</v>
      </c>
      <c r="J64" s="10">
        <f t="shared" si="6"/>
        <v>281255275.82706928</v>
      </c>
      <c r="K64" s="11">
        <f t="shared" si="7"/>
        <v>6.0177799999999948E-2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2661800.4</v>
      </c>
      <c r="D65" s="11">
        <v>2.8000000000000001E-2</v>
      </c>
      <c r="E65" s="10">
        <f t="shared" si="2"/>
        <v>72500.399999999907</v>
      </c>
      <c r="F65" s="3"/>
      <c r="G65" s="26">
        <v>3.03</v>
      </c>
      <c r="H65" s="10"/>
      <c r="I65" s="10">
        <f t="shared" si="8"/>
        <v>99.665875442537939</v>
      </c>
      <c r="J65" s="10">
        <f t="shared" si="6"/>
        <v>265290667.11929765</v>
      </c>
      <c r="K65" s="11">
        <f t="shared" si="7"/>
        <v>5.914839999999999E-2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2589300</v>
      </c>
      <c r="D66" s="11">
        <v>2.75E-2</v>
      </c>
      <c r="E66" s="10">
        <f t="shared" si="2"/>
        <v>69300</v>
      </c>
      <c r="F66" s="3"/>
      <c r="G66" s="26">
        <v>3.17</v>
      </c>
      <c r="H66" s="10"/>
      <c r="I66" s="10">
        <f t="shared" si="8"/>
        <v>96.734810678965289</v>
      </c>
      <c r="J66" s="10">
        <f t="shared" ref="J66:J67" si="9">IF(I66="","",I66*C66)</f>
        <v>250475445.29104483</v>
      </c>
      <c r="K66" s="11">
        <f t="shared" ref="K66" si="10">IFERROR(J66/J67-1,"")</f>
        <v>6.007175000000009E-2</v>
      </c>
    </row>
    <row r="67" spans="1:11" ht="22.5" customHeight="1">
      <c r="A67" s="3">
        <f t="shared" si="0"/>
        <v>1950</v>
      </c>
      <c r="B67" s="3">
        <v>1700</v>
      </c>
      <c r="C67" s="10">
        <v>2520000</v>
      </c>
      <c r="D67" s="11">
        <v>2.7E-2</v>
      </c>
      <c r="E67" s="3" t="s">
        <v>72</v>
      </c>
      <c r="F67" s="3"/>
      <c r="G67" s="29">
        <v>8.6199999999999992</v>
      </c>
      <c r="H67" s="10"/>
      <c r="I67" s="10">
        <f t="shared" ref="I67" si="11">IF(H67&lt;&gt;"",H67,I66/(1+IF(G66="",0,G66)/100))</f>
        <v>93.762538217471445</v>
      </c>
      <c r="J67" s="10">
        <f t="shared" si="9"/>
        <v>236281596.30802804</v>
      </c>
      <c r="K67" s="11"/>
    </row>
  </sheetData>
  <dataValidations count="1">
    <dataValidation type="custom" allowBlank="1" showDropDown="1" sqref="D2:D67" xr:uid="{00000000-0002-0000-0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67"/>
  <sheetViews>
    <sheetView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27332501.14654782</v>
      </c>
      <c r="D2" s="11">
        <v>3.61E-2</v>
      </c>
      <c r="E2" s="10">
        <f t="shared" ref="E2:E66" si="2">SUM(C2-C3)</f>
        <v>952324.38122804463</v>
      </c>
      <c r="F2" s="14">
        <v>27332521</v>
      </c>
      <c r="G2" s="26">
        <v>6.24</v>
      </c>
      <c r="H2" s="10"/>
      <c r="I2" s="10">
        <f>IF(H2&lt;&gt;"",H2,2416)</f>
        <v>302</v>
      </c>
      <c r="J2" s="10">
        <f t="shared" ref="J2:J33" si="3">IF(I2="","",I2*C2)</f>
        <v>8254415346.2574415</v>
      </c>
      <c r="K2" s="11">
        <f t="shared" ref="K2:K33" si="4">IFERROR(J2/J3-1,"")</f>
        <v>0.10075264000000006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26380176.765319776</v>
      </c>
      <c r="D3" s="11">
        <v>3.73E-2</v>
      </c>
      <c r="E3" s="10">
        <f t="shared" si="2"/>
        <v>948597.89197573438</v>
      </c>
      <c r="F3" s="3"/>
      <c r="G3" s="26">
        <v>6.5</v>
      </c>
      <c r="H3" s="10"/>
      <c r="I3" s="10">
        <f t="shared" ref="I3:I34" si="5">IF(H3&lt;&gt;"",H3,I2/(1+IF(G2="",0,G2)/100))</f>
        <v>284.26204819277109</v>
      </c>
      <c r="J3" s="10">
        <f t="shared" si="3"/>
        <v>7498883078.9971504</v>
      </c>
      <c r="K3" s="11">
        <f t="shared" si="4"/>
        <v>0.10472450000000011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25431578.873344041</v>
      </c>
      <c r="D4" s="11">
        <v>3.85E-2</v>
      </c>
      <c r="E4" s="10">
        <f t="shared" si="2"/>
        <v>942817.31981102005</v>
      </c>
      <c r="F4" s="3"/>
      <c r="G4" s="26">
        <v>3.29</v>
      </c>
      <c r="H4" s="10"/>
      <c r="I4" s="10">
        <f t="shared" si="5"/>
        <v>266.91272130776628</v>
      </c>
      <c r="J4" s="10">
        <f t="shared" si="3"/>
        <v>6788011924.2373552</v>
      </c>
      <c r="K4" s="11">
        <f t="shared" si="4"/>
        <v>7.2666649999999944E-2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24488761.553533021</v>
      </c>
      <c r="D5" s="11">
        <v>3.8800000000000001E-2</v>
      </c>
      <c r="E5" s="10">
        <f t="shared" si="2"/>
        <v>914674.57477578148</v>
      </c>
      <c r="F5" s="3"/>
      <c r="G5" s="26">
        <v>-1.07</v>
      </c>
      <c r="H5" s="10"/>
      <c r="I5" s="10">
        <f t="shared" si="5"/>
        <v>258.41099942663016</v>
      </c>
      <c r="J5" s="10">
        <f t="shared" si="3"/>
        <v>6328165347.7689037</v>
      </c>
      <c r="K5" s="11">
        <f t="shared" si="4"/>
        <v>2.7684839999999822E-2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23574086.97875724</v>
      </c>
      <c r="D6" s="11">
        <v>3.8899999999999997E-2</v>
      </c>
      <c r="E6" s="10">
        <f t="shared" si="2"/>
        <v>882695.14243301004</v>
      </c>
      <c r="F6" s="3"/>
      <c r="G6" s="26">
        <v>-2.94</v>
      </c>
      <c r="H6" s="10"/>
      <c r="I6" s="10">
        <f t="shared" si="5"/>
        <v>261.205902584282</v>
      </c>
      <c r="J6" s="10">
        <f t="shared" si="3"/>
        <v>6157690666.8866549</v>
      </c>
      <c r="K6" s="11">
        <f t="shared" si="4"/>
        <v>8.3563399999999621E-3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22691391.83632423</v>
      </c>
      <c r="D7" s="11">
        <v>3.85E-2</v>
      </c>
      <c r="E7" s="10">
        <f t="shared" si="2"/>
        <v>841231.18507316709</v>
      </c>
      <c r="F7" s="3"/>
      <c r="G7" s="26">
        <v>5.58</v>
      </c>
      <c r="H7" s="10"/>
      <c r="I7" s="10">
        <f t="shared" si="5"/>
        <v>269.11797092961262</v>
      </c>
      <c r="J7" s="10">
        <f t="shared" si="3"/>
        <v>6106661328.5603533</v>
      </c>
      <c r="K7" s="11">
        <f t="shared" si="4"/>
        <v>9.6448300000000042E-2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21850160.651251063</v>
      </c>
      <c r="D8" s="11">
        <v>3.7999999999999999E-2</v>
      </c>
      <c r="E8" s="10">
        <f t="shared" si="2"/>
        <v>799909.54214599356</v>
      </c>
      <c r="F8" s="3"/>
      <c r="G8" s="26">
        <v>5.45</v>
      </c>
      <c r="H8" s="10"/>
      <c r="I8" s="10">
        <f t="shared" si="5"/>
        <v>254.89483891798884</v>
      </c>
      <c r="J8" s="10">
        <f t="shared" si="3"/>
        <v>5569493179.5328178</v>
      </c>
      <c r="K8" s="11">
        <f t="shared" si="4"/>
        <v>9.4571000000000183E-2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21050251.109105069</v>
      </c>
      <c r="D9" s="11">
        <v>3.78E-2</v>
      </c>
      <c r="E9" s="10">
        <f t="shared" si="2"/>
        <v>766717.56785909832</v>
      </c>
      <c r="F9" s="3"/>
      <c r="G9" s="26">
        <v>3.64</v>
      </c>
      <c r="H9" s="10"/>
      <c r="I9" s="10">
        <f t="shared" si="5"/>
        <v>241.72104212232227</v>
      </c>
      <c r="J9" s="10">
        <f t="shared" si="3"/>
        <v>5088288635.0294476</v>
      </c>
      <c r="K9" s="11">
        <f t="shared" si="4"/>
        <v>7.5575919999999908E-2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20283533.541245971</v>
      </c>
      <c r="D10" s="11">
        <v>3.7400000000000003E-2</v>
      </c>
      <c r="E10" s="10">
        <f t="shared" si="2"/>
        <v>731255.20960343257</v>
      </c>
      <c r="F10" s="3"/>
      <c r="G10" s="26">
        <v>1.76</v>
      </c>
      <c r="H10" s="10"/>
      <c r="I10" s="10">
        <f t="shared" si="5"/>
        <v>233.23141848931135</v>
      </c>
      <c r="J10" s="10">
        <f t="shared" si="3"/>
        <v>4730757299.8003225</v>
      </c>
      <c r="K10" s="11">
        <f t="shared" si="4"/>
        <v>5.5658240000000081E-2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19552278.331642538</v>
      </c>
      <c r="D11" s="11">
        <v>3.6799999999999999E-2</v>
      </c>
      <c r="E11" s="10">
        <f t="shared" si="2"/>
        <v>693985.18769718707</v>
      </c>
      <c r="F11" s="3"/>
      <c r="G11" s="26">
        <v>3.69</v>
      </c>
      <c r="H11" s="10"/>
      <c r="I11" s="10">
        <f t="shared" si="5"/>
        <v>229.1975417544333</v>
      </c>
      <c r="J11" s="10">
        <f t="shared" si="3"/>
        <v>4481334129.3109426</v>
      </c>
      <c r="K11" s="11">
        <f t="shared" si="4"/>
        <v>7.5057919999999889E-2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18858293.143945351</v>
      </c>
      <c r="D12" s="11">
        <v>3.6499999999999998E-2</v>
      </c>
      <c r="E12" s="10">
        <f t="shared" si="2"/>
        <v>664088.47057791054</v>
      </c>
      <c r="F12" s="3"/>
      <c r="G12" s="26">
        <v>2.54</v>
      </c>
      <c r="H12" s="10"/>
      <c r="I12" s="10">
        <f t="shared" si="5"/>
        <v>221.04112426891052</v>
      </c>
      <c r="J12" s="10">
        <f t="shared" si="3"/>
        <v>4168458318.3303676</v>
      </c>
      <c r="K12" s="11">
        <f t="shared" si="4"/>
        <v>6.2827100000000025E-2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18194204.673367441</v>
      </c>
      <c r="D13" s="11">
        <v>3.5900000000000001E-2</v>
      </c>
      <c r="E13" s="10">
        <f t="shared" si="2"/>
        <v>630535.71558441222</v>
      </c>
      <c r="F13" s="3"/>
      <c r="G13" s="26">
        <v>1.48</v>
      </c>
      <c r="H13" s="10"/>
      <c r="I13" s="10">
        <f t="shared" si="5"/>
        <v>215.56575411440463</v>
      </c>
      <c r="J13" s="10">
        <f t="shared" si="3"/>
        <v>3922047450.9262772</v>
      </c>
      <c r="K13" s="11">
        <f t="shared" si="4"/>
        <v>5.1231319999999858E-2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17563668.957783028</v>
      </c>
      <c r="D14" s="11">
        <v>3.49E-2</v>
      </c>
      <c r="E14" s="10">
        <f t="shared" si="2"/>
        <v>592300.75043639541</v>
      </c>
      <c r="F14" s="3"/>
      <c r="G14" s="26">
        <v>9.8000000000000007</v>
      </c>
      <c r="H14" s="10"/>
      <c r="I14" s="10">
        <f t="shared" si="5"/>
        <v>212.4219098486447</v>
      </c>
      <c r="J14" s="10">
        <f t="shared" si="3"/>
        <v>3730908103.9616261</v>
      </c>
      <c r="K14" s="11">
        <f t="shared" si="4"/>
        <v>0.13632019999999989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16971368.207346633</v>
      </c>
      <c r="D15" s="11">
        <v>3.4099999999999998E-2</v>
      </c>
      <c r="E15" s="10">
        <f t="shared" si="2"/>
        <v>559639.93411712535</v>
      </c>
      <c r="F15" s="3"/>
      <c r="G15" s="26">
        <v>3.04</v>
      </c>
      <c r="H15" s="10"/>
      <c r="I15" s="10">
        <f t="shared" si="5"/>
        <v>193.4625772756327</v>
      </c>
      <c r="J15" s="10">
        <f t="shared" si="3"/>
        <v>3283324633.287014</v>
      </c>
      <c r="K15" s="11">
        <f t="shared" si="4"/>
        <v>6.5536639999999924E-2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16411728.273229508</v>
      </c>
      <c r="D16" s="11">
        <v>3.3500000000000002E-2</v>
      </c>
      <c r="E16" s="10">
        <f t="shared" si="2"/>
        <v>531971.84049655497</v>
      </c>
      <c r="F16" s="3"/>
      <c r="G16" s="26">
        <v>15.81</v>
      </c>
      <c r="H16" s="10"/>
      <c r="I16" s="10">
        <f t="shared" si="5"/>
        <v>187.75483043054416</v>
      </c>
      <c r="J16" s="10">
        <f t="shared" si="3"/>
        <v>3081381259.0123734</v>
      </c>
      <c r="K16" s="11">
        <f t="shared" si="4"/>
        <v>0.19689635000000005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15879756.432732953</v>
      </c>
      <c r="D17" s="11">
        <v>3.3099999999999997E-2</v>
      </c>
      <c r="E17" s="10">
        <f t="shared" si="2"/>
        <v>508779.34171276726</v>
      </c>
      <c r="F17" s="3"/>
      <c r="G17" s="26">
        <v>-0.74</v>
      </c>
      <c r="H17" s="10"/>
      <c r="I17" s="10">
        <f t="shared" si="5"/>
        <v>162.12315899364833</v>
      </c>
      <c r="J17" s="10">
        <f t="shared" si="3"/>
        <v>2574476276.9243746</v>
      </c>
      <c r="K17" s="11">
        <f t="shared" si="4"/>
        <v>2.5455060000000085E-2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15370977.091020186</v>
      </c>
      <c r="D18" s="11">
        <v>3.3000000000000002E-2</v>
      </c>
      <c r="E18" s="10">
        <f t="shared" si="2"/>
        <v>491037.99032300524</v>
      </c>
      <c r="F18" s="3"/>
      <c r="G18" s="26">
        <v>4.71</v>
      </c>
      <c r="H18" s="10"/>
      <c r="I18" s="10">
        <f t="shared" si="5"/>
        <v>163.331814420359</v>
      </c>
      <c r="J18" s="10">
        <f t="shared" si="3"/>
        <v>2510569577.6900983</v>
      </c>
      <c r="K18" s="11">
        <f t="shared" si="4"/>
        <v>8.1654299999999624E-2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14879939.10069718</v>
      </c>
      <c r="D19" s="11">
        <v>3.3500000000000002E-2</v>
      </c>
      <c r="E19" s="10">
        <f t="shared" si="2"/>
        <v>482320.2320980709</v>
      </c>
      <c r="F19" s="3"/>
      <c r="G19" s="26">
        <v>6.65</v>
      </c>
      <c r="H19" s="10"/>
      <c r="I19" s="10">
        <f t="shared" si="5"/>
        <v>155.98492447747017</v>
      </c>
      <c r="J19" s="10">
        <f t="shared" si="3"/>
        <v>2321046176.8516049</v>
      </c>
      <c r="K19" s="11">
        <f t="shared" si="4"/>
        <v>0.10222774999999995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14397618.868599109</v>
      </c>
      <c r="D20" s="11">
        <v>3.4000000000000002E-2</v>
      </c>
      <c r="E20" s="10">
        <f t="shared" si="2"/>
        <v>473422.67072763108</v>
      </c>
      <c r="F20" s="3"/>
      <c r="G20" s="26">
        <v>4.12</v>
      </c>
      <c r="H20" s="10"/>
      <c r="I20" s="10">
        <f t="shared" si="5"/>
        <v>146.25871962256932</v>
      </c>
      <c r="J20" s="10">
        <f t="shared" si="3"/>
        <v>2105777301.3350508</v>
      </c>
      <c r="K20" s="11">
        <f t="shared" si="4"/>
        <v>7.6600800000000024E-2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13924196.197871478</v>
      </c>
      <c r="D21" s="11">
        <v>3.3799999999999997E-2</v>
      </c>
      <c r="E21" s="10">
        <f t="shared" si="2"/>
        <v>455250.3690153379</v>
      </c>
      <c r="F21" s="3"/>
      <c r="G21" s="26">
        <v>6.37</v>
      </c>
      <c r="H21" s="10"/>
      <c r="I21" s="10">
        <f t="shared" si="5"/>
        <v>140.47130198095402</v>
      </c>
      <c r="J21" s="10">
        <f t="shared" si="3"/>
        <v>1955949968.9532564</v>
      </c>
      <c r="K21" s="11">
        <f t="shared" si="4"/>
        <v>9.9653060000000071E-2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13468945.82885614</v>
      </c>
      <c r="D22" s="11">
        <v>3.3399999999999999E-2</v>
      </c>
      <c r="E22" s="10">
        <f t="shared" si="2"/>
        <v>435323.00240351819</v>
      </c>
      <c r="F22" s="3"/>
      <c r="G22" s="26">
        <v>0.73</v>
      </c>
      <c r="H22" s="10"/>
      <c r="I22" s="10">
        <f t="shared" si="5"/>
        <v>132.05913507657613</v>
      </c>
      <c r="J22" s="10">
        <f t="shared" si="3"/>
        <v>1778697336.5519996</v>
      </c>
      <c r="K22" s="11">
        <f t="shared" si="4"/>
        <v>4.0943820000000075E-2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13033622.826452622</v>
      </c>
      <c r="D23" s="11">
        <v>3.2399999999999998E-2</v>
      </c>
      <c r="E23" s="10">
        <f t="shared" si="2"/>
        <v>409036.59393361583</v>
      </c>
      <c r="F23" s="3"/>
      <c r="G23" s="26">
        <v>5.59</v>
      </c>
      <c r="H23" s="10"/>
      <c r="I23" s="10">
        <f t="shared" si="5"/>
        <v>131.10208982088366</v>
      </c>
      <c r="J23" s="10">
        <f t="shared" si="3"/>
        <v>1708735190.4851112</v>
      </c>
      <c r="K23" s="11">
        <f t="shared" si="4"/>
        <v>9.0111159999999968E-2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12624586.232519006</v>
      </c>
      <c r="D24" s="11">
        <v>3.2000000000000001E-2</v>
      </c>
      <c r="E24" s="10">
        <f t="shared" si="2"/>
        <v>391460.03821764328</v>
      </c>
      <c r="F24" s="3"/>
      <c r="G24" s="26">
        <v>4.3499999999999996</v>
      </c>
      <c r="H24" s="10"/>
      <c r="I24" s="10">
        <f t="shared" si="5"/>
        <v>124.16146398416863</v>
      </c>
      <c r="J24" s="10">
        <f t="shared" si="3"/>
        <v>1567487108.8239398</v>
      </c>
      <c r="K24" s="11">
        <f t="shared" si="4"/>
        <v>7.6892000000000182E-2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12233126.194301363</v>
      </c>
      <c r="D25" s="11">
        <v>3.27E-2</v>
      </c>
      <c r="E25" s="10">
        <f t="shared" si="2"/>
        <v>387356.66365222633</v>
      </c>
      <c r="F25" s="3"/>
      <c r="G25" s="26">
        <v>-5.0599999999999996</v>
      </c>
      <c r="H25" s="10"/>
      <c r="I25" s="10">
        <f t="shared" si="5"/>
        <v>118.98559078502024</v>
      </c>
      <c r="J25" s="10">
        <f t="shared" si="3"/>
        <v>1455565747.3766539</v>
      </c>
      <c r="K25" s="11">
        <f t="shared" si="4"/>
        <v>-1.9554619999999967E-2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11845769.530649137</v>
      </c>
      <c r="D26" s="11">
        <v>3.3599999999999998E-2</v>
      </c>
      <c r="E26" s="10">
        <f t="shared" si="2"/>
        <v>385079.19526877999</v>
      </c>
      <c r="F26" s="3"/>
      <c r="G26" s="26">
        <v>12.66</v>
      </c>
      <c r="H26" s="10"/>
      <c r="I26" s="10">
        <f t="shared" si="5"/>
        <v>125.32714428588606</v>
      </c>
      <c r="J26" s="10">
        <f t="shared" si="3"/>
        <v>1484596467.1450171</v>
      </c>
      <c r="K26" s="11">
        <f t="shared" si="4"/>
        <v>0.16445376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11460690.335380357</v>
      </c>
      <c r="D27" s="11">
        <v>3.39E-2</v>
      </c>
      <c r="E27" s="10">
        <f t="shared" si="2"/>
        <v>375778.5108515285</v>
      </c>
      <c r="F27" s="3"/>
      <c r="G27" s="26">
        <v>-5.29</v>
      </c>
      <c r="H27" s="10"/>
      <c r="I27" s="10">
        <f t="shared" si="5"/>
        <v>111.24369277994502</v>
      </c>
      <c r="J27" s="10">
        <f t="shared" si="3"/>
        <v>1274929514.7151375</v>
      </c>
      <c r="K27" s="11">
        <f t="shared" si="4"/>
        <v>-2.0793309999999954E-2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11084911.824528828</v>
      </c>
      <c r="D28" s="11">
        <v>3.4099999999999998E-2</v>
      </c>
      <c r="E28" s="10">
        <f t="shared" si="2"/>
        <v>365530.88987180404</v>
      </c>
      <c r="F28" s="3"/>
      <c r="G28" s="26">
        <v>3.59</v>
      </c>
      <c r="H28" s="10"/>
      <c r="I28" s="10">
        <f t="shared" si="5"/>
        <v>117.45717746800234</v>
      </c>
      <c r="J28" s="10">
        <f t="shared" si="3"/>
        <v>1302002455.3908403</v>
      </c>
      <c r="K28" s="11">
        <f t="shared" si="4"/>
        <v>7.1224190000000132E-2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10719380.934657024</v>
      </c>
      <c r="D29" s="11">
        <v>3.4000000000000002E-2</v>
      </c>
      <c r="E29" s="10">
        <f t="shared" si="2"/>
        <v>352474.80829626694</v>
      </c>
      <c r="F29" s="3"/>
      <c r="G29" s="26">
        <v>10.81</v>
      </c>
      <c r="H29" s="10"/>
      <c r="I29" s="10">
        <f t="shared" si="5"/>
        <v>113.38659857901567</v>
      </c>
      <c r="J29" s="10">
        <f t="shared" si="3"/>
        <v>1215434143.0535097</v>
      </c>
      <c r="K29" s="11">
        <f t="shared" si="4"/>
        <v>0.14577540000000022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10366906.126360757</v>
      </c>
      <c r="D30" s="12">
        <v>3.4700000000000002E-2</v>
      </c>
      <c r="E30" s="10">
        <f t="shared" si="2"/>
        <v>347667.57764058933</v>
      </c>
      <c r="F30" s="3"/>
      <c r="G30" s="26">
        <v>-0.77</v>
      </c>
      <c r="H30" s="10"/>
      <c r="I30" s="10">
        <f t="shared" si="5"/>
        <v>102.32524012184429</v>
      </c>
      <c r="J30" s="10">
        <f t="shared" si="3"/>
        <v>1060796158.7004831</v>
      </c>
      <c r="K30" s="11">
        <f t="shared" si="4"/>
        <v>2.673280999999994E-2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10019238.548720168</v>
      </c>
      <c r="D31" s="13">
        <v>3.6200000000000003E-2</v>
      </c>
      <c r="E31" s="10">
        <f t="shared" si="2"/>
        <v>350025.51193174161</v>
      </c>
      <c r="F31" s="3"/>
      <c r="G31" s="26">
        <v>-0.76</v>
      </c>
      <c r="H31" s="10"/>
      <c r="I31" s="10">
        <f t="shared" si="5"/>
        <v>103.11925841161371</v>
      </c>
      <c r="J31" s="10">
        <f t="shared" si="3"/>
        <v>1033176448.9930766</v>
      </c>
      <c r="K31" s="11">
        <f t="shared" si="4"/>
        <v>2.8324879999999997E-2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9669213.0367884263</v>
      </c>
      <c r="D32" s="12">
        <v>3.6799999999999999E-2</v>
      </c>
      <c r="E32" s="10">
        <f t="shared" si="2"/>
        <v>343197.37630576082</v>
      </c>
      <c r="F32" s="3"/>
      <c r="G32" s="26">
        <v>13.19</v>
      </c>
      <c r="H32" s="10"/>
      <c r="I32" s="10">
        <f t="shared" si="5"/>
        <v>103.90896655745034</v>
      </c>
      <c r="J32" s="10">
        <f t="shared" si="3"/>
        <v>1004717934.0765115</v>
      </c>
      <c r="K32" s="11">
        <f t="shared" si="4"/>
        <v>0.17355391999999981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9326015.6604826655</v>
      </c>
      <c r="D33" s="13">
        <v>3.7100000000000001E-2</v>
      </c>
      <c r="E33" s="10">
        <f t="shared" si="2"/>
        <v>333617.95487793535</v>
      </c>
      <c r="F33" s="3"/>
      <c r="G33" s="26">
        <v>-2.81</v>
      </c>
      <c r="H33" s="10"/>
      <c r="I33" s="10">
        <f t="shared" si="5"/>
        <v>91.800482867258907</v>
      </c>
      <c r="J33" s="10">
        <f t="shared" si="3"/>
        <v>856132740.85992718</v>
      </c>
      <c r="K33" s="11">
        <f t="shared" si="4"/>
        <v>7.9574899999999005E-3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8992397.7056047302</v>
      </c>
      <c r="D34" s="12">
        <v>3.7199999999999997E-2</v>
      </c>
      <c r="E34" s="10">
        <f t="shared" si="2"/>
        <v>322519.47035142221</v>
      </c>
      <c r="F34" s="3"/>
      <c r="G34" s="26">
        <v>-3.6</v>
      </c>
      <c r="H34" s="10"/>
      <c r="I34" s="10">
        <f t="shared" si="5"/>
        <v>94.454658778947334</v>
      </c>
      <c r="J34" s="10">
        <f t="shared" ref="J34:J65" si="6">IF(I34="","",I34*C34)</f>
        <v>849373856.88748372</v>
      </c>
      <c r="K34" s="11">
        <f t="shared" ref="K34:K65" si="7">IFERROR(J34/J35-1,"")</f>
        <v>1.3344399999999812E-2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8669878.235253308</v>
      </c>
      <c r="D35" s="11">
        <v>3.6799999999999999E-2</v>
      </c>
      <c r="E35" s="10">
        <f t="shared" si="2"/>
        <v>307727.159584607</v>
      </c>
      <c r="F35" s="3"/>
      <c r="G35" s="26">
        <v>-11.11</v>
      </c>
      <c r="H35" s="10"/>
      <c r="I35" s="10">
        <f t="shared" ref="I35:I66" si="8">IF(H35&lt;&gt;"",H35,I34/(1+IF(G34="",0,G34)/100))</f>
        <v>96.678258729731155</v>
      </c>
      <c r="J35" s="10">
        <f t="shared" si="6"/>
        <v>838188731.18308425</v>
      </c>
      <c r="K35" s="11">
        <f t="shared" si="7"/>
        <v>-5.0394880000000253E-2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8362151.075668701</v>
      </c>
      <c r="D36" s="11">
        <v>3.6400000000000002E-2</v>
      </c>
      <c r="E36" s="10">
        <f t="shared" si="2"/>
        <v>293691.91350283753</v>
      </c>
      <c r="F36" s="3"/>
      <c r="G36" s="26">
        <v>-2.55</v>
      </c>
      <c r="H36" s="10"/>
      <c r="I36" s="10">
        <f t="shared" si="8"/>
        <v>105.55547410168268</v>
      </c>
      <c r="J36" s="10">
        <f t="shared" si="6"/>
        <v>882670821.30210555</v>
      </c>
      <c r="K36" s="11">
        <f t="shared" si="7"/>
        <v>5.9719000000000078E-2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8068459.1621658634</v>
      </c>
      <c r="D37" s="11">
        <v>3.5900000000000001E-2</v>
      </c>
      <c r="E37" s="10">
        <f t="shared" si="2"/>
        <v>279619.34928251244</v>
      </c>
      <c r="F37" s="3"/>
      <c r="G37" s="26">
        <v>-9.63</v>
      </c>
      <c r="H37" s="10"/>
      <c r="I37" s="10">
        <f t="shared" si="8"/>
        <v>103.23273750775812</v>
      </c>
      <c r="J37" s="10">
        <f t="shared" si="6"/>
        <v>832929126.77993453</v>
      </c>
      <c r="K37" s="11">
        <f t="shared" si="7"/>
        <v>-8.9544700000000477E-3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7788839.812883351</v>
      </c>
      <c r="D38" s="11">
        <v>3.5099999999999999E-2</v>
      </c>
      <c r="E38" s="10">
        <f t="shared" si="2"/>
        <v>264117.74459685571</v>
      </c>
      <c r="F38" s="3"/>
      <c r="G38" s="26">
        <v>6.7</v>
      </c>
      <c r="H38" s="10"/>
      <c r="I38" s="10">
        <f t="shared" si="8"/>
        <v>107.90502509434317</v>
      </c>
      <c r="J38" s="10">
        <f t="shared" si="6"/>
        <v>840454955.46499717</v>
      </c>
      <c r="K38" s="11">
        <f t="shared" si="7"/>
        <v>0.14275040000000017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7524722.0682864953</v>
      </c>
      <c r="D39" s="11">
        <v>3.4799999999999998E-2</v>
      </c>
      <c r="E39" s="10">
        <f t="shared" si="2"/>
        <v>253054.04713603575</v>
      </c>
      <c r="F39" s="3"/>
      <c r="G39" s="26">
        <v>-1.46</v>
      </c>
      <c r="H39" s="10"/>
      <c r="I39" s="10">
        <f t="shared" si="8"/>
        <v>97.740058962267355</v>
      </c>
      <c r="J39" s="10">
        <f t="shared" si="6"/>
        <v>735466778.62899637</v>
      </c>
      <c r="K39" s="11">
        <f t="shared" si="7"/>
        <v>1.9691919999999863E-2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7271668.0211504595</v>
      </c>
      <c r="D40" s="11">
        <v>3.3799999999999997E-2</v>
      </c>
      <c r="E40" s="10">
        <f t="shared" si="2"/>
        <v>237746.54586466029</v>
      </c>
      <c r="F40" s="3"/>
      <c r="G40" s="26">
        <v>6.35</v>
      </c>
      <c r="H40" s="10"/>
      <c r="I40" s="10">
        <f t="shared" si="8"/>
        <v>99.188206781273948</v>
      </c>
      <c r="J40" s="10">
        <f t="shared" si="6"/>
        <v>721263711.32664895</v>
      </c>
      <c r="K40" s="11">
        <f t="shared" si="7"/>
        <v>9.9446299999999876E-2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7033921.4752857992</v>
      </c>
      <c r="D41" s="11">
        <v>3.3300000000000003E-2</v>
      </c>
      <c r="E41" s="10">
        <f t="shared" si="2"/>
        <v>226681.1043520933</v>
      </c>
      <c r="F41" s="3"/>
      <c r="G41" s="26">
        <v>13.62</v>
      </c>
      <c r="H41" s="10"/>
      <c r="I41" s="10">
        <f t="shared" si="8"/>
        <v>93.265826780699541</v>
      </c>
      <c r="J41" s="10">
        <f t="shared" si="6"/>
        <v>656024501.90304792</v>
      </c>
      <c r="K41" s="11">
        <f t="shared" si="7"/>
        <v>0.17403546000000025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6807240.3709337059</v>
      </c>
      <c r="D42" s="11">
        <v>3.4099999999999998E-2</v>
      </c>
      <c r="E42" s="10">
        <f t="shared" si="2"/>
        <v>224472.38821084984</v>
      </c>
      <c r="F42" s="3"/>
      <c r="G42" s="26">
        <v>11.63</v>
      </c>
      <c r="H42" s="10"/>
      <c r="I42" s="10">
        <f t="shared" si="8"/>
        <v>82.085747914715313</v>
      </c>
      <c r="J42" s="10">
        <f t="shared" si="6"/>
        <v>558777417.08333731</v>
      </c>
      <c r="K42" s="11">
        <f t="shared" si="7"/>
        <v>0.15436583000000015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6582767.9827228561</v>
      </c>
      <c r="D43" s="11">
        <v>3.4599999999999999E-2</v>
      </c>
      <c r="E43" s="10">
        <f t="shared" si="2"/>
        <v>220146.69650319964</v>
      </c>
      <c r="F43" s="3"/>
      <c r="G43" s="26">
        <v>-1.53</v>
      </c>
      <c r="H43" s="10"/>
      <c r="I43" s="10">
        <f t="shared" si="8"/>
        <v>73.533770415403836</v>
      </c>
      <c r="J43" s="10">
        <f t="shared" si="6"/>
        <v>484055749.53941357</v>
      </c>
      <c r="K43" s="11">
        <f t="shared" si="7"/>
        <v>1.8770620000000182E-2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6362621.2862196565</v>
      </c>
      <c r="D44" s="11">
        <v>3.4099999999999998E-2</v>
      </c>
      <c r="E44" s="10">
        <f t="shared" si="2"/>
        <v>209810.83634086698</v>
      </c>
      <c r="F44" s="3"/>
      <c r="G44" s="26">
        <v>-1.46</v>
      </c>
      <c r="H44" s="10"/>
      <c r="I44" s="10">
        <f t="shared" si="8"/>
        <v>74.676318082059339</v>
      </c>
      <c r="J44" s="10">
        <f t="shared" si="6"/>
        <v>475137131.00542057</v>
      </c>
      <c r="K44" s="11">
        <f t="shared" si="7"/>
        <v>1.9002140000000001E-2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6152810.4498787895</v>
      </c>
      <c r="D45" s="11">
        <v>3.0099999999999998E-2</v>
      </c>
      <c r="E45" s="10">
        <f t="shared" si="2"/>
        <v>179787.97645020019</v>
      </c>
      <c r="F45" s="3"/>
      <c r="G45" s="26">
        <v>5.84</v>
      </c>
      <c r="H45" s="10"/>
      <c r="I45" s="10">
        <f t="shared" si="8"/>
        <v>75.782746176232322</v>
      </c>
      <c r="J45" s="10">
        <f t="shared" si="6"/>
        <v>466276872.59363413</v>
      </c>
      <c r="K45" s="11">
        <f t="shared" si="7"/>
        <v>9.0257840000000034E-2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5973022.4734285893</v>
      </c>
      <c r="D46" s="11">
        <v>2.3400000000000001E-2</v>
      </c>
      <c r="E46" s="10">
        <f t="shared" si="2"/>
        <v>136572.91956051346</v>
      </c>
      <c r="F46" s="3"/>
      <c r="G46" s="26">
        <v>2.57</v>
      </c>
      <c r="H46" s="10"/>
      <c r="I46" s="10">
        <f t="shared" si="8"/>
        <v>71.60123410452789</v>
      </c>
      <c r="J46" s="10">
        <f t="shared" si="6"/>
        <v>427675780.43156666</v>
      </c>
      <c r="K46" s="11">
        <f t="shared" si="7"/>
        <v>4.9701380000000128E-2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5836449.5538680758</v>
      </c>
      <c r="D47" s="11">
        <v>1.5299999999999999E-2</v>
      </c>
      <c r="E47" s="10">
        <f t="shared" si="2"/>
        <v>87952.012384695932</v>
      </c>
      <c r="F47" s="3"/>
      <c r="G47" s="26">
        <v>6.14</v>
      </c>
      <c r="H47" s="10"/>
      <c r="I47" s="10">
        <f t="shared" si="8"/>
        <v>69.807189338527721</v>
      </c>
      <c r="J47" s="10">
        <f t="shared" si="6"/>
        <v>407426139.07163441</v>
      </c>
      <c r="K47" s="11">
        <f t="shared" si="7"/>
        <v>7.7639419999999904E-2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5748497.5414833799</v>
      </c>
      <c r="D48" s="11">
        <v>1.06E-2</v>
      </c>
      <c r="E48" s="10">
        <f t="shared" si="2"/>
        <v>60294.94749626331</v>
      </c>
      <c r="F48" s="3"/>
      <c r="G48" s="26">
        <v>0.23</v>
      </c>
      <c r="H48" s="10"/>
      <c r="I48" s="10">
        <f t="shared" si="8"/>
        <v>65.768974315552782</v>
      </c>
      <c r="J48" s="10">
        <f t="shared" si="6"/>
        <v>378072787.15883875</v>
      </c>
      <c r="K48" s="11">
        <f t="shared" si="7"/>
        <v>1.2924380000000069E-2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5688202.5939871166</v>
      </c>
      <c r="D49" s="11">
        <v>1.0699999999999999E-2</v>
      </c>
      <c r="E49" s="10">
        <f t="shared" si="2"/>
        <v>60219.419962068088</v>
      </c>
      <c r="F49" s="3"/>
      <c r="G49" s="26">
        <v>3.71</v>
      </c>
      <c r="H49" s="10"/>
      <c r="I49" s="10">
        <f t="shared" si="8"/>
        <v>65.618052794126299</v>
      </c>
      <c r="J49" s="10">
        <f t="shared" si="6"/>
        <v>373248778.11593276</v>
      </c>
      <c r="K49" s="11">
        <f t="shared" si="7"/>
        <v>4.8196969999999784E-2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5627983.1740250485</v>
      </c>
      <c r="D50" s="11">
        <v>1.0800000000000001E-2</v>
      </c>
      <c r="E50" s="10">
        <f t="shared" si="2"/>
        <v>60132.78421000205</v>
      </c>
      <c r="F50" s="3"/>
      <c r="G50" s="29">
        <v>8.27</v>
      </c>
      <c r="H50" s="10"/>
      <c r="I50" s="10">
        <f t="shared" si="8"/>
        <v>63.270709472689525</v>
      </c>
      <c r="J50" s="10">
        <f t="shared" si="6"/>
        <v>356086488.32092392</v>
      </c>
      <c r="K50" s="11">
        <f t="shared" si="7"/>
        <v>9.4393160000000087E-2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5567850.3898150465</v>
      </c>
      <c r="D51" s="11">
        <v>1.0699999999999999E-2</v>
      </c>
      <c r="E51" s="10">
        <f t="shared" si="2"/>
        <v>58945.284625527449</v>
      </c>
      <c r="F51" s="3"/>
      <c r="G51" s="29">
        <v>4.3600000000000003</v>
      </c>
      <c r="H51" s="10"/>
      <c r="I51" s="10">
        <f t="shared" si="8"/>
        <v>58.437895513706039</v>
      </c>
      <c r="J51" s="10">
        <f t="shared" si="6"/>
        <v>325373459.3159591</v>
      </c>
      <c r="K51" s="11">
        <f t="shared" si="7"/>
        <v>5.4766520000000041E-2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5508905.105189519</v>
      </c>
      <c r="D52" s="11">
        <v>1.0500000000000001E-2</v>
      </c>
      <c r="E52" s="10">
        <f t="shared" si="2"/>
        <v>57242.457797614858</v>
      </c>
      <c r="F52" s="3"/>
      <c r="G52" s="29">
        <v>4.07</v>
      </c>
      <c r="H52" s="10"/>
      <c r="I52" s="10">
        <f t="shared" si="8"/>
        <v>55.99645028143545</v>
      </c>
      <c r="J52" s="10">
        <f t="shared" si="6"/>
        <v>308479130.82789081</v>
      </c>
      <c r="K52" s="11">
        <f t="shared" si="7"/>
        <v>5.1627349999999961E-2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5451662.6473919041</v>
      </c>
      <c r="D53" s="11">
        <v>1.03E-2</v>
      </c>
      <c r="E53" s="10">
        <f t="shared" si="2"/>
        <v>55579.654823455028</v>
      </c>
      <c r="F53" s="3"/>
      <c r="G53" s="29">
        <v>5.81</v>
      </c>
      <c r="H53" s="10"/>
      <c r="I53" s="10">
        <f t="shared" si="8"/>
        <v>53.806524725122948</v>
      </c>
      <c r="J53" s="10">
        <f t="shared" si="6"/>
        <v>293335021.02992171</v>
      </c>
      <c r="K53" s="11">
        <f t="shared" si="7"/>
        <v>6.8998429999999944E-2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5396082.9925684491</v>
      </c>
      <c r="D54" s="11">
        <v>0.01</v>
      </c>
      <c r="E54" s="10">
        <f t="shared" si="2"/>
        <v>53426.56428285595</v>
      </c>
      <c r="F54" s="3"/>
      <c r="G54" s="29">
        <v>10.27</v>
      </c>
      <c r="H54" s="10"/>
      <c r="I54" s="10">
        <f t="shared" si="8"/>
        <v>50.852022233364472</v>
      </c>
      <c r="J54" s="10">
        <f t="shared" si="6"/>
        <v>274401732.3111707</v>
      </c>
      <c r="K54" s="11">
        <f t="shared" si="7"/>
        <v>0.11372700000000013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5342656.4282855932</v>
      </c>
      <c r="D55" s="11">
        <v>9.9000000000000008E-3</v>
      </c>
      <c r="E55" s="10">
        <f t="shared" si="2"/>
        <v>52373.798039437272</v>
      </c>
      <c r="F55" s="3"/>
      <c r="G55" s="29">
        <v>8.57</v>
      </c>
      <c r="H55" s="10"/>
      <c r="I55" s="10">
        <f t="shared" si="8"/>
        <v>46.115917505544999</v>
      </c>
      <c r="J55" s="10">
        <f t="shared" si="6"/>
        <v>246381503.10728809</v>
      </c>
      <c r="K55" s="11">
        <f t="shared" si="7"/>
        <v>9.6448429999999918E-2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5290282.6302461559</v>
      </c>
      <c r="D56" s="11">
        <v>1.3299999999999999E-2</v>
      </c>
      <c r="E56" s="10">
        <f t="shared" si="2"/>
        <v>69437.2436418375</v>
      </c>
      <c r="F56" s="3"/>
      <c r="G56" s="29">
        <v>4.07</v>
      </c>
      <c r="H56" s="10"/>
      <c r="I56" s="10">
        <f t="shared" si="8"/>
        <v>42.475746067555491</v>
      </c>
      <c r="J56" s="10">
        <f t="shared" si="6"/>
        <v>224708701.62793529</v>
      </c>
      <c r="K56" s="11">
        <f t="shared" si="7"/>
        <v>5.4541310000000065E-2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5220845.3866043184</v>
      </c>
      <c r="D57" s="11">
        <v>1.4500000000000001E-2</v>
      </c>
      <c r="E57" s="10">
        <f t="shared" si="2"/>
        <v>74620.264273792505</v>
      </c>
      <c r="F57" s="3"/>
      <c r="G57" s="29">
        <v>6.37</v>
      </c>
      <c r="H57" s="10"/>
      <c r="I57" s="10">
        <f t="shared" si="8"/>
        <v>40.814592166383676</v>
      </c>
      <c r="J57" s="10">
        <f t="shared" si="6"/>
        <v>213086675.21800098</v>
      </c>
      <c r="K57" s="11">
        <f t="shared" si="7"/>
        <v>7.9123650000000101E-2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5146225.1223305259</v>
      </c>
      <c r="D58" s="11">
        <v>1.55E-2</v>
      </c>
      <c r="E58" s="10">
        <f t="shared" si="2"/>
        <v>78548.980202977546</v>
      </c>
      <c r="F58" s="3"/>
      <c r="G58" s="29">
        <v>6.18</v>
      </c>
      <c r="H58" s="10"/>
      <c r="I58" s="10">
        <f t="shared" si="8"/>
        <v>38.370397824935296</v>
      </c>
      <c r="J58" s="10">
        <f t="shared" si="6"/>
        <v>197462705.24049857</v>
      </c>
      <c r="K58" s="11">
        <f t="shared" si="7"/>
        <v>7.8257900000000102E-2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5067676.1421275483</v>
      </c>
      <c r="D59" s="11">
        <v>1.6500000000000001E-2</v>
      </c>
      <c r="E59" s="10">
        <f t="shared" si="2"/>
        <v>82259.376630697399</v>
      </c>
      <c r="F59" s="3"/>
      <c r="G59" s="26">
        <v>3.75</v>
      </c>
      <c r="H59" s="10"/>
      <c r="I59" s="10">
        <f t="shared" si="8"/>
        <v>36.137123587243636</v>
      </c>
      <c r="J59" s="10">
        <f t="shared" si="6"/>
        <v>183131239.04818925</v>
      </c>
      <c r="K59" s="11">
        <f t="shared" si="7"/>
        <v>5.4618749999999938E-2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4985416.7654968509</v>
      </c>
      <c r="D60" s="11">
        <v>1.7000000000000001E-2</v>
      </c>
      <c r="E60" s="10">
        <f t="shared" si="2"/>
        <v>83335.383494047448</v>
      </c>
      <c r="F60" s="3"/>
      <c r="G60" s="26">
        <v>3.65</v>
      </c>
      <c r="H60" s="10"/>
      <c r="I60" s="10">
        <f t="shared" si="8"/>
        <v>34.830962493728805</v>
      </c>
      <c r="J60" s="10">
        <f t="shared" si="6"/>
        <v>173646864.37462759</v>
      </c>
      <c r="K60" s="11">
        <f t="shared" si="7"/>
        <v>5.4120499999999794E-2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4902081.3820028035</v>
      </c>
      <c r="D61" s="11">
        <v>1.7000000000000001E-2</v>
      </c>
      <c r="E61" s="10">
        <f t="shared" si="2"/>
        <v>81942.363317647018</v>
      </c>
      <c r="F61" s="3"/>
      <c r="G61" s="26">
        <v>3.55</v>
      </c>
      <c r="H61" s="10"/>
      <c r="I61" s="10">
        <f t="shared" si="8"/>
        <v>33.604401827041784</v>
      </c>
      <c r="J61" s="10">
        <f t="shared" si="6"/>
        <v>164731512.54968253</v>
      </c>
      <c r="K61" s="11">
        <f t="shared" si="7"/>
        <v>5.310349999999997E-2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4820139.0186851565</v>
      </c>
      <c r="D62" s="11">
        <v>1.7000000000000001E-2</v>
      </c>
      <c r="E62" s="10">
        <f t="shared" si="2"/>
        <v>80572.628630921245</v>
      </c>
      <c r="F62" s="3"/>
      <c r="G62" s="26">
        <v>3.7</v>
      </c>
      <c r="H62" s="10"/>
      <c r="I62" s="10">
        <f t="shared" si="8"/>
        <v>32.452343628239284</v>
      </c>
      <c r="J62" s="10">
        <f t="shared" si="6"/>
        <v>156424807.77025479</v>
      </c>
      <c r="K62" s="11">
        <f t="shared" si="7"/>
        <v>5.4628999999999595E-2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4739566.3900542352</v>
      </c>
      <c r="D63" s="11">
        <v>1.7000000000000001E-2</v>
      </c>
      <c r="E63" s="10">
        <f t="shared" si="2"/>
        <v>79225.790197563358</v>
      </c>
      <c r="F63" s="3"/>
      <c r="G63" s="26">
        <v>3.73</v>
      </c>
      <c r="H63" s="10"/>
      <c r="I63" s="10">
        <f t="shared" si="8"/>
        <v>31.294449014695552</v>
      </c>
      <c r="J63" s="10">
        <f t="shared" si="6"/>
        <v>148322118.74531692</v>
      </c>
      <c r="K63" s="11">
        <f t="shared" si="7"/>
        <v>5.4934100000000319E-2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4660340.5998566719</v>
      </c>
      <c r="D64" s="11">
        <v>1.7000000000000001E-2</v>
      </c>
      <c r="E64" s="10">
        <f t="shared" si="2"/>
        <v>77901.465287672356</v>
      </c>
      <c r="F64" s="3"/>
      <c r="G64" s="26">
        <v>3.76</v>
      </c>
      <c r="H64" s="10"/>
      <c r="I64" s="10">
        <f t="shared" si="8"/>
        <v>30.169140089362333</v>
      </c>
      <c r="J64" s="10">
        <f t="shared" si="6"/>
        <v>140598468.42121881</v>
      </c>
      <c r="K64" s="11">
        <f t="shared" si="7"/>
        <v>5.5239199999999711E-2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4582439.1345689995</v>
      </c>
      <c r="D65" s="11">
        <v>1.7000000000000001E-2</v>
      </c>
      <c r="E65" s="10">
        <f t="shared" si="2"/>
        <v>76599.277568999678</v>
      </c>
      <c r="F65" s="3"/>
      <c r="G65" s="26">
        <v>3.65</v>
      </c>
      <c r="H65" s="10"/>
      <c r="I65" s="10">
        <f t="shared" si="8"/>
        <v>29.075886747650667</v>
      </c>
      <c r="J65" s="10">
        <f t="shared" si="6"/>
        <v>133238481.30473056</v>
      </c>
      <c r="K65" s="11">
        <f t="shared" si="7"/>
        <v>5.4120499999999794E-2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4505839.8569999998</v>
      </c>
      <c r="D66" s="11">
        <v>1.7000000000000001E-2</v>
      </c>
      <c r="E66" s="10">
        <f t="shared" si="2"/>
        <v>75318.856999999844</v>
      </c>
      <c r="F66" s="3"/>
      <c r="G66" s="26">
        <v>3.68</v>
      </c>
      <c r="H66" s="10"/>
      <c r="I66" s="10">
        <f t="shared" si="8"/>
        <v>28.051989143898378</v>
      </c>
      <c r="J66" s="10">
        <f t="shared" ref="J66:J67" si="9">IF(I66="","",I66*C66)</f>
        <v>126397770.75270861</v>
      </c>
      <c r="K66" s="11">
        <f t="shared" ref="K66" si="10">IFERROR(J66/J67-1,"")</f>
        <v>5.4425599999999852E-2</v>
      </c>
    </row>
    <row r="67" spans="1:11" ht="22.5" customHeight="1">
      <c r="A67" s="3">
        <f t="shared" si="0"/>
        <v>1950</v>
      </c>
      <c r="B67" s="3">
        <v>1700</v>
      </c>
      <c r="C67" s="14">
        <v>4430521</v>
      </c>
      <c r="D67" s="11">
        <v>1.7000000000000001E-2</v>
      </c>
      <c r="E67" s="3" t="s">
        <v>72</v>
      </c>
      <c r="F67" s="3"/>
      <c r="G67" s="26">
        <v>3.68</v>
      </c>
      <c r="H67" s="10"/>
      <c r="I67" s="10">
        <f t="shared" ref="I67" si="11">IF(H67&lt;&gt;"",H67,I66/(1+IF(G66="",0,G66)/100))</f>
        <v>27.056316689716802</v>
      </c>
      <c r="J67" s="10">
        <f t="shared" si="9"/>
        <v>119873579.27644077</v>
      </c>
      <c r="K67" s="11"/>
    </row>
  </sheetData>
  <dataValidations count="1">
    <dataValidation type="custom" allowBlank="1" showDropDown="1" sqref="D2:D67" xr:uid="{00000000-0002-0000-1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M67"/>
  <sheetViews>
    <sheetView topLeftCell="A39" workbookViewId="0">
      <selection activeCell="J57" sqref="J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759112.55201123783</v>
      </c>
      <c r="D2" s="11">
        <v>4.1500000000000002E-2</v>
      </c>
      <c r="E2" s="10">
        <f t="shared" ref="E2:E66" si="2">SUM(C2-C3)</f>
        <v>30247.883733525174</v>
      </c>
      <c r="F2" s="14">
        <v>759043</v>
      </c>
      <c r="G2" s="29">
        <v>8.91</v>
      </c>
      <c r="H2" s="10"/>
      <c r="I2" s="10">
        <f>IF(H2&lt;&gt;"",H2,67936)</f>
        <v>8492</v>
      </c>
      <c r="J2" s="10">
        <f t="shared" ref="J2:J33" si="3">IF(I2="","",I2*C2)</f>
        <v>6446383791.6794319</v>
      </c>
      <c r="K2" s="11">
        <f t="shared" ref="K2:K33" si="4">IFERROR(J2/J3-1,"")</f>
        <v>0.13429765000000016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728864.66827771266</v>
      </c>
      <c r="D3" s="11">
        <v>4.7800000000000002E-2</v>
      </c>
      <c r="E3" s="10">
        <f t="shared" si="2"/>
        <v>33250.363756131614</v>
      </c>
      <c r="F3" s="3"/>
      <c r="G3" s="29">
        <v>4.0599999999999996</v>
      </c>
      <c r="H3" s="10"/>
      <c r="I3" s="10">
        <f t="shared" ref="I3:I34" si="5">IF(H3&lt;&gt;"",H3,I2/(1+IF(G2="",0,G2)/100))</f>
        <v>7797.2637957946936</v>
      </c>
      <c r="J3" s="10">
        <f t="shared" si="3"/>
        <v>5683150089.995718</v>
      </c>
      <c r="K3" s="11">
        <f t="shared" si="4"/>
        <v>9.0340679999999951E-2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695614.30452158104</v>
      </c>
      <c r="D4" s="11">
        <v>3.5900000000000001E-2</v>
      </c>
      <c r="E4" s="10">
        <f t="shared" si="2"/>
        <v>24107.108342817635</v>
      </c>
      <c r="F4" s="3"/>
      <c r="G4" s="29">
        <v>1.25</v>
      </c>
      <c r="H4" s="10"/>
      <c r="I4" s="10">
        <f t="shared" si="5"/>
        <v>7493.0461231930558</v>
      </c>
      <c r="J4" s="10">
        <f t="shared" si="3"/>
        <v>5212270067.7330666</v>
      </c>
      <c r="K4" s="11">
        <f t="shared" si="4"/>
        <v>4.8848749999999885E-2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671507.19617876341</v>
      </c>
      <c r="D5" s="11">
        <v>1.1599999999999999E-2</v>
      </c>
      <c r="E5" s="10">
        <f t="shared" si="2"/>
        <v>7700.1616011009319</v>
      </c>
      <c r="F5" s="3"/>
      <c r="G5" s="29">
        <v>3.11</v>
      </c>
      <c r="H5" s="10"/>
      <c r="I5" s="10">
        <f t="shared" si="5"/>
        <v>7400.5393809314137</v>
      </c>
      <c r="J5" s="10">
        <f t="shared" si="3"/>
        <v>4969515449.8997755</v>
      </c>
      <c r="K5" s="11">
        <f t="shared" si="4"/>
        <v>4.3060760000000142E-2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663807.03457766247</v>
      </c>
      <c r="D6" s="11">
        <v>-2.7699999999999999E-2</v>
      </c>
      <c r="E6" s="10">
        <f t="shared" si="2"/>
        <v>-18911.29780705669</v>
      </c>
      <c r="F6" s="3"/>
      <c r="G6" s="29">
        <v>9.51</v>
      </c>
      <c r="H6" s="10"/>
      <c r="I6" s="10">
        <f t="shared" si="5"/>
        <v>7177.32458629756</v>
      </c>
      <c r="J6" s="10">
        <f t="shared" si="3"/>
        <v>4764358549.8315315</v>
      </c>
      <c r="K6" s="11">
        <f t="shared" si="4"/>
        <v>6.4765729999999966E-2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682718.33238471916</v>
      </c>
      <c r="D7" s="11">
        <v>4.1700000000000001E-2</v>
      </c>
      <c r="E7" s="10">
        <f t="shared" si="2"/>
        <v>27329.705731441732</v>
      </c>
      <c r="F7" s="3"/>
      <c r="G7" s="29">
        <v>4.51</v>
      </c>
      <c r="H7" s="10"/>
      <c r="I7" s="10">
        <f t="shared" si="5"/>
        <v>6554.0357833052331</v>
      </c>
      <c r="J7" s="10">
        <f t="shared" si="3"/>
        <v>4474560380.3679256</v>
      </c>
      <c r="K7" s="11">
        <f t="shared" si="4"/>
        <v>8.8680670000000239E-2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655388.62665327743</v>
      </c>
      <c r="D8" s="11">
        <v>6.5699999999999995E-2</v>
      </c>
      <c r="E8" s="10">
        <f t="shared" si="2"/>
        <v>40404.459764586994</v>
      </c>
      <c r="F8" s="3"/>
      <c r="G8" s="29">
        <v>2.48</v>
      </c>
      <c r="H8" s="10"/>
      <c r="I8" s="10">
        <f t="shared" si="5"/>
        <v>6271.2044620660545</v>
      </c>
      <c r="J8" s="10">
        <f t="shared" si="3"/>
        <v>4110076079.8553767</v>
      </c>
      <c r="K8" s="11">
        <f t="shared" si="4"/>
        <v>9.2129359999999938E-2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614984.16688869044</v>
      </c>
      <c r="D9" s="11">
        <v>5.9900000000000002E-2</v>
      </c>
      <c r="E9" s="10">
        <f t="shared" si="2"/>
        <v>34755.686004936928</v>
      </c>
      <c r="F9" s="3"/>
      <c r="G9" s="29">
        <v>2.73</v>
      </c>
      <c r="H9" s="10"/>
      <c r="I9" s="10">
        <f t="shared" si="5"/>
        <v>6119.4422931948229</v>
      </c>
      <c r="J9" s="10">
        <f t="shared" si="3"/>
        <v>3763360120.5038357</v>
      </c>
      <c r="K9" s="11">
        <f t="shared" si="4"/>
        <v>8.8835270000000355E-2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580228.48088375351</v>
      </c>
      <c r="D10" s="11">
        <v>7.8899999999999998E-2</v>
      </c>
      <c r="E10" s="10">
        <f t="shared" si="2"/>
        <v>42432.131932271877</v>
      </c>
      <c r="F10" s="3"/>
      <c r="G10" s="29">
        <v>8.8800000000000008</v>
      </c>
      <c r="H10" s="10"/>
      <c r="I10" s="10">
        <f t="shared" si="5"/>
        <v>5956.8210777716558</v>
      </c>
      <c r="J10" s="10">
        <f t="shared" si="3"/>
        <v>3456317244.8517714</v>
      </c>
      <c r="K10" s="11">
        <f t="shared" si="4"/>
        <v>0.17470631999999986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537796.34895148163</v>
      </c>
      <c r="D11" s="11">
        <v>7.7499999999999999E-2</v>
      </c>
      <c r="E11" s="10">
        <f t="shared" si="2"/>
        <v>38681.407929224835</v>
      </c>
      <c r="F11" s="3"/>
      <c r="G11" s="29">
        <v>9.41</v>
      </c>
      <c r="H11" s="10"/>
      <c r="I11" s="10">
        <f t="shared" si="5"/>
        <v>5470.9965813479575</v>
      </c>
      <c r="J11" s="10">
        <f t="shared" si="3"/>
        <v>2942281986.5749693</v>
      </c>
      <c r="K11" s="11">
        <f t="shared" si="4"/>
        <v>0.17889274999999993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499114.9410222568</v>
      </c>
      <c r="D12" s="11">
        <v>7.5999999999999998E-2</v>
      </c>
      <c r="E12" s="10">
        <f t="shared" si="2"/>
        <v>35253.471670717059</v>
      </c>
      <c r="F12" s="3"/>
      <c r="G12" s="29">
        <v>9.01</v>
      </c>
      <c r="H12" s="10"/>
      <c r="I12" s="10">
        <f t="shared" si="5"/>
        <v>5000.4538719933798</v>
      </c>
      <c r="J12" s="10">
        <f t="shared" si="3"/>
        <v>2495801239.4044914</v>
      </c>
      <c r="K12" s="11">
        <f t="shared" si="4"/>
        <v>0.17294760000000031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463861.46935153974</v>
      </c>
      <c r="D13" s="11">
        <v>7.46E-2</v>
      </c>
      <c r="E13" s="10">
        <f t="shared" si="2"/>
        <v>32201.810546831228</v>
      </c>
      <c r="F13" s="3"/>
      <c r="G13" s="29">
        <v>2.85</v>
      </c>
      <c r="H13" s="10"/>
      <c r="I13" s="10">
        <f t="shared" si="5"/>
        <v>4587.151520037959</v>
      </c>
      <c r="J13" s="10">
        <f t="shared" si="3"/>
        <v>2127802844.2229567</v>
      </c>
      <c r="K13" s="11">
        <f t="shared" si="4"/>
        <v>0.10522609999999988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431659.65880470851</v>
      </c>
      <c r="D14" s="11">
        <v>7.3200000000000001E-2</v>
      </c>
      <c r="E14" s="10">
        <f t="shared" si="2"/>
        <v>29442.309937108308</v>
      </c>
      <c r="F14" s="3"/>
      <c r="G14" s="29">
        <v>5.89</v>
      </c>
      <c r="H14" s="10"/>
      <c r="I14" s="10">
        <f t="shared" si="5"/>
        <v>4460.040369507009</v>
      </c>
      <c r="J14" s="10">
        <f t="shared" si="3"/>
        <v>1925219504.1566217</v>
      </c>
      <c r="K14" s="11">
        <f t="shared" si="4"/>
        <v>0.13641148000000003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402217.3488676002</v>
      </c>
      <c r="D15" s="11">
        <v>7.1800000000000003E-2</v>
      </c>
      <c r="E15" s="10">
        <f t="shared" si="2"/>
        <v>26944.584482826758</v>
      </c>
      <c r="F15" s="3"/>
      <c r="G15" s="29">
        <v>1.21</v>
      </c>
      <c r="H15" s="10"/>
      <c r="I15" s="10">
        <f t="shared" si="5"/>
        <v>4211.9561521456317</v>
      </c>
      <c r="J15" s="10">
        <f t="shared" si="3"/>
        <v>1694121837.0625944</v>
      </c>
      <c r="K15" s="11">
        <f t="shared" si="4"/>
        <v>8.4768780000000099E-2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375272.76438477344</v>
      </c>
      <c r="D16" s="11">
        <v>3.6499999999999998E-2</v>
      </c>
      <c r="E16" s="10">
        <f t="shared" si="2"/>
        <v>13215.104582772998</v>
      </c>
      <c r="F16" s="3"/>
      <c r="G16" s="29">
        <v>2.27</v>
      </c>
      <c r="H16" s="10"/>
      <c r="I16" s="10">
        <f t="shared" si="5"/>
        <v>4161.6007826752611</v>
      </c>
      <c r="J16" s="10">
        <f t="shared" si="3"/>
        <v>1561735429.980382</v>
      </c>
      <c r="K16" s="11">
        <f t="shared" si="4"/>
        <v>6.0028549999999958E-2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362057.65980200045</v>
      </c>
      <c r="D17" s="11">
        <v>2.64E-2</v>
      </c>
      <c r="E17" s="10">
        <f t="shared" si="2"/>
        <v>9312.4729333328432</v>
      </c>
      <c r="F17" s="3"/>
      <c r="G17" s="29">
        <v>4.25</v>
      </c>
      <c r="H17" s="10"/>
      <c r="I17" s="10">
        <f t="shared" si="5"/>
        <v>4069.229278063226</v>
      </c>
      <c r="J17" s="10">
        <f t="shared" si="3"/>
        <v>1473295629.6133554</v>
      </c>
      <c r="K17" s="11">
        <f t="shared" si="4"/>
        <v>7.0022000000000029E-2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352745.1868686676</v>
      </c>
      <c r="D18" s="11">
        <v>2.63E-2</v>
      </c>
      <c r="E18" s="10">
        <f t="shared" si="2"/>
        <v>9039.4606008437695</v>
      </c>
      <c r="F18" s="3"/>
      <c r="G18" s="29">
        <v>1.87</v>
      </c>
      <c r="H18" s="10"/>
      <c r="I18" s="10">
        <f t="shared" si="5"/>
        <v>3903.3374369911044</v>
      </c>
      <c r="J18" s="10">
        <f t="shared" si="3"/>
        <v>1376883493.6228931</v>
      </c>
      <c r="K18" s="11">
        <f t="shared" si="4"/>
        <v>4.549180999999991E-2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343705.72626782383</v>
      </c>
      <c r="D19" s="11">
        <v>2.63E-2</v>
      </c>
      <c r="E19" s="10">
        <f t="shared" si="2"/>
        <v>8807.8150646436261</v>
      </c>
      <c r="F19" s="3"/>
      <c r="G19" s="29">
        <v>2.4700000000000002</v>
      </c>
      <c r="H19" s="10"/>
      <c r="I19" s="10">
        <f t="shared" si="5"/>
        <v>3831.6849288221306</v>
      </c>
      <c r="J19" s="10">
        <f t="shared" si="3"/>
        <v>1316972051.2902853</v>
      </c>
      <c r="K19" s="11">
        <f t="shared" si="4"/>
        <v>5.1649609999999901E-2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334897.91120318021</v>
      </c>
      <c r="D20" s="11">
        <v>2.64E-2</v>
      </c>
      <c r="E20" s="10">
        <f t="shared" si="2"/>
        <v>8613.8979498869157</v>
      </c>
      <c r="F20" s="3"/>
      <c r="G20" s="29">
        <v>12.19</v>
      </c>
      <c r="H20" s="10"/>
      <c r="I20" s="10">
        <f t="shared" si="5"/>
        <v>3739.3236350367238</v>
      </c>
      <c r="J20" s="10">
        <f t="shared" si="3"/>
        <v>1252291674.6864817</v>
      </c>
      <c r="K20" s="11">
        <f t="shared" si="4"/>
        <v>0.15151815999999974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326284.01325329329</v>
      </c>
      <c r="D21" s="11">
        <v>2.63E-2</v>
      </c>
      <c r="E21" s="10">
        <f t="shared" si="2"/>
        <v>8361.3656324287294</v>
      </c>
      <c r="F21" s="3"/>
      <c r="G21" s="29">
        <v>10</v>
      </c>
      <c r="H21" s="10"/>
      <c r="I21" s="10">
        <f t="shared" si="5"/>
        <v>3333.0275737915358</v>
      </c>
      <c r="J21" s="10">
        <f t="shared" si="3"/>
        <v>1087513613.0605896</v>
      </c>
      <c r="K21" s="11">
        <f t="shared" si="4"/>
        <v>0.12893000000000021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317922.64762086456</v>
      </c>
      <c r="D22" s="11">
        <v>2.63E-2</v>
      </c>
      <c r="E22" s="10">
        <f t="shared" si="2"/>
        <v>8147.0969818072044</v>
      </c>
      <c r="F22" s="3"/>
      <c r="G22" s="29">
        <v>0.49</v>
      </c>
      <c r="H22" s="10"/>
      <c r="I22" s="10">
        <f t="shared" si="5"/>
        <v>3030.0250670832143</v>
      </c>
      <c r="J22" s="10">
        <f t="shared" si="3"/>
        <v>963313591.6846832</v>
      </c>
      <c r="K22" s="11">
        <f t="shared" si="4"/>
        <v>3.1328869999999842E-2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309775.55063905736</v>
      </c>
      <c r="D23" s="11">
        <v>2.63E-2</v>
      </c>
      <c r="E23" s="10">
        <f t="shared" si="2"/>
        <v>7938.3191871842719</v>
      </c>
      <c r="F23" s="3"/>
      <c r="G23" s="29">
        <v>2.44</v>
      </c>
      <c r="H23" s="10"/>
      <c r="I23" s="10">
        <f t="shared" si="5"/>
        <v>3015.2503404151803</v>
      </c>
      <c r="J23" s="10">
        <f t="shared" si="3"/>
        <v>934050834.51671767</v>
      </c>
      <c r="K23" s="11">
        <f t="shared" si="4"/>
        <v>5.1341720000000146E-2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301837.23145187309</v>
      </c>
      <c r="D24" s="11">
        <v>2.63E-2</v>
      </c>
      <c r="E24" s="10">
        <f t="shared" si="2"/>
        <v>7734.8915396903758</v>
      </c>
      <c r="F24" s="3"/>
      <c r="G24" s="29">
        <v>7.3</v>
      </c>
      <c r="H24" s="10"/>
      <c r="I24" s="10">
        <f t="shared" si="5"/>
        <v>2943.4306329706956</v>
      </c>
      <c r="J24" s="10">
        <f t="shared" si="3"/>
        <v>888436953.22650909</v>
      </c>
      <c r="K24" s="11">
        <f t="shared" si="4"/>
        <v>0.10121989999999981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294102.33991218271</v>
      </c>
      <c r="D25" s="11">
        <v>2.63E-2</v>
      </c>
      <c r="E25" s="10">
        <f t="shared" si="2"/>
        <v>7536.6769362665946</v>
      </c>
      <c r="F25" s="3"/>
      <c r="G25" s="29">
        <v>7.17</v>
      </c>
      <c r="H25" s="10"/>
      <c r="I25" s="10">
        <f t="shared" si="5"/>
        <v>2743.1785954992506</v>
      </c>
      <c r="J25" s="10">
        <f t="shared" si="3"/>
        <v>806775243.73334455</v>
      </c>
      <c r="K25" s="11">
        <f t="shared" si="4"/>
        <v>9.9885710000000127E-2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286565.66297591612</v>
      </c>
      <c r="D26" s="11">
        <v>-2.3099999999999999E-2</v>
      </c>
      <c r="E26" s="10">
        <f t="shared" si="2"/>
        <v>-6776.1969646265497</v>
      </c>
      <c r="F26" s="3"/>
      <c r="G26" s="29">
        <v>2.76</v>
      </c>
      <c r="H26" s="10"/>
      <c r="I26" s="10">
        <f t="shared" si="5"/>
        <v>2559.6515773996925</v>
      </c>
      <c r="J26" s="10">
        <f t="shared" si="3"/>
        <v>733508251.26489234</v>
      </c>
      <c r="K26" s="11">
        <f t="shared" si="4"/>
        <v>3.8624400000000225E-3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293341.85994054266</v>
      </c>
      <c r="D27" s="11">
        <v>3.4500000000000003E-2</v>
      </c>
      <c r="E27" s="10">
        <f t="shared" si="2"/>
        <v>9782.7879825507407</v>
      </c>
      <c r="F27" s="3"/>
      <c r="G27" s="29">
        <v>-2.1</v>
      </c>
      <c r="H27" s="10"/>
      <c r="I27" s="10">
        <f t="shared" si="5"/>
        <v>2490.9026638766954</v>
      </c>
      <c r="J27" s="10">
        <f t="shared" si="3"/>
        <v>730686020.35244226</v>
      </c>
      <c r="K27" s="11">
        <f t="shared" si="4"/>
        <v>1.2775500000000051E-2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283559.07195799192</v>
      </c>
      <c r="D28" s="11">
        <v>3.56E-2</v>
      </c>
      <c r="E28" s="10">
        <f t="shared" si="2"/>
        <v>9747.685362789256</v>
      </c>
      <c r="F28" s="3"/>
      <c r="G28" s="29">
        <v>10.29</v>
      </c>
      <c r="H28" s="10"/>
      <c r="I28" s="10">
        <f t="shared" si="5"/>
        <v>2544.3336709670025</v>
      </c>
      <c r="J28" s="10">
        <f t="shared" si="3"/>
        <v>721468894.49087405</v>
      </c>
      <c r="K28" s="11">
        <f t="shared" si="4"/>
        <v>0.14216324000000036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273811.38659520267</v>
      </c>
      <c r="D29" s="11">
        <v>3.6200000000000003E-2</v>
      </c>
      <c r="E29" s="10">
        <f t="shared" si="2"/>
        <v>9565.6940694328514</v>
      </c>
      <c r="F29" s="3"/>
      <c r="G29" s="29">
        <v>5.33</v>
      </c>
      <c r="H29" s="10"/>
      <c r="I29" s="10">
        <f t="shared" si="5"/>
        <v>2306.9486544265142</v>
      </c>
      <c r="J29" s="10">
        <f t="shared" si="3"/>
        <v>631668809.87246084</v>
      </c>
      <c r="K29" s="11">
        <f t="shared" si="4"/>
        <v>9.1429459999999629E-2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264245.69252576982</v>
      </c>
      <c r="D30" s="12">
        <v>3.6499999999999998E-2</v>
      </c>
      <c r="E30" s="10">
        <f t="shared" si="2"/>
        <v>9305.3234705167124</v>
      </c>
      <c r="F30" s="3"/>
      <c r="G30" s="29">
        <v>4.87</v>
      </c>
      <c r="H30" s="10"/>
      <c r="I30" s="10">
        <f t="shared" si="5"/>
        <v>2190.2104380770097</v>
      </c>
      <c r="J30" s="10">
        <f t="shared" si="3"/>
        <v>578753673.98682916</v>
      </c>
      <c r="K30" s="11">
        <f t="shared" si="4"/>
        <v>8.697755000000007E-2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254940.3690552531</v>
      </c>
      <c r="D31" s="13">
        <v>3.6299999999999999E-2</v>
      </c>
      <c r="E31" s="10">
        <f t="shared" si="2"/>
        <v>8930.1702177995758</v>
      </c>
      <c r="F31" s="3"/>
      <c r="G31" s="29">
        <v>0.76</v>
      </c>
      <c r="H31" s="10"/>
      <c r="I31" s="10">
        <f t="shared" si="5"/>
        <v>2088.5004654114709</v>
      </c>
      <c r="J31" s="10">
        <f t="shared" si="3"/>
        <v>532443079.42406827</v>
      </c>
      <c r="K31" s="11">
        <f t="shared" si="4"/>
        <v>4.4175880000000056E-2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246010.19883745353</v>
      </c>
      <c r="D32" s="12">
        <v>3.5999999999999997E-2</v>
      </c>
      <c r="E32" s="10">
        <f t="shared" si="2"/>
        <v>8548.6169480196259</v>
      </c>
      <c r="F32" s="3"/>
      <c r="G32" s="29">
        <v>10.29</v>
      </c>
      <c r="H32" s="10"/>
      <c r="I32" s="10">
        <f t="shared" si="5"/>
        <v>2072.7475837747825</v>
      </c>
      <c r="J32" s="10">
        <f t="shared" si="3"/>
        <v>509917045.2242856</v>
      </c>
      <c r="K32" s="11">
        <f t="shared" si="4"/>
        <v>0.14260439999999996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237461.5818894339</v>
      </c>
      <c r="D33" s="13">
        <v>3.5400000000000001E-2</v>
      </c>
      <c r="E33" s="10">
        <f t="shared" si="2"/>
        <v>8118.7367190322548</v>
      </c>
      <c r="F33" s="3"/>
      <c r="G33" s="29">
        <v>4.3099999999999996</v>
      </c>
      <c r="H33" s="10"/>
      <c r="I33" s="10">
        <f t="shared" si="5"/>
        <v>1879.3613054445393</v>
      </c>
      <c r="J33" s="10">
        <f t="shared" si="3"/>
        <v>446276108.5326519</v>
      </c>
      <c r="K33" s="11">
        <f t="shared" si="4"/>
        <v>8.0025740000000178E-2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229342.84517040165</v>
      </c>
      <c r="D34" s="12">
        <v>3.4799999999999998E-2</v>
      </c>
      <c r="E34" s="10">
        <f t="shared" si="2"/>
        <v>7712.7280749226629</v>
      </c>
      <c r="F34" s="3"/>
      <c r="G34" s="29">
        <v>-1.92</v>
      </c>
      <c r="H34" s="10"/>
      <c r="I34" s="10">
        <f t="shared" si="5"/>
        <v>1801.7077034268425</v>
      </c>
      <c r="J34" s="10">
        <f t="shared" ref="J34:J65" si="6">IF(I34="","",I34*C34)</f>
        <v>413208770.86934227</v>
      </c>
      <c r="K34" s="11">
        <f t="shared" ref="K34:K65" si="7">IFERROR(J34/J35-1,"")</f>
        <v>2.8384240000000061E-2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221630.11709547898</v>
      </c>
      <c r="D35" s="11">
        <v>3.5400000000000001E-2</v>
      </c>
      <c r="E35" s="10">
        <f t="shared" si="2"/>
        <v>7577.4639223295089</v>
      </c>
      <c r="F35" s="3"/>
      <c r="G35" s="29">
        <v>-4.77</v>
      </c>
      <c r="H35" s="10"/>
      <c r="I35" s="10">
        <f t="shared" ref="I35:I66" si="8">IF(H35&lt;&gt;"",H35,I34/(1+IF(G34="",0,G34)/100))</f>
        <v>1812.9479809084751</v>
      </c>
      <c r="J35" s="10">
        <f t="shared" si="6"/>
        <v>401803873.29675752</v>
      </c>
      <c r="K35" s="11">
        <f t="shared" si="7"/>
        <v>1.3967220000000058E-2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214052.65317314948</v>
      </c>
      <c r="D36" s="11">
        <v>3.9699999999999999E-2</v>
      </c>
      <c r="E36" s="10">
        <f t="shared" si="2"/>
        <v>8173.4061084678688</v>
      </c>
      <c r="F36" s="3"/>
      <c r="G36" s="29">
        <v>-8.68</v>
      </c>
      <c r="H36" s="10"/>
      <c r="I36" s="10">
        <f t="shared" si="8"/>
        <v>1851.269254476131</v>
      </c>
      <c r="J36" s="10">
        <f t="shared" si="6"/>
        <v>396269095.65849423</v>
      </c>
      <c r="K36" s="11">
        <f t="shared" si="7"/>
        <v>-6.4036000000000648E-4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205879.24706468161</v>
      </c>
      <c r="D37" s="11">
        <v>4.4200000000000003E-2</v>
      </c>
      <c r="E37" s="10">
        <f t="shared" si="2"/>
        <v>8714.6741239790572</v>
      </c>
      <c r="F37" s="3"/>
      <c r="G37" s="29">
        <v>-10.4</v>
      </c>
      <c r="H37" s="10"/>
      <c r="I37" s="10">
        <f t="shared" si="8"/>
        <v>1925.9979759427079</v>
      </c>
      <c r="J37" s="10">
        <f t="shared" si="6"/>
        <v>396523013.13518548</v>
      </c>
      <c r="K37" s="11">
        <f t="shared" si="7"/>
        <v>-9.0542000000000122E-3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197164.57294070255</v>
      </c>
      <c r="D38" s="11">
        <v>4.5900000000000003E-2</v>
      </c>
      <c r="E38" s="10">
        <f t="shared" si="2"/>
        <v>8652.6951888118056</v>
      </c>
      <c r="F38" s="3"/>
      <c r="G38" s="29">
        <v>-19.49</v>
      </c>
      <c r="H38" s="10"/>
      <c r="I38" s="10">
        <f t="shared" si="8"/>
        <v>2029.5026090017998</v>
      </c>
      <c r="J38" s="10">
        <f t="shared" si="6"/>
        <v>400146015.1858815</v>
      </c>
      <c r="K38" s="11">
        <f t="shared" si="7"/>
        <v>-0.11924760999999973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188511.87775189074</v>
      </c>
      <c r="D39" s="11">
        <v>4.7500000000000001E-2</v>
      </c>
      <c r="E39" s="10">
        <f t="shared" si="2"/>
        <v>8548.271306171664</v>
      </c>
      <c r="F39" s="3"/>
      <c r="G39" s="29">
        <v>21.15</v>
      </c>
      <c r="H39" s="10"/>
      <c r="I39" s="10">
        <f t="shared" si="8"/>
        <v>2410.0494109984556</v>
      </c>
      <c r="J39" s="10">
        <f t="shared" si="6"/>
        <v>454322939.94215715</v>
      </c>
      <c r="K39" s="11">
        <f t="shared" si="7"/>
        <v>0.26904625000000015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179963.60644571908</v>
      </c>
      <c r="D40" s="11">
        <v>4.9000000000000002E-2</v>
      </c>
      <c r="E40" s="10">
        <f t="shared" si="2"/>
        <v>8406.3076414110838</v>
      </c>
      <c r="F40" s="3"/>
      <c r="G40" s="29">
        <v>12.1</v>
      </c>
      <c r="H40" s="10"/>
      <c r="I40" s="10">
        <f t="shared" si="8"/>
        <v>1989.3102855950933</v>
      </c>
      <c r="J40" s="10">
        <f t="shared" si="6"/>
        <v>358003453.3352564</v>
      </c>
      <c r="K40" s="11">
        <f t="shared" si="7"/>
        <v>0.17592899999999978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171557.298804308</v>
      </c>
      <c r="D41" s="11">
        <v>5.0299999999999997E-2</v>
      </c>
      <c r="E41" s="10">
        <f t="shared" si="2"/>
        <v>8216.0641053572181</v>
      </c>
      <c r="F41" s="3"/>
      <c r="G41" s="29">
        <v>16.28</v>
      </c>
      <c r="H41" s="10"/>
      <c r="I41" s="10">
        <f t="shared" si="8"/>
        <v>1774.5854465611894</v>
      </c>
      <c r="J41" s="10">
        <f t="shared" si="6"/>
        <v>304443085.70947433</v>
      </c>
      <c r="K41" s="11">
        <f t="shared" si="7"/>
        <v>0.22128884000000015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163341.23469895078</v>
      </c>
      <c r="D42" s="11">
        <v>5.1499999999999997E-2</v>
      </c>
      <c r="E42" s="10">
        <f t="shared" si="2"/>
        <v>8000.069982877787</v>
      </c>
      <c r="F42" s="3"/>
      <c r="G42" s="29">
        <v>-3.18</v>
      </c>
      <c r="H42" s="10"/>
      <c r="I42" s="10">
        <f t="shared" si="8"/>
        <v>1526.131274992423</v>
      </c>
      <c r="J42" s="10">
        <f t="shared" si="6"/>
        <v>249280166.76994634</v>
      </c>
      <c r="K42" s="11">
        <f t="shared" si="7"/>
        <v>1.8062299999999976E-2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155341.16471607299</v>
      </c>
      <c r="D43" s="11">
        <v>5.2299999999999999E-2</v>
      </c>
      <c r="E43" s="10">
        <f t="shared" si="2"/>
        <v>7720.5577446076495</v>
      </c>
      <c r="F43" s="3"/>
      <c r="G43" s="29">
        <v>1.3</v>
      </c>
      <c r="H43" s="10"/>
      <c r="I43" s="10">
        <f>IF(H43&lt;&gt;"",H43,I42/(1+IF(G42="",0,G42)/100))</f>
        <v>1576.2562228800073</v>
      </c>
      <c r="J43" s="10">
        <f t="shared" si="6"/>
        <v>244857477.55313829</v>
      </c>
      <c r="K43" s="11">
        <f t="shared" si="7"/>
        <v>6.5979900000000091E-2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147620.60697146534</v>
      </c>
      <c r="D44" s="11">
        <v>5.3100000000000001E-2</v>
      </c>
      <c r="E44" s="10">
        <f t="shared" si="2"/>
        <v>7443.4092015808565</v>
      </c>
      <c r="F44" s="3"/>
      <c r="G44" s="29">
        <v>9.0500000000000007</v>
      </c>
      <c r="H44" s="10"/>
      <c r="I44" s="10">
        <f t="shared" si="8"/>
        <v>1556.0278606910242</v>
      </c>
      <c r="J44" s="10">
        <f t="shared" si="6"/>
        <v>229701777.2597197</v>
      </c>
      <c r="K44" s="11">
        <f t="shared" si="7"/>
        <v>0.14840554999999989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140177.19776988449</v>
      </c>
      <c r="D45" s="11">
        <v>4.8099999999999997E-2</v>
      </c>
      <c r="E45" s="10">
        <f t="shared" si="2"/>
        <v>6433.0915110499482</v>
      </c>
      <c r="F45" s="3"/>
      <c r="G45" s="29">
        <v>6.31</v>
      </c>
      <c r="H45" s="10"/>
      <c r="I45" s="10">
        <f t="shared" si="8"/>
        <v>1426.8939575341808</v>
      </c>
      <c r="J45" s="10">
        <f t="shared" si="6"/>
        <v>200017996.48192203</v>
      </c>
      <c r="K45" s="11">
        <f t="shared" si="7"/>
        <v>0.11423511000000008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133744.10625883454</v>
      </c>
      <c r="D46" s="11">
        <v>2.5999999999999999E-2</v>
      </c>
      <c r="E46" s="10">
        <f t="shared" si="2"/>
        <v>3389.226864258977</v>
      </c>
      <c r="F46" s="3"/>
      <c r="G46" s="29">
        <v>15.85</v>
      </c>
      <c r="H46" s="10"/>
      <c r="I46" s="10">
        <f t="shared" si="8"/>
        <v>1342.2010700161611</v>
      </c>
      <c r="J46" s="10">
        <f t="shared" si="6"/>
        <v>179511482.52896288</v>
      </c>
      <c r="K46" s="11">
        <f t="shared" si="7"/>
        <v>0.18862100000000037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130354.87939457556</v>
      </c>
      <c r="D47" s="11">
        <v>1.0500000000000001E-2</v>
      </c>
      <c r="E47" s="10">
        <f t="shared" si="2"/>
        <v>1354.5039422494156</v>
      </c>
      <c r="F47" s="3"/>
      <c r="G47" s="29">
        <v>8.8699999999999992</v>
      </c>
      <c r="H47" s="10"/>
      <c r="I47" s="10">
        <f t="shared" si="8"/>
        <v>1158.5680362677265</v>
      </c>
      <c r="J47" s="10">
        <f t="shared" si="6"/>
        <v>151024996.63808972</v>
      </c>
      <c r="K47" s="11">
        <f t="shared" si="7"/>
        <v>0.10013134999999962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129000.37545232615</v>
      </c>
      <c r="D48" s="11">
        <v>1.4200000000000001E-2</v>
      </c>
      <c r="E48" s="10">
        <f t="shared" si="2"/>
        <v>1806.1578893936385</v>
      </c>
      <c r="F48" s="3"/>
      <c r="G48" s="29">
        <v>0</v>
      </c>
      <c r="H48" s="10"/>
      <c r="I48" s="10">
        <f t="shared" si="8"/>
        <v>1064.1756556147025</v>
      </c>
      <c r="J48" s="10">
        <f t="shared" si="6"/>
        <v>137279059.12152195</v>
      </c>
      <c r="K48" s="11">
        <f t="shared" si="7"/>
        <v>1.419999999999999E-2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127194.21756293251</v>
      </c>
      <c r="D49" s="11">
        <v>2.3800000000000002E-2</v>
      </c>
      <c r="E49" s="10">
        <f t="shared" si="2"/>
        <v>2956.8493631547171</v>
      </c>
      <c r="F49" s="3"/>
      <c r="G49" s="29">
        <v>7.55</v>
      </c>
      <c r="H49" s="10"/>
      <c r="I49" s="10">
        <f t="shared" si="8"/>
        <v>1064.1756556147025</v>
      </c>
      <c r="J49" s="10">
        <f t="shared" si="6"/>
        <v>135356989.8654328</v>
      </c>
      <c r="K49" s="11">
        <f t="shared" si="7"/>
        <v>0.10109689999999993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124237.36819977779</v>
      </c>
      <c r="D50" s="11">
        <v>3.15E-2</v>
      </c>
      <c r="E50" s="10">
        <f t="shared" si="2"/>
        <v>3793.9671335850871</v>
      </c>
      <c r="F50" s="3"/>
      <c r="G50" s="29">
        <v>0.5</v>
      </c>
      <c r="H50" s="10"/>
      <c r="I50" s="10">
        <f t="shared" si="8"/>
        <v>989.47062353761282</v>
      </c>
      <c r="J50" s="10">
        <f t="shared" si="6"/>
        <v>122929226.17930612</v>
      </c>
      <c r="K50" s="11">
        <f t="shared" si="7"/>
        <v>3.665750000000001E-2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120443.4010661927</v>
      </c>
      <c r="D51" s="11">
        <v>3.27E-2</v>
      </c>
      <c r="E51" s="10">
        <f t="shared" si="2"/>
        <v>3813.7883362685097</v>
      </c>
      <c r="F51" s="3"/>
      <c r="G51" s="29">
        <v>13.9</v>
      </c>
      <c r="H51" s="10"/>
      <c r="I51" s="10">
        <f t="shared" si="8"/>
        <v>984.54788411702782</v>
      </c>
      <c r="J51" s="10">
        <f t="shared" si="6"/>
        <v>118582295.67557859</v>
      </c>
      <c r="K51" s="11">
        <f t="shared" si="7"/>
        <v>0.17624529999999994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116629.61272992419</v>
      </c>
      <c r="D52" s="11">
        <v>3.5700000000000003E-2</v>
      </c>
      <c r="E52" s="10">
        <f t="shared" si="2"/>
        <v>4020.1575499259488</v>
      </c>
      <c r="F52" s="3"/>
      <c r="G52" s="29">
        <v>-1.06</v>
      </c>
      <c r="H52" s="10"/>
      <c r="I52" s="10">
        <f t="shared" si="8"/>
        <v>864.39673759177151</v>
      </c>
      <c r="J52" s="10">
        <f t="shared" si="6"/>
        <v>100814256.75033821</v>
      </c>
      <c r="K52" s="11">
        <f t="shared" si="7"/>
        <v>2.4721580000000021E-2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112609.45517999824</v>
      </c>
      <c r="D53" s="11">
        <v>3.85E-2</v>
      </c>
      <c r="E53" s="10">
        <f t="shared" si="2"/>
        <v>4174.736662907977</v>
      </c>
      <c r="F53" s="3"/>
      <c r="G53" s="29">
        <v>5.92</v>
      </c>
      <c r="H53" s="10"/>
      <c r="I53" s="10">
        <f t="shared" si="8"/>
        <v>873.65750716774971</v>
      </c>
      <c r="J53" s="10">
        <f t="shared" si="6"/>
        <v>98382095.896075711</v>
      </c>
      <c r="K53" s="11">
        <f t="shared" si="7"/>
        <v>9.9979199999999935E-2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108434.71851709027</v>
      </c>
      <c r="D54" s="11">
        <v>3.9100000000000003E-2</v>
      </c>
      <c r="E54" s="10">
        <f t="shared" si="2"/>
        <v>4080.2593533040344</v>
      </c>
      <c r="F54" s="3"/>
      <c r="G54" s="29">
        <v>10.14</v>
      </c>
      <c r="H54" s="10"/>
      <c r="I54" s="10">
        <f t="shared" si="8"/>
        <v>824.8277069181928</v>
      </c>
      <c r="J54" s="10">
        <f t="shared" si="6"/>
        <v>89439960.224771261</v>
      </c>
      <c r="K54" s="11">
        <f t="shared" si="7"/>
        <v>0.14446473999999987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104354.45916378623</v>
      </c>
      <c r="D55" s="11">
        <v>3.9800000000000002E-2</v>
      </c>
      <c r="E55" s="10">
        <f t="shared" si="2"/>
        <v>3994.3330205026868</v>
      </c>
      <c r="F55" s="3"/>
      <c r="G55" s="29">
        <v>8.41</v>
      </c>
      <c r="H55" s="10"/>
      <c r="I55" s="10">
        <f t="shared" si="8"/>
        <v>748.890236896852</v>
      </c>
      <c r="J55" s="10">
        <f t="shared" si="6"/>
        <v>78150035.644410744</v>
      </c>
      <c r="K55" s="11">
        <f t="shared" si="7"/>
        <v>0.1272471799999999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100360.12614328355</v>
      </c>
      <c r="D56" s="11">
        <v>4.07E-2</v>
      </c>
      <c r="E56" s="10">
        <f t="shared" si="2"/>
        <v>3924.913168090352</v>
      </c>
      <c r="F56" s="3"/>
      <c r="G56" s="29">
        <v>-4.88</v>
      </c>
      <c r="H56" s="10"/>
      <c r="I56" s="10">
        <f t="shared" si="8"/>
        <v>690.7944256958325</v>
      </c>
      <c r="J56" s="10">
        <f t="shared" si="6"/>
        <v>69328215.701910868</v>
      </c>
      <c r="K56" s="11">
        <f t="shared" si="7"/>
        <v>-1.0086159999999955E-2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96435.212975193193</v>
      </c>
      <c r="D57" s="11">
        <v>4.07E-2</v>
      </c>
      <c r="E57" s="10">
        <f t="shared" si="2"/>
        <v>3771.416515893492</v>
      </c>
      <c r="F57" s="3"/>
      <c r="G57" s="30">
        <v>10.25</v>
      </c>
      <c r="H57" s="10"/>
      <c r="I57" s="10">
        <f t="shared" si="8"/>
        <v>726.23467798132094</v>
      </c>
      <c r="J57" s="10">
        <f t="shared" si="6"/>
        <v>70034595.84109953</v>
      </c>
      <c r="K57" s="11">
        <f t="shared" si="7"/>
        <v>0.14737175000000002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92663.796459299701</v>
      </c>
      <c r="D58" s="11">
        <v>4.0500000000000001E-2</v>
      </c>
      <c r="E58" s="10">
        <f t="shared" si="2"/>
        <v>3606.8080313326645</v>
      </c>
      <c r="F58" s="3"/>
      <c r="G58" s="30">
        <v>5.1100000000000003</v>
      </c>
      <c r="H58" s="10"/>
      <c r="I58" s="10">
        <f t="shared" si="8"/>
        <v>658.71626120754729</v>
      </c>
      <c r="J58" s="10">
        <f t="shared" si="6"/>
        <v>61039149.552967057</v>
      </c>
      <c r="K58" s="11">
        <f t="shared" si="7"/>
        <v>9.3669549999999768E-2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89056.988427967037</v>
      </c>
      <c r="D59" s="11">
        <v>0.04</v>
      </c>
      <c r="E59" s="10">
        <f t="shared" si="2"/>
        <v>3425.2687856910488</v>
      </c>
      <c r="F59" s="3"/>
      <c r="G59" s="30">
        <v>3.28</v>
      </c>
      <c r="H59" s="10"/>
      <c r="I59" s="10">
        <f t="shared" si="8"/>
        <v>626.69228542245969</v>
      </c>
      <c r="J59" s="10">
        <f t="shared" si="6"/>
        <v>55811327.610764205</v>
      </c>
      <c r="K59" s="11">
        <f t="shared" si="7"/>
        <v>7.4111999999999956E-2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85631.719642275988</v>
      </c>
      <c r="D60" s="11">
        <v>0.04</v>
      </c>
      <c r="E60" s="10">
        <f t="shared" si="2"/>
        <v>3293.527678549086</v>
      </c>
      <c r="F60" s="3"/>
      <c r="G60" s="30">
        <v>2</v>
      </c>
      <c r="H60" s="10"/>
      <c r="I60" s="10">
        <f t="shared" si="8"/>
        <v>606.78958696984864</v>
      </c>
      <c r="J60" s="10">
        <f t="shared" si="6"/>
        <v>51960435.793254524</v>
      </c>
      <c r="K60" s="11">
        <f t="shared" si="7"/>
        <v>6.0800000000000409E-2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82338.191963726902</v>
      </c>
      <c r="D61" s="11">
        <v>0.04</v>
      </c>
      <c r="E61" s="10">
        <f t="shared" si="2"/>
        <v>3166.8535370664176</v>
      </c>
      <c r="F61" s="3"/>
      <c r="G61" s="30">
        <v>4.49</v>
      </c>
      <c r="H61" s="10"/>
      <c r="I61" s="10">
        <f t="shared" si="8"/>
        <v>594.89175193122412</v>
      </c>
      <c r="J61" s="10">
        <f t="shared" si="6"/>
        <v>48982311.268150933</v>
      </c>
      <c r="K61" s="11">
        <f t="shared" si="7"/>
        <v>8.6695999999999884E-2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79171.338426660484</v>
      </c>
      <c r="D62" s="11">
        <v>0.04</v>
      </c>
      <c r="E62" s="10">
        <f t="shared" si="2"/>
        <v>3045.0514779484802</v>
      </c>
      <c r="F62" s="3"/>
      <c r="G62" s="30">
        <v>2.41</v>
      </c>
      <c r="H62" s="10"/>
      <c r="I62" s="10">
        <f t="shared" si="8"/>
        <v>569.32888499495084</v>
      </c>
      <c r="J62" s="10">
        <f t="shared" si="6"/>
        <v>45074529.830008522</v>
      </c>
      <c r="K62" s="11">
        <f t="shared" si="7"/>
        <v>6.5064000000000233E-2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76126.286948712004</v>
      </c>
      <c r="D63" s="11">
        <v>0.04</v>
      </c>
      <c r="E63" s="10">
        <f t="shared" si="2"/>
        <v>2927.9341134120041</v>
      </c>
      <c r="F63" s="3"/>
      <c r="G63" s="30">
        <v>7.39</v>
      </c>
      <c r="H63" s="10"/>
      <c r="I63" s="10">
        <f t="shared" si="8"/>
        <v>555.93094912113156</v>
      </c>
      <c r="J63" s="10">
        <f t="shared" si="6"/>
        <v>42320958.956465073</v>
      </c>
      <c r="K63" s="11">
        <f t="shared" si="7"/>
        <v>0.11685600000000007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73198.3528353</v>
      </c>
      <c r="D64" s="11">
        <v>3.9E-2</v>
      </c>
      <c r="E64" s="10">
        <f t="shared" si="2"/>
        <v>2747.5801352999988</v>
      </c>
      <c r="F64" s="3"/>
      <c r="G64" s="30">
        <v>4.75</v>
      </c>
      <c r="H64" s="10"/>
      <c r="I64" s="10">
        <f t="shared" si="8"/>
        <v>517.67478268100524</v>
      </c>
      <c r="J64" s="10">
        <f t="shared" si="6"/>
        <v>37892941.396621473</v>
      </c>
      <c r="K64" s="11">
        <f t="shared" si="7"/>
        <v>8.8352500000000278E-2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70450.772700000001</v>
      </c>
      <c r="D65" s="11">
        <v>3.7999999999999999E-2</v>
      </c>
      <c r="E65" s="10">
        <f t="shared" si="2"/>
        <v>2579.1227000000072</v>
      </c>
      <c r="F65" s="3"/>
      <c r="G65" s="30">
        <v>1.55</v>
      </c>
      <c r="H65" s="10"/>
      <c r="I65" s="10">
        <f t="shared" si="8"/>
        <v>494.20026986253481</v>
      </c>
      <c r="J65" s="10">
        <f t="shared" si="6"/>
        <v>34816790.880364098</v>
      </c>
      <c r="K65" s="11">
        <f t="shared" si="7"/>
        <v>5.4089000000000054E-2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67871.649999999994</v>
      </c>
      <c r="D66" s="11">
        <v>3.6999999999999998E-2</v>
      </c>
      <c r="E66" s="10">
        <f t="shared" si="2"/>
        <v>2421.6499999999942</v>
      </c>
      <c r="F66" s="3"/>
      <c r="G66" s="30">
        <v>5.55</v>
      </c>
      <c r="H66" s="10"/>
      <c r="I66" s="10">
        <f t="shared" si="8"/>
        <v>486.65708504434741</v>
      </c>
      <c r="J66" s="10">
        <f t="shared" ref="J66:J67" si="9">IF(I66="","",I66*C66)</f>
        <v>33030219.346150178</v>
      </c>
      <c r="K66" s="11">
        <f t="shared" ref="K66" si="10">IFERROR(J66/J67-1,"")</f>
        <v>9.4553499999999957E-2</v>
      </c>
    </row>
    <row r="67" spans="1:11" ht="22.5" customHeight="1">
      <c r="A67" s="3">
        <f t="shared" si="0"/>
        <v>1950</v>
      </c>
      <c r="B67" s="3">
        <v>1700</v>
      </c>
      <c r="C67" s="10">
        <v>65450</v>
      </c>
      <c r="D67" s="11">
        <v>3.5000000000000003E-2</v>
      </c>
      <c r="E67" s="3" t="s">
        <v>72</v>
      </c>
      <c r="F67" s="3"/>
      <c r="G67" s="30">
        <v>1.55</v>
      </c>
      <c r="H67" s="10"/>
      <c r="I67" s="10">
        <f t="shared" ref="I67" si="11">IF(H67&lt;&gt;"",H67,I66/(1+IF(G66="",0,G66)/100))</f>
        <v>461.06782097995961</v>
      </c>
      <c r="J67" s="10">
        <f t="shared" si="9"/>
        <v>30176888.883138355</v>
      </c>
      <c r="K67" s="11"/>
    </row>
  </sheetData>
  <dataValidations count="1">
    <dataValidation type="custom" allowBlank="1" showDropDown="1" sqref="D2:D67" xr:uid="{00000000-0002-0000-1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67"/>
  <sheetViews>
    <sheetView topLeftCell="A35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13814433.413694233</v>
      </c>
      <c r="D2" s="11">
        <v>3.3999999999999998E-3</v>
      </c>
      <c r="E2" s="10">
        <f t="shared" ref="E2:E66" si="2">SUM(C2-C3)</f>
        <v>46809.919878972694</v>
      </c>
      <c r="F2" s="14">
        <v>13815053</v>
      </c>
      <c r="G2" s="26">
        <v>5.0199999999999996</v>
      </c>
      <c r="H2" s="10"/>
      <c r="I2" s="10">
        <f>IF(H2&lt;&gt;"",H2,130160)</f>
        <v>16270</v>
      </c>
      <c r="J2" s="10">
        <f t="shared" ref="J2:J33" si="3">IF(I2="","",I2*C2)</f>
        <v>224760831640.80518</v>
      </c>
      <c r="K2" s="11">
        <f t="shared" ref="K2:K33" si="4">IFERROR(J2/J3-1,"")</f>
        <v>5.3770680000000182E-2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13767623.49381526</v>
      </c>
      <c r="D3" s="11">
        <v>3.7000000000000002E-3</v>
      </c>
      <c r="E3" s="10">
        <f t="shared" si="2"/>
        <v>50752.422962157056</v>
      </c>
      <c r="F3" s="3"/>
      <c r="G3" s="26">
        <v>1.29</v>
      </c>
      <c r="H3" s="10"/>
      <c r="I3" s="10">
        <f t="shared" ref="I3:I34" si="5">IF(H3&lt;&gt;"",H3,I2/(1+IF(G2="",0,G2)/100))</f>
        <v>15492.287183393639</v>
      </c>
      <c r="J3" s="10">
        <f t="shared" si="3"/>
        <v>213291976999.02332</v>
      </c>
      <c r="K3" s="11">
        <f t="shared" si="4"/>
        <v>1.6647729999999861E-2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13716871.070853103</v>
      </c>
      <c r="D4" s="11">
        <v>4.0000000000000001E-3</v>
      </c>
      <c r="E4" s="10">
        <f t="shared" si="2"/>
        <v>54648.88872849755</v>
      </c>
      <c r="F4" s="3"/>
      <c r="G4" s="26">
        <v>5.23</v>
      </c>
      <c r="H4" s="10"/>
      <c r="I4" s="10">
        <f t="shared" si="5"/>
        <v>15294.981916668616</v>
      </c>
      <c r="J4" s="10">
        <f t="shared" si="3"/>
        <v>209799294981.97308</v>
      </c>
      <c r="K4" s="11">
        <f t="shared" si="4"/>
        <v>5.6509200000000037E-2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13662222.182124605</v>
      </c>
      <c r="D5" s="11">
        <v>4.3E-3</v>
      </c>
      <c r="E5" s="10">
        <f t="shared" si="2"/>
        <v>58496.022486444563</v>
      </c>
      <c r="F5" s="3"/>
      <c r="G5" s="26">
        <v>8.86</v>
      </c>
      <c r="H5" s="10"/>
      <c r="I5" s="10">
        <f t="shared" si="5"/>
        <v>14534.811286390397</v>
      </c>
      <c r="J5" s="10">
        <f t="shared" si="3"/>
        <v>198577821169.91797</v>
      </c>
      <c r="K5" s="11">
        <f t="shared" si="4"/>
        <v>9.3280980000000069E-2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13603726.159638161</v>
      </c>
      <c r="D6" s="11">
        <v>4.4999999999999997E-3</v>
      </c>
      <c r="E6" s="10">
        <f t="shared" si="2"/>
        <v>60942.526349797845</v>
      </c>
      <c r="F6" s="3"/>
      <c r="G6" s="26">
        <v>2.89</v>
      </c>
      <c r="H6" s="10"/>
      <c r="I6" s="10">
        <f t="shared" si="5"/>
        <v>13351.838403812601</v>
      </c>
      <c r="J6" s="10">
        <f t="shared" si="3"/>
        <v>181634753373.20691</v>
      </c>
      <c r="K6" s="11">
        <f t="shared" si="4"/>
        <v>3.3530049999999978E-2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13542783.633288363</v>
      </c>
      <c r="D7" s="11">
        <v>4.7000000000000002E-3</v>
      </c>
      <c r="E7" s="10">
        <f t="shared" si="2"/>
        <v>63353.322460887954</v>
      </c>
      <c r="F7" s="3"/>
      <c r="G7" s="26">
        <v>2.4700000000000002</v>
      </c>
      <c r="H7" s="10"/>
      <c r="I7" s="10">
        <f t="shared" si="5"/>
        <v>12976.808634281855</v>
      </c>
      <c r="J7" s="10">
        <f t="shared" si="3"/>
        <v>175742111584.66742</v>
      </c>
      <c r="K7" s="11">
        <f t="shared" si="4"/>
        <v>2.9516089999999773E-2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13479430.310827475</v>
      </c>
      <c r="D8" s="11">
        <v>4.7999999999999996E-3</v>
      </c>
      <c r="E8" s="10">
        <f t="shared" si="2"/>
        <v>64392.183013506234</v>
      </c>
      <c r="F8" s="3"/>
      <c r="G8" s="26">
        <v>5.98</v>
      </c>
      <c r="H8" s="10"/>
      <c r="I8" s="10">
        <f t="shared" si="5"/>
        <v>12664.0076454395</v>
      </c>
      <c r="J8" s="10">
        <f t="shared" si="3"/>
        <v>170703608512.4881</v>
      </c>
      <c r="K8" s="11">
        <f t="shared" si="4"/>
        <v>6.4887039999999896E-2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13415038.127813969</v>
      </c>
      <c r="D9" s="11">
        <v>4.8999999999999998E-3</v>
      </c>
      <c r="E9" s="10">
        <f t="shared" si="2"/>
        <v>65413.16233086586</v>
      </c>
      <c r="F9" s="3"/>
      <c r="G9" s="26">
        <v>8.9499999999999993</v>
      </c>
      <c r="H9" s="10"/>
      <c r="I9" s="10">
        <f t="shared" si="5"/>
        <v>11949.431633741744</v>
      </c>
      <c r="J9" s="10">
        <f t="shared" si="3"/>
        <v>160302080972.35187</v>
      </c>
      <c r="K9" s="11">
        <f t="shared" si="4"/>
        <v>9.4838549999999966E-2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13349624.965483103</v>
      </c>
      <c r="D10" s="11">
        <v>5.0000000000000001E-3</v>
      </c>
      <c r="E10" s="10">
        <f t="shared" si="2"/>
        <v>66416.044604392722</v>
      </c>
      <c r="F10" s="3"/>
      <c r="G10" s="26">
        <v>4.9800000000000004</v>
      </c>
      <c r="H10" s="10"/>
      <c r="I10" s="10">
        <f t="shared" si="5"/>
        <v>10967.812421974984</v>
      </c>
      <c r="J10" s="10">
        <f t="shared" si="3"/>
        <v>146416182525.13293</v>
      </c>
      <c r="K10" s="11">
        <f t="shared" si="4"/>
        <v>5.5048999999999904E-2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13283208.92087871</v>
      </c>
      <c r="D11" s="11">
        <v>5.3E-3</v>
      </c>
      <c r="E11" s="10">
        <f t="shared" si="2"/>
        <v>70029.849080530927</v>
      </c>
      <c r="F11" s="3"/>
      <c r="G11" s="26">
        <v>4.67</v>
      </c>
      <c r="H11" s="10"/>
      <c r="I11" s="10">
        <f t="shared" si="5"/>
        <v>10447.525644860911</v>
      </c>
      <c r="J11" s="10">
        <f t="shared" si="3"/>
        <v>138776665846.92554</v>
      </c>
      <c r="K11" s="11">
        <f t="shared" si="4"/>
        <v>5.2247509999999941E-2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13213179.071798179</v>
      </c>
      <c r="D12" s="11">
        <v>5.5999999999999999E-3</v>
      </c>
      <c r="E12" s="10">
        <f t="shared" si="2"/>
        <v>73581.745029902086</v>
      </c>
      <c r="F12" s="3"/>
      <c r="G12" s="26">
        <v>2.78</v>
      </c>
      <c r="H12" s="10"/>
      <c r="I12" s="10">
        <f t="shared" si="5"/>
        <v>9981.3945207422476</v>
      </c>
      <c r="J12" s="10">
        <f t="shared" si="3"/>
        <v>131885953188.83249</v>
      </c>
      <c r="K12" s="11">
        <f t="shared" si="4"/>
        <v>3.3555680000000088E-2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13139597.326768277</v>
      </c>
      <c r="D13" s="11">
        <v>6.1000000000000004E-3</v>
      </c>
      <c r="E13" s="10">
        <f t="shared" si="2"/>
        <v>79665.583633124828</v>
      </c>
      <c r="F13" s="3"/>
      <c r="G13" s="26">
        <v>1.99</v>
      </c>
      <c r="H13" s="10"/>
      <c r="I13" s="10">
        <f t="shared" si="5"/>
        <v>9711.4171246762471</v>
      </c>
      <c r="J13" s="10">
        <f t="shared" si="3"/>
        <v>127604110490.52768</v>
      </c>
      <c r="K13" s="11">
        <f t="shared" si="4"/>
        <v>2.6121389999999911E-2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13059931.743135152</v>
      </c>
      <c r="D14" s="11">
        <v>6.4999999999999997E-3</v>
      </c>
      <c r="E14" s="10">
        <f t="shared" si="2"/>
        <v>84341.337635746226</v>
      </c>
      <c r="F14" s="3"/>
      <c r="G14" s="26">
        <v>2.19</v>
      </c>
      <c r="H14" s="10"/>
      <c r="I14" s="10">
        <f t="shared" si="5"/>
        <v>9521.9307036731516</v>
      </c>
      <c r="J14" s="10">
        <f t="shared" si="3"/>
        <v>124355765052.83423</v>
      </c>
      <c r="K14" s="11">
        <f t="shared" si="4"/>
        <v>2.8542350000000161E-2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12975590.405499406</v>
      </c>
      <c r="D15" s="11">
        <v>6.8999999999999999E-3</v>
      </c>
      <c r="E15" s="10">
        <f t="shared" si="2"/>
        <v>88918.039326591417</v>
      </c>
      <c r="F15" s="3"/>
      <c r="G15" s="26">
        <v>-0.78</v>
      </c>
      <c r="H15" s="10"/>
      <c r="I15" s="10">
        <f t="shared" si="5"/>
        <v>9317.8693645886597</v>
      </c>
      <c r="J15" s="10">
        <f t="shared" si="3"/>
        <v>120904856326.85345</v>
      </c>
      <c r="K15" s="11">
        <f t="shared" si="4"/>
        <v>-9.5382000000021616E-4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12886672.366172815</v>
      </c>
      <c r="D16" s="11">
        <v>7.4999999999999997E-3</v>
      </c>
      <c r="E16" s="10">
        <f t="shared" si="2"/>
        <v>95930.563519896939</v>
      </c>
      <c r="F16" s="3"/>
      <c r="G16" s="26">
        <v>4.6100000000000003</v>
      </c>
      <c r="H16" s="10"/>
      <c r="I16" s="10">
        <f t="shared" si="5"/>
        <v>9391.1201013794198</v>
      </c>
      <c r="J16" s="10">
        <f t="shared" si="3"/>
        <v>121020287897.85622</v>
      </c>
      <c r="K16" s="11">
        <f t="shared" si="4"/>
        <v>5.3945750000000237E-2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12790741.802652918</v>
      </c>
      <c r="D17" s="11">
        <v>8.3000000000000001E-3</v>
      </c>
      <c r="E17" s="10">
        <f t="shared" si="2"/>
        <v>105289.25613608956</v>
      </c>
      <c r="F17" s="3"/>
      <c r="G17" s="26">
        <v>-16.190000000000001</v>
      </c>
      <c r="H17" s="10"/>
      <c r="I17" s="10">
        <f t="shared" si="5"/>
        <v>8977.268044526736</v>
      </c>
      <c r="J17" s="10">
        <f t="shared" si="3"/>
        <v>114825917650.74834</v>
      </c>
      <c r="K17" s="11">
        <f t="shared" si="4"/>
        <v>-0.15494377000000004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12685452.546516828</v>
      </c>
      <c r="D18" s="11">
        <v>9.2999999999999992E-3</v>
      </c>
      <c r="E18" s="10">
        <f t="shared" si="2"/>
        <v>116887.65350501053</v>
      </c>
      <c r="F18" s="3"/>
      <c r="G18" s="26">
        <v>0.3</v>
      </c>
      <c r="H18" s="10"/>
      <c r="I18" s="10">
        <f t="shared" si="5"/>
        <v>10711.452147150383</v>
      </c>
      <c r="J18" s="10">
        <f t="shared" si="3"/>
        <v>135879617916.96198</v>
      </c>
      <c r="K18" s="11">
        <f t="shared" si="4"/>
        <v>1.2327900000000058E-2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12568564.893011818</v>
      </c>
      <c r="D19" s="11">
        <v>1.0500000000000001E-2</v>
      </c>
      <c r="E19" s="10">
        <f t="shared" si="2"/>
        <v>130598.64559784532</v>
      </c>
      <c r="F19" s="3"/>
      <c r="G19" s="26">
        <v>-7.0000000000000007E-2</v>
      </c>
      <c r="H19" s="10"/>
      <c r="I19" s="10">
        <f t="shared" si="5"/>
        <v>10679.413905434081</v>
      </c>
      <c r="J19" s="10">
        <f t="shared" si="3"/>
        <v>134224906689.78102</v>
      </c>
      <c r="K19" s="11">
        <f t="shared" si="4"/>
        <v>9.7926499999998473E-3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12437966.247413972</v>
      </c>
      <c r="D20" s="11">
        <v>1.1599999999999999E-2</v>
      </c>
      <c r="E20" s="10">
        <f t="shared" si="2"/>
        <v>142625.94747924432</v>
      </c>
      <c r="F20" s="3"/>
      <c r="G20" s="26">
        <v>6.03</v>
      </c>
      <c r="H20" s="10"/>
      <c r="I20" s="10">
        <f t="shared" si="5"/>
        <v>10686.894731746304</v>
      </c>
      <c r="J20" s="10">
        <f t="shared" si="3"/>
        <v>132923235963.12674</v>
      </c>
      <c r="K20" s="11">
        <f t="shared" si="4"/>
        <v>7.2599480000000272E-2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12295340.299934728</v>
      </c>
      <c r="D21" s="11">
        <v>1.21E-2</v>
      </c>
      <c r="E21" s="10">
        <f t="shared" si="2"/>
        <v>146994.97839068249</v>
      </c>
      <c r="F21" s="3"/>
      <c r="G21" s="26">
        <v>3.05</v>
      </c>
      <c r="H21" s="10"/>
      <c r="I21" s="10">
        <f t="shared" si="5"/>
        <v>10079.123579879566</v>
      </c>
      <c r="J21" s="10">
        <f t="shared" si="3"/>
        <v>123926254339.71561</v>
      </c>
      <c r="K21" s="11">
        <f t="shared" si="4"/>
        <v>4.2969049999999953E-2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12148345.321544046</v>
      </c>
      <c r="D22" s="11">
        <v>1.1900000000000001E-2</v>
      </c>
      <c r="E22" s="10">
        <f t="shared" si="2"/>
        <v>142865.21328824386</v>
      </c>
      <c r="F22" s="3"/>
      <c r="G22" s="26">
        <v>5</v>
      </c>
      <c r="H22" s="10"/>
      <c r="I22" s="10">
        <f t="shared" si="5"/>
        <v>9780.8089081800736</v>
      </c>
      <c r="J22" s="10">
        <f t="shared" si="3"/>
        <v>118820644140.60573</v>
      </c>
      <c r="K22" s="11">
        <f t="shared" si="4"/>
        <v>6.2494999999999967E-2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12005480.108255802</v>
      </c>
      <c r="D23" s="11">
        <v>1.11E-2</v>
      </c>
      <c r="E23" s="10">
        <f t="shared" si="2"/>
        <v>131797.87281341106</v>
      </c>
      <c r="F23" s="3"/>
      <c r="G23" s="26">
        <v>3.88</v>
      </c>
      <c r="H23" s="10"/>
      <c r="I23" s="10">
        <f t="shared" si="5"/>
        <v>9315.0561030286408</v>
      </c>
      <c r="J23" s="10">
        <f t="shared" si="3"/>
        <v>111831720752.19716</v>
      </c>
      <c r="K23" s="11">
        <f t="shared" si="4"/>
        <v>5.0330680000000072E-2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11873682.235442391</v>
      </c>
      <c r="D24" s="11">
        <v>1.01E-2</v>
      </c>
      <c r="E24" s="10">
        <f t="shared" si="2"/>
        <v>118725.06739725545</v>
      </c>
      <c r="F24" s="3"/>
      <c r="G24" s="26">
        <v>6.04</v>
      </c>
      <c r="H24" s="10"/>
      <c r="I24" s="10">
        <f t="shared" si="5"/>
        <v>8967.131404532769</v>
      </c>
      <c r="J24" s="10">
        <f t="shared" si="3"/>
        <v>106472868860.87831</v>
      </c>
      <c r="K24" s="11">
        <f t="shared" si="4"/>
        <v>7.1110039999999985E-2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11754957.168045135</v>
      </c>
      <c r="D25" s="11">
        <v>9.1999999999999998E-3</v>
      </c>
      <c r="E25" s="10">
        <f t="shared" si="2"/>
        <v>107159.73637139983</v>
      </c>
      <c r="F25" s="3"/>
      <c r="G25" s="26">
        <v>8.41</v>
      </c>
      <c r="H25" s="10"/>
      <c r="I25" s="10">
        <f t="shared" si="5"/>
        <v>8456.3668469754521</v>
      </c>
      <c r="J25" s="10">
        <f t="shared" si="3"/>
        <v>99404230083.473328</v>
      </c>
      <c r="K25" s="11">
        <f t="shared" si="4"/>
        <v>9.4073720000000138E-2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11647797.431673735</v>
      </c>
      <c r="D26" s="11">
        <v>9.1000000000000004E-3</v>
      </c>
      <c r="E26" s="10">
        <f t="shared" si="2"/>
        <v>105039.10081085376</v>
      </c>
      <c r="F26" s="3"/>
      <c r="G26" s="26">
        <v>2.0699999999999998</v>
      </c>
      <c r="H26" s="10"/>
      <c r="I26" s="10">
        <f t="shared" si="5"/>
        <v>7800.3568369850118</v>
      </c>
      <c r="J26" s="10">
        <f t="shared" si="3"/>
        <v>90856976331.972687</v>
      </c>
      <c r="K26" s="11">
        <f t="shared" si="4"/>
        <v>2.9988370000000097E-2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11542758.330862882</v>
      </c>
      <c r="D27" s="11">
        <v>1.01E-2</v>
      </c>
      <c r="E27" s="10">
        <f t="shared" si="2"/>
        <v>115416.15596645325</v>
      </c>
      <c r="F27" s="3"/>
      <c r="G27" s="26">
        <v>-7.13</v>
      </c>
      <c r="H27" s="10"/>
      <c r="I27" s="10">
        <f t="shared" si="5"/>
        <v>7642.1640413294917</v>
      </c>
      <c r="J27" s="10">
        <f t="shared" si="3"/>
        <v>88211652653.87674</v>
      </c>
      <c r="K27" s="11">
        <f t="shared" si="4"/>
        <v>-6.1920129999999962E-2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11427342.174896428</v>
      </c>
      <c r="D28" s="11">
        <v>1.1900000000000001E-2</v>
      </c>
      <c r="E28" s="10">
        <f t="shared" si="2"/>
        <v>134386.17638231814</v>
      </c>
      <c r="F28" s="3"/>
      <c r="G28" s="26">
        <v>11.76</v>
      </c>
      <c r="H28" s="10"/>
      <c r="I28" s="10">
        <f t="shared" si="5"/>
        <v>8228.8834298799302</v>
      </c>
      <c r="J28" s="10">
        <f t="shared" si="3"/>
        <v>94034266670.573303</v>
      </c>
      <c r="K28" s="11">
        <f t="shared" si="4"/>
        <v>0.13089943999999987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11292955.99851411</v>
      </c>
      <c r="D29" s="11">
        <v>1.41E-2</v>
      </c>
      <c r="E29" s="10">
        <f t="shared" si="2"/>
        <v>157016.74349575862</v>
      </c>
      <c r="F29" s="3"/>
      <c r="G29" s="26">
        <v>5.96</v>
      </c>
      <c r="H29" s="10"/>
      <c r="I29" s="10">
        <f t="shared" si="5"/>
        <v>7362.9951949534097</v>
      </c>
      <c r="J29" s="10">
        <f t="shared" si="3"/>
        <v>83149980753.879684</v>
      </c>
      <c r="K29" s="11">
        <f t="shared" si="4"/>
        <v>7.4540360000000083E-2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11135939.255018352</v>
      </c>
      <c r="D30" s="12">
        <v>1.6E-2</v>
      </c>
      <c r="E30" s="10">
        <f t="shared" si="2"/>
        <v>175369.12212627381</v>
      </c>
      <c r="F30" s="3"/>
      <c r="G30" s="26">
        <v>-3.44</v>
      </c>
      <c r="H30" s="10"/>
      <c r="I30" s="10">
        <f t="shared" si="5"/>
        <v>6948.8440873474983</v>
      </c>
      <c r="J30" s="10">
        <f t="shared" si="3"/>
        <v>77381905649.295181</v>
      </c>
      <c r="K30" s="11">
        <f t="shared" si="4"/>
        <v>-1.8950399999999812E-2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10960570.132892078</v>
      </c>
      <c r="D31" s="13">
        <v>1.7500000000000002E-2</v>
      </c>
      <c r="E31" s="10">
        <f t="shared" si="2"/>
        <v>188511.03422664665</v>
      </c>
      <c r="F31" s="3"/>
      <c r="G31" s="26">
        <v>2</v>
      </c>
      <c r="H31" s="10"/>
      <c r="I31" s="10">
        <f t="shared" si="5"/>
        <v>7196.4002561593807</v>
      </c>
      <c r="J31" s="10">
        <f t="shared" si="3"/>
        <v>78876649711.997406</v>
      </c>
      <c r="K31" s="11">
        <f t="shared" si="4"/>
        <v>3.7850000000000161E-2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10772059.098665431</v>
      </c>
      <c r="D32" s="12">
        <v>1.8200000000000001E-2</v>
      </c>
      <c r="E32" s="10">
        <f t="shared" si="2"/>
        <v>192547.11804725043</v>
      </c>
      <c r="F32" s="3"/>
      <c r="G32" s="26">
        <v>14.01</v>
      </c>
      <c r="H32" s="10"/>
      <c r="I32" s="10">
        <f t="shared" si="5"/>
        <v>7055.294368783706</v>
      </c>
      <c r="J32" s="10">
        <f t="shared" si="3"/>
        <v>76000047899.019501</v>
      </c>
      <c r="K32" s="11">
        <f t="shared" si="4"/>
        <v>0.16084981999999992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10579511.980618181</v>
      </c>
      <c r="D33" s="13">
        <v>1.83E-2</v>
      </c>
      <c r="E33" s="10">
        <f t="shared" si="2"/>
        <v>190125.7676964663</v>
      </c>
      <c r="F33" s="3"/>
      <c r="G33" s="26">
        <v>16.71</v>
      </c>
      <c r="H33" s="10"/>
      <c r="I33" s="10">
        <f t="shared" si="5"/>
        <v>6188.3118750843842</v>
      </c>
      <c r="J33" s="10">
        <f t="shared" si="3"/>
        <v>65469319622.257004</v>
      </c>
      <c r="K33" s="11">
        <f t="shared" si="4"/>
        <v>0.18845793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10389386.212921714</v>
      </c>
      <c r="D34" s="12">
        <v>1.8200000000000001E-2</v>
      </c>
      <c r="E34" s="10">
        <f t="shared" si="2"/>
        <v>185706.96236022003</v>
      </c>
      <c r="F34" s="3"/>
      <c r="G34" s="26">
        <v>15.37</v>
      </c>
      <c r="H34" s="10"/>
      <c r="I34" s="10">
        <f t="shared" si="5"/>
        <v>5302.2978965678894</v>
      </c>
      <c r="J34" s="10">
        <f t="shared" ref="J34:J65" si="6">IF(I34="","",I34*C34)</f>
        <v>55087620663.406235</v>
      </c>
      <c r="K34" s="11">
        <f t="shared" ref="K34:K65" si="7">IFERROR(J34/J35-1,"")</f>
        <v>0.18793394000000019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10203679.250561494</v>
      </c>
      <c r="D35" s="11">
        <v>1.84E-2</v>
      </c>
      <c r="E35" s="10">
        <f t="shared" si="2"/>
        <v>184355.55598029308</v>
      </c>
      <c r="F35" s="3"/>
      <c r="G35" s="26">
        <v>8.87</v>
      </c>
      <c r="H35" s="10"/>
      <c r="I35" s="10">
        <f t="shared" ref="I35:I66" si="8">IF(H35&lt;&gt;"",H35,I34/(1+IF(G34="",0,G34)/100))</f>
        <v>4544.6969200033336</v>
      </c>
      <c r="J35" s="10">
        <f t="shared" si="6"/>
        <v>46372629662.728745</v>
      </c>
      <c r="K35" s="11">
        <f t="shared" si="7"/>
        <v>0.13622887999999977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10019323.694581201</v>
      </c>
      <c r="D36" s="11">
        <v>1.8599999999999998E-2</v>
      </c>
      <c r="E36" s="10">
        <f t="shared" si="2"/>
        <v>182956.43110073544</v>
      </c>
      <c r="F36" s="3"/>
      <c r="G36" s="26">
        <v>12.25</v>
      </c>
      <c r="H36" s="10"/>
      <c r="I36" s="10">
        <f t="shared" si="8"/>
        <v>4073.4040691972159</v>
      </c>
      <c r="J36" s="10">
        <f t="shared" si="6"/>
        <v>40812753908.111145</v>
      </c>
      <c r="K36" s="11">
        <f t="shared" si="7"/>
        <v>0.19227129999999981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9836367.2634804659</v>
      </c>
      <c r="D37" s="11">
        <v>1.9199999999999998E-2</v>
      </c>
      <c r="E37" s="10">
        <f t="shared" si="2"/>
        <v>185300.48220057413</v>
      </c>
      <c r="F37" s="3"/>
      <c r="G37" s="26">
        <v>0.74</v>
      </c>
      <c r="H37" s="10"/>
      <c r="I37" s="10">
        <f t="shared" si="8"/>
        <v>3480.0547366059081</v>
      </c>
      <c r="J37" s="10">
        <f t="shared" si="6"/>
        <v>34231096486.270489</v>
      </c>
      <c r="K37" s="11">
        <f t="shared" si="7"/>
        <v>8.0759679999999889E-2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9651066.7812798917</v>
      </c>
      <c r="D38" s="11">
        <v>2.01E-2</v>
      </c>
      <c r="E38" s="10">
        <f t="shared" si="2"/>
        <v>190164.14302884601</v>
      </c>
      <c r="F38" s="3"/>
      <c r="G38" s="26">
        <v>0.63</v>
      </c>
      <c r="H38" s="10"/>
      <c r="I38" s="10">
        <f t="shared" si="8"/>
        <v>3281.8320790323542</v>
      </c>
      <c r="J38" s="10">
        <f t="shared" si="6"/>
        <v>31673180559.687878</v>
      </c>
      <c r="K38" s="11">
        <f t="shared" si="7"/>
        <v>6.427032999999982E-2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9460902.6382510457</v>
      </c>
      <c r="D39" s="11">
        <v>2.1000000000000001E-2</v>
      </c>
      <c r="E39" s="10">
        <f t="shared" si="2"/>
        <v>194592.51263787597</v>
      </c>
      <c r="F39" s="3"/>
      <c r="G39" s="26">
        <v>-3.69</v>
      </c>
      <c r="H39" s="10"/>
      <c r="I39" s="10">
        <f t="shared" si="8"/>
        <v>3145.6264535918285</v>
      </c>
      <c r="J39" s="10">
        <f t="shared" si="6"/>
        <v>29760465613.739212</v>
      </c>
      <c r="K39" s="11">
        <f t="shared" si="7"/>
        <v>-1.6674900000000159E-2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9266310.1256131697</v>
      </c>
      <c r="D40" s="11">
        <v>2.18E-2</v>
      </c>
      <c r="E40" s="10">
        <f t="shared" si="2"/>
        <v>197695.79246268049</v>
      </c>
      <c r="F40" s="3"/>
      <c r="G40" s="26">
        <v>1.01</v>
      </c>
      <c r="H40" s="10"/>
      <c r="I40" s="10">
        <f t="shared" si="8"/>
        <v>3266.1472885389148</v>
      </c>
      <c r="J40" s="10">
        <f t="shared" si="6"/>
        <v>30265133691.532146</v>
      </c>
      <c r="K40" s="11">
        <f t="shared" si="7"/>
        <v>3.2120179999999943E-2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9068614.3331504893</v>
      </c>
      <c r="D41" s="11">
        <v>2.2700000000000001E-2</v>
      </c>
      <c r="E41" s="10">
        <f t="shared" si="2"/>
        <v>201288.30093137361</v>
      </c>
      <c r="F41" s="3"/>
      <c r="G41" s="26">
        <v>20.54</v>
      </c>
      <c r="H41" s="10"/>
      <c r="I41" s="10">
        <f t="shared" si="8"/>
        <v>3233.4890491425749</v>
      </c>
      <c r="J41" s="10">
        <f t="shared" si="6"/>
        <v>29323265137.139503</v>
      </c>
      <c r="K41" s="11">
        <f t="shared" si="7"/>
        <v>0.23276258000000016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8867326.0322191156</v>
      </c>
      <c r="D42" s="11">
        <v>2.3699999999999999E-2</v>
      </c>
      <c r="E42" s="10">
        <f t="shared" si="2"/>
        <v>205290.24808400311</v>
      </c>
      <c r="F42" s="3"/>
      <c r="G42" s="26">
        <v>-8.43</v>
      </c>
      <c r="H42" s="10"/>
      <c r="I42" s="10">
        <f t="shared" si="8"/>
        <v>2682.502944369151</v>
      </c>
      <c r="J42" s="10">
        <f t="shared" si="6"/>
        <v>23786628190.108997</v>
      </c>
      <c r="K42" s="11">
        <f t="shared" si="7"/>
        <v>-6.2597909999999923E-2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8662035.7841351125</v>
      </c>
      <c r="D43" s="11">
        <v>2.4799999999999999E-2</v>
      </c>
      <c r="E43" s="10">
        <f t="shared" si="2"/>
        <v>209619.91358952969</v>
      </c>
      <c r="F43" s="3"/>
      <c r="G43" s="26">
        <v>11.5</v>
      </c>
      <c r="H43" s="10"/>
      <c r="I43" s="10">
        <f t="shared" si="8"/>
        <v>2929.4560930098842</v>
      </c>
      <c r="J43" s="10">
        <f t="shared" si="6"/>
        <v>25375053505.704254</v>
      </c>
      <c r="K43" s="11">
        <f t="shared" si="7"/>
        <v>0.14265199999999978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8452415.8705455828</v>
      </c>
      <c r="D44" s="11">
        <v>2.5999999999999999E-2</v>
      </c>
      <c r="E44" s="10">
        <f t="shared" si="2"/>
        <v>214193.77449725755</v>
      </c>
      <c r="F44" s="3"/>
      <c r="G44" s="26">
        <v>-14.25</v>
      </c>
      <c r="H44" s="10"/>
      <c r="I44" s="10">
        <f t="shared" si="8"/>
        <v>2627.3148816232147</v>
      </c>
      <c r="J44" s="10">
        <f t="shared" si="6"/>
        <v>22207158002.35265</v>
      </c>
      <c r="K44" s="11">
        <f t="shared" si="7"/>
        <v>-0.1202049999999999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8238222.0960483253</v>
      </c>
      <c r="D45" s="11">
        <v>2.7199999999999998E-2</v>
      </c>
      <c r="E45" s="10">
        <f t="shared" si="2"/>
        <v>218146.06796389539</v>
      </c>
      <c r="F45" s="3"/>
      <c r="G45" s="26">
        <v>9.83</v>
      </c>
      <c r="H45" s="10"/>
      <c r="I45" s="10">
        <f t="shared" si="8"/>
        <v>3063.9240602019995</v>
      </c>
      <c r="J45" s="10">
        <f t="shared" si="6"/>
        <v>25241286893.370213</v>
      </c>
      <c r="K45" s="11">
        <f t="shared" si="7"/>
        <v>0.12817376000000014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8020076.0280844299</v>
      </c>
      <c r="D46" s="11">
        <v>2.8199999999999999E-2</v>
      </c>
      <c r="E46" s="10">
        <f t="shared" si="2"/>
        <v>219963.18225246109</v>
      </c>
      <c r="F46" s="3"/>
      <c r="G46" s="26">
        <v>0.9</v>
      </c>
      <c r="H46" s="10"/>
      <c r="I46" s="10">
        <f t="shared" si="8"/>
        <v>2789.6968589656735</v>
      </c>
      <c r="J46" s="10">
        <f t="shared" si="6"/>
        <v>22373580904.213028</v>
      </c>
      <c r="K46" s="11">
        <f t="shared" si="7"/>
        <v>3.7453799999999982E-2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7800112.8458319688</v>
      </c>
      <c r="D47" s="11">
        <v>2.8899999999999999E-2</v>
      </c>
      <c r="E47" s="10">
        <f t="shared" si="2"/>
        <v>219091.51642000489</v>
      </c>
      <c r="F47" s="3"/>
      <c r="G47" s="29">
        <v>4.3499999999999996</v>
      </c>
      <c r="H47" s="10"/>
      <c r="I47" s="10">
        <f t="shared" si="8"/>
        <v>2764.8135371314902</v>
      </c>
      <c r="J47" s="10">
        <f t="shared" si="6"/>
        <v>21565857587.30946</v>
      </c>
      <c r="K47" s="11">
        <f t="shared" si="7"/>
        <v>7.365715000000006E-2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7581021.3294119639</v>
      </c>
      <c r="D48" s="11">
        <v>2.92E-2</v>
      </c>
      <c r="E48" s="10">
        <f t="shared" si="2"/>
        <v>215085.33114926983</v>
      </c>
      <c r="F48" s="3"/>
      <c r="G48" s="29">
        <v>6.4</v>
      </c>
      <c r="H48" s="10"/>
      <c r="I48" s="10">
        <f t="shared" si="8"/>
        <v>2649.5577739640535</v>
      </c>
      <c r="J48" s="10">
        <f t="shared" si="6"/>
        <v>20086353997.930771</v>
      </c>
      <c r="K48" s="11">
        <f t="shared" si="7"/>
        <v>9.5068799999999953E-2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7365935.9982626941</v>
      </c>
      <c r="D49" s="11">
        <v>2.9499999999999998E-2</v>
      </c>
      <c r="E49" s="10">
        <f t="shared" si="2"/>
        <v>211068.58858547825</v>
      </c>
      <c r="F49" s="3"/>
      <c r="G49" s="29">
        <v>5.9</v>
      </c>
      <c r="H49" s="10"/>
      <c r="I49" s="10">
        <f t="shared" si="8"/>
        <v>2490.1858777857642</v>
      </c>
      <c r="J49" s="10">
        <f t="shared" si="6"/>
        <v>18342549799.547546</v>
      </c>
      <c r="K49" s="11">
        <f t="shared" si="7"/>
        <v>9.0240499999999946E-2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7154867.4096772159</v>
      </c>
      <c r="D50" s="11">
        <v>2.98E-2</v>
      </c>
      <c r="E50" s="10">
        <f t="shared" si="2"/>
        <v>207045.10468865931</v>
      </c>
      <c r="F50" s="3"/>
      <c r="G50" s="26">
        <v>16.22</v>
      </c>
      <c r="H50" s="10"/>
      <c r="I50" s="10">
        <f t="shared" si="8"/>
        <v>2351.450309523857</v>
      </c>
      <c r="J50" s="10">
        <f t="shared" si="6"/>
        <v>16824315185.087646</v>
      </c>
      <c r="K50" s="11">
        <f t="shared" si="7"/>
        <v>0.19683355999999996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6947822.3049885565</v>
      </c>
      <c r="D51" s="11">
        <v>0.03</v>
      </c>
      <c r="E51" s="10">
        <f t="shared" si="2"/>
        <v>202363.75645597745</v>
      </c>
      <c r="F51" s="3"/>
      <c r="G51" s="26">
        <v>5.2</v>
      </c>
      <c r="H51" s="10"/>
      <c r="I51" s="10">
        <f t="shared" si="8"/>
        <v>2023.2750899362047</v>
      </c>
      <c r="J51" s="10">
        <f t="shared" si="6"/>
        <v>14057355798.98649</v>
      </c>
      <c r="K51" s="11">
        <f t="shared" si="7"/>
        <v>8.3560000000000079E-2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6745458.5485325791</v>
      </c>
      <c r="D52" s="11">
        <v>3.0200000000000001E-2</v>
      </c>
      <c r="E52" s="10">
        <f t="shared" si="2"/>
        <v>197741.06791466102</v>
      </c>
      <c r="F52" s="3"/>
      <c r="G52" s="26">
        <v>0.45</v>
      </c>
      <c r="H52" s="10"/>
      <c r="I52" s="10">
        <f t="shared" si="8"/>
        <v>1923.2652946161641</v>
      </c>
      <c r="J52" s="10">
        <f t="shared" si="6"/>
        <v>12973306322.664633</v>
      </c>
      <c r="K52" s="11">
        <f t="shared" si="7"/>
        <v>3.4835900000000031E-2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6547717.4806179181</v>
      </c>
      <c r="D53" s="11">
        <v>3.04E-2</v>
      </c>
      <c r="E53" s="10">
        <f t="shared" si="2"/>
        <v>193178.00020456593</v>
      </c>
      <c r="F53" s="3"/>
      <c r="G53" s="26">
        <v>7.0000000000000007E-2</v>
      </c>
      <c r="H53" s="10"/>
      <c r="I53" s="10">
        <f t="shared" si="8"/>
        <v>1914.6493724401832</v>
      </c>
      <c r="J53" s="10">
        <f t="shared" si="6"/>
        <v>12536583165.180714</v>
      </c>
      <c r="K53" s="11">
        <f t="shared" si="7"/>
        <v>3.1121279999999807E-2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6354539.4804133521</v>
      </c>
      <c r="D54" s="11">
        <v>3.0499999999999999E-2</v>
      </c>
      <c r="E54" s="10">
        <f t="shared" si="2"/>
        <v>188077.10252557695</v>
      </c>
      <c r="F54" s="3"/>
      <c r="G54" s="26">
        <v>4.53</v>
      </c>
      <c r="H54" s="10"/>
      <c r="I54" s="10">
        <f t="shared" si="8"/>
        <v>1913.3100554014025</v>
      </c>
      <c r="J54" s="10">
        <f t="shared" si="6"/>
        <v>12158204285.32007</v>
      </c>
      <c r="K54" s="11">
        <f t="shared" si="7"/>
        <v>7.7181649999999768E-2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6166462.3778877752</v>
      </c>
      <c r="D55" s="11">
        <v>3.0499999999999999E-2</v>
      </c>
      <c r="E55" s="10">
        <f t="shared" si="2"/>
        <v>182510.5313203074</v>
      </c>
      <c r="F55" s="3"/>
      <c r="G55" s="26">
        <v>-2.19</v>
      </c>
      <c r="H55" s="10"/>
      <c r="I55" s="10">
        <f t="shared" si="8"/>
        <v>1830.3932415587894</v>
      </c>
      <c r="J55" s="10">
        <f t="shared" si="6"/>
        <v>11287051060.812326</v>
      </c>
      <c r="K55" s="11">
        <f t="shared" si="7"/>
        <v>7.9320499999999683E-3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5983951.8465674678</v>
      </c>
      <c r="D56" s="11">
        <v>3.0499999999999999E-2</v>
      </c>
      <c r="E56" s="10">
        <f t="shared" si="2"/>
        <v>177108.71549762972</v>
      </c>
      <c r="F56" s="3"/>
      <c r="G56" s="26">
        <v>1.1399999999999999</v>
      </c>
      <c r="H56" s="10"/>
      <c r="I56" s="10">
        <f t="shared" si="8"/>
        <v>1871.3763843766378</v>
      </c>
      <c r="J56" s="10">
        <f t="shared" si="6"/>
        <v>11198226170.913334</v>
      </c>
      <c r="K56" s="11">
        <f t="shared" si="7"/>
        <v>4.224770000000011E-2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5806843.1310698381</v>
      </c>
      <c r="D57" s="11">
        <v>3.0499999999999999E-2</v>
      </c>
      <c r="E57" s="10">
        <f t="shared" si="2"/>
        <v>171866.77874588035</v>
      </c>
      <c r="F57" s="3"/>
      <c r="G57" s="26">
        <v>6.18</v>
      </c>
      <c r="H57" s="10"/>
      <c r="I57" s="10">
        <f t="shared" si="8"/>
        <v>1850.2831563937489</v>
      </c>
      <c r="J57" s="10">
        <f t="shared" si="6"/>
        <v>10744304037.23926</v>
      </c>
      <c r="K57" s="11">
        <f t="shared" si="7"/>
        <v>9.4184899999999905E-2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5634976.3523239577</v>
      </c>
      <c r="D58" s="11">
        <v>0.03</v>
      </c>
      <c r="E58" s="10">
        <f t="shared" si="2"/>
        <v>164125.52482496947</v>
      </c>
      <c r="F58" s="3"/>
      <c r="G58" s="26">
        <v>6.39</v>
      </c>
      <c r="H58" s="10"/>
      <c r="I58" s="10">
        <f t="shared" si="8"/>
        <v>1742.591030696693</v>
      </c>
      <c r="J58" s="10">
        <f t="shared" si="6"/>
        <v>9819459249.7476978</v>
      </c>
      <c r="K58" s="11">
        <f t="shared" si="7"/>
        <v>9.5817000000000263E-2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5470850.8274989882</v>
      </c>
      <c r="D59" s="11">
        <v>0.03</v>
      </c>
      <c r="E59" s="10">
        <f t="shared" si="2"/>
        <v>159345.16973298043</v>
      </c>
      <c r="F59" s="3"/>
      <c r="G59" s="26">
        <v>6.16</v>
      </c>
      <c r="H59" s="10"/>
      <c r="I59" s="10">
        <f t="shared" si="8"/>
        <v>1637.9274656421589</v>
      </c>
      <c r="J59" s="10">
        <f t="shared" si="6"/>
        <v>8960856830.7917252</v>
      </c>
      <c r="K59" s="11">
        <f t="shared" si="7"/>
        <v>9.3447999999999976E-2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5311505.6577660078</v>
      </c>
      <c r="D60" s="11">
        <v>0.03</v>
      </c>
      <c r="E60" s="10">
        <f t="shared" si="2"/>
        <v>154704.04828444682</v>
      </c>
      <c r="F60" s="3"/>
      <c r="G60" s="26">
        <v>6.28</v>
      </c>
      <c r="H60" s="10"/>
      <c r="I60" s="10">
        <f t="shared" si="8"/>
        <v>1542.8857061437066</v>
      </c>
      <c r="J60" s="10">
        <f t="shared" si="6"/>
        <v>8195046157.4685993</v>
      </c>
      <c r="K60" s="11">
        <f t="shared" si="7"/>
        <v>9.468399999999999E-2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5156801.609481561</v>
      </c>
      <c r="D61" s="11">
        <v>0.03</v>
      </c>
      <c r="E61" s="10">
        <f t="shared" si="2"/>
        <v>150198.10513053089</v>
      </c>
      <c r="F61" s="3"/>
      <c r="G61" s="26">
        <v>6.44</v>
      </c>
      <c r="H61" s="10"/>
      <c r="I61" s="10">
        <f t="shared" si="8"/>
        <v>1451.7178266312633</v>
      </c>
      <c r="J61" s="10">
        <f t="shared" si="6"/>
        <v>7486220824.8851719</v>
      </c>
      <c r="K61" s="11">
        <f t="shared" si="7"/>
        <v>9.6332000000000084E-2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5006603.5043510301</v>
      </c>
      <c r="D62" s="11">
        <v>0.03</v>
      </c>
      <c r="E62" s="10">
        <f t="shared" si="2"/>
        <v>145823.40303935017</v>
      </c>
      <c r="F62" s="3"/>
      <c r="G62" s="26">
        <v>6.23</v>
      </c>
      <c r="H62" s="10"/>
      <c r="I62" s="10">
        <f t="shared" si="8"/>
        <v>1363.8837153619534</v>
      </c>
      <c r="J62" s="10">
        <f t="shared" si="6"/>
        <v>6828424988.8584585</v>
      </c>
      <c r="K62" s="11">
        <f t="shared" si="7"/>
        <v>9.4168999999999947E-2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4860780.1013116799</v>
      </c>
      <c r="D63" s="11">
        <v>0.03</v>
      </c>
      <c r="E63" s="10">
        <f t="shared" si="2"/>
        <v>141576.11945568025</v>
      </c>
      <c r="F63" s="3"/>
      <c r="G63" s="26">
        <v>6.26</v>
      </c>
      <c r="H63" s="10"/>
      <c r="I63" s="10">
        <f t="shared" si="8"/>
        <v>1283.8969362345415</v>
      </c>
      <c r="J63" s="10">
        <f t="shared" si="6"/>
        <v>6240740679.7838898</v>
      </c>
      <c r="K63" s="11">
        <f t="shared" si="7"/>
        <v>9.4478000000000062E-2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4719203.9818559997</v>
      </c>
      <c r="D64" s="11">
        <v>2.9000000000000001E-2</v>
      </c>
      <c r="E64" s="10">
        <f t="shared" si="2"/>
        <v>132999.91785599943</v>
      </c>
      <c r="F64" s="3"/>
      <c r="G64" s="26">
        <v>6.43</v>
      </c>
      <c r="H64" s="10"/>
      <c r="I64" s="10">
        <f t="shared" si="8"/>
        <v>1208.2598684684185</v>
      </c>
      <c r="J64" s="10">
        <f t="shared" si="6"/>
        <v>5702024782.3929672</v>
      </c>
      <c r="K64" s="11">
        <f t="shared" si="7"/>
        <v>9.5164699999999991E-2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4586204.0640000002</v>
      </c>
      <c r="D65" s="11">
        <v>2.8000000000000001E-2</v>
      </c>
      <c r="E65" s="10">
        <f t="shared" si="2"/>
        <v>124916.06400000025</v>
      </c>
      <c r="F65" s="3"/>
      <c r="G65" s="26">
        <v>6.16</v>
      </c>
      <c r="H65" s="10"/>
      <c r="I65" s="10">
        <f t="shared" si="8"/>
        <v>1135.2624903395833</v>
      </c>
      <c r="J65" s="10">
        <f t="shared" si="6"/>
        <v>5206545446.9021578</v>
      </c>
      <c r="K65" s="11">
        <f t="shared" si="7"/>
        <v>9.1324800000000206E-2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4461288</v>
      </c>
      <c r="D66" s="11">
        <v>2.7E-2</v>
      </c>
      <c r="E66" s="10">
        <f t="shared" si="2"/>
        <v>117288</v>
      </c>
      <c r="F66" s="3"/>
      <c r="G66" s="26">
        <v>6.38</v>
      </c>
      <c r="H66" s="10"/>
      <c r="I66" s="10">
        <f t="shared" si="8"/>
        <v>1069.388178541431</v>
      </c>
      <c r="J66" s="10">
        <f t="shared" ref="J66:J67" si="9">IF(I66="","",I66*C66)</f>
        <v>4770848648.2687435</v>
      </c>
      <c r="K66" s="11">
        <f t="shared" ref="K66" si="10">IFERROR(J66/J67-1,"")</f>
        <v>9.2522600000000121E-2</v>
      </c>
    </row>
    <row r="67" spans="1:11" ht="22.5" customHeight="1">
      <c r="A67" s="3">
        <f t="shared" si="0"/>
        <v>1950</v>
      </c>
      <c r="B67" s="3">
        <v>1700</v>
      </c>
      <c r="C67" s="10">
        <v>4344000</v>
      </c>
      <c r="D67" s="11">
        <v>2.5000000000000001E-2</v>
      </c>
      <c r="E67" s="3" t="s">
        <v>72</v>
      </c>
      <c r="F67" s="3"/>
      <c r="G67" s="26">
        <v>6.38</v>
      </c>
      <c r="H67" s="10"/>
      <c r="I67" s="10">
        <f t="shared" ref="I67" si="11">IF(H67&lt;&gt;"",H67,I66/(1+IF(G66="",0,G66)/100))</f>
        <v>1005.2530349139226</v>
      </c>
      <c r="J67" s="10">
        <f t="shared" si="9"/>
        <v>4366819183.6660795</v>
      </c>
      <c r="K67" s="11"/>
    </row>
  </sheetData>
  <dataValidations count="1">
    <dataValidation type="custom" allowBlank="1" showDropDown="1" sqref="D2:D67" xr:uid="{00000000-0002-0000-1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67"/>
  <sheetViews>
    <sheetView topLeftCell="A36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47883.335440057759</v>
      </c>
      <c r="D2" s="11">
        <v>1.95E-2</v>
      </c>
      <c r="E2" s="10">
        <f t="shared" ref="E2:E66" si="2">SUM(C2-C3)</f>
        <v>915.86566069752735</v>
      </c>
      <c r="F2" s="14"/>
      <c r="G2" s="29">
        <v>5.67</v>
      </c>
      <c r="H2" s="10"/>
      <c r="I2" s="10">
        <f>IF(H2&lt;&gt;"",H2,90160)</f>
        <v>11270</v>
      </c>
      <c r="J2" s="10">
        <f t="shared" ref="J2:J33" si="3">IF(I2="","",I2*C2)</f>
        <v>539645190.40945089</v>
      </c>
      <c r="K2" s="11">
        <f t="shared" ref="K2:K33" si="4">IFERROR(J2/J3-1,"")</f>
        <v>7.7305649999999781E-2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46967.469779360232</v>
      </c>
      <c r="D3" s="11">
        <v>1.9800000000000002E-2</v>
      </c>
      <c r="E3" s="10">
        <f t="shared" si="2"/>
        <v>911.9002761633019</v>
      </c>
      <c r="F3" s="3"/>
      <c r="G3" s="29">
        <v>5.72</v>
      </c>
      <c r="H3" s="10"/>
      <c r="I3" s="10">
        <f t="shared" ref="I3:I34" si="5">IF(H3&lt;&gt;"",H3,I2/(1+IF(G2="",0,G2)/100))</f>
        <v>10665.278697832877</v>
      </c>
      <c r="J3" s="10">
        <f t="shared" si="3"/>
        <v>500921154.92892009</v>
      </c>
      <c r="K3" s="11">
        <f t="shared" si="4"/>
        <v>7.8132560000000018E-2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46055.56950319693</v>
      </c>
      <c r="D4" s="11">
        <v>2.0799999999999999E-2</v>
      </c>
      <c r="E4" s="10">
        <f t="shared" si="2"/>
        <v>938.43636918739503</v>
      </c>
      <c r="F4" s="3"/>
      <c r="G4" s="29">
        <v>5</v>
      </c>
      <c r="H4" s="10"/>
      <c r="I4" s="10">
        <f t="shared" si="5"/>
        <v>10088.231836769653</v>
      </c>
      <c r="J4" s="10">
        <f t="shared" si="3"/>
        <v>464619262.52270877</v>
      </c>
      <c r="K4" s="11">
        <f t="shared" si="4"/>
        <v>7.1839999999999904E-2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45117.133134009535</v>
      </c>
      <c r="D5" s="11">
        <v>2.1999999999999999E-2</v>
      </c>
      <c r="E5" s="10">
        <f t="shared" si="2"/>
        <v>971.21030229765893</v>
      </c>
      <c r="F5" s="3"/>
      <c r="G5" s="29">
        <v>4.63</v>
      </c>
      <c r="H5" s="10"/>
      <c r="I5" s="10">
        <f t="shared" si="5"/>
        <v>9607.8398445425264</v>
      </c>
      <c r="J5" s="10">
        <f t="shared" si="3"/>
        <v>433478189.39646661</v>
      </c>
      <c r="K5" s="11">
        <f t="shared" si="4"/>
        <v>6.9318599999999897E-2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44145.922831711876</v>
      </c>
      <c r="D6" s="11">
        <v>2.3300000000000001E-2</v>
      </c>
      <c r="E6" s="10">
        <f t="shared" si="2"/>
        <v>1005.1793237358434</v>
      </c>
      <c r="F6" s="3"/>
      <c r="G6" s="29">
        <v>3.38</v>
      </c>
      <c r="H6" s="10"/>
      <c r="I6" s="10">
        <f t="shared" si="5"/>
        <v>9182.6816826364575</v>
      </c>
      <c r="J6" s="10">
        <f t="shared" si="3"/>
        <v>405377956.94984323</v>
      </c>
      <c r="K6" s="11">
        <f t="shared" si="4"/>
        <v>5.7887540000000071E-2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43140.743507976033</v>
      </c>
      <c r="D7" s="11">
        <v>2.4199999999999999E-2</v>
      </c>
      <c r="E7" s="10">
        <f t="shared" si="2"/>
        <v>1019.3380129789293</v>
      </c>
      <c r="F7" s="3"/>
      <c r="G7" s="29">
        <v>2.9</v>
      </c>
      <c r="H7" s="10"/>
      <c r="I7" s="10">
        <f t="shared" si="5"/>
        <v>8882.4547133260367</v>
      </c>
      <c r="J7" s="10">
        <f t="shared" si="3"/>
        <v>383195700.50881135</v>
      </c>
      <c r="K7" s="11">
        <f t="shared" si="4"/>
        <v>5.39018E-2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42121.405494997103</v>
      </c>
      <c r="D8" s="11">
        <v>2.52E-2</v>
      </c>
      <c r="E8" s="10">
        <f t="shared" si="2"/>
        <v>1035.3681413128361</v>
      </c>
      <c r="F8" s="3"/>
      <c r="G8" s="29">
        <v>2.58</v>
      </c>
      <c r="H8" s="10"/>
      <c r="I8" s="10">
        <f t="shared" si="5"/>
        <v>8632.1231422021738</v>
      </c>
      <c r="J8" s="10">
        <f t="shared" si="3"/>
        <v>363597159.15544629</v>
      </c>
      <c r="K8" s="11">
        <f t="shared" si="4"/>
        <v>5.1650159999999889E-2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41086.037353684267</v>
      </c>
      <c r="D9" s="11">
        <v>2.7E-2</v>
      </c>
      <c r="E9" s="10">
        <f t="shared" si="2"/>
        <v>1080.1587230277219</v>
      </c>
      <c r="F9" s="3"/>
      <c r="G9" s="29">
        <v>2.85</v>
      </c>
      <c r="H9" s="10"/>
      <c r="I9" s="10">
        <f t="shared" si="5"/>
        <v>8415.0157362080063</v>
      </c>
      <c r="J9" s="10">
        <f t="shared" si="3"/>
        <v>345739650.86968309</v>
      </c>
      <c r="K9" s="11">
        <f t="shared" si="4"/>
        <v>5.626949999999975E-2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40005.878630656545</v>
      </c>
      <c r="D10" s="11">
        <v>2.86E-2</v>
      </c>
      <c r="E10" s="10">
        <f t="shared" si="2"/>
        <v>1112.3547820695821</v>
      </c>
      <c r="F10" s="3"/>
      <c r="G10" s="29">
        <v>4.33</v>
      </c>
      <c r="H10" s="10"/>
      <c r="I10" s="10">
        <f t="shared" si="5"/>
        <v>8181.8334819718102</v>
      </c>
      <c r="J10" s="10">
        <f t="shared" si="3"/>
        <v>327321437.2560063</v>
      </c>
      <c r="K10" s="11">
        <f t="shared" si="4"/>
        <v>7.3138379999999614E-2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38893.523848586963</v>
      </c>
      <c r="D11" s="11">
        <v>2.9399999999999999E-2</v>
      </c>
      <c r="E11" s="10">
        <f t="shared" si="2"/>
        <v>1110.8117361069162</v>
      </c>
      <c r="F11" s="3"/>
      <c r="G11" s="29">
        <v>3.81</v>
      </c>
      <c r="H11" s="10"/>
      <c r="I11" s="10">
        <f t="shared" si="5"/>
        <v>7842.2634735663869</v>
      </c>
      <c r="J11" s="10">
        <f t="shared" si="3"/>
        <v>305013261.43605673</v>
      </c>
      <c r="K11" s="11">
        <f t="shared" si="4"/>
        <v>6.8620140000000163E-2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37782.712112480047</v>
      </c>
      <c r="D12" s="11">
        <v>2.7300000000000001E-2</v>
      </c>
      <c r="E12" s="10">
        <f t="shared" si="2"/>
        <v>1004.0572770083818</v>
      </c>
      <c r="F12" s="3"/>
      <c r="G12" s="29">
        <v>2.23</v>
      </c>
      <c r="H12" s="10"/>
      <c r="I12" s="10">
        <f t="shared" si="5"/>
        <v>7554.4393349064512</v>
      </c>
      <c r="J12" s="10">
        <f t="shared" si="3"/>
        <v>285427206.5619657</v>
      </c>
      <c r="K12" s="11">
        <f t="shared" si="4"/>
        <v>5.0208790000000114E-2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36778.654835471665</v>
      </c>
      <c r="D13" s="11">
        <v>2.7300000000000001E-2</v>
      </c>
      <c r="E13" s="10">
        <f t="shared" si="2"/>
        <v>977.37494111591514</v>
      </c>
      <c r="F13" s="3"/>
      <c r="G13" s="29">
        <v>7.05</v>
      </c>
      <c r="H13" s="10"/>
      <c r="I13" s="10">
        <f t="shared" si="5"/>
        <v>7389.6501368545942</v>
      </c>
      <c r="J13" s="10">
        <f t="shared" si="3"/>
        <v>271781391.73827106</v>
      </c>
      <c r="K13" s="11">
        <f t="shared" si="4"/>
        <v>9.972464999999997E-2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35801.27989435575</v>
      </c>
      <c r="D14" s="11">
        <v>2.7300000000000001E-2</v>
      </c>
      <c r="E14" s="10">
        <f t="shared" si="2"/>
        <v>951.40167537809612</v>
      </c>
      <c r="F14" s="3"/>
      <c r="G14" s="29">
        <v>5.45</v>
      </c>
      <c r="H14" s="10"/>
      <c r="I14" s="10">
        <f t="shared" si="5"/>
        <v>6902.989385198126</v>
      </c>
      <c r="J14" s="10">
        <f t="shared" si="3"/>
        <v>247135855.08724484</v>
      </c>
      <c r="K14" s="11">
        <f t="shared" si="4"/>
        <v>8.3287850000000274E-2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34849.878218977654</v>
      </c>
      <c r="D15" s="11">
        <v>2.7300000000000001E-2</v>
      </c>
      <c r="E15" s="10">
        <f t="shared" si="2"/>
        <v>926.11863659894152</v>
      </c>
      <c r="F15" s="3"/>
      <c r="G15" s="29">
        <v>4.4800000000000004</v>
      </c>
      <c r="H15" s="10"/>
      <c r="I15" s="10">
        <f t="shared" si="5"/>
        <v>6546.2203747729973</v>
      </c>
      <c r="J15" s="10">
        <f t="shared" si="3"/>
        <v>228134982.8554292</v>
      </c>
      <c r="K15" s="11">
        <f t="shared" si="4"/>
        <v>7.3323040000000006E-2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33923.759582378712</v>
      </c>
      <c r="D16" s="11">
        <v>2.7300000000000001E-2</v>
      </c>
      <c r="E16" s="10">
        <f t="shared" si="2"/>
        <v>901.50748233129707</v>
      </c>
      <c r="F16" s="3"/>
      <c r="G16" s="29">
        <v>4.32</v>
      </c>
      <c r="H16" s="10"/>
      <c r="I16" s="10">
        <f t="shared" si="5"/>
        <v>6265.524861000189</v>
      </c>
      <c r="J16" s="10">
        <f t="shared" si="3"/>
        <v>212550159.04198721</v>
      </c>
      <c r="K16" s="11">
        <f t="shared" si="4"/>
        <v>7.1679359999999859E-2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33022.252100047415</v>
      </c>
      <c r="D17" s="11">
        <v>2.7300000000000001E-2</v>
      </c>
      <c r="E17" s="10">
        <f t="shared" si="2"/>
        <v>877.55035756964571</v>
      </c>
      <c r="F17" s="3"/>
      <c r="G17" s="29">
        <v>3.83</v>
      </c>
      <c r="H17" s="10"/>
      <c r="I17" s="10">
        <f t="shared" si="5"/>
        <v>6006.0629419096913</v>
      </c>
      <c r="J17" s="10">
        <f t="shared" si="3"/>
        <v>198333724.59649426</v>
      </c>
      <c r="K17" s="11">
        <f t="shared" si="4"/>
        <v>6.6645590000000032E-2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32144.70174247777</v>
      </c>
      <c r="D18" s="11">
        <v>2.7300000000000001E-2</v>
      </c>
      <c r="E18" s="10">
        <f t="shared" si="2"/>
        <v>854.22988179660024</v>
      </c>
      <c r="F18" s="3"/>
      <c r="G18" s="29">
        <v>4.51</v>
      </c>
      <c r="H18" s="10"/>
      <c r="I18" s="10">
        <f t="shared" si="5"/>
        <v>5784.515979880277</v>
      </c>
      <c r="J18" s="10">
        <f t="shared" si="3"/>
        <v>185941540.89784804</v>
      </c>
      <c r="K18" s="11">
        <f t="shared" si="4"/>
        <v>7.3631230000000158E-2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31290.471860681169</v>
      </c>
      <c r="D19" s="11">
        <v>2.8299999999999999E-2</v>
      </c>
      <c r="E19" s="10">
        <f t="shared" si="2"/>
        <v>861.14981392324989</v>
      </c>
      <c r="F19" s="3"/>
      <c r="G19" s="29">
        <v>4.7300000000000004</v>
      </c>
      <c r="H19" s="10"/>
      <c r="I19" s="10">
        <f t="shared" si="5"/>
        <v>5534.8923355471034</v>
      </c>
      <c r="J19" s="10">
        <f t="shared" si="3"/>
        <v>173189392.8773365</v>
      </c>
      <c r="K19" s="11">
        <f t="shared" si="4"/>
        <v>7.6938589999999918E-2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30429.322046757919</v>
      </c>
      <c r="D20" s="11">
        <v>2.9499999999999998E-2</v>
      </c>
      <c r="E20" s="10">
        <f t="shared" si="2"/>
        <v>871.94269099500889</v>
      </c>
      <c r="F20" s="3"/>
      <c r="G20" s="29">
        <v>4.53</v>
      </c>
      <c r="H20" s="10"/>
      <c r="I20" s="10">
        <f t="shared" si="5"/>
        <v>5284.9158173848027</v>
      </c>
      <c r="J20" s="10">
        <f t="shared" si="3"/>
        <v>160816405.39720702</v>
      </c>
      <c r="K20" s="11">
        <f t="shared" si="4"/>
        <v>7.6136349999999853E-2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29557.379355762911</v>
      </c>
      <c r="D21" s="11">
        <v>3.2399999999999998E-2</v>
      </c>
      <c r="E21" s="10">
        <f t="shared" si="2"/>
        <v>927.60469888291118</v>
      </c>
      <c r="F21" s="3"/>
      <c r="G21" s="29">
        <v>4.22</v>
      </c>
      <c r="H21" s="10"/>
      <c r="I21" s="10">
        <f t="shared" si="5"/>
        <v>5055.8842603891735</v>
      </c>
      <c r="J21" s="10">
        <f t="shared" si="3"/>
        <v>149438689.06315359</v>
      </c>
      <c r="K21" s="11">
        <f t="shared" si="4"/>
        <v>7.596727999999997E-2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28629.774656879999</v>
      </c>
      <c r="D22" s="11">
        <v>3.9600000000000003E-2</v>
      </c>
      <c r="E22" s="10">
        <f t="shared" si="2"/>
        <v>1090.5531708469134</v>
      </c>
      <c r="F22" s="3"/>
      <c r="G22" s="29">
        <v>2.89</v>
      </c>
      <c r="H22" s="10"/>
      <c r="I22" s="10">
        <f t="shared" si="5"/>
        <v>4851.1650934457621</v>
      </c>
      <c r="J22" s="10">
        <f t="shared" si="3"/>
        <v>138887763.44867438</v>
      </c>
      <c r="K22" s="11">
        <f t="shared" si="4"/>
        <v>6.9644440000000252E-2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27539.221486033086</v>
      </c>
      <c r="D23" s="11">
        <v>7.7700000000000005E-2</v>
      </c>
      <c r="E23" s="10">
        <f t="shared" si="2"/>
        <v>1985.5224176160082</v>
      </c>
      <c r="F23" s="3"/>
      <c r="G23" s="29">
        <v>1.88</v>
      </c>
      <c r="H23" s="10"/>
      <c r="I23" s="10">
        <f t="shared" si="5"/>
        <v>4714.9043575136184</v>
      </c>
      <c r="J23" s="10">
        <f t="shared" si="3"/>
        <v>129844795.38703007</v>
      </c>
      <c r="K23" s="11">
        <f t="shared" si="4"/>
        <v>9.7960760000000091E-2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25553.699068417078</v>
      </c>
      <c r="D24" s="11">
        <v>3.73E-2</v>
      </c>
      <c r="E24" s="10">
        <f t="shared" si="2"/>
        <v>918.8787961553644</v>
      </c>
      <c r="F24" s="3"/>
      <c r="G24" s="29">
        <v>7.88</v>
      </c>
      <c r="H24" s="10"/>
      <c r="I24" s="10">
        <f t="shared" si="5"/>
        <v>4627.8998405119928</v>
      </c>
      <c r="J24" s="10">
        <f t="shared" si="3"/>
        <v>118259959.84321885</v>
      </c>
      <c r="K24" s="11">
        <f t="shared" si="4"/>
        <v>0.11903923999999999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24634.820272261713</v>
      </c>
      <c r="D25" s="11">
        <v>2.6700000000000002E-2</v>
      </c>
      <c r="E25" s="10">
        <f t="shared" si="2"/>
        <v>640.64449329832132</v>
      </c>
      <c r="F25" s="3"/>
      <c r="G25" s="29">
        <v>7.16</v>
      </c>
      <c r="H25" s="10"/>
      <c r="I25" s="10">
        <f t="shared" si="5"/>
        <v>4289.8589548683658</v>
      </c>
      <c r="J25" s="10">
        <f t="shared" si="3"/>
        <v>105679904.34653467</v>
      </c>
      <c r="K25" s="11">
        <f t="shared" si="4"/>
        <v>0.10021172000000012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23994.175778963392</v>
      </c>
      <c r="D26" s="11">
        <v>2.3300000000000001E-2</v>
      </c>
      <c r="E26" s="10">
        <f t="shared" si="2"/>
        <v>546.33469720497305</v>
      </c>
      <c r="F26" s="3"/>
      <c r="G26" s="29">
        <v>-3.81</v>
      </c>
      <c r="H26" s="10"/>
      <c r="I26" s="10">
        <f t="shared" si="5"/>
        <v>4003.2278414225134</v>
      </c>
      <c r="J26" s="10">
        <f t="shared" si="3"/>
        <v>96054152.510331973</v>
      </c>
      <c r="K26" s="11">
        <f t="shared" si="4"/>
        <v>-1.5687729999999789E-2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23447.841081758419</v>
      </c>
      <c r="D27" s="11">
        <v>2.06E-2</v>
      </c>
      <c r="E27" s="10">
        <f t="shared" si="2"/>
        <v>473.2760398630453</v>
      </c>
      <c r="F27" s="3"/>
      <c r="G27" s="29">
        <v>-6.11</v>
      </c>
      <c r="H27" s="10"/>
      <c r="I27" s="10">
        <f t="shared" si="5"/>
        <v>4161.7921212418269</v>
      </c>
      <c r="J27" s="10">
        <f t="shared" si="3"/>
        <v>97585040.274192616</v>
      </c>
      <c r="K27" s="11">
        <f t="shared" si="4"/>
        <v>-4.1758660000000059E-2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22974.565041895374</v>
      </c>
      <c r="D28" s="11">
        <v>1.9099999999999999E-2</v>
      </c>
      <c r="E28" s="10">
        <f t="shared" si="2"/>
        <v>430.58992473770923</v>
      </c>
      <c r="F28" s="3"/>
      <c r="G28" s="29">
        <v>17.739999999999998</v>
      </c>
      <c r="H28" s="10"/>
      <c r="I28" s="10">
        <f t="shared" si="5"/>
        <v>4432.6255418487881</v>
      </c>
      <c r="J28" s="10">
        <f t="shared" si="3"/>
        <v>101837643.8175717</v>
      </c>
      <c r="K28" s="11">
        <f t="shared" si="4"/>
        <v>0.19988833999999978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22543.975117157664</v>
      </c>
      <c r="D29" s="11">
        <v>1.6899999999999998E-2</v>
      </c>
      <c r="E29" s="10">
        <f t="shared" si="2"/>
        <v>374.66140178971546</v>
      </c>
      <c r="F29" s="3"/>
      <c r="G29" s="29">
        <v>10.56</v>
      </c>
      <c r="H29" s="10"/>
      <c r="I29" s="10">
        <f t="shared" si="5"/>
        <v>3764.7575521053068</v>
      </c>
      <c r="J29" s="10">
        <f t="shared" si="3"/>
        <v>84872600.576793432</v>
      </c>
      <c r="K29" s="11">
        <f t="shared" si="4"/>
        <v>0.12428463999999972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22169.313715367949</v>
      </c>
      <c r="D30" s="12">
        <v>1.5800000000000002E-2</v>
      </c>
      <c r="E30" s="10">
        <f t="shared" si="2"/>
        <v>344.82689181218302</v>
      </c>
      <c r="F30" s="3"/>
      <c r="G30" s="29">
        <v>4.67</v>
      </c>
      <c r="H30" s="10"/>
      <c r="I30" s="10">
        <f t="shared" si="5"/>
        <v>3405.1714472732515</v>
      </c>
      <c r="J30" s="10">
        <f t="shared" si="3"/>
        <v>75490314.069214225</v>
      </c>
      <c r="K30" s="11">
        <f t="shared" si="4"/>
        <v>6.323786000000009E-2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21824.486823555766</v>
      </c>
      <c r="D31" s="13">
        <v>1.4999999999999999E-2</v>
      </c>
      <c r="E31" s="10">
        <f t="shared" si="2"/>
        <v>322.52936192446577</v>
      </c>
      <c r="F31" s="3"/>
      <c r="G31" s="29">
        <v>4.75</v>
      </c>
      <c r="H31" s="10"/>
      <c r="I31" s="10">
        <f t="shared" si="5"/>
        <v>3253.2449099773112</v>
      </c>
      <c r="J31" s="10">
        <f t="shared" si="3"/>
        <v>71000400.671599686</v>
      </c>
      <c r="K31" s="11">
        <f t="shared" si="4"/>
        <v>6.3212499999999894E-2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21501.9574616313</v>
      </c>
      <c r="D32" s="12">
        <v>1.43E-2</v>
      </c>
      <c r="E32" s="10">
        <f t="shared" si="2"/>
        <v>303.14304614150387</v>
      </c>
      <c r="F32" s="3"/>
      <c r="G32" s="29">
        <v>10.41</v>
      </c>
      <c r="H32" s="10"/>
      <c r="I32" s="10">
        <f t="shared" si="5"/>
        <v>3105.7230644174806</v>
      </c>
      <c r="J32" s="10">
        <f t="shared" si="3"/>
        <v>66779125.218711875</v>
      </c>
      <c r="K32" s="11">
        <f t="shared" si="4"/>
        <v>0.11988863000000016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21198.814415489796</v>
      </c>
      <c r="D33" s="13">
        <v>1.3299999999999999E-2</v>
      </c>
      <c r="E33" s="10">
        <f t="shared" si="2"/>
        <v>278.24359195303987</v>
      </c>
      <c r="F33" s="3"/>
      <c r="G33" s="29">
        <v>17.47</v>
      </c>
      <c r="H33" s="10"/>
      <c r="I33" s="10">
        <f t="shared" si="5"/>
        <v>2812.9001579725391</v>
      </c>
      <c r="J33" s="10">
        <f t="shared" si="3"/>
        <v>59630148.418161787</v>
      </c>
      <c r="K33" s="11">
        <f t="shared" si="4"/>
        <v>0.19032351000000025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20920.570823536757</v>
      </c>
      <c r="D34" s="12">
        <v>1.2699999999999999E-2</v>
      </c>
      <c r="E34" s="10">
        <f t="shared" si="2"/>
        <v>262.35928652010989</v>
      </c>
      <c r="F34" s="3"/>
      <c r="G34" s="29">
        <v>15.57</v>
      </c>
      <c r="H34" s="10"/>
      <c r="I34" s="10">
        <f t="shared" si="5"/>
        <v>2394.5689605623043</v>
      </c>
      <c r="J34" s="10">
        <f t="shared" ref="J34:J65" si="6">IF(I34="","",I34*C34)</f>
        <v>50095749.531286478</v>
      </c>
      <c r="K34" s="11">
        <f t="shared" ref="K34:K65" si="7">IFERROR(J34/J35-1,"")</f>
        <v>0.18354248999999978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20658.211537016647</v>
      </c>
      <c r="D35" s="11">
        <v>1.2999999999999999E-2</v>
      </c>
      <c r="E35" s="10">
        <f t="shared" si="2"/>
        <v>265.11031587484104</v>
      </c>
      <c r="F35" s="3"/>
      <c r="G35" s="29">
        <v>14.82</v>
      </c>
      <c r="H35" s="10"/>
      <c r="I35" s="10">
        <f t="shared" ref="I35:I66" si="8">IF(H35&lt;&gt;"",H35,I34/(1+IF(G34="",0,G34)/100))</f>
        <v>2048.9167113564681</v>
      </c>
      <c r="J35" s="10">
        <f t="shared" si="6"/>
        <v>42326954.844930395</v>
      </c>
      <c r="K35" s="11">
        <f t="shared" si="7"/>
        <v>0.19047759999999969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20393.101221141806</v>
      </c>
      <c r="D36" s="11">
        <v>1.6199999999999999E-2</v>
      </c>
      <c r="E36" s="10">
        <f t="shared" si="2"/>
        <v>325.1015939603385</v>
      </c>
      <c r="F36" s="3"/>
      <c r="G36" s="29">
        <v>12.28</v>
      </c>
      <c r="H36" s="10"/>
      <c r="I36" s="10">
        <f t="shared" si="8"/>
        <v>1743.4621437682677</v>
      </c>
      <c r="J36" s="10">
        <f t="shared" si="6"/>
        <v>35554599.973095171</v>
      </c>
      <c r="K36" s="11">
        <f t="shared" si="7"/>
        <v>0.18976696000000004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20067.999627181467</v>
      </c>
      <c r="D37" s="11">
        <v>1.7299999999999999E-2</v>
      </c>
      <c r="E37" s="10">
        <f t="shared" si="2"/>
        <v>341.27238135283551</v>
      </c>
      <c r="F37" s="3"/>
      <c r="G37" s="29">
        <v>-7.27</v>
      </c>
      <c r="H37" s="10"/>
      <c r="I37" s="10">
        <f t="shared" si="8"/>
        <v>1489.1203824464192</v>
      </c>
      <c r="J37" s="10">
        <f t="shared" si="6"/>
        <v>29883667.279763065</v>
      </c>
      <c r="K37" s="11">
        <f t="shared" si="7"/>
        <v>-2.7408100000000379E-3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19726.727245828632</v>
      </c>
      <c r="D38" s="11">
        <v>1.5699999999999999E-2</v>
      </c>
      <c r="E38" s="10">
        <f t="shared" si="2"/>
        <v>304.92233706754996</v>
      </c>
      <c r="F38" s="3"/>
      <c r="G38" s="29">
        <v>2.34</v>
      </c>
      <c r="H38" s="10"/>
      <c r="I38" s="10">
        <f t="shared" si="8"/>
        <v>1519.0455803799034</v>
      </c>
      <c r="J38" s="10">
        <f t="shared" si="6"/>
        <v>29965797.838135809</v>
      </c>
      <c r="K38" s="11">
        <f t="shared" si="7"/>
        <v>7.704828000000008E-2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19421.804908761082</v>
      </c>
      <c r="D39" s="11">
        <v>1.6799999999999999E-2</v>
      </c>
      <c r="E39" s="10">
        <f t="shared" si="2"/>
        <v>320.89528173405415</v>
      </c>
      <c r="F39" s="3"/>
      <c r="G39" s="29">
        <v>22</v>
      </c>
      <c r="H39" s="10"/>
      <c r="I39" s="10">
        <f t="shared" si="8"/>
        <v>1432.5212942096412</v>
      </c>
      <c r="J39" s="10">
        <f t="shared" si="6"/>
        <v>27822149.103785586</v>
      </c>
      <c r="K39" s="11">
        <f t="shared" si="7"/>
        <v>0.24049600000000004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19100.909627027027</v>
      </c>
      <c r="D40" s="11">
        <v>1.7399999999999999E-2</v>
      </c>
      <c r="E40" s="10">
        <f t="shared" si="2"/>
        <v>326.67173924736926</v>
      </c>
      <c r="F40" s="3"/>
      <c r="G40" s="29">
        <v>13.74</v>
      </c>
      <c r="H40" s="10"/>
      <c r="I40" s="10">
        <f t="shared" si="8"/>
        <v>1174.1977821390501</v>
      </c>
      <c r="J40" s="10">
        <f t="shared" si="6"/>
        <v>22428245.720893566</v>
      </c>
      <c r="K40" s="11">
        <f t="shared" si="7"/>
        <v>0.15719075999999998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18774.237887779658</v>
      </c>
      <c r="D41" s="11">
        <v>1.5699999999999999E-2</v>
      </c>
      <c r="E41" s="10">
        <f t="shared" si="2"/>
        <v>290.1994041923208</v>
      </c>
      <c r="F41" s="3"/>
      <c r="G41" s="29">
        <v>0.2</v>
      </c>
      <c r="H41" s="10"/>
      <c r="I41" s="10">
        <f t="shared" si="8"/>
        <v>1032.352542763364</v>
      </c>
      <c r="J41" s="10">
        <f t="shared" si="6"/>
        <v>19381632.22189362</v>
      </c>
      <c r="K41" s="11">
        <f t="shared" si="7"/>
        <v>1.7731399999999953E-2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18484.038483587337</v>
      </c>
      <c r="D42" s="11">
        <v>1.23E-2</v>
      </c>
      <c r="E42" s="10">
        <f t="shared" si="2"/>
        <v>224.59120156882636</v>
      </c>
      <c r="F42" s="3"/>
      <c r="G42" s="29">
        <v>-5.5</v>
      </c>
      <c r="H42" s="10"/>
      <c r="I42" s="10">
        <f t="shared" si="8"/>
        <v>1030.2919588456728</v>
      </c>
      <c r="J42" s="10">
        <f t="shared" si="6"/>
        <v>19043956.216633998</v>
      </c>
      <c r="K42" s="11">
        <f t="shared" si="7"/>
        <v>-4.337650000000004E-2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18259.447282018511</v>
      </c>
      <c r="D43" s="11">
        <v>1.3599999999999999E-2</v>
      </c>
      <c r="E43" s="10">
        <f t="shared" si="2"/>
        <v>244.99653022440179</v>
      </c>
      <c r="F43" s="3"/>
      <c r="G43" s="29">
        <v>10.73</v>
      </c>
      <c r="H43" s="10"/>
      <c r="I43" s="10">
        <f t="shared" si="8"/>
        <v>1090.2560411065322</v>
      </c>
      <c r="J43" s="10">
        <f t="shared" si="6"/>
        <v>19907472.706486929</v>
      </c>
      <c r="K43" s="11">
        <f t="shared" si="7"/>
        <v>0.12235927999999996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18014.450751794109</v>
      </c>
      <c r="D44" s="11">
        <v>1.7100000000000001E-2</v>
      </c>
      <c r="E44" s="10">
        <f t="shared" si="2"/>
        <v>302.86806396192696</v>
      </c>
      <c r="F44" s="3"/>
      <c r="G44" s="29">
        <v>5.36</v>
      </c>
      <c r="H44" s="10"/>
      <c r="I44" s="10">
        <f t="shared" si="8"/>
        <v>984.60764120521287</v>
      </c>
      <c r="J44" s="10">
        <f t="shared" si="6"/>
        <v>17737165.862331472</v>
      </c>
      <c r="K44" s="11">
        <f t="shared" si="7"/>
        <v>7.1616559999999829E-2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17711.582687832182</v>
      </c>
      <c r="D45" s="11">
        <v>1.7600000000000001E-2</v>
      </c>
      <c r="E45" s="10">
        <f t="shared" si="2"/>
        <v>306.33240497823135</v>
      </c>
      <c r="F45" s="3"/>
      <c r="G45" s="29">
        <v>2.67</v>
      </c>
      <c r="H45" s="10"/>
      <c r="I45" s="10">
        <f t="shared" si="8"/>
        <v>934.51750304215341</v>
      </c>
      <c r="J45" s="10">
        <f t="shared" si="6"/>
        <v>16551784.028357564</v>
      </c>
      <c r="K45" s="11">
        <f t="shared" si="7"/>
        <v>4.4769920000000241E-2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17405.250282853951</v>
      </c>
      <c r="D46" s="11">
        <v>1.77E-2</v>
      </c>
      <c r="E46" s="10">
        <f t="shared" si="2"/>
        <v>302.71487668911868</v>
      </c>
      <c r="F46" s="3"/>
      <c r="G46" s="29">
        <v>3.48</v>
      </c>
      <c r="H46" s="10"/>
      <c r="I46" s="10">
        <f t="shared" si="8"/>
        <v>910.2147687173989</v>
      </c>
      <c r="J46" s="10">
        <f t="shared" si="6"/>
        <v>15842515.86067635</v>
      </c>
      <c r="K46" s="11">
        <f t="shared" si="7"/>
        <v>5.3115959999999962E-2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17102.535406164832</v>
      </c>
      <c r="D47" s="13">
        <v>2.0500000000000001E-2</v>
      </c>
      <c r="E47" s="10">
        <f t="shared" si="2"/>
        <v>343.55901599840945</v>
      </c>
      <c r="F47" s="3"/>
      <c r="G47" s="29">
        <v>3.09</v>
      </c>
      <c r="H47" s="10"/>
      <c r="I47" s="10">
        <f t="shared" si="8"/>
        <v>879.60453103730083</v>
      </c>
      <c r="J47" s="10">
        <f t="shared" si="6"/>
        <v>15043467.635488451</v>
      </c>
      <c r="K47" s="11">
        <f t="shared" si="7"/>
        <v>5.2033449999999926E-2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16758.976390166423</v>
      </c>
      <c r="D48" s="12">
        <v>3.32E-2</v>
      </c>
      <c r="E48" s="10">
        <f t="shared" si="2"/>
        <v>538.51917939752457</v>
      </c>
      <c r="F48" s="3"/>
      <c r="G48" s="29">
        <v>8.9</v>
      </c>
      <c r="H48" s="10"/>
      <c r="I48" s="10">
        <f t="shared" si="8"/>
        <v>853.23943257086125</v>
      </c>
      <c r="J48" s="10">
        <f t="shared" si="6"/>
        <v>14299419.505614059</v>
      </c>
      <c r="K48" s="11">
        <f t="shared" si="7"/>
        <v>0.12515479999999979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16220.457210768898</v>
      </c>
      <c r="D49" s="13">
        <v>4.2000000000000003E-2</v>
      </c>
      <c r="E49" s="10">
        <f t="shared" si="2"/>
        <v>653.79961886016645</v>
      </c>
      <c r="F49" s="3"/>
      <c r="G49" s="29">
        <v>16.350000000000001</v>
      </c>
      <c r="H49" s="10"/>
      <c r="I49" s="10">
        <f t="shared" si="8"/>
        <v>783.50728427076331</v>
      </c>
      <c r="J49" s="10">
        <f t="shared" si="6"/>
        <v>12708846.37883966</v>
      </c>
      <c r="K49" s="11">
        <f t="shared" si="7"/>
        <v>0.21236700000000019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15566.657591908732</v>
      </c>
      <c r="D50" s="12">
        <v>4.9200000000000001E-2</v>
      </c>
      <c r="E50" s="10">
        <f t="shared" si="2"/>
        <v>729.96526260189421</v>
      </c>
      <c r="F50" s="3"/>
      <c r="G50" s="29">
        <v>10.91</v>
      </c>
      <c r="H50" s="10"/>
      <c r="I50" s="10">
        <f t="shared" si="8"/>
        <v>673.40548712570978</v>
      </c>
      <c r="J50" s="10">
        <f t="shared" si="6"/>
        <v>10482672.638598427</v>
      </c>
      <c r="K50" s="11">
        <f t="shared" si="7"/>
        <v>0.16366771999999985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14836.692329306838</v>
      </c>
      <c r="D51" s="13">
        <v>-5.6300000000000003E-2</v>
      </c>
      <c r="E51" s="10">
        <f t="shared" si="2"/>
        <v>-885.13911003494286</v>
      </c>
      <c r="F51" s="3"/>
      <c r="G51" s="29">
        <v>-17</v>
      </c>
      <c r="H51" s="10"/>
      <c r="I51" s="10">
        <f t="shared" si="8"/>
        <v>607.163905081336</v>
      </c>
      <c r="J51" s="10">
        <f t="shared" si="6"/>
        <v>9008304.0531522427</v>
      </c>
      <c r="K51" s="11">
        <f t="shared" si="7"/>
        <v>-0.21672899999999995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15721.83143934178</v>
      </c>
      <c r="D52" s="12">
        <v>-0.1736</v>
      </c>
      <c r="E52" s="10">
        <f t="shared" si="2"/>
        <v>-3302.6499732208777</v>
      </c>
      <c r="F52" s="3"/>
      <c r="G52" s="29">
        <v>-13</v>
      </c>
      <c r="H52" s="10"/>
      <c r="I52" s="10">
        <f t="shared" si="8"/>
        <v>731.52277720642894</v>
      </c>
      <c r="J52" s="10">
        <f t="shared" si="6"/>
        <v>11500877.797278646</v>
      </c>
      <c r="K52" s="11">
        <f t="shared" si="7"/>
        <v>-0.28103200000000006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19024.481412562658</v>
      </c>
      <c r="D53" s="13">
        <v>-0.1215</v>
      </c>
      <c r="E53" s="10">
        <f t="shared" si="2"/>
        <v>-2631.1604913219817</v>
      </c>
      <c r="F53" s="3"/>
      <c r="G53" s="29">
        <v>-32.549999999999997</v>
      </c>
      <c r="H53" s="10"/>
      <c r="I53" s="10">
        <f t="shared" si="8"/>
        <v>840.83077839819418</v>
      </c>
      <c r="J53" s="10">
        <f t="shared" si="6"/>
        <v>15996369.514747037</v>
      </c>
      <c r="K53" s="11">
        <f t="shared" si="7"/>
        <v>-0.40745174999999989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21655.64190388464</v>
      </c>
      <c r="D54" s="11">
        <v>1.4999999999999999E-2</v>
      </c>
      <c r="E54" s="10">
        <f t="shared" si="2"/>
        <v>320.03411680617501</v>
      </c>
      <c r="F54" s="3"/>
      <c r="G54" s="29">
        <v>3.74</v>
      </c>
      <c r="H54" s="10"/>
      <c r="I54" s="10">
        <f t="shared" si="8"/>
        <v>1246.5986336518815</v>
      </c>
      <c r="J54" s="10">
        <f t="shared" si="6"/>
        <v>26995893.608237021</v>
      </c>
      <c r="K54" s="11">
        <f t="shared" si="7"/>
        <v>5.2961000000000036E-2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21335.607787078465</v>
      </c>
      <c r="D55" s="11">
        <v>1.4999999999999999E-2</v>
      </c>
      <c r="E55" s="10">
        <f t="shared" si="2"/>
        <v>315.30454857751101</v>
      </c>
      <c r="F55" s="3"/>
      <c r="G55" s="29">
        <v>3.04</v>
      </c>
      <c r="H55" s="10"/>
      <c r="I55" s="10">
        <f t="shared" si="8"/>
        <v>1201.6566740426849</v>
      </c>
      <c r="J55" s="10">
        <f t="shared" si="6"/>
        <v>25638075.492099918</v>
      </c>
      <c r="K55" s="11">
        <f t="shared" si="7"/>
        <v>4.5855999999999897E-2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21020.303238500954</v>
      </c>
      <c r="D56" s="11">
        <v>1.4999999999999999E-2</v>
      </c>
      <c r="E56" s="10">
        <f t="shared" si="2"/>
        <v>310.64487544582516</v>
      </c>
      <c r="F56" s="3"/>
      <c r="G56" s="29">
        <v>1.18</v>
      </c>
      <c r="H56" s="10"/>
      <c r="I56" s="10">
        <f t="shared" si="8"/>
        <v>1166.2040703054008</v>
      </c>
      <c r="J56" s="10">
        <f t="shared" si="6"/>
        <v>24513963.19579361</v>
      </c>
      <c r="K56" s="11">
        <f t="shared" si="7"/>
        <v>2.6976999999999807E-2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20709.658363055129</v>
      </c>
      <c r="D57" s="11">
        <v>1.4999999999999999E-2</v>
      </c>
      <c r="E57" s="10">
        <f t="shared" si="2"/>
        <v>306.05406447864516</v>
      </c>
      <c r="F57" s="3"/>
      <c r="G57" s="30">
        <v>2.81</v>
      </c>
      <c r="H57" s="10"/>
      <c r="I57" s="10">
        <f t="shared" si="8"/>
        <v>1152.6033507663578</v>
      </c>
      <c r="J57" s="10">
        <f t="shared" si="6"/>
        <v>23870021.622483868</v>
      </c>
      <c r="K57" s="11">
        <f t="shared" si="7"/>
        <v>4.3521499999999991E-2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20403.604298576483</v>
      </c>
      <c r="D58" s="11">
        <v>1.4999999999999999E-2</v>
      </c>
      <c r="E58" s="10">
        <f t="shared" si="2"/>
        <v>301.53109800851598</v>
      </c>
      <c r="F58" s="3"/>
      <c r="G58" s="30">
        <v>3.66</v>
      </c>
      <c r="H58" s="10"/>
      <c r="I58" s="10">
        <f t="shared" si="8"/>
        <v>1121.1004287193443</v>
      </c>
      <c r="J58" s="10">
        <f t="shared" si="6"/>
        <v>22874489.526553951</v>
      </c>
      <c r="K58" s="11">
        <f t="shared" si="7"/>
        <v>5.2148999999999779E-2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20102.073200567967</v>
      </c>
      <c r="D59" s="11">
        <v>1.4999999999999999E-2</v>
      </c>
      <c r="E59" s="10">
        <f t="shared" si="2"/>
        <v>297.0749734074052</v>
      </c>
      <c r="F59" s="3"/>
      <c r="G59" s="30">
        <v>3.66</v>
      </c>
      <c r="H59" s="10"/>
      <c r="I59" s="10">
        <f t="shared" si="8"/>
        <v>1081.5169098199347</v>
      </c>
      <c r="J59" s="10">
        <f t="shared" si="6"/>
        <v>21740732.088852391</v>
      </c>
      <c r="K59" s="11">
        <f t="shared" si="7"/>
        <v>5.2148999999999779E-2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19804.998227160562</v>
      </c>
      <c r="D60" s="11">
        <v>1.4999999999999999E-2</v>
      </c>
      <c r="E60" s="10">
        <f t="shared" si="2"/>
        <v>292.68470286444062</v>
      </c>
      <c r="F60" s="3"/>
      <c r="G60" s="30">
        <v>3.67</v>
      </c>
      <c r="H60" s="10"/>
      <c r="I60" s="10">
        <f t="shared" si="8"/>
        <v>1043.3309953887081</v>
      </c>
      <c r="J60" s="10">
        <f t="shared" si="6"/>
        <v>20663168.514015026</v>
      </c>
      <c r="K60" s="11">
        <f t="shared" si="7"/>
        <v>5.2250499999999978E-2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19512.313524296122</v>
      </c>
      <c r="D61" s="11">
        <v>1.4500000000000001E-2</v>
      </c>
      <c r="E61" s="10">
        <f t="shared" si="2"/>
        <v>278.88471769570606</v>
      </c>
      <c r="F61" s="3"/>
      <c r="G61" s="30">
        <v>3.68</v>
      </c>
      <c r="H61" s="10"/>
      <c r="I61" s="10">
        <f t="shared" si="8"/>
        <v>1006.3962529070204</v>
      </c>
      <c r="J61" s="10">
        <f t="shared" si="6"/>
        <v>19637119.216398593</v>
      </c>
      <c r="K61" s="11">
        <f t="shared" si="7"/>
        <v>5.1833599999999924E-2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19233.428806600416</v>
      </c>
      <c r="D62" s="11">
        <v>1.4500000000000001E-2</v>
      </c>
      <c r="E62" s="10">
        <f t="shared" si="2"/>
        <v>274.89868673800447</v>
      </c>
      <c r="F62" s="3"/>
      <c r="G62" s="30">
        <v>3.69</v>
      </c>
      <c r="H62" s="10"/>
      <c r="I62" s="10">
        <f t="shared" si="8"/>
        <v>970.6753982513701</v>
      </c>
      <c r="J62" s="10">
        <f t="shared" si="6"/>
        <v>18669416.166586231</v>
      </c>
      <c r="K62" s="11">
        <f t="shared" si="7"/>
        <v>5.1935049999999761E-2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18958.530119862411</v>
      </c>
      <c r="D63" s="11">
        <v>1.4500000000000001E-2</v>
      </c>
      <c r="E63" s="10">
        <f t="shared" si="2"/>
        <v>270.96962714441179</v>
      </c>
      <c r="F63" s="3"/>
      <c r="G63" s="30">
        <v>3.71</v>
      </c>
      <c r="H63" s="10"/>
      <c r="I63" s="10">
        <f t="shared" si="8"/>
        <v>936.13212291577793</v>
      </c>
      <c r="J63" s="10">
        <f t="shared" si="6"/>
        <v>17747689.048469517</v>
      </c>
      <c r="K63" s="11">
        <f t="shared" si="7"/>
        <v>5.2137949999999877E-2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18687.560492717999</v>
      </c>
      <c r="D64" s="11">
        <v>1.4E-2</v>
      </c>
      <c r="E64" s="10">
        <f t="shared" si="2"/>
        <v>258.01365571800125</v>
      </c>
      <c r="F64" s="3"/>
      <c r="G64" s="30">
        <v>3.64</v>
      </c>
      <c r="H64" s="10"/>
      <c r="I64" s="10">
        <f t="shared" si="8"/>
        <v>902.64402942414233</v>
      </c>
      <c r="J64" s="10">
        <f t="shared" si="6"/>
        <v>16868214.903254386</v>
      </c>
      <c r="K64" s="11">
        <f t="shared" si="7"/>
        <v>5.0909599999999999E-2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18429.546836999998</v>
      </c>
      <c r="D65" s="11">
        <v>1.4E-2</v>
      </c>
      <c r="E65" s="10">
        <f t="shared" si="2"/>
        <v>254.4513369999986</v>
      </c>
      <c r="F65" s="3"/>
      <c r="G65" s="30">
        <v>3.75</v>
      </c>
      <c r="H65" s="10"/>
      <c r="I65" s="10">
        <f t="shared" si="8"/>
        <v>870.94174973383087</v>
      </c>
      <c r="J65" s="10">
        <f t="shared" si="6"/>
        <v>16051061.769018367</v>
      </c>
      <c r="K65" s="11">
        <f t="shared" si="7"/>
        <v>5.202500000000021E-2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18175.095499999999</v>
      </c>
      <c r="D66" s="11">
        <v>1.35E-2</v>
      </c>
      <c r="E66" s="10">
        <f t="shared" si="2"/>
        <v>242.09549999999945</v>
      </c>
      <c r="F66" s="3"/>
      <c r="G66" s="30">
        <v>3.58</v>
      </c>
      <c r="H66" s="10"/>
      <c r="I66" s="10">
        <f t="shared" si="8"/>
        <v>839.46192745429471</v>
      </c>
      <c r="J66" s="10">
        <f t="shared" ref="J66:J67" si="9">IF(I66="","",I66*C66)</f>
        <v>15257300.700095877</v>
      </c>
      <c r="K66" s="11">
        <f t="shared" ref="K66" si="10">IFERROR(J66/J67-1,"")</f>
        <v>4.9783300000000086E-2</v>
      </c>
    </row>
    <row r="67" spans="1:11" ht="22.5" customHeight="1">
      <c r="A67" s="3">
        <f t="shared" si="0"/>
        <v>1950</v>
      </c>
      <c r="B67" s="3">
        <v>1700</v>
      </c>
      <c r="C67" s="10">
        <v>17933</v>
      </c>
      <c r="D67" s="11">
        <v>1.2999999999999999E-2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810.44789288887296</v>
      </c>
      <c r="J67" s="10">
        <f t="shared" si="9"/>
        <v>14533762.063176159</v>
      </c>
      <c r="K67" s="11"/>
    </row>
  </sheetData>
  <dataValidations count="1">
    <dataValidation type="custom" allowBlank="1" showDropDown="1" sqref="D2:D67" xr:uid="{00000000-0002-0000-1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67"/>
  <sheetViews>
    <sheetView topLeftCell="A38" workbookViewId="0">
      <selection activeCell="G45" sqref="G4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945954.90446075809</v>
      </c>
      <c r="D2" s="11">
        <v>4.4600000000000001E-2</v>
      </c>
      <c r="E2" s="10">
        <f t="shared" ref="E2:E66" si="2">SUM(C2-C3)</f>
        <v>40388.271815958084</v>
      </c>
      <c r="F2" s="14">
        <v>945980</v>
      </c>
      <c r="G2" s="26">
        <v>2.09</v>
      </c>
      <c r="H2" s="10"/>
      <c r="I2" s="10">
        <f>IF(H2&lt;&gt;"",H2,95144)</f>
        <v>11893</v>
      </c>
      <c r="J2" s="10">
        <f t="shared" ref="J2:J33" si="3">IF(I2="","",I2*C2)</f>
        <v>11250241678.751797</v>
      </c>
      <c r="K2" s="11">
        <f t="shared" ref="K2:K33" si="4">IFERROR(J2/J3-1,"")</f>
        <v>6.6432140000000084E-2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905566.6326448</v>
      </c>
      <c r="D3" s="11">
        <v>4.2999999999999997E-2</v>
      </c>
      <c r="E3" s="10">
        <f t="shared" si="2"/>
        <v>37334.003071645624</v>
      </c>
      <c r="F3" s="3"/>
      <c r="G3" s="26">
        <v>4.63</v>
      </c>
      <c r="H3" s="10"/>
      <c r="I3" s="10">
        <f t="shared" ref="I3:I34" si="5">IF(H3&lt;&gt;"",H3,I2/(1+IF(G2="",0,G2)/100))</f>
        <v>11649.52492898423</v>
      </c>
      <c r="J3" s="10">
        <f t="shared" si="3"/>
        <v>10549421061.851902</v>
      </c>
      <c r="K3" s="11">
        <f t="shared" si="4"/>
        <v>9.1290899999999953E-2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868232.62957315438</v>
      </c>
      <c r="D4" s="11">
        <v>7.7799999999999994E-2</v>
      </c>
      <c r="E4" s="10">
        <f t="shared" si="2"/>
        <v>62672.57244460145</v>
      </c>
      <c r="F4" s="3"/>
      <c r="G4" s="26">
        <v>4.92</v>
      </c>
      <c r="H4" s="10"/>
      <c r="I4" s="10">
        <f t="shared" si="5"/>
        <v>11134.019811702408</v>
      </c>
      <c r="J4" s="10">
        <f t="shared" si="3"/>
        <v>9666919298.8339787</v>
      </c>
      <c r="K4" s="11">
        <f t="shared" si="4"/>
        <v>0.13082776000000007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805560.05712855293</v>
      </c>
      <c r="D5" s="11">
        <v>0.14230000000000001</v>
      </c>
      <c r="E5" s="10">
        <f t="shared" si="2"/>
        <v>100351.2178319121</v>
      </c>
      <c r="F5" s="3"/>
      <c r="G5" s="26">
        <v>4.68</v>
      </c>
      <c r="H5" s="10"/>
      <c r="I5" s="10">
        <f t="shared" si="5"/>
        <v>10611.91365964774</v>
      </c>
      <c r="J5" s="10">
        <f t="shared" si="3"/>
        <v>8548533773.9091043</v>
      </c>
      <c r="K5" s="11">
        <f t="shared" si="4"/>
        <v>0.19575964000000012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705208.83929664083</v>
      </c>
      <c r="D6" s="11">
        <v>0.1096</v>
      </c>
      <c r="E6" s="10">
        <f t="shared" si="2"/>
        <v>69656.532792818849</v>
      </c>
      <c r="F6" s="3"/>
      <c r="G6" s="26">
        <v>6.74</v>
      </c>
      <c r="H6" s="10"/>
      <c r="I6" s="10">
        <f t="shared" si="5"/>
        <v>10137.479613725392</v>
      </c>
      <c r="J6" s="10">
        <f t="shared" si="3"/>
        <v>7149040231.7886429</v>
      </c>
      <c r="K6" s="11">
        <f t="shared" si="4"/>
        <v>0.18438703999999961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635552.30650382198</v>
      </c>
      <c r="D7" s="11">
        <v>2.6800000000000001E-2</v>
      </c>
      <c r="E7" s="10">
        <f t="shared" si="2"/>
        <v>16588.237061065855</v>
      </c>
      <c r="F7" s="3"/>
      <c r="G7" s="26">
        <v>1.6</v>
      </c>
      <c r="H7" s="10"/>
      <c r="I7" s="10">
        <f t="shared" si="5"/>
        <v>9497.3577044457506</v>
      </c>
      <c r="J7" s="10">
        <f t="shared" si="3"/>
        <v>6036067594.7523413</v>
      </c>
      <c r="K7" s="11">
        <f t="shared" si="4"/>
        <v>4.3228800000000067E-2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618964.06944275612</v>
      </c>
      <c r="D8" s="11">
        <v>2.1899999999999999E-2</v>
      </c>
      <c r="E8" s="10">
        <f t="shared" si="2"/>
        <v>13264.813700750005</v>
      </c>
      <c r="F8" s="3"/>
      <c r="G8" s="26">
        <v>-5.24</v>
      </c>
      <c r="H8" s="10"/>
      <c r="I8" s="10">
        <f t="shared" si="5"/>
        <v>9347.7930161867625</v>
      </c>
      <c r="J8" s="10">
        <f t="shared" si="3"/>
        <v>5785948005.6075344</v>
      </c>
      <c r="K8" s="11">
        <f t="shared" si="4"/>
        <v>-3.1647559999999797E-2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605699.25574200612</v>
      </c>
      <c r="D9" s="11">
        <v>2.1700000000000001E-2</v>
      </c>
      <c r="E9" s="10">
        <f t="shared" si="2"/>
        <v>12864.513898014673</v>
      </c>
      <c r="F9" s="3"/>
      <c r="G9" s="26">
        <v>3.19</v>
      </c>
      <c r="H9" s="10"/>
      <c r="I9" s="10">
        <f t="shared" si="5"/>
        <v>9864.7034784579591</v>
      </c>
      <c r="J9" s="10">
        <f t="shared" si="3"/>
        <v>5975043555.0175648</v>
      </c>
      <c r="K9" s="11">
        <f t="shared" si="4"/>
        <v>5.4292230000000163E-2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592834.74184399145</v>
      </c>
      <c r="D10" s="11">
        <v>2.18E-2</v>
      </c>
      <c r="E10" s="10">
        <f t="shared" si="2"/>
        <v>12648.069458014332</v>
      </c>
      <c r="F10" s="3"/>
      <c r="G10" s="26">
        <v>3.18</v>
      </c>
      <c r="H10" s="10"/>
      <c r="I10" s="10">
        <f t="shared" si="5"/>
        <v>9559.7475321813727</v>
      </c>
      <c r="J10" s="10">
        <f t="shared" si="3"/>
        <v>5667350460.3344784</v>
      </c>
      <c r="K10" s="11">
        <f t="shared" si="4"/>
        <v>5.4293240000000242E-2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580186.67238597712</v>
      </c>
      <c r="D11" s="11">
        <v>2.2100000000000002E-2</v>
      </c>
      <c r="E11" s="10">
        <f t="shared" si="2"/>
        <v>12544.88353363669</v>
      </c>
      <c r="F11" s="3"/>
      <c r="G11" s="26">
        <v>4.84</v>
      </c>
      <c r="H11" s="10"/>
      <c r="I11" s="10">
        <f t="shared" si="5"/>
        <v>9265.1168173884198</v>
      </c>
      <c r="J11" s="10">
        <f t="shared" si="3"/>
        <v>5375497295.5479422</v>
      </c>
      <c r="K11" s="11">
        <f t="shared" si="4"/>
        <v>7.1569640000000101E-2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567641.78885234043</v>
      </c>
      <c r="D12" s="11">
        <v>2.2599999999999999E-2</v>
      </c>
      <c r="E12" s="10">
        <f t="shared" si="2"/>
        <v>12545.183285803651</v>
      </c>
      <c r="F12" s="3"/>
      <c r="G12" s="26">
        <v>4.8600000000000003</v>
      </c>
      <c r="H12" s="10"/>
      <c r="I12" s="10">
        <f t="shared" si="5"/>
        <v>8837.3872733578974</v>
      </c>
      <c r="J12" s="10">
        <f t="shared" si="3"/>
        <v>5016470320.6297836</v>
      </c>
      <c r="K12" s="11">
        <f t="shared" si="4"/>
        <v>7.2298359999999784E-2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555096.60556653677</v>
      </c>
      <c r="D13" s="11">
        <v>1.72E-2</v>
      </c>
      <c r="E13" s="10">
        <f t="shared" si="2"/>
        <v>9386.218654880533</v>
      </c>
      <c r="F13" s="3"/>
      <c r="G13" s="26">
        <v>4.57</v>
      </c>
      <c r="H13" s="10"/>
      <c r="I13" s="10">
        <f t="shared" si="5"/>
        <v>8427.7963697862833</v>
      </c>
      <c r="J13" s="10">
        <f t="shared" si="3"/>
        <v>4678241157.2743473</v>
      </c>
      <c r="K13" s="11">
        <f t="shared" si="4"/>
        <v>6.3686040000000332E-2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545710.38691165624</v>
      </c>
      <c r="D14" s="11">
        <v>1.1299999999999999E-2</v>
      </c>
      <c r="E14" s="10">
        <f t="shared" si="2"/>
        <v>6097.6242184335133</v>
      </c>
      <c r="F14" s="3"/>
      <c r="G14" s="26">
        <v>4.8</v>
      </c>
      <c r="H14" s="10"/>
      <c r="I14" s="10">
        <f t="shared" si="5"/>
        <v>8059.4782153450151</v>
      </c>
      <c r="J14" s="10">
        <f t="shared" si="3"/>
        <v>4398140975.201993</v>
      </c>
      <c r="K14" s="11">
        <f t="shared" si="4"/>
        <v>5.9842400000000184E-2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539612.76269322273</v>
      </c>
      <c r="D15" s="11">
        <v>1.1599999999999999E-2</v>
      </c>
      <c r="E15" s="10">
        <f t="shared" si="2"/>
        <v>6187.7303748927079</v>
      </c>
      <c r="F15" s="3"/>
      <c r="G15" s="26">
        <v>2.4300000000000002</v>
      </c>
      <c r="H15" s="10"/>
      <c r="I15" s="10">
        <f t="shared" si="5"/>
        <v>7690.3418085353196</v>
      </c>
      <c r="J15" s="10">
        <f t="shared" si="3"/>
        <v>4149806589.3589387</v>
      </c>
      <c r="K15" s="11">
        <f t="shared" si="4"/>
        <v>3.618188E-2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533425.03231833002</v>
      </c>
      <c r="D16" s="11">
        <v>1.2200000000000001E-2</v>
      </c>
      <c r="E16" s="10">
        <f t="shared" si="2"/>
        <v>6429.3473565338645</v>
      </c>
      <c r="F16" s="3"/>
      <c r="G16" s="26">
        <v>1.4</v>
      </c>
      <c r="H16" s="10"/>
      <c r="I16" s="10">
        <f t="shared" si="5"/>
        <v>7507.8998423658304</v>
      </c>
      <c r="J16" s="10">
        <f t="shared" si="3"/>
        <v>4004901716.056778</v>
      </c>
      <c r="K16" s="11">
        <f t="shared" si="4"/>
        <v>2.6370800000000028E-2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526995.68496179616</v>
      </c>
      <c r="D17" s="11">
        <v>1.29E-2</v>
      </c>
      <c r="E17" s="10">
        <f t="shared" si="2"/>
        <v>6711.663872057572</v>
      </c>
      <c r="F17" s="3"/>
      <c r="G17" s="26">
        <v>4.8499999999999996</v>
      </c>
      <c r="H17" s="10"/>
      <c r="I17" s="10">
        <f t="shared" si="5"/>
        <v>7404.2404757059467</v>
      </c>
      <c r="J17" s="10">
        <f t="shared" si="3"/>
        <v>3902002781.1165109</v>
      </c>
      <c r="K17" s="11">
        <f t="shared" si="4"/>
        <v>6.2025649999999821E-2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520284.02108973858</v>
      </c>
      <c r="D18" s="11">
        <v>1.3599999999999999E-2</v>
      </c>
      <c r="E18" s="10">
        <f t="shared" si="2"/>
        <v>6980.922145639779</v>
      </c>
      <c r="F18" s="3"/>
      <c r="G18" s="26">
        <v>2.9</v>
      </c>
      <c r="H18" s="10"/>
      <c r="I18" s="10">
        <f t="shared" si="5"/>
        <v>7061.7458042021426</v>
      </c>
      <c r="J18" s="10">
        <f t="shared" si="3"/>
        <v>3674113502.9238806</v>
      </c>
      <c r="K18" s="11">
        <f t="shared" si="4"/>
        <v>4.2994399999999988E-2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513303.09894409881</v>
      </c>
      <c r="D19" s="11">
        <v>1.44E-2</v>
      </c>
      <c r="E19" s="10">
        <f t="shared" si="2"/>
        <v>7286.6370512568974</v>
      </c>
      <c r="F19" s="3"/>
      <c r="G19" s="26">
        <v>0.28999999999999998</v>
      </c>
      <c r="H19" s="10"/>
      <c r="I19" s="10">
        <f t="shared" si="5"/>
        <v>6862.72672905942</v>
      </c>
      <c r="J19" s="10">
        <f t="shared" si="3"/>
        <v>3522658897.2326989</v>
      </c>
      <c r="K19" s="11">
        <f t="shared" si="4"/>
        <v>1.7341759999999873E-2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506016.46189284191</v>
      </c>
      <c r="D20" s="11">
        <v>1.55E-2</v>
      </c>
      <c r="E20" s="10">
        <f t="shared" si="2"/>
        <v>7723.5402849227539</v>
      </c>
      <c r="F20" s="3"/>
      <c r="G20" s="26">
        <v>8.19</v>
      </c>
      <c r="H20" s="10"/>
      <c r="I20" s="10">
        <f t="shared" si="5"/>
        <v>6842.8823701858819</v>
      </c>
      <c r="J20" s="10">
        <f t="shared" si="3"/>
        <v>3462611126.110364</v>
      </c>
      <c r="K20" s="11">
        <f t="shared" si="4"/>
        <v>9.8669450000000047E-2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498292.92160791915</v>
      </c>
      <c r="D21" s="11">
        <v>1.7000000000000001E-2</v>
      </c>
      <c r="E21" s="10">
        <f t="shared" si="2"/>
        <v>8329.3802038687863</v>
      </c>
      <c r="F21" s="3"/>
      <c r="G21" s="26">
        <v>4.8</v>
      </c>
      <c r="H21" s="10"/>
      <c r="I21" s="10">
        <f t="shared" si="5"/>
        <v>6324.8750995340433</v>
      </c>
      <c r="J21" s="10">
        <f t="shared" si="3"/>
        <v>3151640492.1519971</v>
      </c>
      <c r="K21" s="11">
        <f t="shared" si="4"/>
        <v>6.5815999999999875E-2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489963.54140405037</v>
      </c>
      <c r="D22" s="11">
        <v>1.84E-2</v>
      </c>
      <c r="E22" s="10">
        <f t="shared" si="2"/>
        <v>8852.444188761292</v>
      </c>
      <c r="F22" s="3"/>
      <c r="G22" s="26">
        <v>6.69</v>
      </c>
      <c r="H22" s="10"/>
      <c r="I22" s="10">
        <f t="shared" si="5"/>
        <v>6035.186163677522</v>
      </c>
      <c r="J22" s="10">
        <f t="shared" si="3"/>
        <v>2957021185.7881637</v>
      </c>
      <c r="K22" s="11">
        <f t="shared" si="4"/>
        <v>8.6530960000000157E-2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481111.09721528908</v>
      </c>
      <c r="D23" s="11">
        <v>2.93E-2</v>
      </c>
      <c r="E23" s="10">
        <f t="shared" si="2"/>
        <v>13695.283346359676</v>
      </c>
      <c r="F23" s="3"/>
      <c r="G23" s="26">
        <v>4.9000000000000004</v>
      </c>
      <c r="H23" s="10"/>
      <c r="I23" s="10">
        <f t="shared" si="5"/>
        <v>5656.7496144695115</v>
      </c>
      <c r="J23" s="10">
        <f t="shared" si="3"/>
        <v>2721525013.68959</v>
      </c>
      <c r="K23" s="11">
        <f t="shared" si="4"/>
        <v>7.9735699999999854E-2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467415.8138689294</v>
      </c>
      <c r="D24" s="11">
        <v>4.2099999999999999E-2</v>
      </c>
      <c r="E24" s="10">
        <f t="shared" si="2"/>
        <v>18883.222112927702</v>
      </c>
      <c r="F24" s="3"/>
      <c r="G24" s="26">
        <v>1.26</v>
      </c>
      <c r="H24" s="10"/>
      <c r="I24" s="10">
        <f t="shared" si="5"/>
        <v>5392.5163150328999</v>
      </c>
      <c r="J24" s="10">
        <f t="shared" si="3"/>
        <v>2520547402.1925831</v>
      </c>
      <c r="K24" s="11">
        <f t="shared" si="4"/>
        <v>5.5230459999999981E-2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448532.5917560017</v>
      </c>
      <c r="D25" s="11">
        <v>4.58E-2</v>
      </c>
      <c r="E25" s="10">
        <f t="shared" si="2"/>
        <v>19643.13702660636</v>
      </c>
      <c r="F25" s="3"/>
      <c r="G25" s="26">
        <v>3.35</v>
      </c>
      <c r="H25" s="10"/>
      <c r="I25" s="10">
        <f t="shared" si="5"/>
        <v>5325.4160725191587</v>
      </c>
      <c r="J25" s="10">
        <f t="shared" si="3"/>
        <v>2388622673.1860857</v>
      </c>
      <c r="K25" s="11">
        <f t="shared" si="4"/>
        <v>8.0834300000000248E-2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428889.45472939534</v>
      </c>
      <c r="D26" s="11">
        <v>4.8399999999999999E-2</v>
      </c>
      <c r="E26" s="10">
        <f t="shared" si="2"/>
        <v>19799.932858548942</v>
      </c>
      <c r="F26" s="3"/>
      <c r="G26" s="26">
        <v>0.86</v>
      </c>
      <c r="H26" s="10"/>
      <c r="I26" s="10">
        <f t="shared" si="5"/>
        <v>5152.797360928068</v>
      </c>
      <c r="J26" s="10">
        <f t="shared" si="3"/>
        <v>2209980450.4595065</v>
      </c>
      <c r="K26" s="11">
        <f t="shared" si="4"/>
        <v>5.7416240000000007E-2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409089.52187084639</v>
      </c>
      <c r="D27" s="11">
        <v>5.0999999999999997E-2</v>
      </c>
      <c r="E27" s="10">
        <f t="shared" si="2"/>
        <v>19851.156627414981</v>
      </c>
      <c r="F27" s="3"/>
      <c r="G27" s="26">
        <v>-8.33</v>
      </c>
      <c r="H27" s="10"/>
      <c r="I27" s="10">
        <f t="shared" si="5"/>
        <v>5108.8611549951102</v>
      </c>
      <c r="J27" s="10">
        <f t="shared" si="3"/>
        <v>2089981567.2014897</v>
      </c>
      <c r="K27" s="11">
        <f t="shared" si="4"/>
        <v>-3.6548300000000089E-2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389238.36524343141</v>
      </c>
      <c r="D28" s="11">
        <v>5.3699999999999998E-2</v>
      </c>
      <c r="E28" s="10">
        <f t="shared" si="2"/>
        <v>19836.860789192666</v>
      </c>
      <c r="F28" s="3"/>
      <c r="G28" s="26">
        <v>4.34</v>
      </c>
      <c r="H28" s="10"/>
      <c r="I28" s="10">
        <f t="shared" si="5"/>
        <v>5573.1004199793942</v>
      </c>
      <c r="J28" s="10">
        <f t="shared" si="3"/>
        <v>2169264496.8102603</v>
      </c>
      <c r="K28" s="11">
        <f t="shared" si="4"/>
        <v>9.9430580000000157E-2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369401.50445423875</v>
      </c>
      <c r="D29" s="11">
        <v>5.67E-2</v>
      </c>
      <c r="E29" s="10">
        <f t="shared" si="2"/>
        <v>19821.203087494418</v>
      </c>
      <c r="F29" s="3"/>
      <c r="G29" s="26">
        <v>-2.62</v>
      </c>
      <c r="H29" s="10"/>
      <c r="I29" s="10">
        <f t="shared" si="5"/>
        <v>5341.2884991176861</v>
      </c>
      <c r="J29" s="10">
        <f t="shared" si="3"/>
        <v>1973080007.2981961</v>
      </c>
      <c r="K29" s="11">
        <f t="shared" si="4"/>
        <v>2.9014460000000186E-2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349580.30136674433</v>
      </c>
      <c r="D30" s="12">
        <v>6.0100000000000001E-2</v>
      </c>
      <c r="E30" s="10">
        <f t="shared" si="2"/>
        <v>19818.673815811111</v>
      </c>
      <c r="F30" s="3"/>
      <c r="G30" s="26">
        <v>3.38</v>
      </c>
      <c r="H30" s="10"/>
      <c r="I30" s="10">
        <f t="shared" si="5"/>
        <v>5484.9953780218584</v>
      </c>
      <c r="J30" s="10">
        <f t="shared" si="3"/>
        <v>1917446337.244081</v>
      </c>
      <c r="K30" s="11">
        <f t="shared" si="4"/>
        <v>9.5931380000000122E-2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329761.62755093322</v>
      </c>
      <c r="D31" s="13">
        <v>6.4199999999999993E-2</v>
      </c>
      <c r="E31" s="10">
        <f t="shared" si="2"/>
        <v>19893.531750394613</v>
      </c>
      <c r="F31" s="3"/>
      <c r="G31" s="26">
        <v>14.96</v>
      </c>
      <c r="H31" s="10"/>
      <c r="I31" s="10">
        <f t="shared" si="5"/>
        <v>5305.6639369528521</v>
      </c>
      <c r="J31" s="10">
        <f t="shared" si="3"/>
        <v>1749604375.0878644</v>
      </c>
      <c r="K31" s="11">
        <f t="shared" si="4"/>
        <v>0.22340431999999999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309868.09580053861</v>
      </c>
      <c r="D32" s="12">
        <v>6.0499999999999998E-2</v>
      </c>
      <c r="E32" s="10">
        <f t="shared" si="2"/>
        <v>17677.529274806788</v>
      </c>
      <c r="F32" s="3"/>
      <c r="G32" s="26">
        <v>-3.59</v>
      </c>
      <c r="H32" s="10"/>
      <c r="I32" s="10">
        <f t="shared" si="5"/>
        <v>4615.2261107801432</v>
      </c>
      <c r="J32" s="10">
        <f t="shared" si="3"/>
        <v>1430111326.6363685</v>
      </c>
      <c r="K32" s="11">
        <f t="shared" si="4"/>
        <v>2.2428050000000033E-2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292190.56652573182</v>
      </c>
      <c r="D33" s="13">
        <v>5.4600000000000003E-2</v>
      </c>
      <c r="E33" s="10">
        <f t="shared" si="2"/>
        <v>15127.636006357789</v>
      </c>
      <c r="F33" s="3"/>
      <c r="G33" s="26">
        <v>4.0199999999999996</v>
      </c>
      <c r="H33" s="10"/>
      <c r="I33" s="10">
        <f t="shared" si="5"/>
        <v>4787.0823677835733</v>
      </c>
      <c r="J33" s="10">
        <f t="shared" si="3"/>
        <v>1398740309.0480239</v>
      </c>
      <c r="K33" s="11">
        <f t="shared" si="4"/>
        <v>9.6994919999999984E-2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277062.93051937403</v>
      </c>
      <c r="D34" s="12">
        <v>5.5500000000000001E-2</v>
      </c>
      <c r="E34" s="10">
        <f t="shared" si="2"/>
        <v>14568.444001729309</v>
      </c>
      <c r="F34" s="3"/>
      <c r="G34" s="26">
        <v>3.45</v>
      </c>
      <c r="H34" s="10"/>
      <c r="I34" s="10">
        <f t="shared" si="5"/>
        <v>4602.0788000226621</v>
      </c>
      <c r="J34" s="10">
        <f t="shared" ref="J34:J65" si="6">IF(I34="","",I34*C34)</f>
        <v>1275065438.8153629</v>
      </c>
      <c r="K34" s="11">
        <f t="shared" ref="K34:K65" si="7">IFERROR(J34/J35-1,"")</f>
        <v>0.1056362500000001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262494.48651764472</v>
      </c>
      <c r="D35" s="11">
        <v>5.5500000000000001E-2</v>
      </c>
      <c r="E35" s="10">
        <f t="shared" si="2"/>
        <v>13802.410233755858</v>
      </c>
      <c r="F35" s="3"/>
      <c r="G35" s="26">
        <v>4.02</v>
      </c>
      <c r="H35" s="10"/>
      <c r="I35" s="10">
        <f t="shared" ref="I35:I66" si="8">IF(H35&lt;&gt;"",H35,I34/(1+IF(G34="",0,G34)/100))</f>
        <v>4393.3926491863122</v>
      </c>
      <c r="J35" s="10">
        <f t="shared" si="6"/>
        <v>1153241347.5185559</v>
      </c>
      <c r="K35" s="11">
        <f t="shared" si="7"/>
        <v>0.12642960000000025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248692.07628388886</v>
      </c>
      <c r="D36" s="11">
        <v>5.45E-2</v>
      </c>
      <c r="E36" s="10">
        <f t="shared" si="2"/>
        <v>12853.217788024602</v>
      </c>
      <c r="F36" s="3"/>
      <c r="G36" s="26">
        <v>-0.14</v>
      </c>
      <c r="H36" s="10"/>
      <c r="I36" s="10">
        <f t="shared" si="8"/>
        <v>4116.7472349946702</v>
      </c>
      <c r="J36" s="10">
        <f t="shared" si="6"/>
        <v>1023802417.4067831</v>
      </c>
      <c r="K36" s="11">
        <f t="shared" si="7"/>
        <v>0.1036397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235838.85849586426</v>
      </c>
      <c r="D37" s="11">
        <v>5.3499999999999999E-2</v>
      </c>
      <c r="E37" s="10">
        <f t="shared" si="2"/>
        <v>11976.629263909592</v>
      </c>
      <c r="F37" s="3"/>
      <c r="G37" s="26">
        <v>-1.43</v>
      </c>
      <c r="H37" s="10"/>
      <c r="I37" s="10">
        <f t="shared" si="8"/>
        <v>3933.4485333409807</v>
      </c>
      <c r="J37" s="10">
        <f t="shared" si="6"/>
        <v>927660012.0553683</v>
      </c>
      <c r="K37" s="11">
        <f t="shared" si="7"/>
        <v>9.4270450000000006E-2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223862.22923195467</v>
      </c>
      <c r="D38" s="11">
        <v>5.28E-2</v>
      </c>
      <c r="E38" s="10">
        <f t="shared" si="2"/>
        <v>11227.133076982514</v>
      </c>
      <c r="F38" s="3"/>
      <c r="G38" s="26">
        <v>-0.78</v>
      </c>
      <c r="H38" s="10"/>
      <c r="I38" s="10">
        <f t="shared" si="8"/>
        <v>3786.895670878002</v>
      </c>
      <c r="J38" s="10">
        <f t="shared" si="6"/>
        <v>847742906.75158799</v>
      </c>
      <c r="K38" s="11">
        <f t="shared" si="7"/>
        <v>8.3541759999999687E-2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212635.09615497215</v>
      </c>
      <c r="D39" s="11">
        <v>5.1299999999999998E-2</v>
      </c>
      <c r="E39" s="10">
        <f t="shared" si="2"/>
        <v>10375.896920717263</v>
      </c>
      <c r="F39" s="3"/>
      <c r="G39" s="26">
        <v>-1.59</v>
      </c>
      <c r="H39" s="10"/>
      <c r="I39" s="10">
        <f t="shared" si="8"/>
        <v>3679.4555682841064</v>
      </c>
      <c r="J39" s="10">
        <f t="shared" si="6"/>
        <v>782381388.56003869</v>
      </c>
      <c r="K39" s="11">
        <f t="shared" si="7"/>
        <v>3.4584329999999941E-2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202259.19923425489</v>
      </c>
      <c r="D40" s="11">
        <v>4.8599999999999997E-2</v>
      </c>
      <c r="E40" s="10">
        <f t="shared" si="2"/>
        <v>9374.2104546869814</v>
      </c>
      <c r="F40" s="3"/>
      <c r="G40" s="26">
        <v>1.44</v>
      </c>
      <c r="H40" s="10"/>
      <c r="I40" s="10">
        <f t="shared" si="8"/>
        <v>3738.904144176513</v>
      </c>
      <c r="J40" s="10">
        <f t="shared" si="6"/>
        <v>756227758.21477866</v>
      </c>
      <c r="K40" s="11">
        <f t="shared" si="7"/>
        <v>6.3699839999999952E-2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192884.98877956791</v>
      </c>
      <c r="D41" s="11">
        <v>4.4999999999999998E-2</v>
      </c>
      <c r="E41" s="10">
        <f t="shared" si="2"/>
        <v>8306.0521484024357</v>
      </c>
      <c r="F41" s="3"/>
      <c r="G41" s="26">
        <v>6.53</v>
      </c>
      <c r="H41" s="10"/>
      <c r="I41" s="10">
        <f t="shared" si="8"/>
        <v>3685.8282178396225</v>
      </c>
      <c r="J41" s="10">
        <f t="shared" si="6"/>
        <v>710940934.44141042</v>
      </c>
      <c r="K41" s="11">
        <f t="shared" si="7"/>
        <v>0.1132384999999998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184578.93663116547</v>
      </c>
      <c r="D42" s="11">
        <v>4.1799999999999997E-2</v>
      </c>
      <c r="E42" s="10">
        <f t="shared" si="2"/>
        <v>7405.8356221757713</v>
      </c>
      <c r="F42" s="3"/>
      <c r="G42" s="26">
        <v>-6.23</v>
      </c>
      <c r="H42" s="10"/>
      <c r="I42" s="10">
        <f t="shared" si="8"/>
        <v>3459.8969471882315</v>
      </c>
      <c r="J42" s="10">
        <f t="shared" si="6"/>
        <v>638624099.36541951</v>
      </c>
      <c r="K42" s="11">
        <f t="shared" si="7"/>
        <v>-2.3104140000000051E-2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177173.1010089897</v>
      </c>
      <c r="D43" s="11">
        <v>3.5200000000000002E-2</v>
      </c>
      <c r="E43" s="10">
        <f t="shared" si="2"/>
        <v>6024.4331100429117</v>
      </c>
      <c r="F43" s="3"/>
      <c r="G43" s="26">
        <v>14.5</v>
      </c>
      <c r="H43" s="10"/>
      <c r="I43" s="10">
        <f>IF(H43&lt;&gt;"",H43,I42/(1+IF(G42="",0,G42)/100))</f>
        <v>3689.7695928209787</v>
      </c>
      <c r="J43" s="10">
        <f t="shared" si="6"/>
        <v>653727920.7687701</v>
      </c>
      <c r="K43" s="11">
        <f t="shared" si="7"/>
        <v>0.18530400000000014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171148.66789894679</v>
      </c>
      <c r="D44" s="11">
        <v>2.9000000000000001E-2</v>
      </c>
      <c r="E44" s="10">
        <f t="shared" si="2"/>
        <v>4823.4318455485336</v>
      </c>
      <c r="F44" s="3"/>
      <c r="G44" s="26">
        <v>16.62</v>
      </c>
      <c r="H44" s="10"/>
      <c r="I44" s="10">
        <f t="shared" si="8"/>
        <v>3222.5061946034748</v>
      </c>
      <c r="J44" s="10">
        <f t="shared" si="6"/>
        <v>551527642.50248885</v>
      </c>
      <c r="K44" s="11">
        <f t="shared" si="7"/>
        <v>0.20001979999999953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166325.23605339826</v>
      </c>
      <c r="D45" s="11">
        <v>2.8199999999999999E-2</v>
      </c>
      <c r="E45" s="10">
        <f t="shared" si="2"/>
        <v>4561.7308468253468</v>
      </c>
      <c r="F45" s="3"/>
      <c r="G45" s="26">
        <v>19.079999999999998</v>
      </c>
      <c r="H45" s="10"/>
      <c r="I45" s="10">
        <f t="shared" si="8"/>
        <v>2763.2534681902548</v>
      </c>
      <c r="J45" s="10">
        <f t="shared" si="6"/>
        <v>459598785.37211555</v>
      </c>
      <c r="K45" s="11">
        <f t="shared" si="7"/>
        <v>0.22438055999999995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161763.50520657291</v>
      </c>
      <c r="D46" s="11">
        <v>2.7400000000000001E-2</v>
      </c>
      <c r="E46" s="10">
        <f t="shared" si="2"/>
        <v>4314.1133372202748</v>
      </c>
      <c r="F46" s="3"/>
      <c r="G46" s="26">
        <v>6.61</v>
      </c>
      <c r="H46" s="10"/>
      <c r="I46" s="10">
        <f t="shared" si="8"/>
        <v>2320.5017368074027</v>
      </c>
      <c r="J46" s="10">
        <f t="shared" si="6"/>
        <v>375372494.78390574</v>
      </c>
      <c r="K46" s="11">
        <f t="shared" si="7"/>
        <v>9.5311140000000183E-2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157449.39186935264</v>
      </c>
      <c r="D47" s="11">
        <v>2.6599999999999999E-2</v>
      </c>
      <c r="E47" s="10">
        <f t="shared" si="2"/>
        <v>4079.6355189214519</v>
      </c>
      <c r="F47" s="3"/>
      <c r="G47" s="26">
        <v>6.21</v>
      </c>
      <c r="H47" s="10"/>
      <c r="I47" s="10">
        <f t="shared" si="8"/>
        <v>2176.6267111972634</v>
      </c>
      <c r="J47" s="10">
        <f t="shared" si="6"/>
        <v>342708552.00459814</v>
      </c>
      <c r="K47" s="11">
        <f t="shared" si="7"/>
        <v>9.0351859999999951E-2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153369.75635043118</v>
      </c>
      <c r="D48" s="11">
        <v>2.58E-2</v>
      </c>
      <c r="E48" s="10">
        <f t="shared" si="2"/>
        <v>3857.4183211553318</v>
      </c>
      <c r="F48" s="3"/>
      <c r="G48" s="26">
        <v>5.1100000000000003</v>
      </c>
      <c r="H48" s="10"/>
      <c r="I48" s="10">
        <f t="shared" si="8"/>
        <v>2049.3613701132317</v>
      </c>
      <c r="J48" s="10">
        <f t="shared" si="6"/>
        <v>314310054.00825214</v>
      </c>
      <c r="K48" s="11">
        <f t="shared" si="7"/>
        <v>7.821837999999981E-2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149512.33802927585</v>
      </c>
      <c r="D49" s="11">
        <v>2.4899999999999999E-2</v>
      </c>
      <c r="E49" s="10">
        <f t="shared" si="2"/>
        <v>3632.410202877305</v>
      </c>
      <c r="F49" s="3"/>
      <c r="G49" s="26">
        <v>7.12</v>
      </c>
      <c r="H49" s="10"/>
      <c r="I49" s="10">
        <f t="shared" si="8"/>
        <v>1949.7301589888991</v>
      </c>
      <c r="J49" s="10">
        <f t="shared" si="6"/>
        <v>291508714.59662205</v>
      </c>
      <c r="K49" s="11">
        <f t="shared" si="7"/>
        <v>9.787287999999994E-2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145879.92782639855</v>
      </c>
      <c r="D50" s="11">
        <v>2.3900000000000001E-2</v>
      </c>
      <c r="E50" s="10">
        <f t="shared" si="2"/>
        <v>3405.1472556411172</v>
      </c>
      <c r="F50" s="3"/>
      <c r="G50" s="26">
        <v>6.28</v>
      </c>
      <c r="H50" s="10"/>
      <c r="I50" s="10">
        <f t="shared" si="8"/>
        <v>1820.1364441643943</v>
      </c>
      <c r="J50" s="10">
        <f t="shared" si="6"/>
        <v>265521373.10889953</v>
      </c>
      <c r="K50" s="11">
        <f t="shared" si="7"/>
        <v>8.8200920000000016E-2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142474.78057075743</v>
      </c>
      <c r="D51" s="11">
        <v>2.29E-2</v>
      </c>
      <c r="E51" s="10">
        <f t="shared" si="2"/>
        <v>3189.6299492329126</v>
      </c>
      <c r="F51" s="3"/>
      <c r="G51" s="26">
        <v>4.47</v>
      </c>
      <c r="H51" s="10"/>
      <c r="I51" s="10">
        <f t="shared" si="8"/>
        <v>1712.5860408020271</v>
      </c>
      <c r="J51" s="10">
        <f t="shared" si="6"/>
        <v>244000320.37181103</v>
      </c>
      <c r="K51" s="11">
        <f t="shared" si="7"/>
        <v>6.8623630000000047E-2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139285.15062152452</v>
      </c>
      <c r="D52" s="11">
        <v>2.1899999999999999E-2</v>
      </c>
      <c r="E52" s="10">
        <f t="shared" si="2"/>
        <v>2984.9738708399818</v>
      </c>
      <c r="F52" s="3"/>
      <c r="G52" s="26">
        <v>3.01</v>
      </c>
      <c r="H52" s="10"/>
      <c r="I52" s="10">
        <f t="shared" si="8"/>
        <v>1639.3089315612397</v>
      </c>
      <c r="J52" s="10">
        <f t="shared" si="6"/>
        <v>228331391.4477177</v>
      </c>
      <c r="K52" s="11">
        <f t="shared" si="7"/>
        <v>5.2659189999999967E-2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136300.17675068454</v>
      </c>
      <c r="D53" s="11">
        <v>2.07E-2</v>
      </c>
      <c r="E53" s="10">
        <f t="shared" si="2"/>
        <v>2764.1948258441989</v>
      </c>
      <c r="F53" s="3"/>
      <c r="G53" s="26">
        <v>5.64</v>
      </c>
      <c r="H53" s="10"/>
      <c r="I53" s="10">
        <f t="shared" si="8"/>
        <v>1591.4075638882048</v>
      </c>
      <c r="J53" s="10">
        <f t="shared" si="6"/>
        <v>216909132.24033859</v>
      </c>
      <c r="K53" s="11">
        <f t="shared" si="7"/>
        <v>7.8267479999999834E-2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133535.98192484034</v>
      </c>
      <c r="D54" s="11">
        <v>1.9599999999999999E-2</v>
      </c>
      <c r="E54" s="10">
        <f t="shared" si="2"/>
        <v>2566.9921986336703</v>
      </c>
      <c r="F54" s="3"/>
      <c r="G54" s="26">
        <v>3.48</v>
      </c>
      <c r="H54" s="10"/>
      <c r="I54" s="10">
        <f t="shared" si="8"/>
        <v>1506.444115759376</v>
      </c>
      <c r="J54" s="10">
        <f t="shared" si="6"/>
        <v>201164494.21282613</v>
      </c>
      <c r="K54" s="11">
        <f t="shared" si="7"/>
        <v>5.5082080000000033E-2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130968.98972620667</v>
      </c>
      <c r="D55" s="11">
        <v>1.8499999999999999E-2</v>
      </c>
      <c r="E55" s="10">
        <f t="shared" si="2"/>
        <v>2378.9163573243131</v>
      </c>
      <c r="F55" s="3"/>
      <c r="G55" s="26">
        <v>6.12</v>
      </c>
      <c r="H55" s="10"/>
      <c r="I55" s="10">
        <f t="shared" si="8"/>
        <v>1455.7828718200387</v>
      </c>
      <c r="J55" s="10">
        <f t="shared" si="6"/>
        <v>190662411.9829863</v>
      </c>
      <c r="K55" s="11">
        <f t="shared" si="7"/>
        <v>8.083219999999991E-2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128590.07336888235</v>
      </c>
      <c r="D56" s="11">
        <v>1.7500000000000002E-2</v>
      </c>
      <c r="E56" s="10">
        <f t="shared" si="2"/>
        <v>2211.6228834943031</v>
      </c>
      <c r="F56" s="3"/>
      <c r="G56" s="26">
        <v>4.1399999999999997</v>
      </c>
      <c r="H56" s="10"/>
      <c r="I56" s="10">
        <f t="shared" si="8"/>
        <v>1371.8270559932519</v>
      </c>
      <c r="J56" s="10">
        <f t="shared" si="6"/>
        <v>176403341.77959013</v>
      </c>
      <c r="K56" s="11">
        <f t="shared" si="7"/>
        <v>5.9624500000000191E-2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126378.45048538805</v>
      </c>
      <c r="D57" s="11">
        <v>1.7000000000000001E-2</v>
      </c>
      <c r="E57" s="10">
        <f t="shared" si="2"/>
        <v>2112.5208045738254</v>
      </c>
      <c r="F57" s="3"/>
      <c r="G57" s="26">
        <v>2.65</v>
      </c>
      <c r="H57" s="10"/>
      <c r="I57" s="10">
        <f t="shared" si="8"/>
        <v>1317.2912003007987</v>
      </c>
      <c r="J57" s="10">
        <f t="shared" si="6"/>
        <v>166477220.73205188</v>
      </c>
      <c r="K57" s="11">
        <f t="shared" si="7"/>
        <v>4.3950499999999781E-2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124265.92968081422</v>
      </c>
      <c r="D58" s="11">
        <v>1.7000000000000001E-2</v>
      </c>
      <c r="E58" s="10">
        <f t="shared" si="2"/>
        <v>2077.2082640844019</v>
      </c>
      <c r="F58" s="3"/>
      <c r="G58" s="26">
        <v>10.28</v>
      </c>
      <c r="H58" s="10"/>
      <c r="I58" s="10">
        <f t="shared" si="8"/>
        <v>1283.2841698010704</v>
      </c>
      <c r="J58" s="10">
        <f t="shared" si="6"/>
        <v>159468500.40500188</v>
      </c>
      <c r="K58" s="11">
        <f t="shared" si="7"/>
        <v>0.12154759999999998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122188.72141672982</v>
      </c>
      <c r="D59" s="11">
        <v>1.7000000000000001E-2</v>
      </c>
      <c r="E59" s="10">
        <f t="shared" si="2"/>
        <v>2042.4860020495544</v>
      </c>
      <c r="F59" s="3"/>
      <c r="G59" s="26">
        <v>4.93</v>
      </c>
      <c r="H59" s="10"/>
      <c r="I59" s="10">
        <f t="shared" si="8"/>
        <v>1163.6599290905608</v>
      </c>
      <c r="J59" s="10">
        <f t="shared" si="6"/>
        <v>142186118.89945811</v>
      </c>
      <c r="K59" s="11">
        <f t="shared" si="7"/>
        <v>6.7138099999999756E-2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120146.23541468027</v>
      </c>
      <c r="D60" s="11">
        <v>1.7000000000000001E-2</v>
      </c>
      <c r="E60" s="10">
        <f t="shared" si="2"/>
        <v>2008.3441514744918</v>
      </c>
      <c r="F60" s="3"/>
      <c r="G60" s="26">
        <v>3.62</v>
      </c>
      <c r="H60" s="10"/>
      <c r="I60" s="10">
        <f t="shared" si="8"/>
        <v>1108.9868760988859</v>
      </c>
      <c r="J60" s="10">
        <f t="shared" si="6"/>
        <v>133240598.2875676</v>
      </c>
      <c r="K60" s="11">
        <f t="shared" si="7"/>
        <v>5.3815399999999958E-2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118137.89126320578</v>
      </c>
      <c r="D61" s="11">
        <v>1.6500000000000001E-2</v>
      </c>
      <c r="E61" s="10">
        <f t="shared" si="2"/>
        <v>1917.6342408685596</v>
      </c>
      <c r="F61" s="3"/>
      <c r="G61" s="26">
        <v>7.43</v>
      </c>
      <c r="H61" s="10"/>
      <c r="I61" s="10">
        <f t="shared" si="8"/>
        <v>1070.2440417862244</v>
      </c>
      <c r="J61" s="10">
        <f t="shared" si="6"/>
        <v>126436374.23363484</v>
      </c>
      <c r="K61" s="11">
        <f t="shared" si="7"/>
        <v>9.2025950000000023E-2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116220.25702233722</v>
      </c>
      <c r="D62" s="11">
        <v>1.6500000000000001E-2</v>
      </c>
      <c r="E62" s="10">
        <f t="shared" si="2"/>
        <v>1886.5068773915991</v>
      </c>
      <c r="F62" s="3"/>
      <c r="G62" s="26">
        <v>2.41</v>
      </c>
      <c r="H62" s="10"/>
      <c r="I62" s="10">
        <f t="shared" si="8"/>
        <v>996.22455718721437</v>
      </c>
      <c r="J62" s="10">
        <f t="shared" si="6"/>
        <v>115781474.08826214</v>
      </c>
      <c r="K62" s="11">
        <f t="shared" si="7"/>
        <v>4.0997649999999997E-2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114333.75014494562</v>
      </c>
      <c r="D63" s="11">
        <v>1.6500000000000001E-2</v>
      </c>
      <c r="E63" s="10">
        <f t="shared" si="2"/>
        <v>1855.8847785456019</v>
      </c>
      <c r="F63" s="3"/>
      <c r="G63" s="26">
        <v>11.4</v>
      </c>
      <c r="H63" s="10"/>
      <c r="I63" s="10">
        <f t="shared" si="8"/>
        <v>972.780546027941</v>
      </c>
      <c r="J63" s="10">
        <f t="shared" si="6"/>
        <v>111221647.89542237</v>
      </c>
      <c r="K63" s="11">
        <f t="shared" si="7"/>
        <v>0.13238100000000008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112477.86536640002</v>
      </c>
      <c r="D64" s="11">
        <v>1.6E-2</v>
      </c>
      <c r="E64" s="10">
        <f t="shared" si="2"/>
        <v>1771.3049663999991</v>
      </c>
      <c r="F64" s="3"/>
      <c r="G64" s="26">
        <v>9.93</v>
      </c>
      <c r="H64" s="10"/>
      <c r="I64" s="10">
        <f t="shared" si="8"/>
        <v>873.23208799635631</v>
      </c>
      <c r="J64" s="10">
        <f t="shared" si="6"/>
        <v>98219281.227274537</v>
      </c>
      <c r="K64" s="11">
        <f t="shared" si="7"/>
        <v>0.1168887999999999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110706.56040000002</v>
      </c>
      <c r="D65" s="11">
        <v>1.6E-2</v>
      </c>
      <c r="E65" s="10">
        <f t="shared" si="2"/>
        <v>1743.4104000000079</v>
      </c>
      <c r="F65" s="3"/>
      <c r="G65" s="26">
        <v>6</v>
      </c>
      <c r="H65" s="10"/>
      <c r="I65" s="10">
        <f t="shared" si="8"/>
        <v>794.35284999213718</v>
      </c>
      <c r="J65" s="10">
        <f t="shared" si="6"/>
        <v>87940071.766566694</v>
      </c>
      <c r="K65" s="11">
        <f t="shared" si="7"/>
        <v>7.6960000000000361E-2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108963.15000000001</v>
      </c>
      <c r="D66" s="11">
        <v>1.55E-2</v>
      </c>
      <c r="E66" s="10">
        <f t="shared" si="2"/>
        <v>1663.1500000000087</v>
      </c>
      <c r="F66" s="3"/>
      <c r="G66" s="26">
        <v>8.4</v>
      </c>
      <c r="H66" s="10"/>
      <c r="I66" s="10">
        <f t="shared" si="8"/>
        <v>749.38948112465766</v>
      </c>
      <c r="J66" s="10">
        <f t="shared" ref="J66:J67" si="9">IF(I66="","",I66*C66)</f>
        <v>81655838.440208241</v>
      </c>
      <c r="K66" s="11">
        <f t="shared" ref="K66" si="10">IFERROR(J66/J67-1,"")</f>
        <v>0.10080200000000006</v>
      </c>
    </row>
    <row r="67" spans="1:11" ht="22.5" customHeight="1">
      <c r="A67" s="3">
        <f t="shared" si="0"/>
        <v>1950</v>
      </c>
      <c r="B67" s="3">
        <v>1700</v>
      </c>
      <c r="C67" s="10">
        <v>107300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691.3187095245919</v>
      </c>
      <c r="J67" s="10">
        <f t="shared" si="9"/>
        <v>74178497.53198871</v>
      </c>
      <c r="K67" s="11"/>
    </row>
  </sheetData>
  <dataValidations count="1">
    <dataValidation type="custom" allowBlank="1" showDropDown="1" sqref="D2:D67" xr:uid="{00000000-0002-0000-1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M67"/>
  <sheetViews>
    <sheetView topLeftCell="A39" workbookViewId="0">
      <selection activeCell="E69" sqref="D69:E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3984.1109115687832</v>
      </c>
      <c r="D2" s="11">
        <v>0</v>
      </c>
      <c r="E2" s="10">
        <f t="shared" ref="E2:E66" si="2">SUM(C2-C3)</f>
        <v>0</v>
      </c>
      <c r="F2" s="14">
        <v>3984</v>
      </c>
      <c r="G2" s="29">
        <v>3.42</v>
      </c>
      <c r="H2" s="10"/>
      <c r="I2" s="10">
        <f>IF(H2&lt;&gt;"",H2,15112)</f>
        <v>1889</v>
      </c>
      <c r="J2" s="10">
        <f t="shared" ref="J2:J33" si="3">IF(I2="","",I2*C2)</f>
        <v>7525985.5119534312</v>
      </c>
      <c r="K2" s="11">
        <f t="shared" ref="K2:K33" si="4">IFERROR(J2/J3-1,"")</f>
        <v>3.4200000000000008E-2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3984.1109115687832</v>
      </c>
      <c r="D3" s="11">
        <v>4.0000000000000002E-4</v>
      </c>
      <c r="E3" s="10">
        <f t="shared" si="2"/>
        <v>1.5930071617626709</v>
      </c>
      <c r="F3" s="3"/>
      <c r="G3" s="29">
        <v>15.84</v>
      </c>
      <c r="H3" s="10"/>
      <c r="I3" s="10">
        <f t="shared" ref="I3:I34" si="5">IF(H3&lt;&gt;"",H3,I2/(1+IF(G2="",0,G2)/100))</f>
        <v>1826.53258557339</v>
      </c>
      <c r="J3" s="10">
        <f t="shared" si="3"/>
        <v>7277108.4045188855</v>
      </c>
      <c r="K3" s="11">
        <f t="shared" si="4"/>
        <v>0.15886336000000001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3982.5179044070205</v>
      </c>
      <c r="D4" s="11">
        <v>8.0000000000000004E-4</v>
      </c>
      <c r="E4" s="10">
        <f t="shared" si="2"/>
        <v>3.1834675494856128</v>
      </c>
      <c r="F4" s="3"/>
      <c r="G4" s="29">
        <v>4.12</v>
      </c>
      <c r="H4" s="10"/>
      <c r="I4" s="10">
        <f t="shared" si="5"/>
        <v>1576.7719143416696</v>
      </c>
      <c r="J4" s="10">
        <f t="shared" si="3"/>
        <v>6279522.3800318316</v>
      </c>
      <c r="K4" s="11">
        <f t="shared" si="4"/>
        <v>4.2032959999999786E-2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3979.3344368575349</v>
      </c>
      <c r="D5" s="11">
        <v>3.0999999999999999E-3</v>
      </c>
      <c r="E5" s="10">
        <f t="shared" si="2"/>
        <v>12.297813532308737</v>
      </c>
      <c r="F5" s="3"/>
      <c r="G5" s="29">
        <v>24.36</v>
      </c>
      <c r="H5" s="10"/>
      <c r="I5" s="10">
        <f t="shared" si="5"/>
        <v>1514.3794797749422</v>
      </c>
      <c r="J5" s="10">
        <f t="shared" si="3"/>
        <v>6026222.4143388262</v>
      </c>
      <c r="K5" s="11">
        <f t="shared" si="4"/>
        <v>0.24745516000000012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3967.0366233252262</v>
      </c>
      <c r="D6" s="11">
        <v>8.9999999999999998E-4</v>
      </c>
      <c r="E6" s="10">
        <f t="shared" si="2"/>
        <v>3.5671225506966948</v>
      </c>
      <c r="F6" s="3"/>
      <c r="G6" s="29">
        <v>14.71</v>
      </c>
      <c r="H6" s="10"/>
      <c r="I6" s="10">
        <f t="shared" si="5"/>
        <v>1217.7384044507414</v>
      </c>
      <c r="J6" s="10">
        <f t="shared" si="3"/>
        <v>4830812.8480857182</v>
      </c>
      <c r="K6" s="11">
        <f t="shared" si="4"/>
        <v>0.14813239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3963.4695007745295</v>
      </c>
      <c r="D7" s="11">
        <v>-1.5E-3</v>
      </c>
      <c r="E7" s="10">
        <f t="shared" si="2"/>
        <v>-5.9541354543430316</v>
      </c>
      <c r="F7" s="3"/>
      <c r="G7" s="29">
        <v>0</v>
      </c>
      <c r="H7" s="10"/>
      <c r="I7" s="10">
        <f t="shared" si="5"/>
        <v>1061.5799881882499</v>
      </c>
      <c r="J7" s="10">
        <f t="shared" si="3"/>
        <v>4207539.9058167133</v>
      </c>
      <c r="K7" s="11">
        <f t="shared" si="4"/>
        <v>-1.5000000000000568E-3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3969.4236362288725</v>
      </c>
      <c r="D8" s="11">
        <v>1.6999999999999999E-3</v>
      </c>
      <c r="E8" s="10">
        <f t="shared" si="2"/>
        <v>6.7365680159618933</v>
      </c>
      <c r="F8" s="3"/>
      <c r="G8" s="29">
        <v>-5.56</v>
      </c>
      <c r="H8" s="10"/>
      <c r="I8" s="10">
        <f t="shared" si="5"/>
        <v>1061.5799881882499</v>
      </c>
      <c r="J8" s="10">
        <f t="shared" si="3"/>
        <v>4213860.6968620066</v>
      </c>
      <c r="K8" s="11">
        <f t="shared" si="4"/>
        <v>-5.3994520000000046E-2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3962.6870682129106</v>
      </c>
      <c r="D9" s="11">
        <v>2.8E-3</v>
      </c>
      <c r="E9" s="10">
        <f t="shared" si="2"/>
        <v>11.064543070398486</v>
      </c>
      <c r="F9" s="3"/>
      <c r="G9" s="29">
        <v>20</v>
      </c>
      <c r="H9" s="10"/>
      <c r="I9" s="10">
        <f t="shared" si="5"/>
        <v>1124.0787676707432</v>
      </c>
      <c r="J9" s="10">
        <f t="shared" si="3"/>
        <v>4454372.3963015592</v>
      </c>
      <c r="K9" s="11">
        <f t="shared" si="4"/>
        <v>0.20335999999999976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3951.6225251425121</v>
      </c>
      <c r="D10" s="11">
        <v>2.8999999999999998E-3</v>
      </c>
      <c r="E10" s="10">
        <f t="shared" si="2"/>
        <v>11.426568274915553</v>
      </c>
      <c r="F10" s="3"/>
      <c r="G10" s="29">
        <v>-22.08</v>
      </c>
      <c r="H10" s="10"/>
      <c r="I10" s="10">
        <f t="shared" si="5"/>
        <v>936.73230639228609</v>
      </c>
      <c r="J10" s="10">
        <f t="shared" si="3"/>
        <v>3701612.481968455</v>
      </c>
      <c r="K10" s="11">
        <f t="shared" si="4"/>
        <v>-0.21854032000000001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3940.1959568675966</v>
      </c>
      <c r="D11" s="11">
        <v>2.8E-3</v>
      </c>
      <c r="E11" s="10">
        <f t="shared" si="2"/>
        <v>11.001743796598475</v>
      </c>
      <c r="F11" s="3"/>
      <c r="G11" s="29">
        <v>8.4499999999999993</v>
      </c>
      <c r="H11" s="10"/>
      <c r="I11" s="10">
        <f t="shared" si="5"/>
        <v>1202.1718511194636</v>
      </c>
      <c r="J11" s="10">
        <f t="shared" si="3"/>
        <v>4736792.6672409447</v>
      </c>
      <c r="K11" s="11">
        <f t="shared" si="4"/>
        <v>8.7536599999999742E-2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3929.1942130709981</v>
      </c>
      <c r="D12" s="11">
        <v>2.5999999999999999E-3</v>
      </c>
      <c r="E12" s="10">
        <f t="shared" si="2"/>
        <v>10.189412481532145</v>
      </c>
      <c r="F12" s="3"/>
      <c r="G12" s="29">
        <v>0</v>
      </c>
      <c r="H12" s="10"/>
      <c r="I12" s="10">
        <f t="shared" si="5"/>
        <v>1108.5033205343141</v>
      </c>
      <c r="J12" s="10">
        <f t="shared" si="3"/>
        <v>4355524.832213413</v>
      </c>
      <c r="K12" s="11">
        <f t="shared" si="4"/>
        <v>2.5999999999999357E-3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3919.004800589466</v>
      </c>
      <c r="D13" s="11">
        <v>3.0000000000000001E-3</v>
      </c>
      <c r="E13" s="10">
        <f t="shared" si="2"/>
        <v>11.721848855202552</v>
      </c>
      <c r="F13" s="3"/>
      <c r="G13" s="29">
        <v>-4.3099999999999996</v>
      </c>
      <c r="H13" s="10"/>
      <c r="I13" s="10">
        <f t="shared" si="5"/>
        <v>1108.5033205343141</v>
      </c>
      <c r="J13" s="10">
        <f t="shared" si="3"/>
        <v>4344229.8346433407</v>
      </c>
      <c r="K13" s="11">
        <f t="shared" si="4"/>
        <v>-4.0229300000000134E-2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3907.2829517342634</v>
      </c>
      <c r="D14" s="11">
        <v>3.3999999999999998E-3</v>
      </c>
      <c r="E14" s="10">
        <f t="shared" si="2"/>
        <v>13.239746896448651</v>
      </c>
      <c r="F14" s="3"/>
      <c r="G14" s="29">
        <v>0.28000000000000003</v>
      </c>
      <c r="H14" s="10"/>
      <c r="I14" s="10">
        <f t="shared" si="5"/>
        <v>1158.4317280116147</v>
      </c>
      <c r="J14" s="10">
        <f t="shared" si="3"/>
        <v>4526320.5416078456</v>
      </c>
      <c r="K14" s="11">
        <f t="shared" si="4"/>
        <v>6.2095199999998574E-3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3894.0432048378148</v>
      </c>
      <c r="D15" s="11">
        <v>5.5999999999999999E-3</v>
      </c>
      <c r="E15" s="10">
        <f t="shared" si="2"/>
        <v>21.685204800210613</v>
      </c>
      <c r="F15" s="3"/>
      <c r="G15" s="29">
        <v>-9.9700000000000006</v>
      </c>
      <c r="H15" s="10"/>
      <c r="I15" s="10">
        <f t="shared" si="5"/>
        <v>1155.1971759190415</v>
      </c>
      <c r="J15" s="10">
        <f t="shared" si="3"/>
        <v>4498387.7131353775</v>
      </c>
      <c r="K15" s="11">
        <f t="shared" si="4"/>
        <v>-9.4658319999999962E-2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3872.3580000376041</v>
      </c>
      <c r="D16" s="11">
        <v>1.1299999999999999E-2</v>
      </c>
      <c r="E16" s="10">
        <f t="shared" si="2"/>
        <v>43.268708988851358</v>
      </c>
      <c r="F16" s="3"/>
      <c r="G16" s="29">
        <v>-6.76</v>
      </c>
      <c r="H16" s="10"/>
      <c r="I16" s="10">
        <f t="shared" si="5"/>
        <v>1283.1247094513401</v>
      </c>
      <c r="J16" s="10">
        <f t="shared" si="3"/>
        <v>4968718.2336898232</v>
      </c>
      <c r="K16" s="11">
        <f t="shared" si="4"/>
        <v>-5.7063880000000067E-2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3829.0892910487528</v>
      </c>
      <c r="D17" s="11">
        <v>1.44E-2</v>
      </c>
      <c r="E17" s="10">
        <f t="shared" si="2"/>
        <v>54.356157128452196</v>
      </c>
      <c r="F17" s="3"/>
      <c r="G17" s="29">
        <v>-6.86</v>
      </c>
      <c r="H17" s="10"/>
      <c r="I17" s="10">
        <f t="shared" si="5"/>
        <v>1376.1526270391894</v>
      </c>
      <c r="J17" s="10">
        <f t="shared" si="3"/>
        <v>5269411.2870443687</v>
      </c>
      <c r="K17" s="11">
        <f t="shared" si="4"/>
        <v>-5.5187839999999988E-2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3774.7331339203006</v>
      </c>
      <c r="D18" s="11">
        <v>1.3599999999999999E-2</v>
      </c>
      <c r="E18" s="10">
        <f t="shared" si="2"/>
        <v>50.647563754258499</v>
      </c>
      <c r="F18" s="3"/>
      <c r="G18" s="29">
        <v>-6.57</v>
      </c>
      <c r="H18" s="10"/>
      <c r="I18" s="10">
        <f t="shared" si="5"/>
        <v>1477.509799269046</v>
      </c>
      <c r="J18" s="10">
        <f t="shared" si="3"/>
        <v>5577205.1949928002</v>
      </c>
      <c r="K18" s="11">
        <f t="shared" si="4"/>
        <v>-5.2993519999999905E-2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3724.0855701660421</v>
      </c>
      <c r="D19" s="11">
        <v>1.2999999999999999E-2</v>
      </c>
      <c r="E19" s="10">
        <f t="shared" si="2"/>
        <v>47.791818768172107</v>
      </c>
      <c r="F19" s="3"/>
      <c r="G19" s="29">
        <v>-11.79</v>
      </c>
      <c r="H19" s="10"/>
      <c r="I19" s="10">
        <f t="shared" si="5"/>
        <v>1581.4083263074451</v>
      </c>
      <c r="J19" s="10">
        <f t="shared" si="3"/>
        <v>5889299.9285419881</v>
      </c>
      <c r="K19" s="11">
        <f t="shared" si="4"/>
        <v>-0.10643270000000005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3676.29375139787</v>
      </c>
      <c r="D20" s="11">
        <v>1.2800000000000001E-2</v>
      </c>
      <c r="E20" s="10">
        <f t="shared" si="2"/>
        <v>46.461848358898351</v>
      </c>
      <c r="F20" s="3"/>
      <c r="G20" s="29">
        <v>-8.9499999999999993</v>
      </c>
      <c r="H20" s="10"/>
      <c r="I20" s="10">
        <f t="shared" si="5"/>
        <v>1792.7766991355234</v>
      </c>
      <c r="J20" s="10">
        <f t="shared" si="3"/>
        <v>6590773.7766836239</v>
      </c>
      <c r="K20" s="11">
        <f t="shared" si="4"/>
        <v>-7.7845600000000181E-2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3629.8319030389716</v>
      </c>
      <c r="D21" s="11">
        <v>1.29E-2</v>
      </c>
      <c r="E21" s="10">
        <f t="shared" si="2"/>
        <v>46.228484104257404</v>
      </c>
      <c r="F21" s="3"/>
      <c r="G21" s="29">
        <v>-11.86</v>
      </c>
      <c r="H21" s="10"/>
      <c r="I21" s="10">
        <f t="shared" si="5"/>
        <v>1969.0024153053525</v>
      </c>
      <c r="J21" s="10">
        <f t="shared" si="3"/>
        <v>7147147.7842361592</v>
      </c>
      <c r="K21" s="11">
        <f t="shared" si="4"/>
        <v>-0.10722994000000008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3583.6034189347142</v>
      </c>
      <c r="D22" s="11">
        <v>1.3100000000000001E-2</v>
      </c>
      <c r="E22" s="10">
        <f t="shared" si="2"/>
        <v>46.338174699481897</v>
      </c>
      <c r="F22" s="3"/>
      <c r="G22" s="29">
        <v>-7.92</v>
      </c>
      <c r="H22" s="10"/>
      <c r="I22" s="10">
        <f t="shared" si="5"/>
        <v>2233.9487353135382</v>
      </c>
      <c r="J22" s="10">
        <f t="shared" si="3"/>
        <v>8005586.3255944764</v>
      </c>
      <c r="K22" s="11">
        <f t="shared" si="4"/>
        <v>-6.713751999999984E-2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3537.2652442352323</v>
      </c>
      <c r="D23" s="11">
        <v>1.29E-2</v>
      </c>
      <c r="E23" s="10">
        <f t="shared" si="2"/>
        <v>45.049582042288876</v>
      </c>
      <c r="F23" s="3"/>
      <c r="G23" s="29">
        <v>-3.87</v>
      </c>
      <c r="H23" s="10"/>
      <c r="I23" s="10">
        <f t="shared" si="5"/>
        <v>2426.0954988200892</v>
      </c>
      <c r="J23" s="10">
        <f t="shared" si="3"/>
        <v>8581743.2871718407</v>
      </c>
      <c r="K23" s="11">
        <f t="shared" si="4"/>
        <v>-2.6299229999999896E-2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3492.2156621929435</v>
      </c>
      <c r="D24" s="11">
        <v>1.29E-2</v>
      </c>
      <c r="E24" s="10">
        <f t="shared" si="2"/>
        <v>44.475843659086422</v>
      </c>
      <c r="F24" s="3"/>
      <c r="G24" s="29">
        <v>-16.12</v>
      </c>
      <c r="H24" s="10"/>
      <c r="I24" s="10">
        <f t="shared" si="5"/>
        <v>2523.7652125456038</v>
      </c>
      <c r="J24" s="10">
        <f t="shared" si="3"/>
        <v>8813532.4029494599</v>
      </c>
      <c r="K24" s="11">
        <f t="shared" si="4"/>
        <v>-0.15037948000000023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3447.739818533857</v>
      </c>
      <c r="D25" s="11">
        <v>8.8000000000000005E-3</v>
      </c>
      <c r="E25" s="10">
        <f t="shared" si="2"/>
        <v>30.075446474125329</v>
      </c>
      <c r="F25" s="3"/>
      <c r="G25" s="29">
        <v>-16.260000000000002</v>
      </c>
      <c r="H25" s="10"/>
      <c r="I25" s="10">
        <f t="shared" si="5"/>
        <v>3008.7806539647163</v>
      </c>
      <c r="J25" s="10">
        <f t="shared" si="3"/>
        <v>10373492.86590849</v>
      </c>
      <c r="K25" s="11">
        <f t="shared" si="4"/>
        <v>-0.15523088000000007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3417.6643720597317</v>
      </c>
      <c r="D26" s="11">
        <v>-1.8E-3</v>
      </c>
      <c r="E26" s="10">
        <f t="shared" si="2"/>
        <v>-6.1628890700335432</v>
      </c>
      <c r="F26" s="3"/>
      <c r="G26" s="29">
        <v>-18.989999999999998</v>
      </c>
      <c r="H26" s="10"/>
      <c r="I26" s="10">
        <f t="shared" si="5"/>
        <v>3593.0029304570294</v>
      </c>
      <c r="J26" s="10">
        <f t="shared" si="3"/>
        <v>12279678.104129199</v>
      </c>
      <c r="K26" s="11">
        <f t="shared" si="4"/>
        <v>-0.19135817999999993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3423.8272611297652</v>
      </c>
      <c r="D27" s="11">
        <v>-8.0000000000000002E-3</v>
      </c>
      <c r="E27" s="10">
        <f t="shared" si="2"/>
        <v>-27.611510170401289</v>
      </c>
      <c r="F27" s="3"/>
      <c r="G27" s="29">
        <v>-2.82</v>
      </c>
      <c r="H27" s="10"/>
      <c r="I27" s="10">
        <f t="shared" si="5"/>
        <v>4435.258524203221</v>
      </c>
      <c r="J27" s="10">
        <f t="shared" si="3"/>
        <v>15185559.045325158</v>
      </c>
      <c r="K27" s="11">
        <f t="shared" si="4"/>
        <v>-3.5974400000000073E-2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3451.4387713001665</v>
      </c>
      <c r="D28" s="11">
        <v>-7.4000000000000003E-3</v>
      </c>
      <c r="E28" s="10">
        <f t="shared" si="2"/>
        <v>-25.731056727403939</v>
      </c>
      <c r="F28" s="3"/>
      <c r="G28" s="29">
        <v>-2.82</v>
      </c>
      <c r="H28" s="10"/>
      <c r="I28" s="10">
        <f t="shared" si="5"/>
        <v>4563.9622599333416</v>
      </c>
      <c r="J28" s="10">
        <f t="shared" si="3"/>
        <v>15752236.294684663</v>
      </c>
      <c r="K28" s="11">
        <f t="shared" si="4"/>
        <v>-3.5391320000000004E-2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3477.1698280275705</v>
      </c>
      <c r="D29" s="11">
        <v>-6.8999999999999999E-3</v>
      </c>
      <c r="E29" s="10">
        <f t="shared" si="2"/>
        <v>-24.159170086990343</v>
      </c>
      <c r="F29" s="3"/>
      <c r="G29" s="29">
        <v>-2.82</v>
      </c>
      <c r="H29" s="10"/>
      <c r="I29" s="10">
        <f t="shared" si="5"/>
        <v>4696.4007614049615</v>
      </c>
      <c r="J29" s="10">
        <f t="shared" si="3"/>
        <v>16330183.027883042</v>
      </c>
      <c r="K29" s="11">
        <f t="shared" si="4"/>
        <v>-3.4905419999999854E-2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3501.3289981145608</v>
      </c>
      <c r="D30" s="12">
        <v>-6.4999999999999997E-3</v>
      </c>
      <c r="E30" s="10">
        <f t="shared" si="2"/>
        <v>-22.907537481373311</v>
      </c>
      <c r="F30" s="3"/>
      <c r="G30" s="29">
        <v>-2.82</v>
      </c>
      <c r="H30" s="10"/>
      <c r="I30" s="10">
        <f t="shared" si="5"/>
        <v>4832.6824052325182</v>
      </c>
      <c r="J30" s="10">
        <f t="shared" si="3"/>
        <v>16920811.044118639</v>
      </c>
      <c r="K30" s="11">
        <f t="shared" si="4"/>
        <v>-3.4516699999999845E-2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3524.2365355959341</v>
      </c>
      <c r="D31" s="13">
        <v>-6.1000000000000004E-3</v>
      </c>
      <c r="E31" s="10">
        <f t="shared" si="2"/>
        <v>-21.62978455290795</v>
      </c>
      <c r="F31" s="3"/>
      <c r="G31" s="29">
        <v>-2.82</v>
      </c>
      <c r="H31" s="10"/>
      <c r="I31" s="10">
        <f t="shared" si="5"/>
        <v>4972.9187129373513</v>
      </c>
      <c r="J31" s="10">
        <f t="shared" si="3"/>
        <v>17525741.816682521</v>
      </c>
      <c r="K31" s="11">
        <f t="shared" si="4"/>
        <v>-3.4127980000000058E-2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3545.8663201488421</v>
      </c>
      <c r="D32" s="12">
        <v>-5.7000000000000002E-3</v>
      </c>
      <c r="E32" s="10">
        <f t="shared" si="2"/>
        <v>-20.327303655686137</v>
      </c>
      <c r="F32" s="3"/>
      <c r="G32" s="29">
        <v>-2.82</v>
      </c>
      <c r="H32" s="10"/>
      <c r="I32" s="10">
        <f t="shared" si="5"/>
        <v>5117.2244422076055</v>
      </c>
      <c r="J32" s="10">
        <f t="shared" si="3"/>
        <v>18144993.802266393</v>
      </c>
      <c r="K32" s="11">
        <f t="shared" si="4"/>
        <v>-3.373926000000016E-2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3566.1936238045282</v>
      </c>
      <c r="D33" s="13">
        <v>-5.1999999999999998E-3</v>
      </c>
      <c r="E33" s="10">
        <f t="shared" si="2"/>
        <v>-18.641140775817803</v>
      </c>
      <c r="F33" s="3"/>
      <c r="G33" s="29">
        <v>-2.82</v>
      </c>
      <c r="H33" s="10"/>
      <c r="I33" s="10">
        <f t="shared" si="5"/>
        <v>5265.7176808063441</v>
      </c>
      <c r="J33" s="10">
        <f t="shared" si="3"/>
        <v>18778568.818046354</v>
      </c>
      <c r="K33" s="11">
        <f t="shared" si="4"/>
        <v>-3.325336000000001E-2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3584.834764580346</v>
      </c>
      <c r="D34" s="12">
        <v>-4.7000000000000002E-3</v>
      </c>
      <c r="E34" s="10">
        <f t="shared" si="2"/>
        <v>-16.928286339322767</v>
      </c>
      <c r="F34" s="3"/>
      <c r="G34" s="29">
        <v>-4.12</v>
      </c>
      <c r="H34" s="10"/>
      <c r="I34" s="10">
        <f t="shared" si="5"/>
        <v>5418.5199432047175</v>
      </c>
      <c r="J34" s="10">
        <f t="shared" ref="J34:J65" si="6">IF(I34="","",I34*C34)</f>
        <v>19424498.664972194</v>
      </c>
      <c r="K34" s="11">
        <f t="shared" ref="K34:K65" si="7">IFERROR(J34/J35-1,"")</f>
        <v>-3.276745999999997E-2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3601.7630509196688</v>
      </c>
      <c r="D35" s="11">
        <v>-3.8999999999999998E-3</v>
      </c>
      <c r="E35" s="10">
        <f t="shared" si="2"/>
        <v>-14.101873204082494</v>
      </c>
      <c r="F35" s="3"/>
      <c r="G35" s="29">
        <v>-5.52</v>
      </c>
      <c r="H35" s="10"/>
      <c r="I35" s="10">
        <f t="shared" ref="I35:I66" si="8">IF(H35&lt;&gt;"",H35,I34/(1+IF(G34="",0,G34)/100))</f>
        <v>5575.7562700192602</v>
      </c>
      <c r="J35" s="10">
        <f t="shared" si="6"/>
        <v>20082552.914289042</v>
      </c>
      <c r="K35" s="11">
        <f t="shared" si="7"/>
        <v>-3.1990019999999952E-2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3615.8649241237513</v>
      </c>
      <c r="D36" s="11">
        <v>-3.5999999999999999E-3</v>
      </c>
      <c r="E36" s="10">
        <f t="shared" si="2"/>
        <v>-13.064144647576995</v>
      </c>
      <c r="F36" s="3"/>
      <c r="G36" s="29">
        <v>-7.62</v>
      </c>
      <c r="H36" s="10"/>
      <c r="I36" s="10">
        <f t="shared" si="8"/>
        <v>5737.5553303346987</v>
      </c>
      <c r="J36" s="10">
        <f t="shared" si="6"/>
        <v>20746225.069176499</v>
      </c>
      <c r="K36" s="11">
        <f t="shared" si="7"/>
        <v>-3.1698480000000084E-2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3628.9290687713283</v>
      </c>
      <c r="D37" s="11">
        <v>-4.3E-3</v>
      </c>
      <c r="E37" s="10">
        <f t="shared" si="2"/>
        <v>-15.67178366547796</v>
      </c>
      <c r="F37" s="3"/>
      <c r="G37" s="29">
        <v>-18.12</v>
      </c>
      <c r="H37" s="10"/>
      <c r="I37" s="10">
        <f t="shared" si="8"/>
        <v>5904.0495269959856</v>
      </c>
      <c r="J37" s="10">
        <f t="shared" si="6"/>
        <v>21425376.951981343</v>
      </c>
      <c r="K37" s="11">
        <f t="shared" si="7"/>
        <v>-0.13194874000000001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3644.6008524368062</v>
      </c>
      <c r="D38" s="11">
        <v>-4.3E-3</v>
      </c>
      <c r="E38" s="10">
        <f t="shared" si="2"/>
        <v>-15.73946335791743</v>
      </c>
      <c r="F38" s="3"/>
      <c r="G38" s="29">
        <v>-6.52</v>
      </c>
      <c r="H38" s="10"/>
      <c r="I38" s="10">
        <f t="shared" si="8"/>
        <v>6772.2522677173502</v>
      </c>
      <c r="J38" s="10">
        <f t="shared" si="6"/>
        <v>24682156.387839749</v>
      </c>
      <c r="K38" s="11">
        <f t="shared" si="7"/>
        <v>-3.2378739999999961E-2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3660.3403157947237</v>
      </c>
      <c r="D39" s="11">
        <v>-3.3E-3</v>
      </c>
      <c r="E39" s="10">
        <f t="shared" si="2"/>
        <v>-12.11911612533595</v>
      </c>
      <c r="F39" s="3"/>
      <c r="G39" s="29">
        <v>-2.82</v>
      </c>
      <c r="H39" s="10"/>
      <c r="I39" s="10">
        <f t="shared" si="8"/>
        <v>6968.7716276161245</v>
      </c>
      <c r="J39" s="10">
        <f t="shared" si="6"/>
        <v>25508075.740129717</v>
      </c>
      <c r="K39" s="11">
        <f t="shared" si="7"/>
        <v>-3.1406939999999772E-2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3672.4594319200596</v>
      </c>
      <c r="D40" s="11">
        <v>-2.8999999999999998E-3</v>
      </c>
      <c r="E40" s="10">
        <f t="shared" si="2"/>
        <v>-10.68110756450551</v>
      </c>
      <c r="F40" s="3"/>
      <c r="G40" s="29">
        <v>-2.82</v>
      </c>
      <c r="H40" s="10"/>
      <c r="I40" s="10">
        <f t="shared" si="8"/>
        <v>7170.9936485039352</v>
      </c>
      <c r="J40" s="10">
        <f t="shared" si="6"/>
        <v>26335183.260687117</v>
      </c>
      <c r="K40" s="11">
        <f t="shared" si="7"/>
        <v>-3.1018220000000096E-2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3683.1405394845651</v>
      </c>
      <c r="D41" s="11">
        <v>-2.8E-3</v>
      </c>
      <c r="E41" s="10">
        <f t="shared" si="2"/>
        <v>-10.341750411709654</v>
      </c>
      <c r="F41" s="3"/>
      <c r="G41" s="29">
        <v>-2.82</v>
      </c>
      <c r="H41" s="10"/>
      <c r="I41" s="10">
        <f t="shared" si="8"/>
        <v>7379.0838120024027</v>
      </c>
      <c r="J41" s="10">
        <f t="shared" si="6"/>
        <v>27178202.732240353</v>
      </c>
      <c r="K41" s="11">
        <f t="shared" si="7"/>
        <v>-3.0921039999999955E-2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3693.4822898962748</v>
      </c>
      <c r="D42" s="11">
        <v>-3.0000000000000001E-3</v>
      </c>
      <c r="E42" s="10">
        <f t="shared" si="2"/>
        <v>-11.113788234391905</v>
      </c>
      <c r="F42" s="3"/>
      <c r="G42" s="29">
        <v>-8.9</v>
      </c>
      <c r="H42" s="10"/>
      <c r="I42" s="10">
        <f t="shared" si="8"/>
        <v>7593.2124017312235</v>
      </c>
      <c r="J42" s="10">
        <f t="shared" si="6"/>
        <v>28045395.52921503</v>
      </c>
      <c r="K42" s="11">
        <f t="shared" si="7"/>
        <v>-9.1732999999999953E-2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3704.5960781306667</v>
      </c>
      <c r="D43" s="11">
        <v>-3.2000000000000002E-3</v>
      </c>
      <c r="E43" s="10">
        <f t="shared" si="2"/>
        <v>-11.892764295764664</v>
      </c>
      <c r="F43" s="3"/>
      <c r="G43" s="29">
        <v>2.9</v>
      </c>
      <c r="H43" s="10"/>
      <c r="I43" s="10">
        <f t="shared" si="8"/>
        <v>8335.0300787389933</v>
      </c>
      <c r="J43" s="10">
        <f t="shared" si="6"/>
        <v>30877919.740797617</v>
      </c>
      <c r="K43" s="11">
        <f t="shared" si="7"/>
        <v>2.5707199999999819E-2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3716.4888424264313</v>
      </c>
      <c r="D44" s="11">
        <v>-3.5000000000000001E-3</v>
      </c>
      <c r="E44" s="10">
        <f t="shared" si="2"/>
        <v>-13.053397840935759</v>
      </c>
      <c r="F44" s="3"/>
      <c r="G44" s="29">
        <v>2.9</v>
      </c>
      <c r="H44" s="10"/>
      <c r="I44" s="10">
        <f t="shared" si="8"/>
        <v>8100.1264127687018</v>
      </c>
      <c r="J44" s="10">
        <f t="shared" si="6"/>
        <v>30104029.435298514</v>
      </c>
      <c r="K44" s="11">
        <f t="shared" si="7"/>
        <v>2.539849999999988E-2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3729.5422402673671</v>
      </c>
      <c r="D45" s="11">
        <v>-3.8999999999999998E-3</v>
      </c>
      <c r="E45" s="10">
        <f t="shared" si="2"/>
        <v>-14.602163173419285</v>
      </c>
      <c r="F45" s="3"/>
      <c r="G45" s="29">
        <v>2.9</v>
      </c>
      <c r="H45" s="10"/>
      <c r="I45" s="10">
        <f t="shared" si="8"/>
        <v>7871.8429667334331</v>
      </c>
      <c r="J45" s="10">
        <f t="shared" si="6"/>
        <v>29358370.853183925</v>
      </c>
      <c r="K45" s="11">
        <f t="shared" si="7"/>
        <v>2.4986899999999812E-2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3744.1444034407864</v>
      </c>
      <c r="D46" s="11">
        <v>-8.9999999999999993E-3</v>
      </c>
      <c r="E46" s="10">
        <f t="shared" si="2"/>
        <v>-34.003329597343054</v>
      </c>
      <c r="F46" s="3"/>
      <c r="G46" s="29">
        <v>2.9</v>
      </c>
      <c r="H46" s="10"/>
      <c r="I46" s="10">
        <f t="shared" si="8"/>
        <v>7649.9931649498867</v>
      </c>
      <c r="J46" s="10">
        <f t="shared" si="6"/>
        <v>28642679.094907388</v>
      </c>
      <c r="K46" s="11">
        <f t="shared" si="7"/>
        <v>1.9738999999999951E-2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3778.1477330381294</v>
      </c>
      <c r="D47" s="11">
        <v>-2.4899999999999999E-2</v>
      </c>
      <c r="E47" s="10">
        <f t="shared" si="2"/>
        <v>-96.478185368320737</v>
      </c>
      <c r="F47" s="3"/>
      <c r="G47" s="26"/>
      <c r="H47" s="10"/>
      <c r="I47" s="10">
        <f t="shared" si="8"/>
        <v>7434.3956899415816</v>
      </c>
      <c r="J47" s="10">
        <f t="shared" si="6"/>
        <v>28088245.222461227</v>
      </c>
      <c r="K47" s="11">
        <f t="shared" si="7"/>
        <v>-2.4900000000000033E-2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3874.6259184064502</v>
      </c>
      <c r="D48" s="11">
        <v>-3.2599999999999997E-2</v>
      </c>
      <c r="E48" s="10">
        <f t="shared" si="2"/>
        <v>-130.56936628080439</v>
      </c>
      <c r="F48" s="3"/>
      <c r="G48" s="26"/>
      <c r="H48" s="10"/>
      <c r="I48" s="10">
        <f t="shared" si="8"/>
        <v>7434.3956899415816</v>
      </c>
      <c r="J48" s="10">
        <f t="shared" si="6"/>
        <v>28805502.227936856</v>
      </c>
      <c r="K48" s="11">
        <f t="shared" si="7"/>
        <v>-3.2599999999999962E-2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4005.1952846872546</v>
      </c>
      <c r="D49" s="11">
        <v>-2.8400000000000002E-2</v>
      </c>
      <c r="E49" s="10">
        <f t="shared" si="2"/>
        <v>-117.0724023107432</v>
      </c>
      <c r="F49" s="3"/>
      <c r="G49" s="26"/>
      <c r="H49" s="10"/>
      <c r="I49" s="10">
        <f t="shared" si="8"/>
        <v>7434.3956899415816</v>
      </c>
      <c r="J49" s="10">
        <f t="shared" si="6"/>
        <v>29776206.561853271</v>
      </c>
      <c r="K49" s="11">
        <f t="shared" si="7"/>
        <v>-2.8399999999999981E-2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4122.2676869979978</v>
      </c>
      <c r="D50" s="11">
        <v>-2.63E-2</v>
      </c>
      <c r="E50" s="10">
        <f t="shared" si="2"/>
        <v>-111.34398702685394</v>
      </c>
      <c r="F50" s="3"/>
      <c r="G50" s="26"/>
      <c r="H50" s="10"/>
      <c r="I50" s="10">
        <f t="shared" si="8"/>
        <v>7434.3956899415816</v>
      </c>
      <c r="J50" s="10">
        <f t="shared" si="6"/>
        <v>30646569.125003368</v>
      </c>
      <c r="K50" s="11">
        <f t="shared" si="7"/>
        <v>-2.629999999999999E-2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4233.6116740248517</v>
      </c>
      <c r="D51" s="11">
        <v>-2.46E-2</v>
      </c>
      <c r="E51" s="10">
        <f t="shared" si="2"/>
        <v>-106.77347465758794</v>
      </c>
      <c r="F51" s="3"/>
      <c r="G51" s="26"/>
      <c r="H51" s="10"/>
      <c r="I51" s="10">
        <f t="shared" si="8"/>
        <v>7434.3956899415816</v>
      </c>
      <c r="J51" s="10">
        <f t="shared" si="6"/>
        <v>31474344.38225672</v>
      </c>
      <c r="K51" s="11">
        <f t="shared" si="7"/>
        <v>-2.4599999999999955E-2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4340.3851486824396</v>
      </c>
      <c r="D52" s="11">
        <v>-2.29E-2</v>
      </c>
      <c r="E52" s="10">
        <f t="shared" si="2"/>
        <v>-101.72430652423282</v>
      </c>
      <c r="F52" s="3"/>
      <c r="G52" s="26"/>
      <c r="H52" s="10"/>
      <c r="I52" s="10">
        <f t="shared" si="8"/>
        <v>7434.3956899415816</v>
      </c>
      <c r="J52" s="10">
        <f t="shared" si="6"/>
        <v>32268140.642051179</v>
      </c>
      <c r="K52" s="11">
        <f t="shared" si="7"/>
        <v>-2.2900000000000142E-2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4442.1094552066725</v>
      </c>
      <c r="D53" s="11">
        <v>-2.1100000000000001E-2</v>
      </c>
      <c r="E53" s="10">
        <f t="shared" si="2"/>
        <v>-95.748809382838772</v>
      </c>
      <c r="F53" s="3"/>
      <c r="G53" s="26"/>
      <c r="H53" s="10"/>
      <c r="I53" s="10">
        <f t="shared" si="8"/>
        <v>7434.3956899415816</v>
      </c>
      <c r="J53" s="10">
        <f t="shared" si="6"/>
        <v>33024399.388037235</v>
      </c>
      <c r="K53" s="11">
        <f t="shared" si="7"/>
        <v>-2.1100000000000008E-2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4537.8582645895112</v>
      </c>
      <c r="D54" s="11">
        <v>-1.89E-2</v>
      </c>
      <c r="E54" s="10">
        <f t="shared" si="2"/>
        <v>-87.41771603378038</v>
      </c>
      <c r="F54" s="3"/>
      <c r="G54" s="26"/>
      <c r="H54" s="10"/>
      <c r="I54" s="10">
        <f t="shared" si="8"/>
        <v>7434.3956899415816</v>
      </c>
      <c r="J54" s="10">
        <f t="shared" si="6"/>
        <v>33736233.923830047</v>
      </c>
      <c r="K54" s="11">
        <f t="shared" si="7"/>
        <v>-1.8900000000000028E-2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4625.2759806232916</v>
      </c>
      <c r="D55" s="11">
        <v>-1.5900000000000001E-2</v>
      </c>
      <c r="E55" s="10">
        <f t="shared" si="2"/>
        <v>-74.730096628300089</v>
      </c>
      <c r="F55" s="3"/>
      <c r="G55" s="26"/>
      <c r="H55" s="10"/>
      <c r="I55" s="10">
        <f t="shared" si="8"/>
        <v>7434.3956899415816</v>
      </c>
      <c r="J55" s="10">
        <f t="shared" si="6"/>
        <v>34386131.81513612</v>
      </c>
      <c r="K55" s="11">
        <f t="shared" si="7"/>
        <v>-1.5900000000000136E-2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4700.0060772515917</v>
      </c>
      <c r="D56" s="11">
        <v>-8.6E-3</v>
      </c>
      <c r="E56" s="10">
        <f t="shared" si="2"/>
        <v>-40.77068011333904</v>
      </c>
      <c r="F56" s="3"/>
      <c r="G56" s="26"/>
      <c r="H56" s="10"/>
      <c r="I56" s="10">
        <f t="shared" si="8"/>
        <v>7434.3956899415816</v>
      </c>
      <c r="J56" s="10">
        <f t="shared" si="6"/>
        <v>34941704.923418477</v>
      </c>
      <c r="K56" s="11">
        <f t="shared" si="7"/>
        <v>-8.599999999999941E-3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4740.7767573649307</v>
      </c>
      <c r="D57" s="11">
        <v>-7.0000000000000001E-3</v>
      </c>
      <c r="E57" s="10">
        <f t="shared" si="2"/>
        <v>-33.419372911937899</v>
      </c>
      <c r="F57" s="3"/>
      <c r="G57" s="26"/>
      <c r="H57" s="10"/>
      <c r="I57" s="10">
        <f t="shared" si="8"/>
        <v>7434.3956899415816</v>
      </c>
      <c r="J57" s="10">
        <f t="shared" si="6"/>
        <v>35244810.291929066</v>
      </c>
      <c r="K57" s="11">
        <f t="shared" si="7"/>
        <v>-7.0000000000001172E-3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4774.1961302768686</v>
      </c>
      <c r="D58" s="11">
        <v>-4.0000000000000001E-3</v>
      </c>
      <c r="E58" s="10">
        <f t="shared" si="2"/>
        <v>-19.173478434847311</v>
      </c>
      <c r="F58" s="3"/>
      <c r="G58" s="26"/>
      <c r="H58" s="10"/>
      <c r="I58" s="10">
        <f t="shared" si="8"/>
        <v>7434.3956899415816</v>
      </c>
      <c r="J58" s="10">
        <f t="shared" si="6"/>
        <v>35493263.133866131</v>
      </c>
      <c r="K58" s="11">
        <f t="shared" si="7"/>
        <v>-4.0000000000001146E-3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4793.369608711716</v>
      </c>
      <c r="D59" s="11">
        <v>0</v>
      </c>
      <c r="E59" s="10">
        <f t="shared" si="2"/>
        <v>0</v>
      </c>
      <c r="F59" s="3"/>
      <c r="G59" s="26"/>
      <c r="H59" s="10"/>
      <c r="I59" s="10">
        <f t="shared" si="8"/>
        <v>7434.3956899415816</v>
      </c>
      <c r="J59" s="10">
        <f t="shared" si="6"/>
        <v>35635806.359303348</v>
      </c>
      <c r="K59" s="11">
        <f t="shared" si="7"/>
        <v>0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4793.369608711716</v>
      </c>
      <c r="D60" s="11">
        <v>4.0000000000000001E-3</v>
      </c>
      <c r="E60" s="10">
        <f t="shared" si="2"/>
        <v>19.09709007454876</v>
      </c>
      <c r="F60" s="3"/>
      <c r="G60" s="26"/>
      <c r="H60" s="10"/>
      <c r="I60" s="10">
        <f t="shared" si="8"/>
        <v>7434.3956899415816</v>
      </c>
      <c r="J60" s="10">
        <f t="shared" si="6"/>
        <v>35635806.359303348</v>
      </c>
      <c r="K60" s="11">
        <f t="shared" si="7"/>
        <v>4.0000000000000036E-3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4774.2725186371672</v>
      </c>
      <c r="D61" s="11">
        <v>7.0000000000000001E-3</v>
      </c>
      <c r="E61" s="10">
        <f t="shared" si="2"/>
        <v>33.187594469175565</v>
      </c>
      <c r="F61" s="3"/>
      <c r="G61" s="26"/>
      <c r="H61" s="10"/>
      <c r="I61" s="10">
        <f t="shared" si="8"/>
        <v>7434.3956899415816</v>
      </c>
      <c r="J61" s="10">
        <f t="shared" si="6"/>
        <v>35493831.035162695</v>
      </c>
      <c r="K61" s="11">
        <f t="shared" si="7"/>
        <v>6.9999999999998952E-3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4741.0849241679916</v>
      </c>
      <c r="D62" s="11">
        <v>0.01</v>
      </c>
      <c r="E62" s="10">
        <f t="shared" si="2"/>
        <v>46.941434892752113</v>
      </c>
      <c r="F62" s="3"/>
      <c r="G62" s="26"/>
      <c r="H62" s="10"/>
      <c r="I62" s="10">
        <f t="shared" si="8"/>
        <v>7434.3956899415816</v>
      </c>
      <c r="J62" s="10">
        <f t="shared" si="6"/>
        <v>35247101.325881526</v>
      </c>
      <c r="K62" s="11">
        <f t="shared" si="7"/>
        <v>1.0000000000000009E-2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4694.1434892752395</v>
      </c>
      <c r="D63" s="11">
        <v>1.2E-2</v>
      </c>
      <c r="E63" s="10">
        <f t="shared" si="2"/>
        <v>55.661780505240131</v>
      </c>
      <c r="F63" s="3"/>
      <c r="G63" s="26"/>
      <c r="H63" s="10"/>
      <c r="I63" s="10">
        <f t="shared" si="8"/>
        <v>7434.3956899415816</v>
      </c>
      <c r="J63" s="10">
        <f t="shared" si="6"/>
        <v>34898120.124635175</v>
      </c>
      <c r="K63" s="11">
        <f t="shared" si="7"/>
        <v>1.2000000000000011E-2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4638.4817087699994</v>
      </c>
      <c r="D64" s="11">
        <v>1.2999999999999999E-2</v>
      </c>
      <c r="E64" s="10">
        <f t="shared" si="2"/>
        <v>59.526418769999509</v>
      </c>
      <c r="F64" s="3"/>
      <c r="G64" s="26"/>
      <c r="H64" s="10"/>
      <c r="I64" s="10">
        <f t="shared" si="8"/>
        <v>7434.3956899415816</v>
      </c>
      <c r="J64" s="10">
        <f t="shared" si="6"/>
        <v>34484308.423552543</v>
      </c>
      <c r="K64" s="11">
        <f t="shared" si="7"/>
        <v>1.2999999999999901E-2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4578.9552899999999</v>
      </c>
      <c r="D65" s="11">
        <v>1.4E-2</v>
      </c>
      <c r="E65" s="10">
        <f t="shared" si="2"/>
        <v>63.220290000000205</v>
      </c>
      <c r="F65" s="3"/>
      <c r="G65" s="26"/>
      <c r="H65" s="10"/>
      <c r="I65" s="10">
        <f t="shared" si="8"/>
        <v>7434.3956899415816</v>
      </c>
      <c r="J65" s="10">
        <f t="shared" si="6"/>
        <v>34041765.4724112</v>
      </c>
      <c r="K65" s="11">
        <f t="shared" si="7"/>
        <v>1.4000000000000012E-2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4515.7349999999997</v>
      </c>
      <c r="D66" s="11">
        <v>1.4999999999999999E-2</v>
      </c>
      <c r="E66" s="10">
        <f t="shared" si="2"/>
        <v>66.734999999999673</v>
      </c>
      <c r="F66" s="3"/>
      <c r="G66" s="26"/>
      <c r="H66" s="10"/>
      <c r="I66" s="10">
        <f t="shared" si="8"/>
        <v>7434.3956899415816</v>
      </c>
      <c r="J66" s="10">
        <f t="shared" ref="J66:J67" si="9">IF(I66="","",I66*C66)</f>
        <v>33571760.820918344</v>
      </c>
      <c r="K66" s="11">
        <f t="shared" ref="K66" si="10">IFERROR(J66/J67-1,"")</f>
        <v>1.4999999999999902E-2</v>
      </c>
    </row>
    <row r="67" spans="1:11" ht="22.5" customHeight="1">
      <c r="A67" s="3">
        <f t="shared" si="0"/>
        <v>1950</v>
      </c>
      <c r="B67" s="3">
        <v>1700</v>
      </c>
      <c r="C67" s="10">
        <v>4449</v>
      </c>
      <c r="D67" s="11">
        <v>1.4999999999999999E-2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7434.3956899415816</v>
      </c>
      <c r="J67" s="10">
        <f t="shared" si="9"/>
        <v>33075626.424550097</v>
      </c>
      <c r="K67" s="11"/>
    </row>
  </sheetData>
  <dataValidations count="1">
    <dataValidation type="custom" allowBlank="1" showDropDown="1" sqref="D2:D67" xr:uid="{00000000-0002-0000-1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7"/>
  <sheetViews>
    <sheetView workbookViewId="0">
      <selection activeCell="K26" sqref="K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4523641.0223744391</v>
      </c>
      <c r="D2" s="11">
        <v>1.3599999999999999E-2</v>
      </c>
      <c r="E2" s="10">
        <f t="shared" ref="E2:E66" si="2">SUM(C2-C3)</f>
        <v>60696.051602498628</v>
      </c>
      <c r="F2" s="14">
        <v>4523613</v>
      </c>
      <c r="G2" s="26">
        <v>4.5</v>
      </c>
      <c r="H2" s="10"/>
      <c r="I2" s="10">
        <f>IF(H2&lt;&gt;"",H2,89840)</f>
        <v>11230</v>
      </c>
      <c r="J2" s="10">
        <f t="shared" ref="J2:J33" si="3">IF(I2="","",I2*C2)</f>
        <v>50800488681.264954</v>
      </c>
      <c r="K2" s="11">
        <f t="shared" ref="K2:K33" si="4">IFERROR(J2/J3-1,"")</f>
        <v>5.9212000000000042E-2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4462944.9707719404</v>
      </c>
      <c r="D3" s="11">
        <v>1.37E-2</v>
      </c>
      <c r="E3" s="10">
        <f t="shared" si="2"/>
        <v>60316.016671180725</v>
      </c>
      <c r="F3" s="3"/>
      <c r="G3" s="26">
        <v>3.24</v>
      </c>
      <c r="H3" s="10"/>
      <c r="I3" s="10">
        <f t="shared" ref="I3:I34" si="5">IF(H3&lt;&gt;"",H3,I2/(1+IF(G2="",0,G2)/100))</f>
        <v>10746.411483253589</v>
      </c>
      <c r="J3" s="10">
        <f t="shared" si="3"/>
        <v>47960643083.032433</v>
      </c>
      <c r="K3" s="11">
        <f t="shared" si="4"/>
        <v>4.6543879999999982E-2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4402628.9541007597</v>
      </c>
      <c r="D4" s="11">
        <v>1.3899999999999999E-2</v>
      </c>
      <c r="E4" s="10">
        <f t="shared" si="2"/>
        <v>60357.57220830489</v>
      </c>
      <c r="F4" s="3"/>
      <c r="G4" s="26">
        <v>4.6399999999999997</v>
      </c>
      <c r="H4" s="10"/>
      <c r="I4" s="10">
        <f t="shared" si="5"/>
        <v>10409.154865607894</v>
      </c>
      <c r="J4" s="10">
        <f t="shared" si="3"/>
        <v>45827646599.044113</v>
      </c>
      <c r="K4" s="11">
        <f t="shared" si="4"/>
        <v>6.0944959999999826E-2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4342271.3818924548</v>
      </c>
      <c r="D5" s="11">
        <v>1.4E-2</v>
      </c>
      <c r="E5" s="10">
        <f t="shared" si="2"/>
        <v>59952.464838751592</v>
      </c>
      <c r="F5" s="3"/>
      <c r="G5" s="26">
        <v>3.54</v>
      </c>
      <c r="H5" s="10"/>
      <c r="I5" s="10">
        <f t="shared" si="5"/>
        <v>9947.5868363989812</v>
      </c>
      <c r="J5" s="10">
        <f t="shared" si="3"/>
        <v>43195121638.585396</v>
      </c>
      <c r="K5" s="11">
        <f t="shared" si="4"/>
        <v>4.9895599999999929E-2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4282318.9170537032</v>
      </c>
      <c r="D6" s="11">
        <v>1.41E-2</v>
      </c>
      <c r="E6" s="10">
        <f t="shared" si="2"/>
        <v>59541.166285826825</v>
      </c>
      <c r="F6" s="3"/>
      <c r="G6" s="26">
        <v>5.16</v>
      </c>
      <c r="H6" s="10"/>
      <c r="I6" s="10">
        <f t="shared" si="5"/>
        <v>9607.481974501623</v>
      </c>
      <c r="J6" s="10">
        <f t="shared" si="3"/>
        <v>41142301804.660767</v>
      </c>
      <c r="K6" s="11">
        <f t="shared" si="4"/>
        <v>6.6427560000000163E-2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4222777.7507678764</v>
      </c>
      <c r="D7" s="11">
        <v>1.4200000000000001E-2</v>
      </c>
      <c r="E7" s="10">
        <f t="shared" si="2"/>
        <v>59123.884895389434</v>
      </c>
      <c r="F7" s="3"/>
      <c r="G7" s="26">
        <v>7.8</v>
      </c>
      <c r="H7" s="10"/>
      <c r="I7" s="10">
        <f t="shared" si="5"/>
        <v>9136.0612157679934</v>
      </c>
      <c r="J7" s="10">
        <f t="shared" si="3"/>
        <v>38579556031.598396</v>
      </c>
      <c r="K7" s="11">
        <f t="shared" si="4"/>
        <v>9.3307600000000157E-2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4163653.865872487</v>
      </c>
      <c r="D8" s="11">
        <v>1.4200000000000001E-2</v>
      </c>
      <c r="E8" s="10">
        <f t="shared" si="2"/>
        <v>58296.080551557243</v>
      </c>
      <c r="F8" s="3"/>
      <c r="G8" s="26">
        <v>4.24</v>
      </c>
      <c r="H8" s="10"/>
      <c r="I8" s="10">
        <f t="shared" si="5"/>
        <v>8475.0104042374696</v>
      </c>
      <c r="J8" s="10">
        <f t="shared" si="3"/>
        <v>35287009832.912888</v>
      </c>
      <c r="K8" s="11">
        <f t="shared" si="4"/>
        <v>5.7202079999999933E-2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4105357.7853209297</v>
      </c>
      <c r="D9" s="11">
        <v>1.43E-2</v>
      </c>
      <c r="E9" s="10">
        <f t="shared" si="2"/>
        <v>57878.947382519022</v>
      </c>
      <c r="F9" s="3"/>
      <c r="G9" s="26">
        <v>7.18</v>
      </c>
      <c r="H9" s="10"/>
      <c r="I9" s="10">
        <f t="shared" si="5"/>
        <v>8130.2862665363291</v>
      </c>
      <c r="J9" s="10">
        <f t="shared" si="3"/>
        <v>33377734021.212753</v>
      </c>
      <c r="K9" s="11">
        <f t="shared" si="4"/>
        <v>8.712673999999998E-2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4047478.8379384107</v>
      </c>
      <c r="D10" s="11">
        <v>1.44E-2</v>
      </c>
      <c r="E10" s="10">
        <f t="shared" si="2"/>
        <v>57456.324197863694</v>
      </c>
      <c r="F10" s="3"/>
      <c r="G10" s="26">
        <v>6.54</v>
      </c>
      <c r="H10" s="10"/>
      <c r="I10" s="10">
        <f t="shared" si="5"/>
        <v>7585.6374944358358</v>
      </c>
      <c r="J10" s="10">
        <f t="shared" si="3"/>
        <v>30702707231.001194</v>
      </c>
      <c r="K10" s="11">
        <f t="shared" si="4"/>
        <v>8.0741759999999774E-2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3990022.513740547</v>
      </c>
      <c r="D11" s="11">
        <v>1.43E-2</v>
      </c>
      <c r="E11" s="10">
        <f t="shared" si="2"/>
        <v>56252.905399280135</v>
      </c>
      <c r="F11" s="3"/>
      <c r="G11" s="26">
        <v>4.0999999999999996</v>
      </c>
      <c r="H11" s="10"/>
      <c r="I11" s="10">
        <f t="shared" si="5"/>
        <v>7119.9901393240443</v>
      </c>
      <c r="J11" s="10">
        <f t="shared" si="3"/>
        <v>28408920953.51363</v>
      </c>
      <c r="K11" s="11">
        <f t="shared" si="4"/>
        <v>5.5886299999999833E-2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3933769.6083412669</v>
      </c>
      <c r="D12" s="11">
        <v>1.2999999999999999E-2</v>
      </c>
      <c r="E12" s="10">
        <f t="shared" si="2"/>
        <v>50482.729425899219</v>
      </c>
      <c r="F12" s="3"/>
      <c r="G12" s="26">
        <v>7.46</v>
      </c>
      <c r="H12" s="10"/>
      <c r="I12" s="10">
        <f t="shared" si="5"/>
        <v>6839.567857179678</v>
      </c>
      <c r="J12" s="10">
        <f t="shared" si="3"/>
        <v>26905284170.761219</v>
      </c>
      <c r="K12" s="11">
        <f t="shared" si="4"/>
        <v>8.8569799999999921E-2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3883286.8789153676</v>
      </c>
      <c r="D13" s="11">
        <v>1.18E-2</v>
      </c>
      <c r="E13" s="10">
        <f t="shared" si="2"/>
        <v>45288.382260527462</v>
      </c>
      <c r="F13" s="3"/>
      <c r="G13" s="26">
        <v>5</v>
      </c>
      <c r="H13" s="10"/>
      <c r="I13" s="10">
        <f t="shared" si="5"/>
        <v>6364.7569860224066</v>
      </c>
      <c r="J13" s="10">
        <f t="shared" si="3"/>
        <v>24716177291.305733</v>
      </c>
      <c r="K13" s="11">
        <f t="shared" si="4"/>
        <v>6.2390000000000168E-2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3837998.4966548402</v>
      </c>
      <c r="D14" s="11">
        <v>1.18E-2</v>
      </c>
      <c r="E14" s="10">
        <f t="shared" si="2"/>
        <v>44760.211761738639</v>
      </c>
      <c r="F14" s="3"/>
      <c r="G14" s="26">
        <v>0.81</v>
      </c>
      <c r="H14" s="10"/>
      <c r="I14" s="10">
        <f t="shared" si="5"/>
        <v>6061.6733200213394</v>
      </c>
      <c r="J14" s="10">
        <f t="shared" si="3"/>
        <v>23264693089.454655</v>
      </c>
      <c r="K14" s="11">
        <f t="shared" si="4"/>
        <v>1.9995580000000013E-2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3793238.2848931015</v>
      </c>
      <c r="D15" s="11">
        <v>1.21E-2</v>
      </c>
      <c r="E15" s="10">
        <f t="shared" si="2"/>
        <v>45349.454843598884</v>
      </c>
      <c r="F15" s="3"/>
      <c r="G15" s="26">
        <v>7.73</v>
      </c>
      <c r="H15" s="10"/>
      <c r="I15" s="10">
        <f t="shared" si="5"/>
        <v>6012.9682769778192</v>
      </c>
      <c r="J15" s="10">
        <f t="shared" si="3"/>
        <v>22808621474.079971</v>
      </c>
      <c r="K15" s="11">
        <f t="shared" si="4"/>
        <v>9.0335329999999825E-2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3747888.8300495027</v>
      </c>
      <c r="D16" s="11">
        <v>1.29E-2</v>
      </c>
      <c r="E16" s="10">
        <f t="shared" si="2"/>
        <v>47732.022813346237</v>
      </c>
      <c r="F16" s="3"/>
      <c r="G16" s="26">
        <v>3.84</v>
      </c>
      <c r="H16" s="10"/>
      <c r="I16" s="10">
        <f t="shared" si="5"/>
        <v>5581.5170119537916</v>
      </c>
      <c r="J16" s="10">
        <f t="shared" si="3"/>
        <v>20918905263.832893</v>
      </c>
      <c r="K16" s="11">
        <f t="shared" si="4"/>
        <v>5.1795360000000068E-2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3700156.8072361564</v>
      </c>
      <c r="D17" s="11">
        <v>1.38E-2</v>
      </c>
      <c r="E17" s="10">
        <f t="shared" si="2"/>
        <v>50367.097987629939</v>
      </c>
      <c r="F17" s="3"/>
      <c r="G17" s="26">
        <v>-1.93</v>
      </c>
      <c r="H17" s="10"/>
      <c r="I17" s="10">
        <f t="shared" si="5"/>
        <v>5375.1126848553467</v>
      </c>
      <c r="J17" s="10">
        <f t="shared" si="3"/>
        <v>19888759790.528923</v>
      </c>
      <c r="K17" s="11">
        <f t="shared" si="4"/>
        <v>-5.7663400000000919E-3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3649789.7092485265</v>
      </c>
      <c r="D18" s="11">
        <v>1.43E-2</v>
      </c>
      <c r="E18" s="10">
        <f t="shared" si="2"/>
        <v>51456.169616734609</v>
      </c>
      <c r="F18" s="3"/>
      <c r="G18" s="26">
        <v>-1.52</v>
      </c>
      <c r="H18" s="10"/>
      <c r="I18" s="10">
        <f t="shared" si="5"/>
        <v>5480.8939378559671</v>
      </c>
      <c r="J18" s="10">
        <f t="shared" si="3"/>
        <v>20004110291.869343</v>
      </c>
      <c r="K18" s="11">
        <f t="shared" si="4"/>
        <v>-1.1173599999999562E-3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3598333.5396317919</v>
      </c>
      <c r="D19" s="11">
        <v>1.5299999999999999E-2</v>
      </c>
      <c r="E19" s="10">
        <f t="shared" si="2"/>
        <v>54224.862756196875</v>
      </c>
      <c r="F19" s="3"/>
      <c r="G19" s="26">
        <v>4.5199999999999996</v>
      </c>
      <c r="H19" s="10"/>
      <c r="I19" s="10">
        <f t="shared" si="5"/>
        <v>5565.489376376896</v>
      </c>
      <c r="J19" s="10">
        <f t="shared" si="3"/>
        <v>20026487087.481411</v>
      </c>
      <c r="K19" s="11">
        <f t="shared" si="4"/>
        <v>6.1191560000000145E-2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3544108.676875595</v>
      </c>
      <c r="D20" s="11">
        <v>1.67E-2</v>
      </c>
      <c r="E20" s="10">
        <f t="shared" si="2"/>
        <v>58214.433858387172</v>
      </c>
      <c r="F20" s="3"/>
      <c r="G20" s="26">
        <v>8.5500000000000007</v>
      </c>
      <c r="H20" s="10"/>
      <c r="I20" s="10">
        <f t="shared" si="5"/>
        <v>5324.8080524080524</v>
      </c>
      <c r="J20" s="10">
        <f t="shared" si="3"/>
        <v>18871698421.236416</v>
      </c>
      <c r="K20" s="11">
        <f t="shared" si="4"/>
        <v>0.10362784999999985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3485894.2430172078</v>
      </c>
      <c r="D21" s="11">
        <v>1.8599999999999998E-2</v>
      </c>
      <c r="E21" s="10">
        <f t="shared" si="2"/>
        <v>63653.674573061056</v>
      </c>
      <c r="F21" s="3"/>
      <c r="G21" s="26">
        <v>5.58</v>
      </c>
      <c r="H21" s="10"/>
      <c r="I21" s="10">
        <f t="shared" si="5"/>
        <v>4905.3966397126233</v>
      </c>
      <c r="J21" s="10">
        <f t="shared" si="3"/>
        <v>17099693906.090189</v>
      </c>
      <c r="K21" s="11">
        <f t="shared" si="4"/>
        <v>7.5437879999999957E-2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3422240.5684441468</v>
      </c>
      <c r="D22" s="11">
        <v>2.0400000000000001E-2</v>
      </c>
      <c r="E22" s="10">
        <f t="shared" si="2"/>
        <v>68417.980788181536</v>
      </c>
      <c r="F22" s="3"/>
      <c r="G22" s="26">
        <v>-1.45</v>
      </c>
      <c r="H22" s="10"/>
      <c r="I22" s="10">
        <f t="shared" si="5"/>
        <v>4646.141920546148</v>
      </c>
      <c r="J22" s="10">
        <f t="shared" si="3"/>
        <v>15900215367.242029</v>
      </c>
      <c r="K22" s="11">
        <f t="shared" si="4"/>
        <v>5.6041999999998371E-3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3353822.5876559652</v>
      </c>
      <c r="D23" s="11">
        <v>2.12E-2</v>
      </c>
      <c r="E23" s="10">
        <f t="shared" si="2"/>
        <v>69624.989089607261</v>
      </c>
      <c r="F23" s="3"/>
      <c r="G23" s="26">
        <v>7.28</v>
      </c>
      <c r="H23" s="10"/>
      <c r="I23" s="10">
        <f t="shared" si="5"/>
        <v>4714.5022024821392</v>
      </c>
      <c r="J23" s="10">
        <f t="shared" si="3"/>
        <v>15811603976.238396</v>
      </c>
      <c r="K23" s="11">
        <f t="shared" si="4"/>
        <v>9.554336000000041E-2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3284197.598566358</v>
      </c>
      <c r="D24" s="11">
        <v>2.1999999999999999E-2</v>
      </c>
      <c r="E24" s="10">
        <f t="shared" si="2"/>
        <v>70697.012884990312</v>
      </c>
      <c r="F24" s="3"/>
      <c r="G24" s="26">
        <v>2.66</v>
      </c>
      <c r="H24" s="10"/>
      <c r="I24" s="10">
        <f t="shared" si="5"/>
        <v>4394.5769970937163</v>
      </c>
      <c r="J24" s="10">
        <f t="shared" si="3"/>
        <v>14432659220.570139</v>
      </c>
      <c r="K24" s="11">
        <f t="shared" si="4"/>
        <v>4.9185200000000151E-2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3213500.5856813677</v>
      </c>
      <c r="D25" s="11">
        <v>2.2599999999999999E-2</v>
      </c>
      <c r="E25" s="10">
        <f t="shared" si="2"/>
        <v>71020.059883042239</v>
      </c>
      <c r="F25" s="3"/>
      <c r="G25" s="26">
        <v>-1.1399999999999999</v>
      </c>
      <c r="H25" s="26"/>
      <c r="I25" s="10">
        <f t="shared" si="5"/>
        <v>4280.7101082151921</v>
      </c>
      <c r="J25" s="10">
        <f t="shared" si="3"/>
        <v>13756064439.88167</v>
      </c>
      <c r="K25" s="11">
        <f t="shared" si="4"/>
        <v>1.094236000000004E-2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3142480.5257983254</v>
      </c>
      <c r="D26" s="11">
        <v>2.3099999999999999E-2</v>
      </c>
      <c r="E26" s="10">
        <f t="shared" si="2"/>
        <v>70952.301970424131</v>
      </c>
      <c r="F26" s="3"/>
      <c r="G26" s="26">
        <v>-10.27</v>
      </c>
      <c r="H26" s="26"/>
      <c r="I26" s="10">
        <f t="shared" si="5"/>
        <v>4330.072939728092</v>
      </c>
      <c r="J26" s="10">
        <f t="shared" si="3"/>
        <v>13607169888.381836</v>
      </c>
      <c r="K26" s="11">
        <f t="shared" si="4"/>
        <v>-8.1972370000000017E-2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3071528.2238279013</v>
      </c>
      <c r="D27" s="11">
        <v>2.3400000000000001E-2</v>
      </c>
      <c r="E27" s="10">
        <f t="shared" si="2"/>
        <v>70230.36978461314</v>
      </c>
      <c r="F27" s="3"/>
      <c r="G27" s="26">
        <v>-9.76</v>
      </c>
      <c r="H27" s="26"/>
      <c r="I27" s="10">
        <f t="shared" si="5"/>
        <v>4825.6691627416603</v>
      </c>
      <c r="J27" s="10">
        <f t="shared" si="3"/>
        <v>14822179032.216967</v>
      </c>
      <c r="K27" s="11">
        <f t="shared" si="4"/>
        <v>-7.648383999999997E-2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3001297.8540432882</v>
      </c>
      <c r="D28" s="11">
        <v>2.3400000000000001E-2</v>
      </c>
      <c r="E28" s="10">
        <f t="shared" si="2"/>
        <v>68624.555193095002</v>
      </c>
      <c r="F28" s="3"/>
      <c r="G28" s="26">
        <v>1.1000000000000001</v>
      </c>
      <c r="H28" s="26"/>
      <c r="I28" s="10">
        <f t="shared" si="5"/>
        <v>5347.5943736055633</v>
      </c>
      <c r="J28" s="10">
        <f t="shared" si="3"/>
        <v>16049723517.796339</v>
      </c>
      <c r="K28" s="11">
        <f t="shared" si="4"/>
        <v>3.4657400000000171E-2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2932673.2988501932</v>
      </c>
      <c r="D29" s="11">
        <v>2.29E-2</v>
      </c>
      <c r="E29" s="10">
        <f t="shared" si="2"/>
        <v>65654.725333531387</v>
      </c>
      <c r="F29" s="3"/>
      <c r="G29" s="26">
        <v>1.48</v>
      </c>
      <c r="H29" s="10"/>
      <c r="I29" s="10">
        <f t="shared" si="5"/>
        <v>5289.4108542092617</v>
      </c>
      <c r="J29" s="10">
        <f t="shared" si="3"/>
        <v>15512113978.787893</v>
      </c>
      <c r="K29" s="11">
        <f t="shared" si="4"/>
        <v>3.8038919999999976E-2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2867018.5735166618</v>
      </c>
      <c r="D30" s="12">
        <v>2.3400000000000001E-2</v>
      </c>
      <c r="E30" s="10">
        <f t="shared" si="2"/>
        <v>65554.264823421836</v>
      </c>
      <c r="F30" s="3"/>
      <c r="G30" s="26">
        <v>7.99</v>
      </c>
      <c r="H30" s="10"/>
      <c r="I30" s="10">
        <f t="shared" si="5"/>
        <v>5212.2692690276526</v>
      </c>
      <c r="J30" s="10">
        <f t="shared" si="3"/>
        <v>14943672804.472393</v>
      </c>
      <c r="K30" s="11">
        <f t="shared" si="4"/>
        <v>0.10516966000000005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2801464.3086932399</v>
      </c>
      <c r="D31" s="13">
        <v>2.3900000000000001E-2</v>
      </c>
      <c r="E31" s="10">
        <f t="shared" si="2"/>
        <v>65392.125185827259</v>
      </c>
      <c r="F31" s="3"/>
      <c r="G31" s="26">
        <v>8.81</v>
      </c>
      <c r="H31" s="10"/>
      <c r="I31" s="10">
        <f t="shared" si="5"/>
        <v>4826.6221585588037</v>
      </c>
      <c r="J31" s="10">
        <f t="shared" si="3"/>
        <v>13521609708.750412</v>
      </c>
      <c r="K31" s="11">
        <f t="shared" si="4"/>
        <v>0.11410559000000009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2736072.1835074127</v>
      </c>
      <c r="D32" s="12">
        <v>2.4799999999999999E-2</v>
      </c>
      <c r="E32" s="10">
        <f t="shared" si="2"/>
        <v>66212.519663332961</v>
      </c>
      <c r="F32" s="3"/>
      <c r="G32" s="26">
        <v>1.47</v>
      </c>
      <c r="H32" s="10"/>
      <c r="I32" s="10">
        <f t="shared" si="5"/>
        <v>4435.8258970304232</v>
      </c>
      <c r="J32" s="10">
        <f t="shared" si="3"/>
        <v>12136739847.746758</v>
      </c>
      <c r="K32" s="11">
        <f t="shared" si="4"/>
        <v>3.9864559999999605E-2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2669859.6638440797</v>
      </c>
      <c r="D33" s="13">
        <v>2.63E-2</v>
      </c>
      <c r="E33" s="10">
        <f t="shared" si="2"/>
        <v>68417.917917859741</v>
      </c>
      <c r="F33" s="3"/>
      <c r="G33" s="26">
        <v>7.93</v>
      </c>
      <c r="H33" s="10"/>
      <c r="I33" s="10">
        <f t="shared" si="5"/>
        <v>4371.5639075888676</v>
      </c>
      <c r="J33" s="10">
        <f t="shared" si="3"/>
        <v>11671462144.788126</v>
      </c>
      <c r="K33" s="11">
        <f t="shared" si="4"/>
        <v>0.10768559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2601441.74592622</v>
      </c>
      <c r="D34" s="12">
        <v>2.7400000000000001E-2</v>
      </c>
      <c r="E34" s="10">
        <f t="shared" si="2"/>
        <v>69378.532059936319</v>
      </c>
      <c r="F34" s="3"/>
      <c r="G34" s="26">
        <v>2.24</v>
      </c>
      <c r="H34" s="10"/>
      <c r="I34" s="10">
        <f t="shared" si="5"/>
        <v>4050.3695984331212</v>
      </c>
      <c r="J34" s="10">
        <f t="shared" ref="J34:J65" si="6">IF(I34="","",I34*C34)</f>
        <v>10536800559.794342</v>
      </c>
      <c r="K34" s="11">
        <f t="shared" ref="K34:K65" si="7">IFERROR(J34/J35-1,"")</f>
        <v>6.3769960000000125E-2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2532063.2138662837</v>
      </c>
      <c r="D35" s="11">
        <v>2.8299999999999999E-2</v>
      </c>
      <c r="E35" s="10">
        <f t="shared" si="2"/>
        <v>69685.295101055875</v>
      </c>
      <c r="F35" s="3"/>
      <c r="G35" s="26">
        <v>-2.4</v>
      </c>
      <c r="H35" s="10"/>
      <c r="I35" s="10">
        <f t="shared" ref="I35:I66" si="8">IF(H35&lt;&gt;"",H35,I34/(1+IF(G34="",0,G34)/100))</f>
        <v>3911.8887371384208</v>
      </c>
      <c r="J35" s="10">
        <f t="shared" si="6"/>
        <v>9905149568.0460281</v>
      </c>
      <c r="K35" s="11">
        <f t="shared" si="7"/>
        <v>3.1384899999999938E-2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2462377.9187652278</v>
      </c>
      <c r="D36" s="11">
        <v>2.7400000000000001E-2</v>
      </c>
      <c r="E36" s="10">
        <f t="shared" si="2"/>
        <v>65669.802388716489</v>
      </c>
      <c r="F36" s="3"/>
      <c r="G36" s="26">
        <v>-3.24</v>
      </c>
      <c r="H36" s="10"/>
      <c r="I36" s="10">
        <f t="shared" si="8"/>
        <v>3900.1881726205597</v>
      </c>
      <c r="J36" s="10">
        <f t="shared" si="6"/>
        <v>9603737235.2901707</v>
      </c>
      <c r="K36" s="11">
        <f t="shared" si="7"/>
        <v>4.3427440000000095E-2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2396708.1163765113</v>
      </c>
      <c r="D37" s="11">
        <v>2.7E-2</v>
      </c>
      <c r="E37" s="10">
        <f t="shared" si="2"/>
        <v>63009.853108243085</v>
      </c>
      <c r="F37" s="3"/>
      <c r="G37" s="26">
        <v>0.54</v>
      </c>
      <c r="H37" s="10"/>
      <c r="I37" s="10">
        <f t="shared" si="8"/>
        <v>3840.2798076216618</v>
      </c>
      <c r="J37" s="10">
        <f t="shared" si="6"/>
        <v>9204029784.0836639</v>
      </c>
      <c r="K37" s="11">
        <f t="shared" si="7"/>
        <v>8.6976799999999965E-2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2333698.2632682682</v>
      </c>
      <c r="D38" s="11">
        <v>2.8899999999999999E-2</v>
      </c>
      <c r="E38" s="10">
        <f t="shared" si="2"/>
        <v>65549.49927928159</v>
      </c>
      <c r="F38" s="3"/>
      <c r="G38" s="26">
        <v>2.5</v>
      </c>
      <c r="H38" s="10"/>
      <c r="I38" s="10">
        <f t="shared" si="8"/>
        <v>3628.3822823333917</v>
      </c>
      <c r="J38" s="10">
        <f t="shared" si="6"/>
        <v>8467549430.7547913</v>
      </c>
      <c r="K38" s="11">
        <f t="shared" si="7"/>
        <v>9.2691800000000102E-2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2268148.7639889866</v>
      </c>
      <c r="D39" s="11">
        <v>3.0099999999999998E-2</v>
      </c>
      <c r="E39" s="10">
        <f t="shared" si="2"/>
        <v>66276.359378767665</v>
      </c>
      <c r="F39" s="3"/>
      <c r="G39" s="26">
        <v>5.37</v>
      </c>
      <c r="H39" s="10"/>
      <c r="I39" s="10">
        <f t="shared" si="8"/>
        <v>3416.5558214062066</v>
      </c>
      <c r="J39" s="10">
        <f t="shared" si="6"/>
        <v>7749256863.4218645</v>
      </c>
      <c r="K39" s="11">
        <f t="shared" si="7"/>
        <v>8.541637000000013E-2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2201872.4046102189</v>
      </c>
      <c r="D40" s="11">
        <v>3.04E-2</v>
      </c>
      <c r="E40" s="10">
        <f t="shared" si="2"/>
        <v>64962.074049059302</v>
      </c>
      <c r="F40" s="3"/>
      <c r="G40" s="26">
        <v>1.46</v>
      </c>
      <c r="H40" s="10"/>
      <c r="I40" s="10">
        <f t="shared" si="8"/>
        <v>3242.4369568247189</v>
      </c>
      <c r="J40" s="10">
        <f t="shared" si="6"/>
        <v>7139432458.9206848</v>
      </c>
      <c r="K40" s="11">
        <f t="shared" si="7"/>
        <v>4.5443839999999902E-2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2136910.3305611596</v>
      </c>
      <c r="D41" s="11">
        <v>3.0599999999999999E-2</v>
      </c>
      <c r="E41" s="10">
        <f t="shared" si="2"/>
        <v>63447.948879459873</v>
      </c>
      <c r="F41" s="3"/>
      <c r="G41" s="26">
        <v>3.94</v>
      </c>
      <c r="H41" s="10"/>
      <c r="I41" s="10">
        <f t="shared" si="8"/>
        <v>3195.7785894191989</v>
      </c>
      <c r="J41" s="10">
        <f t="shared" si="6"/>
        <v>6829092281.9160566</v>
      </c>
      <c r="K41" s="11">
        <f t="shared" si="7"/>
        <v>7.120564000000007E-2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2073462.3816816998</v>
      </c>
      <c r="D42" s="11">
        <v>3.0800000000000001E-2</v>
      </c>
      <c r="E42" s="10">
        <f t="shared" si="2"/>
        <v>61954.444466236047</v>
      </c>
      <c r="F42" s="3"/>
      <c r="G42" s="26">
        <v>-6.1</v>
      </c>
      <c r="H42" s="10"/>
      <c r="I42" s="10">
        <f t="shared" si="8"/>
        <v>3074.6378578210492</v>
      </c>
      <c r="J42" s="10">
        <f t="shared" si="6"/>
        <v>6375145935.486352</v>
      </c>
      <c r="K42" s="11">
        <f t="shared" si="7"/>
        <v>-3.2078800000000074E-2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2011507.9372154637</v>
      </c>
      <c r="D43" s="11">
        <v>2.9000000000000001E-2</v>
      </c>
      <c r="E43" s="10">
        <f t="shared" si="2"/>
        <v>56689.72806535312</v>
      </c>
      <c r="F43" s="3"/>
      <c r="G43" s="26">
        <v>2.9</v>
      </c>
      <c r="H43" s="10"/>
      <c r="I43" s="10">
        <f t="shared" si="8"/>
        <v>3274.3747154643761</v>
      </c>
      <c r="J43" s="10">
        <f t="shared" si="6"/>
        <v>6586430729.5742178</v>
      </c>
      <c r="K43" s="11">
        <f t="shared" si="7"/>
        <v>5.8840999999999699E-2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1954818.2091501106</v>
      </c>
      <c r="D44" s="11">
        <v>2.9100000000000001E-2</v>
      </c>
      <c r="E44" s="10">
        <f t="shared" si="2"/>
        <v>55276.659106275532</v>
      </c>
      <c r="F44" s="3"/>
      <c r="G44" s="26">
        <v>0.28000000000000003</v>
      </c>
      <c r="H44" s="10"/>
      <c r="I44" s="10">
        <f t="shared" si="8"/>
        <v>3182.0939897612989</v>
      </c>
      <c r="J44" s="10">
        <f t="shared" si="6"/>
        <v>6220415274.4125128</v>
      </c>
      <c r="K44" s="11">
        <f t="shared" si="7"/>
        <v>3.1981479999999785E-2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1899541.5500438351</v>
      </c>
      <c r="D45" s="11">
        <v>3.1199999999999999E-2</v>
      </c>
      <c r="E45" s="10">
        <f t="shared" si="2"/>
        <v>57472.552716609323</v>
      </c>
      <c r="F45" s="3"/>
      <c r="G45" s="26">
        <v>-1.32</v>
      </c>
      <c r="H45" s="10"/>
      <c r="I45" s="10">
        <f t="shared" si="8"/>
        <v>3173.2090045485634</v>
      </c>
      <c r="J45" s="10">
        <f t="shared" si="6"/>
        <v>6027642351.1132326</v>
      </c>
      <c r="K45" s="11">
        <f t="shared" si="7"/>
        <v>1.7588159999999853E-2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1842068.9973272257</v>
      </c>
      <c r="D46" s="11">
        <v>3.1300000000000001E-2</v>
      </c>
      <c r="E46" s="10">
        <f t="shared" si="2"/>
        <v>55906.874446176924</v>
      </c>
      <c r="F46" s="3"/>
      <c r="G46" s="26">
        <v>-0.25</v>
      </c>
      <c r="H46" s="10"/>
      <c r="I46" s="10">
        <f t="shared" si="8"/>
        <v>3215.6556592506722</v>
      </c>
      <c r="J46" s="10">
        <f t="shared" si="6"/>
        <v>5923459595.9855051</v>
      </c>
      <c r="K46" s="11">
        <f t="shared" si="7"/>
        <v>2.8721750000000101E-2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1786162.1228810488</v>
      </c>
      <c r="D47" s="11">
        <v>3.1399999999999997E-2</v>
      </c>
      <c r="E47" s="10">
        <f t="shared" si="2"/>
        <v>54378.020805182401</v>
      </c>
      <c r="F47" s="3"/>
      <c r="G47" s="26">
        <v>2.33</v>
      </c>
      <c r="H47" s="10"/>
      <c r="I47" s="10">
        <f t="shared" si="8"/>
        <v>3223.714946617215</v>
      </c>
      <c r="J47" s="10">
        <f t="shared" si="6"/>
        <v>5758077532.6131716</v>
      </c>
      <c r="K47" s="11">
        <f t="shared" si="7"/>
        <v>5.5431620000000237E-2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1731784.1020758664</v>
      </c>
      <c r="D48" s="11">
        <v>3.1399999999999997E-2</v>
      </c>
      <c r="E48" s="10">
        <f t="shared" si="2"/>
        <v>52722.533260793425</v>
      </c>
      <c r="F48" s="3"/>
      <c r="G48" s="26">
        <v>5.86</v>
      </c>
      <c r="H48" s="10"/>
      <c r="I48" s="10">
        <f t="shared" si="8"/>
        <v>3150.3126616018908</v>
      </c>
      <c r="J48" s="10">
        <f t="shared" si="6"/>
        <v>5455661383.9304628</v>
      </c>
      <c r="K48" s="11">
        <f t="shared" si="7"/>
        <v>9.1840040000000123E-2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1679061.568815073</v>
      </c>
      <c r="D49" s="11">
        <v>3.1199999999999999E-2</v>
      </c>
      <c r="E49" s="10">
        <f t="shared" si="2"/>
        <v>50801.70766779501</v>
      </c>
      <c r="F49" s="3"/>
      <c r="G49" s="26">
        <v>1.89</v>
      </c>
      <c r="H49" s="10"/>
      <c r="I49" s="10">
        <f t="shared" si="8"/>
        <v>2975.9235420384384</v>
      </c>
      <c r="J49" s="10">
        <f t="shared" si="6"/>
        <v>4996758851.1687689</v>
      </c>
      <c r="K49" s="11">
        <f t="shared" si="7"/>
        <v>5.0689679999999848E-2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1628259.861147278</v>
      </c>
      <c r="D50" s="11">
        <v>3.09E-2</v>
      </c>
      <c r="E50" s="10">
        <f t="shared" si="2"/>
        <v>48805.150557232322</v>
      </c>
      <c r="F50" s="3"/>
      <c r="G50" s="26">
        <v>3.66</v>
      </c>
      <c r="H50" s="10"/>
      <c r="I50" s="10">
        <f t="shared" si="8"/>
        <v>2920.7218981631549</v>
      </c>
      <c r="J50" s="10">
        <f t="shared" si="6"/>
        <v>4755694232.352953</v>
      </c>
      <c r="K50" s="11">
        <f t="shared" si="7"/>
        <v>6.8630939999999807E-2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1579454.7105900457</v>
      </c>
      <c r="D51" s="11">
        <v>3.0599999999999999E-2</v>
      </c>
      <c r="E51" s="10">
        <f t="shared" si="2"/>
        <v>46896.287739234744</v>
      </c>
      <c r="F51" s="3"/>
      <c r="G51" s="26">
        <v>3.06</v>
      </c>
      <c r="H51" s="10"/>
      <c r="I51" s="10">
        <f t="shared" si="8"/>
        <v>2817.5978180234952</v>
      </c>
      <c r="J51" s="10">
        <f t="shared" si="6"/>
        <v>4450268146.2254438</v>
      </c>
      <c r="K51" s="11">
        <f t="shared" si="7"/>
        <v>6.213635999999978E-2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1532558.4228508109</v>
      </c>
      <c r="D52" s="11">
        <v>3.0300000000000001E-2</v>
      </c>
      <c r="E52" s="10">
        <f t="shared" si="2"/>
        <v>45070.87276752363</v>
      </c>
      <c r="F52" s="3"/>
      <c r="G52" s="26">
        <v>1.05</v>
      </c>
      <c r="H52" s="10"/>
      <c r="I52" s="10">
        <f t="shared" si="8"/>
        <v>2733.9392761726135</v>
      </c>
      <c r="J52" s="10">
        <f t="shared" si="6"/>
        <v>4189921665.2609882</v>
      </c>
      <c r="K52" s="11">
        <f t="shared" si="7"/>
        <v>4.1118149999999964E-2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1487487.5500832873</v>
      </c>
      <c r="D53" s="11">
        <v>3.0099999999999998E-2</v>
      </c>
      <c r="E53" s="10">
        <f t="shared" si="2"/>
        <v>43465.076456176117</v>
      </c>
      <c r="F53" s="3"/>
      <c r="G53" s="26">
        <v>2.44</v>
      </c>
      <c r="H53" s="10"/>
      <c r="I53" s="10">
        <f t="shared" si="8"/>
        <v>2705.5311985874455</v>
      </c>
      <c r="J53" s="10">
        <f t="shared" si="6"/>
        <v>4024443974.2607393</v>
      </c>
      <c r="K53" s="11">
        <f t="shared" si="7"/>
        <v>5.5234439999999996E-2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1444022.4736271112</v>
      </c>
      <c r="D54" s="11">
        <v>0.03</v>
      </c>
      <c r="E54" s="10">
        <f t="shared" si="2"/>
        <v>42058.906998847844</v>
      </c>
      <c r="F54" s="3"/>
      <c r="G54" s="26">
        <v>7.17</v>
      </c>
      <c r="H54" s="10"/>
      <c r="I54" s="10">
        <f t="shared" si="8"/>
        <v>2641.0886358721646</v>
      </c>
      <c r="J54" s="10">
        <f t="shared" si="6"/>
        <v>3813791345.040576</v>
      </c>
      <c r="K54" s="11">
        <f t="shared" si="7"/>
        <v>0.10385100000000014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1401963.5666282633</v>
      </c>
      <c r="D55" s="11">
        <v>2.9899999999999999E-2</v>
      </c>
      <c r="E55" s="10">
        <f t="shared" si="2"/>
        <v>40701.728946679505</v>
      </c>
      <c r="F55" s="3"/>
      <c r="G55" s="26">
        <v>6.57</v>
      </c>
      <c r="H55" s="10"/>
      <c r="I55" s="10">
        <f t="shared" si="8"/>
        <v>2464.3917475713019</v>
      </c>
      <c r="J55" s="10">
        <f t="shared" si="6"/>
        <v>3454987443.9943213</v>
      </c>
      <c r="K55" s="11">
        <f t="shared" si="7"/>
        <v>9.7564430000000257E-2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1361261.8376815838</v>
      </c>
      <c r="D56" s="11">
        <v>2.9899999999999999E-2</v>
      </c>
      <c r="E56" s="10">
        <f t="shared" si="2"/>
        <v>39520.078596639913</v>
      </c>
      <c r="F56" s="3"/>
      <c r="G56" s="26">
        <v>2.4900000000000002</v>
      </c>
      <c r="H56" s="10"/>
      <c r="I56" s="10">
        <f t="shared" si="8"/>
        <v>2312.4629328810188</v>
      </c>
      <c r="J56" s="10">
        <f t="shared" si="6"/>
        <v>3147867541.5841608</v>
      </c>
      <c r="K56" s="11">
        <f t="shared" si="7"/>
        <v>5.5544510000000047E-2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1321741.7590849439</v>
      </c>
      <c r="D57" s="11">
        <v>0.03</v>
      </c>
      <c r="E57" s="10">
        <f t="shared" si="2"/>
        <v>38497.332788881846</v>
      </c>
      <c r="F57" s="3"/>
      <c r="G57" s="26">
        <v>4.07</v>
      </c>
      <c r="H57" s="10"/>
      <c r="I57" s="10">
        <f t="shared" si="8"/>
        <v>2256.2815229593316</v>
      </c>
      <c r="J57" s="10">
        <f t="shared" si="6"/>
        <v>2982221509.1471233</v>
      </c>
      <c r="K57" s="11">
        <f t="shared" si="7"/>
        <v>7.1920999999999902E-2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1283244.4262960621</v>
      </c>
      <c r="D58" s="11">
        <v>0.03</v>
      </c>
      <c r="E58" s="10">
        <f t="shared" si="2"/>
        <v>37376.051251341589</v>
      </c>
      <c r="F58" s="3"/>
      <c r="G58" s="26">
        <v>2.99</v>
      </c>
      <c r="H58" s="10"/>
      <c r="I58" s="10">
        <f t="shared" si="8"/>
        <v>2168.0422052073909</v>
      </c>
      <c r="J58" s="10">
        <f t="shared" si="6"/>
        <v>2782128075.8070078</v>
      </c>
      <c r="K58" s="11">
        <f t="shared" si="7"/>
        <v>6.079699999999999E-2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1245868.3750447205</v>
      </c>
      <c r="D59" s="11">
        <v>0.03</v>
      </c>
      <c r="E59" s="10">
        <f t="shared" si="2"/>
        <v>36287.428399360739</v>
      </c>
      <c r="F59" s="3"/>
      <c r="G59" s="26">
        <v>3.35</v>
      </c>
      <c r="H59" s="10"/>
      <c r="I59" s="10">
        <f t="shared" si="8"/>
        <v>2105.0997234754741</v>
      </c>
      <c r="J59" s="10">
        <f t="shared" si="6"/>
        <v>2622677171.7934794</v>
      </c>
      <c r="K59" s="11">
        <f t="shared" si="7"/>
        <v>6.4505000000000035E-2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1209580.9466453597</v>
      </c>
      <c r="D60" s="11">
        <v>0.03</v>
      </c>
      <c r="E60" s="10">
        <f t="shared" si="2"/>
        <v>35230.513009088114</v>
      </c>
      <c r="F60" s="3"/>
      <c r="G60" s="26">
        <v>0.89</v>
      </c>
      <c r="H60" s="10"/>
      <c r="I60" s="10">
        <f t="shared" si="8"/>
        <v>2036.864754209457</v>
      </c>
      <c r="J60" s="10">
        <f t="shared" si="6"/>
        <v>2463752797.5852432</v>
      </c>
      <c r="K60" s="11">
        <f t="shared" si="7"/>
        <v>3.9166999999999952E-2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1174350.4336362716</v>
      </c>
      <c r="D61" s="11">
        <v>0.03</v>
      </c>
      <c r="E61" s="10">
        <f t="shared" si="2"/>
        <v>34204.381562221562</v>
      </c>
      <c r="F61" s="3"/>
      <c r="G61" s="26">
        <v>2.14</v>
      </c>
      <c r="H61" s="10"/>
      <c r="I61" s="10">
        <f t="shared" si="8"/>
        <v>2018.8965746946747</v>
      </c>
      <c r="J61" s="10">
        <f t="shared" si="6"/>
        <v>2370892067.9594746</v>
      </c>
      <c r="K61" s="11">
        <f t="shared" si="7"/>
        <v>5.2042000000000144E-2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1140146.0520740501</v>
      </c>
      <c r="D62" s="11">
        <v>0.03</v>
      </c>
      <c r="E62" s="10">
        <f t="shared" si="2"/>
        <v>33208.137439050013</v>
      </c>
      <c r="F62" s="3"/>
      <c r="G62" s="26">
        <v>5.39</v>
      </c>
      <c r="H62" s="10"/>
      <c r="I62" s="10">
        <f t="shared" si="8"/>
        <v>1976.5973905371789</v>
      </c>
      <c r="J62" s="10">
        <f t="shared" si="6"/>
        <v>2253609711.3608336</v>
      </c>
      <c r="K62" s="11">
        <f t="shared" si="7"/>
        <v>8.5517000000000065E-2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1106937.9146350001</v>
      </c>
      <c r="D63" s="11">
        <v>0.03</v>
      </c>
      <c r="E63" s="10">
        <f t="shared" si="2"/>
        <v>32240.910135000013</v>
      </c>
      <c r="F63" s="3"/>
      <c r="G63" s="26">
        <v>4.5</v>
      </c>
      <c r="H63" s="10"/>
      <c r="I63" s="10">
        <f t="shared" si="8"/>
        <v>1875.50753443133</v>
      </c>
      <c r="J63" s="10">
        <f t="shared" si="6"/>
        <v>2076070399.0456469</v>
      </c>
      <c r="K63" s="11">
        <f t="shared" si="7"/>
        <v>7.6349999999999918E-2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1074697.0045</v>
      </c>
      <c r="D64" s="11">
        <v>0.03</v>
      </c>
      <c r="E64" s="10">
        <f t="shared" si="2"/>
        <v>31301.854500000016</v>
      </c>
      <c r="F64" s="3"/>
      <c r="G64" s="26">
        <v>10.71</v>
      </c>
      <c r="H64" s="10"/>
      <c r="I64" s="10">
        <f t="shared" si="8"/>
        <v>1794.7440520873972</v>
      </c>
      <c r="J64" s="10">
        <f t="shared" si="6"/>
        <v>1928806056.6225178</v>
      </c>
      <c r="K64" s="11">
        <f t="shared" si="7"/>
        <v>0.14031299999999991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1043395.15</v>
      </c>
      <c r="D65" s="11">
        <v>0.03</v>
      </c>
      <c r="E65" s="10">
        <f t="shared" si="2"/>
        <v>30390.150000000023</v>
      </c>
      <c r="F65" s="3"/>
      <c r="G65" s="26">
        <v>4.2</v>
      </c>
      <c r="H65" s="10"/>
      <c r="I65" s="10">
        <f t="shared" si="8"/>
        <v>1621.1218969265624</v>
      </c>
      <c r="J65" s="10">
        <f t="shared" si="6"/>
        <v>1691470724.8119752</v>
      </c>
      <c r="K65" s="11">
        <f t="shared" si="7"/>
        <v>7.3260000000000103E-2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1013005</v>
      </c>
      <c r="D66" s="11">
        <v>0.03</v>
      </c>
      <c r="E66" s="10">
        <f t="shared" si="2"/>
        <v>29505</v>
      </c>
      <c r="F66" s="3"/>
      <c r="G66" s="26">
        <v>9.01</v>
      </c>
      <c r="H66" s="10"/>
      <c r="I66" s="10">
        <f t="shared" si="8"/>
        <v>1555.7791717145512</v>
      </c>
      <c r="J66" s="10">
        <f t="shared" ref="J66:J67" si="9">IF(I66="","",I66*C66)</f>
        <v>1576012079.8426991</v>
      </c>
      <c r="K66" s="11">
        <f t="shared" ref="K66" si="10">IFERROR(J66/J67-1,"")</f>
        <v>0.122803</v>
      </c>
    </row>
    <row r="67" spans="1:11" ht="22.5" customHeight="1">
      <c r="A67" s="3">
        <f t="shared" si="0"/>
        <v>1950</v>
      </c>
      <c r="B67" s="3">
        <v>1700</v>
      </c>
      <c r="C67" s="10">
        <v>983500</v>
      </c>
      <c r="D67" s="11">
        <v>0.03</v>
      </c>
      <c r="E67" s="3" t="s">
        <v>72</v>
      </c>
      <c r="F67" s="3"/>
      <c r="G67" s="26">
        <v>7.72</v>
      </c>
      <c r="H67" s="10"/>
      <c r="I67" s="10">
        <f t="shared" ref="I67" si="11">IF(H67&lt;&gt;"",H67,I66/(1+IF(G66="",0,G66)/100))</f>
        <v>1427.1894062146143</v>
      </c>
      <c r="J67" s="10">
        <f t="shared" si="9"/>
        <v>1403640781.0120733</v>
      </c>
      <c r="K67" s="11"/>
    </row>
  </sheetData>
  <dataValidations count="1">
    <dataValidation type="custom" allowBlank="1" showDropDown="1" sqref="D2:D67" xr:uid="{00000000-0002-0000-1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67"/>
  <sheetViews>
    <sheetView topLeftCell="A24" workbookViewId="0">
      <selection activeCell="M56" sqref="M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6" t="s">
        <v>66</v>
      </c>
      <c r="B1" s="17" t="s">
        <v>67</v>
      </c>
      <c r="C1" s="17" t="s">
        <v>68</v>
      </c>
      <c r="D1" s="17" t="s">
        <v>69</v>
      </c>
      <c r="E1" s="17" t="s">
        <v>70</v>
      </c>
      <c r="F1" s="17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18">
        <f t="shared" ref="A2:A66" si="0">SUM(B2+250)</f>
        <v>2015</v>
      </c>
      <c r="B2" s="18">
        <v>1765</v>
      </c>
      <c r="C2" s="19">
        <f t="shared" ref="C2:C66" si="1">SUM(C3*(1+D2))</f>
        <v>890028339.57375264</v>
      </c>
      <c r="D2" s="20">
        <v>1.1999999999999999E-3</v>
      </c>
      <c r="E2" s="19">
        <f t="shared" ref="E2:E66" si="2">SUM(C2-C3)</f>
        <v>1066753.9028052092</v>
      </c>
      <c r="F2" s="18"/>
      <c r="G2" s="26">
        <v>2.71</v>
      </c>
      <c r="H2" s="10"/>
      <c r="I2" s="10">
        <f>IF(H2&lt;&gt;"",H2,86040)</f>
        <v>10755</v>
      </c>
      <c r="J2" s="10">
        <f t="shared" ref="J2:J33" si="3">IF(I2="","",I2*C2)</f>
        <v>9572254792115.709</v>
      </c>
      <c r="K2" s="11">
        <f t="shared" ref="K2:K33" si="4">IFERROR(J2/J3-1,"")</f>
        <v>2.8332519999999972E-2</v>
      </c>
    </row>
    <row r="3" spans="1:13" ht="22.5" customHeight="1">
      <c r="A3" s="18">
        <f t="shared" si="0"/>
        <v>2014</v>
      </c>
      <c r="B3" s="18">
        <v>1764</v>
      </c>
      <c r="C3" s="19">
        <f t="shared" si="1"/>
        <v>888961585.67094743</v>
      </c>
      <c r="D3" s="20">
        <v>1.1999999999999999E-3</v>
      </c>
      <c r="E3" s="19">
        <f t="shared" si="2"/>
        <v>1065475.3324062824</v>
      </c>
      <c r="F3" s="18"/>
      <c r="G3" s="26">
        <v>2.19</v>
      </c>
      <c r="H3" s="10"/>
      <c r="I3" s="10">
        <f t="shared" ref="I3:I34" si="5">IF(H3&lt;&gt;"",H3,I2/(1+IF(G2="",0,G2)/100))</f>
        <v>10471.229675786195</v>
      </c>
      <c r="J3" s="10">
        <f t="shared" si="3"/>
        <v>9308520936511.5762</v>
      </c>
      <c r="K3" s="11">
        <f t="shared" si="4"/>
        <v>2.3126280000000055E-2</v>
      </c>
    </row>
    <row r="4" spans="1:13" ht="22.5" customHeight="1">
      <c r="A4" s="18">
        <f t="shared" si="0"/>
        <v>2013</v>
      </c>
      <c r="B4" s="18">
        <v>1763</v>
      </c>
      <c r="C4" s="19">
        <f t="shared" si="1"/>
        <v>887896110.33854115</v>
      </c>
      <c r="D4" s="20">
        <v>1.2999999999999999E-3</v>
      </c>
      <c r="E4" s="19">
        <f t="shared" si="2"/>
        <v>1152766.3471888304</v>
      </c>
      <c r="F4" s="18"/>
      <c r="G4" s="26">
        <v>5.7</v>
      </c>
      <c r="H4" s="10"/>
      <c r="I4" s="10">
        <f t="shared" si="5"/>
        <v>10246.824225253151</v>
      </c>
      <c r="J4" s="10">
        <f t="shared" si="3"/>
        <v>9098115372925.0078</v>
      </c>
      <c r="K4" s="11">
        <f t="shared" si="4"/>
        <v>5.8374099999999984E-2</v>
      </c>
    </row>
    <row r="5" spans="1:13" ht="22.5" customHeight="1">
      <c r="A5" s="18">
        <f t="shared" si="0"/>
        <v>2012</v>
      </c>
      <c r="B5" s="18">
        <v>1762</v>
      </c>
      <c r="C5" s="19">
        <f t="shared" si="1"/>
        <v>886743343.99135232</v>
      </c>
      <c r="D5" s="20">
        <v>1.4E-3</v>
      </c>
      <c r="E5" s="19">
        <f t="shared" si="2"/>
        <v>1239705.094455719</v>
      </c>
      <c r="F5" s="18"/>
      <c r="G5" s="26">
        <v>5.05</v>
      </c>
      <c r="H5" s="10"/>
      <c r="I5" s="10">
        <f t="shared" si="5"/>
        <v>9694.2518687352422</v>
      </c>
      <c r="J5" s="10">
        <f t="shared" si="3"/>
        <v>8596313319576.7051</v>
      </c>
      <c r="K5" s="11">
        <f t="shared" si="4"/>
        <v>5.1970700000000258E-2</v>
      </c>
    </row>
    <row r="6" spans="1:13" ht="22.5" customHeight="1">
      <c r="A6" s="18">
        <f t="shared" si="0"/>
        <v>2011</v>
      </c>
      <c r="B6" s="18">
        <v>1761</v>
      </c>
      <c r="C6" s="19">
        <f t="shared" si="1"/>
        <v>885503638.8968966</v>
      </c>
      <c r="D6" s="20">
        <v>1.6000000000000001E-3</v>
      </c>
      <c r="E6" s="19">
        <f t="shared" si="2"/>
        <v>1414542.5541484356</v>
      </c>
      <c r="F6" s="18"/>
      <c r="G6" s="26">
        <v>7.04</v>
      </c>
      <c r="H6" s="10"/>
      <c r="I6" s="10">
        <f t="shared" si="5"/>
        <v>9228.2264338269797</v>
      </c>
      <c r="J6" s="10">
        <f t="shared" si="3"/>
        <v>8171628087718.3213</v>
      </c>
      <c r="K6" s="11">
        <f t="shared" si="4"/>
        <v>7.2112640000000061E-2</v>
      </c>
    </row>
    <row r="7" spans="1:13" ht="22.5" customHeight="1">
      <c r="A7" s="18">
        <f t="shared" si="0"/>
        <v>2010</v>
      </c>
      <c r="B7" s="18">
        <v>1760</v>
      </c>
      <c r="C7" s="19">
        <f t="shared" si="1"/>
        <v>884089096.34274817</v>
      </c>
      <c r="D7" s="20">
        <v>1.6999999999999999E-3</v>
      </c>
      <c r="E7" s="19">
        <f t="shared" si="2"/>
        <v>1500400.7824525833</v>
      </c>
      <c r="F7" s="18"/>
      <c r="G7" s="26">
        <v>6.28</v>
      </c>
      <c r="H7" s="10"/>
      <c r="I7" s="10">
        <f t="shared" si="5"/>
        <v>8621.287774502036</v>
      </c>
      <c r="J7" s="10">
        <f t="shared" si="3"/>
        <v>7621986517870.2871</v>
      </c>
      <c r="K7" s="11">
        <f t="shared" si="4"/>
        <v>6.4606759999999985E-2</v>
      </c>
    </row>
    <row r="8" spans="1:13" ht="22.5" customHeight="1">
      <c r="A8" s="18">
        <f t="shared" si="0"/>
        <v>2009</v>
      </c>
      <c r="B8" s="18">
        <v>1759</v>
      </c>
      <c r="C8" s="19">
        <f t="shared" si="1"/>
        <v>882588695.56029558</v>
      </c>
      <c r="D8" s="20">
        <v>1.9E-3</v>
      </c>
      <c r="E8" s="19">
        <f t="shared" si="2"/>
        <v>1673738.4185693264</v>
      </c>
      <c r="F8" s="18"/>
      <c r="G8" s="26">
        <v>7.29</v>
      </c>
      <c r="H8" s="10"/>
      <c r="I8" s="10">
        <f t="shared" si="5"/>
        <v>8111.862791213809</v>
      </c>
      <c r="J8" s="10">
        <f t="shared" si="3"/>
        <v>7159438399461.4941</v>
      </c>
      <c r="K8" s="11">
        <f t="shared" si="4"/>
        <v>7.4938509999999958E-2</v>
      </c>
    </row>
    <row r="9" spans="1:13" ht="22.5" customHeight="1">
      <c r="A9" s="18">
        <f t="shared" si="0"/>
        <v>2008</v>
      </c>
      <c r="B9" s="18">
        <v>1758</v>
      </c>
      <c r="C9" s="19">
        <f t="shared" si="1"/>
        <v>880914957.14172626</v>
      </c>
      <c r="D9" s="20">
        <v>2.0999999999999999E-3</v>
      </c>
      <c r="E9" s="19">
        <f t="shared" si="2"/>
        <v>1846044.7160937786</v>
      </c>
      <c r="F9" s="18"/>
      <c r="G9" s="26">
        <v>2.04</v>
      </c>
      <c r="H9" s="10"/>
      <c r="I9" s="10">
        <f t="shared" si="5"/>
        <v>7560.6885927987787</v>
      </c>
      <c r="J9" s="10">
        <f t="shared" si="3"/>
        <v>6660323667687.2744</v>
      </c>
      <c r="K9" s="11">
        <f t="shared" si="4"/>
        <v>2.2542839999999842E-2</v>
      </c>
    </row>
    <row r="10" spans="1:13" ht="22.5" customHeight="1">
      <c r="A10" s="18">
        <f t="shared" si="0"/>
        <v>2007</v>
      </c>
      <c r="B10" s="18">
        <v>1757</v>
      </c>
      <c r="C10" s="19">
        <f t="shared" si="1"/>
        <v>879068912.42563248</v>
      </c>
      <c r="D10" s="20">
        <v>2.5000000000000001E-3</v>
      </c>
      <c r="E10" s="19">
        <f t="shared" si="2"/>
        <v>2192191.8015601635</v>
      </c>
      <c r="F10" s="18"/>
      <c r="G10" s="26">
        <v>7.63</v>
      </c>
      <c r="H10" s="10"/>
      <c r="I10" s="10">
        <f t="shared" si="5"/>
        <v>7409.5340972155809</v>
      </c>
      <c r="J10" s="10">
        <f t="shared" si="3"/>
        <v>6513491080419.9414</v>
      </c>
      <c r="K10" s="11">
        <f t="shared" si="4"/>
        <v>7.8990749999999998E-2</v>
      </c>
    </row>
    <row r="11" spans="1:13" ht="22.5" customHeight="1">
      <c r="A11" s="18">
        <f t="shared" si="0"/>
        <v>2006</v>
      </c>
      <c r="B11" s="18">
        <v>1756</v>
      </c>
      <c r="C11" s="19">
        <f t="shared" si="1"/>
        <v>876876720.62407231</v>
      </c>
      <c r="D11" s="20">
        <v>2.5999999999999999E-3</v>
      </c>
      <c r="E11" s="19">
        <f t="shared" si="2"/>
        <v>2273967.159009099</v>
      </c>
      <c r="F11" s="18"/>
      <c r="G11" s="26">
        <v>6.13</v>
      </c>
      <c r="H11" s="10"/>
      <c r="I11" s="10">
        <f t="shared" si="5"/>
        <v>6884.2647005626504</v>
      </c>
      <c r="J11" s="10">
        <f t="shared" si="3"/>
        <v>6036651454537.4385</v>
      </c>
      <c r="K11" s="11">
        <f t="shared" si="4"/>
        <v>6.4059379999999777E-2</v>
      </c>
    </row>
    <row r="12" spans="1:13" ht="22.5" customHeight="1">
      <c r="A12" s="18">
        <f t="shared" si="0"/>
        <v>2005</v>
      </c>
      <c r="B12" s="18">
        <v>1755</v>
      </c>
      <c r="C12" s="19">
        <f t="shared" si="1"/>
        <v>874602753.46506321</v>
      </c>
      <c r="D12" s="20">
        <v>2.8E-3</v>
      </c>
      <c r="E12" s="19">
        <f t="shared" si="2"/>
        <v>2442049.969786644</v>
      </c>
      <c r="F12" s="18"/>
      <c r="G12" s="26">
        <v>2.4700000000000002</v>
      </c>
      <c r="H12" s="10"/>
      <c r="I12" s="10">
        <f t="shared" si="5"/>
        <v>6486.634034262368</v>
      </c>
      <c r="J12" s="10">
        <f t="shared" si="3"/>
        <v>5673227987086.0586</v>
      </c>
      <c r="K12" s="11">
        <f t="shared" si="4"/>
        <v>2.756915999999987E-2</v>
      </c>
    </row>
    <row r="13" spans="1:13" ht="22.5" customHeight="1">
      <c r="A13" s="18">
        <f t="shared" si="0"/>
        <v>2004</v>
      </c>
      <c r="B13" s="18">
        <v>1754</v>
      </c>
      <c r="C13" s="19">
        <f t="shared" si="1"/>
        <v>872160703.49527657</v>
      </c>
      <c r="D13" s="20">
        <v>3.0999999999999999E-3</v>
      </c>
      <c r="E13" s="19">
        <f t="shared" si="2"/>
        <v>2695342.618717432</v>
      </c>
      <c r="F13" s="18"/>
      <c r="G13" s="26">
        <v>4.8499999999999996</v>
      </c>
      <c r="H13" s="10"/>
      <c r="I13" s="10">
        <f t="shared" si="5"/>
        <v>6330.2762118301634</v>
      </c>
      <c r="J13" s="10">
        <f t="shared" si="3"/>
        <v>5521018154229.21</v>
      </c>
      <c r="K13" s="11">
        <f t="shared" si="4"/>
        <v>5.1750350000000278E-2</v>
      </c>
    </row>
    <row r="14" spans="1:13" ht="22.5" customHeight="1">
      <c r="A14" s="18">
        <f t="shared" si="0"/>
        <v>2003</v>
      </c>
      <c r="B14" s="18">
        <v>1753</v>
      </c>
      <c r="C14" s="19">
        <f t="shared" si="1"/>
        <v>869465360.87655914</v>
      </c>
      <c r="D14" s="20">
        <v>3.3E-3</v>
      </c>
      <c r="E14" s="19">
        <f t="shared" si="2"/>
        <v>2859798.3563169241</v>
      </c>
      <c r="F14" s="18"/>
      <c r="G14" s="26">
        <v>6.67</v>
      </c>
      <c r="H14" s="10"/>
      <c r="I14" s="10">
        <f t="shared" si="5"/>
        <v>6037.4594294994404</v>
      </c>
      <c r="J14" s="10">
        <f t="shared" si="3"/>
        <v>5249361841647.3154</v>
      </c>
      <c r="K14" s="11">
        <f t="shared" si="4"/>
        <v>7.0220109999999947E-2</v>
      </c>
    </row>
    <row r="15" spans="1:13" ht="22.5" customHeight="1">
      <c r="A15" s="18">
        <f t="shared" si="0"/>
        <v>2002</v>
      </c>
      <c r="B15" s="18">
        <v>1752</v>
      </c>
      <c r="C15" s="19">
        <f t="shared" si="1"/>
        <v>866605562.52024221</v>
      </c>
      <c r="D15" s="20">
        <v>3.5999999999999999E-3</v>
      </c>
      <c r="E15" s="19">
        <f t="shared" si="2"/>
        <v>3108589.1042973995</v>
      </c>
      <c r="F15" s="18"/>
      <c r="G15" s="26">
        <v>6.8</v>
      </c>
      <c r="H15" s="10"/>
      <c r="I15" s="10">
        <f t="shared" si="5"/>
        <v>5659.9413419887887</v>
      </c>
      <c r="J15" s="10">
        <f t="shared" si="3"/>
        <v>4904936650505.7686</v>
      </c>
      <c r="K15" s="11">
        <f t="shared" si="4"/>
        <v>7.184479999999982E-2</v>
      </c>
      <c r="L15" t="s">
        <v>86</v>
      </c>
      <c r="M15" t="s">
        <v>87</v>
      </c>
    </row>
    <row r="16" spans="1:13" ht="22.5" customHeight="1">
      <c r="A16" s="18">
        <f t="shared" si="0"/>
        <v>2001</v>
      </c>
      <c r="B16" s="18">
        <v>1751</v>
      </c>
      <c r="C16" s="19">
        <f t="shared" si="1"/>
        <v>863496973.41594481</v>
      </c>
      <c r="D16" s="20">
        <v>3.8E-3</v>
      </c>
      <c r="E16" s="19">
        <f t="shared" si="2"/>
        <v>3268866.8051211834</v>
      </c>
      <c r="F16" s="18"/>
      <c r="G16" s="26">
        <v>4.33</v>
      </c>
      <c r="H16" s="10"/>
      <c r="I16" s="10">
        <f t="shared" si="5"/>
        <v>5299.5705449333227</v>
      </c>
      <c r="J16" s="10">
        <f t="shared" si="3"/>
        <v>4576163125954.2139</v>
      </c>
      <c r="K16" s="11">
        <f t="shared" si="4"/>
        <v>4.7264540000000022E-2</v>
      </c>
    </row>
    <row r="17" spans="1:13" ht="22.5" customHeight="1">
      <c r="A17" s="18">
        <f t="shared" si="0"/>
        <v>2000</v>
      </c>
      <c r="B17" s="18">
        <v>1750</v>
      </c>
      <c r="C17" s="19">
        <f t="shared" si="1"/>
        <v>860228106.61082363</v>
      </c>
      <c r="D17" s="20">
        <v>4.0000000000000001E-3</v>
      </c>
      <c r="E17" s="19">
        <f t="shared" si="2"/>
        <v>3427203.6119953394</v>
      </c>
      <c r="F17" s="18"/>
      <c r="G17" s="26">
        <v>2.41</v>
      </c>
      <c r="H17" s="10"/>
      <c r="I17" s="10">
        <f t="shared" si="5"/>
        <v>5079.6228744688233</v>
      </c>
      <c r="J17" s="10">
        <f t="shared" si="3"/>
        <v>4369634367601.3452</v>
      </c>
      <c r="K17" s="11">
        <f t="shared" si="4"/>
        <v>2.8196400000000121E-2</v>
      </c>
    </row>
    <row r="18" spans="1:13" ht="22.5" customHeight="1">
      <c r="A18" s="18">
        <f t="shared" si="0"/>
        <v>1999</v>
      </c>
      <c r="B18" s="18">
        <v>1749</v>
      </c>
      <c r="C18" s="19">
        <f t="shared" si="1"/>
        <v>856800902.99882829</v>
      </c>
      <c r="D18" s="20">
        <v>4.1999999999999997E-3</v>
      </c>
      <c r="E18" s="19">
        <f t="shared" si="2"/>
        <v>3583513.037836194</v>
      </c>
      <c r="F18" s="18"/>
      <c r="G18" s="26">
        <v>4.32</v>
      </c>
      <c r="H18" s="10"/>
      <c r="I18" s="10">
        <f t="shared" si="5"/>
        <v>4960.0848300642738</v>
      </c>
      <c r="J18" s="10">
        <f t="shared" si="3"/>
        <v>4249805161349.8594</v>
      </c>
      <c r="K18" s="11">
        <f t="shared" si="4"/>
        <v>4.7581440000000086E-2</v>
      </c>
    </row>
    <row r="19" spans="1:13" ht="22.5" customHeight="1">
      <c r="A19" s="18">
        <f t="shared" si="0"/>
        <v>1998</v>
      </c>
      <c r="B19" s="18">
        <v>1748</v>
      </c>
      <c r="C19" s="19">
        <f t="shared" si="1"/>
        <v>853217389.9609921</v>
      </c>
      <c r="D19" s="20">
        <v>4.4999999999999997E-3</v>
      </c>
      <c r="E19" s="19">
        <f t="shared" si="2"/>
        <v>3822278.0038073063</v>
      </c>
      <c r="F19" s="18"/>
      <c r="G19" s="26">
        <v>4.38</v>
      </c>
      <c r="H19" s="10"/>
      <c r="I19" s="10">
        <f t="shared" si="5"/>
        <v>4754.6825441567044</v>
      </c>
      <c r="J19" s="10">
        <f t="shared" si="3"/>
        <v>4056777830418.4727</v>
      </c>
      <c r="K19" s="11">
        <f t="shared" si="4"/>
        <v>4.8497100000000071E-2</v>
      </c>
    </row>
    <row r="20" spans="1:13" ht="22.5" customHeight="1">
      <c r="A20" s="18">
        <f t="shared" si="0"/>
        <v>1997</v>
      </c>
      <c r="B20" s="18">
        <v>1747</v>
      </c>
      <c r="C20" s="19">
        <f t="shared" si="1"/>
        <v>849395111.95718479</v>
      </c>
      <c r="D20" s="20">
        <v>4.7999999999999996E-3</v>
      </c>
      <c r="E20" s="19">
        <f t="shared" si="2"/>
        <v>4057619.961578846</v>
      </c>
      <c r="F20" s="18"/>
      <c r="G20" s="26">
        <v>3.98</v>
      </c>
      <c r="H20" s="10"/>
      <c r="I20" s="10">
        <f t="shared" si="5"/>
        <v>4555.1662618860928</v>
      </c>
      <c r="J20" s="10">
        <f t="shared" si="3"/>
        <v>3869135956998.3286</v>
      </c>
      <c r="K20" s="11">
        <f t="shared" si="4"/>
        <v>4.4791040000000004E-2</v>
      </c>
    </row>
    <row r="21" spans="1:13" ht="22.5" customHeight="1">
      <c r="A21" s="18">
        <f t="shared" si="0"/>
        <v>1996</v>
      </c>
      <c r="B21" s="18">
        <v>1746</v>
      </c>
      <c r="C21" s="19">
        <f t="shared" si="1"/>
        <v>845337491.99560595</v>
      </c>
      <c r="D21" s="20">
        <v>5.1999999999999998E-3</v>
      </c>
      <c r="E21" s="19">
        <f t="shared" si="2"/>
        <v>4373015.2789268494</v>
      </c>
      <c r="F21" s="18"/>
      <c r="G21" s="26">
        <v>3.92</v>
      </c>
      <c r="H21" s="10"/>
      <c r="I21" s="10">
        <f t="shared" si="5"/>
        <v>4380.8100229718148</v>
      </c>
      <c r="J21" s="10">
        <f t="shared" si="3"/>
        <v>3703262957728.2065</v>
      </c>
      <c r="K21" s="11">
        <f t="shared" si="4"/>
        <v>4.460383999999995E-2</v>
      </c>
    </row>
    <row r="22" spans="1:13" ht="22.5" customHeight="1">
      <c r="A22" s="18">
        <f t="shared" si="0"/>
        <v>1995</v>
      </c>
      <c r="B22" s="18">
        <v>1745</v>
      </c>
      <c r="C22" s="19">
        <f t="shared" si="1"/>
        <v>840964476.7166791</v>
      </c>
      <c r="D22" s="20">
        <v>5.5999999999999999E-3</v>
      </c>
      <c r="E22" s="19">
        <f t="shared" si="2"/>
        <v>4683175.2880005836</v>
      </c>
      <c r="F22" s="18"/>
      <c r="G22" s="26">
        <v>3.7</v>
      </c>
      <c r="H22" s="10"/>
      <c r="I22" s="10">
        <f t="shared" si="5"/>
        <v>4215.5600682946642</v>
      </c>
      <c r="J22" s="10">
        <f t="shared" si="3"/>
        <v>3545136266901.1504</v>
      </c>
      <c r="K22" s="11">
        <f t="shared" si="4"/>
        <v>4.2807199999999934E-2</v>
      </c>
    </row>
    <row r="23" spans="1:13" ht="22.5" customHeight="1">
      <c r="A23" s="18">
        <f t="shared" si="0"/>
        <v>1994</v>
      </c>
      <c r="B23" s="18">
        <v>1744</v>
      </c>
      <c r="C23" s="19">
        <f t="shared" si="1"/>
        <v>836281301.42867851</v>
      </c>
      <c r="D23" s="20">
        <v>6.0000000000000001E-3</v>
      </c>
      <c r="E23" s="19">
        <f t="shared" si="2"/>
        <v>4987761.2411253452</v>
      </c>
      <c r="F23" s="18"/>
      <c r="G23" s="26">
        <v>3.62</v>
      </c>
      <c r="H23" s="10"/>
      <c r="I23" s="10">
        <f t="shared" si="5"/>
        <v>4065.1495354818367</v>
      </c>
      <c r="J23" s="10">
        <f t="shared" si="3"/>
        <v>3399608544034.9385</v>
      </c>
      <c r="K23" s="11">
        <f t="shared" si="4"/>
        <v>4.2417200000000266E-2</v>
      </c>
    </row>
    <row r="24" spans="1:13" ht="22.5" customHeight="1">
      <c r="A24" s="18">
        <f t="shared" si="0"/>
        <v>1993</v>
      </c>
      <c r="B24" s="18">
        <v>1743</v>
      </c>
      <c r="C24" s="19">
        <f t="shared" si="1"/>
        <v>831293540.18755317</v>
      </c>
      <c r="D24" s="20">
        <v>6.3E-3</v>
      </c>
      <c r="E24" s="19">
        <f t="shared" si="2"/>
        <v>5204361.8236923218</v>
      </c>
      <c r="F24" s="18"/>
      <c r="G24" s="26">
        <v>2.11</v>
      </c>
      <c r="H24" s="10"/>
      <c r="I24" s="10">
        <f t="shared" si="5"/>
        <v>3923.132151594129</v>
      </c>
      <c r="J24" s="10">
        <f t="shared" si="3"/>
        <v>3261274414922.2959</v>
      </c>
      <c r="K24" s="11">
        <f t="shared" si="4"/>
        <v>2.7532929999999789E-2</v>
      </c>
    </row>
    <row r="25" spans="1:13" ht="22.5" customHeight="1">
      <c r="A25" s="18">
        <f t="shared" si="0"/>
        <v>1992</v>
      </c>
      <c r="B25" s="18">
        <v>1742</v>
      </c>
      <c r="C25" s="19">
        <f t="shared" si="1"/>
        <v>826089178.36386085</v>
      </c>
      <c r="D25" s="20">
        <v>6.6E-3</v>
      </c>
      <c r="E25" s="19">
        <f t="shared" si="2"/>
        <v>5416440.0727214813</v>
      </c>
      <c r="F25" s="18"/>
      <c r="G25" s="26">
        <v>3.88</v>
      </c>
      <c r="H25" s="10"/>
      <c r="I25" s="10">
        <f t="shared" si="5"/>
        <v>3842.0645887710602</v>
      </c>
      <c r="J25" s="10">
        <f t="shared" si="3"/>
        <v>3173887979358.77</v>
      </c>
      <c r="K25" s="11">
        <f t="shared" si="4"/>
        <v>4.5656079999999877E-2</v>
      </c>
    </row>
    <row r="26" spans="1:13" ht="22.5" customHeight="1">
      <c r="A26" s="18">
        <f t="shared" si="0"/>
        <v>1991</v>
      </c>
      <c r="B26" s="18">
        <v>1741</v>
      </c>
      <c r="C26" s="19">
        <f t="shared" si="1"/>
        <v>820672738.29113936</v>
      </c>
      <c r="D26" s="20">
        <v>6.7999999999999996E-3</v>
      </c>
      <c r="E26" s="19">
        <f t="shared" si="2"/>
        <v>5542883.0158717632</v>
      </c>
      <c r="F26" s="18"/>
      <c r="G26" s="26">
        <v>1.17</v>
      </c>
      <c r="H26" s="10"/>
      <c r="I26" s="10">
        <f t="shared" si="5"/>
        <v>3698.5604435608975</v>
      </c>
      <c r="J26" s="10">
        <f t="shared" si="3"/>
        <v>3035307726952.4126</v>
      </c>
      <c r="K26" s="11">
        <f t="shared" si="4"/>
        <v>1.857956000000005E-2</v>
      </c>
    </row>
    <row r="27" spans="1:13" ht="22.5" customHeight="1">
      <c r="A27" s="18">
        <f t="shared" si="0"/>
        <v>1990</v>
      </c>
      <c r="B27" s="18">
        <v>1740</v>
      </c>
      <c r="C27" s="19">
        <f t="shared" si="1"/>
        <v>815129855.2752676</v>
      </c>
      <c r="D27" s="20">
        <v>7.0000000000000001E-3</v>
      </c>
      <c r="E27" s="19">
        <f t="shared" si="2"/>
        <v>5666245.2700365782</v>
      </c>
      <c r="F27" s="18"/>
      <c r="G27" s="26">
        <v>-1.86</v>
      </c>
      <c r="H27" s="10"/>
      <c r="I27" s="10">
        <f t="shared" si="5"/>
        <v>3655.7877271532047</v>
      </c>
      <c r="J27" s="10">
        <f t="shared" si="3"/>
        <v>2979941720951.4912</v>
      </c>
      <c r="K27" s="11">
        <f t="shared" si="4"/>
        <v>-1.1730199999999913E-2</v>
      </c>
      <c r="L27" t="s">
        <v>88</v>
      </c>
      <c r="M27" t="s">
        <v>89</v>
      </c>
    </row>
    <row r="28" spans="1:13" ht="22.5" customHeight="1">
      <c r="A28" s="18">
        <f t="shared" si="0"/>
        <v>1989</v>
      </c>
      <c r="B28" s="18">
        <v>1739</v>
      </c>
      <c r="C28" s="19">
        <f t="shared" si="1"/>
        <v>809463610.00523102</v>
      </c>
      <c r="D28" s="20">
        <v>7.3000000000000001E-3</v>
      </c>
      <c r="E28" s="19">
        <f t="shared" si="2"/>
        <v>5866260.6502910852</v>
      </c>
      <c r="F28" s="18"/>
      <c r="G28" s="26">
        <v>2.74</v>
      </c>
      <c r="H28" s="10"/>
      <c r="I28" s="10">
        <f t="shared" si="5"/>
        <v>3725.0741055157982</v>
      </c>
      <c r="J28" s="10">
        <f t="shared" si="3"/>
        <v>3015311932987.8247</v>
      </c>
      <c r="K28" s="11">
        <f t="shared" si="4"/>
        <v>3.4900020000000032E-2</v>
      </c>
    </row>
    <row r="29" spans="1:13" ht="22.5" customHeight="1">
      <c r="A29" s="18">
        <f t="shared" si="0"/>
        <v>1988</v>
      </c>
      <c r="B29" s="18">
        <v>1738</v>
      </c>
      <c r="C29" s="19">
        <f t="shared" si="1"/>
        <v>803597349.35493994</v>
      </c>
      <c r="D29" s="20">
        <v>7.7000000000000002E-3</v>
      </c>
      <c r="E29" s="19">
        <f t="shared" si="2"/>
        <v>6140418.3685948849</v>
      </c>
      <c r="F29" s="18"/>
      <c r="G29" s="26">
        <v>3.8</v>
      </c>
      <c r="H29" s="10"/>
      <c r="I29" s="10">
        <f t="shared" si="5"/>
        <v>3625.7291274243703</v>
      </c>
      <c r="J29" s="10">
        <f t="shared" si="3"/>
        <v>2913626316277.2231</v>
      </c>
      <c r="K29" s="11">
        <f t="shared" si="4"/>
        <v>4.5992599999999939E-2</v>
      </c>
    </row>
    <row r="30" spans="1:13" ht="22.5" customHeight="1">
      <c r="A30" s="18">
        <f t="shared" si="0"/>
        <v>1987</v>
      </c>
      <c r="B30" s="18">
        <v>1737</v>
      </c>
      <c r="C30" s="19">
        <f t="shared" si="1"/>
        <v>797456930.98634505</v>
      </c>
      <c r="D30" s="21">
        <v>8.2000000000000007E-3</v>
      </c>
      <c r="E30" s="19">
        <f t="shared" si="2"/>
        <v>6485961.9461297989</v>
      </c>
      <c r="F30" s="18"/>
      <c r="G30" s="26">
        <v>4.47</v>
      </c>
      <c r="H30" s="10"/>
      <c r="I30" s="10">
        <f t="shared" si="5"/>
        <v>3492.995305803825</v>
      </c>
      <c r="J30" s="10">
        <f t="shared" si="3"/>
        <v>2785513316516.0283</v>
      </c>
      <c r="K30" s="11">
        <f t="shared" si="4"/>
        <v>5.3266540000000084E-2</v>
      </c>
    </row>
    <row r="31" spans="1:13" ht="22.5" customHeight="1">
      <c r="A31" s="18">
        <f t="shared" si="0"/>
        <v>1986</v>
      </c>
      <c r="B31" s="18">
        <v>1736</v>
      </c>
      <c r="C31" s="19">
        <f t="shared" si="1"/>
        <v>790970969.04021525</v>
      </c>
      <c r="D31" s="22">
        <v>8.8000000000000005E-3</v>
      </c>
      <c r="E31" s="19">
        <f t="shared" si="2"/>
        <v>6899826.0582412481</v>
      </c>
      <c r="F31" s="18"/>
      <c r="G31" s="26">
        <v>2.91</v>
      </c>
      <c r="H31" s="10"/>
      <c r="I31" s="10">
        <f t="shared" si="5"/>
        <v>3343.5391076900787</v>
      </c>
      <c r="J31" s="10">
        <f t="shared" si="3"/>
        <v>2644642368033.478</v>
      </c>
      <c r="K31" s="11">
        <f t="shared" si="4"/>
        <v>3.8156079999999593E-2</v>
      </c>
    </row>
    <row r="32" spans="1:13" ht="22.5" customHeight="1">
      <c r="A32" s="18">
        <f t="shared" si="0"/>
        <v>1985</v>
      </c>
      <c r="B32" s="18">
        <v>1735</v>
      </c>
      <c r="C32" s="19">
        <f t="shared" si="1"/>
        <v>784071142.98197401</v>
      </c>
      <c r="D32" s="21">
        <v>9.4000000000000004E-3</v>
      </c>
      <c r="E32" s="19">
        <f t="shared" si="2"/>
        <v>7301633.390163064</v>
      </c>
      <c r="F32" s="18"/>
      <c r="G32" s="26">
        <v>4.18</v>
      </c>
      <c r="H32" s="10"/>
      <c r="I32" s="10">
        <f t="shared" si="5"/>
        <v>3248.9933997571461</v>
      </c>
      <c r="J32" s="10">
        <f t="shared" si="3"/>
        <v>2547441968488.4751</v>
      </c>
      <c r="K32" s="11">
        <f t="shared" si="4"/>
        <v>5.1592920000000264E-2</v>
      </c>
    </row>
    <row r="33" spans="1:13" ht="22.5" customHeight="1">
      <c r="A33" s="18">
        <f t="shared" si="0"/>
        <v>1984</v>
      </c>
      <c r="B33" s="18">
        <v>1734</v>
      </c>
      <c r="C33" s="19">
        <f t="shared" si="1"/>
        <v>776769509.59181094</v>
      </c>
      <c r="D33" s="22">
        <v>9.9000000000000008E-3</v>
      </c>
      <c r="E33" s="19">
        <f t="shared" si="2"/>
        <v>7614633.2755311728</v>
      </c>
      <c r="F33" s="18"/>
      <c r="G33" s="26">
        <v>2.58</v>
      </c>
      <c r="H33" s="10"/>
      <c r="I33" s="10">
        <f t="shared" si="5"/>
        <v>3118.6344785536053</v>
      </c>
      <c r="J33" s="10">
        <f t="shared" si="3"/>
        <v>2422460174502.1968</v>
      </c>
      <c r="K33" s="11">
        <f t="shared" si="4"/>
        <v>3.5955420000000071E-2</v>
      </c>
    </row>
    <row r="34" spans="1:13" ht="22.5" customHeight="1">
      <c r="A34" s="18">
        <f t="shared" si="0"/>
        <v>1983</v>
      </c>
      <c r="B34" s="18">
        <v>1733</v>
      </c>
      <c r="C34" s="19">
        <f t="shared" si="1"/>
        <v>769154876.31627977</v>
      </c>
      <c r="D34" s="21">
        <v>1.03E-2</v>
      </c>
      <c r="E34" s="19">
        <f t="shared" si="2"/>
        <v>7841527.4928809404</v>
      </c>
      <c r="F34" s="18"/>
      <c r="G34" s="26">
        <v>1</v>
      </c>
      <c r="H34" s="10"/>
      <c r="I34" s="10">
        <f t="shared" si="5"/>
        <v>3040.1973859949358</v>
      </c>
      <c r="J34" s="10">
        <f t="shared" ref="J34:J65" si="6">IF(I34="","",I34*C34)</f>
        <v>2338382644402.0117</v>
      </c>
      <c r="K34" s="11">
        <f t="shared" ref="K34:K65" si="7">IFERROR(J34/J35-1,"")</f>
        <v>3.353689999999987E-2</v>
      </c>
    </row>
    <row r="35" spans="1:13" ht="22.5" customHeight="1">
      <c r="A35" s="18">
        <f t="shared" si="0"/>
        <v>1982</v>
      </c>
      <c r="B35" s="18">
        <v>1732</v>
      </c>
      <c r="C35" s="19">
        <f t="shared" si="1"/>
        <v>761313348.82339883</v>
      </c>
      <c r="D35" s="20">
        <v>1.06E-2</v>
      </c>
      <c r="E35" s="19">
        <f t="shared" si="2"/>
        <v>7985277.5554403067</v>
      </c>
      <c r="F35" s="18"/>
      <c r="G35" s="26">
        <v>-4.14</v>
      </c>
      <c r="H35" s="10"/>
      <c r="I35" s="10">
        <f t="shared" ref="I35:I66" si="8">IF(H35&lt;&gt;"",H35,I34/(1+IF(G34="",0,G34)/100))</f>
        <v>2971.8449520967115</v>
      </c>
      <c r="J35" s="10">
        <f t="shared" si="6"/>
        <v>2262505232664.6606</v>
      </c>
      <c r="K35" s="11">
        <f t="shared" si="7"/>
        <v>-3.9526400000000628E-3</v>
      </c>
    </row>
    <row r="36" spans="1:13" ht="22.5" customHeight="1">
      <c r="A36" s="18">
        <f t="shared" si="0"/>
        <v>1981</v>
      </c>
      <c r="B36" s="18">
        <v>1731</v>
      </c>
      <c r="C36" s="19">
        <f t="shared" si="1"/>
        <v>753328071.26795852</v>
      </c>
      <c r="D36" s="20">
        <v>1.09E-2</v>
      </c>
      <c r="E36" s="19">
        <f t="shared" si="2"/>
        <v>8122738.1311906576</v>
      </c>
      <c r="F36" s="18"/>
      <c r="G36" s="26">
        <v>-3.5</v>
      </c>
      <c r="H36" s="10"/>
      <c r="I36" s="10">
        <f t="shared" si="8"/>
        <v>3015.2647647085141</v>
      </c>
      <c r="J36" s="10">
        <f t="shared" si="6"/>
        <v>2271483589560.0996</v>
      </c>
      <c r="K36" s="11">
        <f t="shared" si="7"/>
        <v>2.4041699999999722E-2</v>
      </c>
      <c r="L36" t="s">
        <v>90</v>
      </c>
      <c r="M36" t="s">
        <v>91</v>
      </c>
    </row>
    <row r="37" spans="1:13" ht="22.5" customHeight="1">
      <c r="A37" s="18">
        <f t="shared" si="0"/>
        <v>1980</v>
      </c>
      <c r="B37" s="18">
        <v>1730</v>
      </c>
      <c r="C37" s="19">
        <f t="shared" si="1"/>
        <v>745205333.13676786</v>
      </c>
      <c r="D37" s="20">
        <v>1.12E-2</v>
      </c>
      <c r="E37" s="19">
        <f t="shared" si="2"/>
        <v>8253856.537907362</v>
      </c>
      <c r="F37" s="18"/>
      <c r="G37" s="26">
        <v>-9.6</v>
      </c>
      <c r="H37" s="10"/>
      <c r="I37" s="10">
        <f t="shared" si="8"/>
        <v>2976.5693629896491</v>
      </c>
      <c r="J37" s="10">
        <f t="shared" si="6"/>
        <v>2218155363751.3984</v>
      </c>
      <c r="K37" s="11">
        <f t="shared" si="7"/>
        <v>-3.228159999999991E-2</v>
      </c>
      <c r="L37" t="s">
        <v>92</v>
      </c>
      <c r="M37" t="s">
        <v>93</v>
      </c>
    </row>
    <row r="38" spans="1:13" ht="22.5" customHeight="1">
      <c r="A38" s="18">
        <f t="shared" si="0"/>
        <v>1979</v>
      </c>
      <c r="B38" s="18">
        <v>1729</v>
      </c>
      <c r="C38" s="19">
        <f t="shared" si="1"/>
        <v>736951476.5988605</v>
      </c>
      <c r="D38" s="20">
        <v>1.1299999999999999E-2</v>
      </c>
      <c r="E38" s="19">
        <f t="shared" si="2"/>
        <v>8234501.8150570393</v>
      </c>
      <c r="F38" s="18"/>
      <c r="G38" s="26">
        <v>-19.02</v>
      </c>
      <c r="H38" s="10"/>
      <c r="I38" s="10">
        <f t="shared" si="8"/>
        <v>3110.3128139912742</v>
      </c>
      <c r="J38" s="10">
        <f t="shared" si="6"/>
        <v>2292149620955.2266</v>
      </c>
      <c r="K38" s="11">
        <f t="shared" si="7"/>
        <v>-0.14363115999999987</v>
      </c>
      <c r="L38" t="s">
        <v>94</v>
      </c>
      <c r="M38" t="s">
        <v>95</v>
      </c>
    </row>
    <row r="39" spans="1:13" ht="22.5" customHeight="1">
      <c r="A39" s="18">
        <f t="shared" si="0"/>
        <v>1978</v>
      </c>
      <c r="B39" s="18">
        <v>1728</v>
      </c>
      <c r="C39" s="19">
        <f t="shared" si="1"/>
        <v>728716974.78380346</v>
      </c>
      <c r="D39" s="20">
        <v>1.14E-2</v>
      </c>
      <c r="E39" s="19">
        <f t="shared" si="2"/>
        <v>8213736.9117416143</v>
      </c>
      <c r="F39" s="18"/>
      <c r="G39" s="26">
        <v>22.1</v>
      </c>
      <c r="H39" s="10"/>
      <c r="I39" s="10">
        <f t="shared" si="8"/>
        <v>3673.0193835513396</v>
      </c>
      <c r="J39" s="10">
        <f t="shared" si="6"/>
        <v>2676591573503.8027</v>
      </c>
      <c r="K39" s="11">
        <f t="shared" si="7"/>
        <v>0.23491940000000011</v>
      </c>
    </row>
    <row r="40" spans="1:13" ht="22.5" customHeight="1">
      <c r="A40" s="18">
        <f t="shared" si="0"/>
        <v>1977</v>
      </c>
      <c r="B40" s="18">
        <v>1727</v>
      </c>
      <c r="C40" s="19">
        <f t="shared" si="1"/>
        <v>720503237.87206185</v>
      </c>
      <c r="D40" s="20">
        <v>1.1299999999999999E-2</v>
      </c>
      <c r="E40" s="19">
        <f t="shared" si="2"/>
        <v>8050713.5251204967</v>
      </c>
      <c r="F40" s="18"/>
      <c r="G40" s="26">
        <v>3.2</v>
      </c>
      <c r="H40" s="10"/>
      <c r="I40" s="10">
        <f t="shared" si="8"/>
        <v>3008.2058833344304</v>
      </c>
      <c r="J40" s="10">
        <f t="shared" si="6"/>
        <v>2167422079128.2429</v>
      </c>
      <c r="K40" s="11">
        <f t="shared" si="7"/>
        <v>4.3661600000000078E-2</v>
      </c>
    </row>
    <row r="41" spans="1:13" ht="22.5" customHeight="1">
      <c r="A41" s="18">
        <f t="shared" si="0"/>
        <v>1976</v>
      </c>
      <c r="B41" s="18">
        <v>1726</v>
      </c>
      <c r="C41" s="19">
        <f t="shared" si="1"/>
        <v>712452524.34694135</v>
      </c>
      <c r="D41" s="20">
        <v>1.12E-2</v>
      </c>
      <c r="E41" s="19">
        <f t="shared" si="2"/>
        <v>7891088.0861212015</v>
      </c>
      <c r="F41" s="18"/>
      <c r="G41" s="26">
        <v>0.3</v>
      </c>
      <c r="H41" s="10"/>
      <c r="I41" s="10">
        <f t="shared" si="8"/>
        <v>2914.9281815256109</v>
      </c>
      <c r="J41" s="10">
        <f t="shared" si="6"/>
        <v>2076747941217.9607</v>
      </c>
      <c r="K41" s="11">
        <f t="shared" si="7"/>
        <v>1.4233599999999846E-2</v>
      </c>
    </row>
    <row r="42" spans="1:13" ht="22.5" customHeight="1">
      <c r="A42" s="18">
        <f t="shared" si="0"/>
        <v>1975</v>
      </c>
      <c r="B42" s="18">
        <v>1725</v>
      </c>
      <c r="C42" s="19">
        <f t="shared" si="1"/>
        <v>704561436.26082015</v>
      </c>
      <c r="D42" s="20">
        <v>1.11E-2</v>
      </c>
      <c r="E42" s="19">
        <f t="shared" si="2"/>
        <v>7734775.9296758175</v>
      </c>
      <c r="F42" s="18"/>
      <c r="G42" s="26">
        <v>-8.32</v>
      </c>
      <c r="H42" s="10"/>
      <c r="I42" s="10">
        <f t="shared" si="8"/>
        <v>2906.2095528670102</v>
      </c>
      <c r="J42" s="10">
        <f t="shared" si="6"/>
        <v>2047603176642.8967</v>
      </c>
      <c r="K42" s="11">
        <f t="shared" si="7"/>
        <v>-7.3023519999999786E-2</v>
      </c>
      <c r="L42" t="s">
        <v>96</v>
      </c>
      <c r="M42" t="s">
        <v>97</v>
      </c>
    </row>
    <row r="43" spans="1:13" ht="22.5" customHeight="1">
      <c r="A43" s="18">
        <f t="shared" si="0"/>
        <v>1974</v>
      </c>
      <c r="B43" s="18">
        <v>1724</v>
      </c>
      <c r="C43" s="19">
        <f t="shared" si="1"/>
        <v>696826660.33114433</v>
      </c>
      <c r="D43" s="20">
        <v>1.0999999999999999E-2</v>
      </c>
      <c r="E43" s="19">
        <f t="shared" si="2"/>
        <v>7581694.6227917671</v>
      </c>
      <c r="F43" s="18"/>
      <c r="G43" s="26">
        <v>-1.95</v>
      </c>
      <c r="H43" s="10"/>
      <c r="I43" s="10">
        <f t="shared" si="8"/>
        <v>3169.9493377694262</v>
      </c>
      <c r="J43" s="10">
        <f t="shared" si="6"/>
        <v>2208905210456.792</v>
      </c>
      <c r="K43" s="11">
        <f t="shared" si="7"/>
        <v>-8.7145000000000694E-3</v>
      </c>
    </row>
    <row r="44" spans="1:13" ht="22.5" customHeight="1">
      <c r="A44" s="18">
        <f t="shared" si="0"/>
        <v>1973</v>
      </c>
      <c r="B44" s="18">
        <v>1723</v>
      </c>
      <c r="C44" s="19">
        <f t="shared" si="1"/>
        <v>689244965.70835257</v>
      </c>
      <c r="D44" s="20">
        <v>1.0999999999999999E-2</v>
      </c>
      <c r="E44" s="19">
        <f t="shared" si="2"/>
        <v>7499203.3855507374</v>
      </c>
      <c r="F44" s="18"/>
      <c r="G44" s="26">
        <v>5.0999999999999996</v>
      </c>
      <c r="H44" s="10"/>
      <c r="I44" s="10">
        <f t="shared" si="8"/>
        <v>3232.9926953283284</v>
      </c>
      <c r="J44" s="10">
        <f t="shared" si="6"/>
        <v>2228323939426.9282</v>
      </c>
      <c r="K44" s="11">
        <f t="shared" si="7"/>
        <v>6.2560999999999867E-2</v>
      </c>
    </row>
    <row r="45" spans="1:13" ht="22.5" customHeight="1">
      <c r="A45" s="18">
        <f t="shared" si="0"/>
        <v>1972</v>
      </c>
      <c r="B45" s="18">
        <v>1722</v>
      </c>
      <c r="C45" s="19">
        <f t="shared" si="1"/>
        <v>681745762.32280183</v>
      </c>
      <c r="D45" s="20">
        <v>1.0999999999999999E-2</v>
      </c>
      <c r="E45" s="19">
        <f t="shared" si="2"/>
        <v>7417609.6790808439</v>
      </c>
      <c r="F45" s="18"/>
      <c r="G45" s="26">
        <v>6.2</v>
      </c>
      <c r="H45" s="10"/>
      <c r="I45" s="10">
        <f t="shared" si="8"/>
        <v>3076.1110326625389</v>
      </c>
      <c r="J45" s="10">
        <f t="shared" si="6"/>
        <v>2097125660952.1038</v>
      </c>
      <c r="K45" s="11">
        <f t="shared" si="7"/>
        <v>7.3681999999999803E-2</v>
      </c>
    </row>
    <row r="46" spans="1:13" ht="22.5" customHeight="1">
      <c r="A46" s="18">
        <f t="shared" si="0"/>
        <v>1971</v>
      </c>
      <c r="B46" s="18">
        <v>1721</v>
      </c>
      <c r="C46" s="19">
        <f t="shared" si="1"/>
        <v>674328152.64372098</v>
      </c>
      <c r="D46" s="20">
        <v>1.0999999999999999E-2</v>
      </c>
      <c r="E46" s="19">
        <f t="shared" si="2"/>
        <v>7336903.7379633188</v>
      </c>
      <c r="F46" s="18"/>
      <c r="G46" s="26">
        <v>3.3</v>
      </c>
      <c r="H46" s="10"/>
      <c r="I46" s="10">
        <f t="shared" si="8"/>
        <v>2896.5263961040855</v>
      </c>
      <c r="J46" s="10">
        <f t="shared" si="6"/>
        <v>1953209293768.6428</v>
      </c>
      <c r="K46" s="11">
        <f t="shared" si="7"/>
        <v>4.436299999999993E-2</v>
      </c>
    </row>
    <row r="47" spans="1:13" ht="22.5" customHeight="1">
      <c r="A47" s="18">
        <f t="shared" si="0"/>
        <v>1970</v>
      </c>
      <c r="B47" s="18">
        <v>1720</v>
      </c>
      <c r="C47" s="19">
        <f t="shared" si="1"/>
        <v>666991248.90575767</v>
      </c>
      <c r="D47" s="20">
        <v>1.0999999999999999E-2</v>
      </c>
      <c r="E47" s="19">
        <f t="shared" si="2"/>
        <v>7257075.9030299187</v>
      </c>
      <c r="F47" s="18"/>
      <c r="G47" s="26">
        <v>-1.32</v>
      </c>
      <c r="H47" s="10"/>
      <c r="I47" s="10">
        <f t="shared" si="8"/>
        <v>2803.994575124962</v>
      </c>
      <c r="J47" s="10">
        <f t="shared" si="6"/>
        <v>1870239843587.5676</v>
      </c>
      <c r="K47" s="11">
        <f t="shared" si="7"/>
        <v>-2.3452000000002693E-3</v>
      </c>
    </row>
    <row r="48" spans="1:13" ht="22.5" customHeight="1">
      <c r="A48" s="18">
        <f t="shared" si="0"/>
        <v>1969</v>
      </c>
      <c r="B48" s="18">
        <v>1719</v>
      </c>
      <c r="C48" s="19">
        <f t="shared" si="1"/>
        <v>659734173.00272775</v>
      </c>
      <c r="D48" s="20">
        <v>1.0999999999999999E-2</v>
      </c>
      <c r="E48" s="19">
        <f t="shared" si="2"/>
        <v>7178116.6202076674</v>
      </c>
      <c r="F48" s="18"/>
      <c r="G48" s="26">
        <v>1.05</v>
      </c>
      <c r="H48" s="10"/>
      <c r="I48" s="10">
        <f t="shared" si="8"/>
        <v>2841.5024068959892</v>
      </c>
      <c r="J48" s="10">
        <f t="shared" si="6"/>
        <v>1874636240498.7859</v>
      </c>
      <c r="K48" s="11">
        <f t="shared" si="7"/>
        <v>2.1615499999999788E-2</v>
      </c>
    </row>
    <row r="49" spans="1:11" ht="22.5" customHeight="1">
      <c r="A49" s="18">
        <f t="shared" si="0"/>
        <v>1968</v>
      </c>
      <c r="B49" s="18">
        <v>1718</v>
      </c>
      <c r="C49" s="19">
        <f t="shared" si="1"/>
        <v>652556056.38252008</v>
      </c>
      <c r="D49" s="20">
        <v>1.11E-2</v>
      </c>
      <c r="E49" s="19">
        <f t="shared" si="2"/>
        <v>7163853.4525229931</v>
      </c>
      <c r="F49" s="18"/>
      <c r="G49" s="26">
        <v>3.29</v>
      </c>
      <c r="H49" s="10"/>
      <c r="I49" s="10">
        <f t="shared" si="8"/>
        <v>2811.97665204947</v>
      </c>
      <c r="J49" s="10">
        <f t="shared" si="6"/>
        <v>1834972394701.124</v>
      </c>
      <c r="K49" s="11">
        <f t="shared" si="7"/>
        <v>4.4365190000000165E-2</v>
      </c>
    </row>
    <row r="50" spans="1:11" ht="22.5" customHeight="1">
      <c r="A50" s="18">
        <f t="shared" si="0"/>
        <v>1967</v>
      </c>
      <c r="B50" s="18">
        <v>1717</v>
      </c>
      <c r="C50" s="19">
        <f t="shared" si="1"/>
        <v>645392202.92999709</v>
      </c>
      <c r="D50" s="20">
        <v>1.12E-2</v>
      </c>
      <c r="E50" s="19">
        <f t="shared" si="2"/>
        <v>7148331.3615665436</v>
      </c>
      <c r="F50" s="18"/>
      <c r="G50" s="26">
        <v>0.47</v>
      </c>
      <c r="H50" s="10"/>
      <c r="I50" s="10">
        <f t="shared" si="8"/>
        <v>2722.409383337661</v>
      </c>
      <c r="J50" s="10">
        <f t="shared" si="6"/>
        <v>1757021789189.5879</v>
      </c>
      <c r="K50" s="11">
        <f t="shared" si="7"/>
        <v>1.5952640000000073E-2</v>
      </c>
    </row>
    <row r="51" spans="1:11" ht="22.5" customHeight="1">
      <c r="A51" s="18">
        <f t="shared" si="0"/>
        <v>1966</v>
      </c>
      <c r="B51" s="18">
        <v>1716</v>
      </c>
      <c r="C51" s="19">
        <f t="shared" si="1"/>
        <v>638243871.56843054</v>
      </c>
      <c r="D51" s="20">
        <v>1.14E-2</v>
      </c>
      <c r="E51" s="19">
        <f t="shared" si="2"/>
        <v>7193968.8905280828</v>
      </c>
      <c r="F51" s="18"/>
      <c r="G51" s="26">
        <v>4.1500000000000004</v>
      </c>
      <c r="H51" s="10"/>
      <c r="I51" s="10">
        <f t="shared" si="8"/>
        <v>2709.6739159327772</v>
      </c>
      <c r="J51" s="10">
        <f t="shared" si="6"/>
        <v>1729432770792.9258</v>
      </c>
      <c r="K51" s="11">
        <f t="shared" si="7"/>
        <v>5.3373100000000173E-2</v>
      </c>
    </row>
    <row r="52" spans="1:11" ht="22.5" customHeight="1">
      <c r="A52" s="18">
        <f t="shared" si="0"/>
        <v>1965</v>
      </c>
      <c r="B52" s="18">
        <v>1715</v>
      </c>
      <c r="C52" s="19">
        <f t="shared" si="1"/>
        <v>631049902.67790246</v>
      </c>
      <c r="D52" s="20">
        <v>1.17E-2</v>
      </c>
      <c r="E52" s="19">
        <f t="shared" si="2"/>
        <v>7297898.4494726658</v>
      </c>
      <c r="F52" s="18"/>
      <c r="G52" s="26">
        <v>5.53</v>
      </c>
      <c r="H52" s="10"/>
      <c r="I52" s="10">
        <f t="shared" si="8"/>
        <v>2601.7032318125557</v>
      </c>
      <c r="J52" s="10">
        <f t="shared" si="6"/>
        <v>1641804571232.0977</v>
      </c>
      <c r="K52" s="11">
        <f t="shared" si="7"/>
        <v>6.7647009999999952E-2</v>
      </c>
    </row>
    <row r="53" spans="1:11" ht="22.5" customHeight="1">
      <c r="A53" s="18">
        <f t="shared" si="0"/>
        <v>1964</v>
      </c>
      <c r="B53" s="18">
        <v>1714</v>
      </c>
      <c r="C53" s="19">
        <f t="shared" si="1"/>
        <v>623752004.22842979</v>
      </c>
      <c r="D53" s="20">
        <v>1.2E-2</v>
      </c>
      <c r="E53" s="19">
        <f t="shared" si="2"/>
        <v>7396268.824843049</v>
      </c>
      <c r="F53" s="18"/>
      <c r="G53" s="26">
        <v>4.88</v>
      </c>
      <c r="H53" s="10"/>
      <c r="I53" s="10">
        <f t="shared" si="8"/>
        <v>2465.3683614257138</v>
      </c>
      <c r="J53" s="10">
        <f t="shared" si="6"/>
        <v>1537778456600.6489</v>
      </c>
      <c r="K53" s="11">
        <f t="shared" si="7"/>
        <v>6.1385600000000151E-2</v>
      </c>
    </row>
    <row r="54" spans="1:11" ht="22.5" customHeight="1">
      <c r="A54" s="18">
        <f t="shared" si="0"/>
        <v>1963</v>
      </c>
      <c r="B54" s="18">
        <v>1713</v>
      </c>
      <c r="C54" s="19">
        <f t="shared" si="1"/>
        <v>616355735.40358675</v>
      </c>
      <c r="D54" s="20">
        <v>1.23E-2</v>
      </c>
      <c r="E54" s="19">
        <f t="shared" si="2"/>
        <v>7489060.1061583757</v>
      </c>
      <c r="F54" s="18"/>
      <c r="G54" s="26">
        <v>2.31</v>
      </c>
      <c r="H54" s="10"/>
      <c r="I54" s="10">
        <f t="shared" si="8"/>
        <v>2350.65633240438</v>
      </c>
      <c r="J54" s="10">
        <f t="shared" si="6"/>
        <v>1448840512440.1997</v>
      </c>
      <c r="K54" s="11">
        <f t="shared" si="7"/>
        <v>3.5684129999999925E-2</v>
      </c>
    </row>
    <row r="55" spans="1:11" ht="22.5" customHeight="1">
      <c r="A55" s="18">
        <f t="shared" si="0"/>
        <v>1962</v>
      </c>
      <c r="B55" s="18">
        <v>1712</v>
      </c>
      <c r="C55" s="19">
        <f t="shared" si="1"/>
        <v>608866675.29742837</v>
      </c>
      <c r="D55" s="20">
        <v>1.26E-2</v>
      </c>
      <c r="E55" s="19">
        <f t="shared" si="2"/>
        <v>7576259.2422946692</v>
      </c>
      <c r="F55" s="18"/>
      <c r="G55" s="26">
        <v>4.55</v>
      </c>
      <c r="H55" s="10"/>
      <c r="I55" s="10">
        <f t="shared" si="8"/>
        <v>2297.5821839550194</v>
      </c>
      <c r="J55" s="10">
        <f t="shared" si="6"/>
        <v>1398921225567.2971</v>
      </c>
      <c r="K55" s="11">
        <f t="shared" si="7"/>
        <v>5.8673299999999928E-2</v>
      </c>
    </row>
    <row r="56" spans="1:11" ht="22.5" customHeight="1">
      <c r="A56" s="18">
        <f t="shared" si="0"/>
        <v>1961</v>
      </c>
      <c r="B56" s="18">
        <v>1711</v>
      </c>
      <c r="C56" s="19">
        <f t="shared" si="1"/>
        <v>601290416.0551337</v>
      </c>
      <c r="D56" s="20">
        <v>1.2800000000000001E-2</v>
      </c>
      <c r="E56" s="19">
        <f t="shared" si="2"/>
        <v>7599246.9643617868</v>
      </c>
      <c r="F56" s="18"/>
      <c r="G56" s="26">
        <v>4.1900000000000004</v>
      </c>
      <c r="H56" s="10"/>
      <c r="I56" s="10">
        <f t="shared" si="8"/>
        <v>2197.5917589239784</v>
      </c>
      <c r="J56" s="10">
        <f t="shared" si="6"/>
        <v>1321390863042.7322</v>
      </c>
      <c r="K56" s="11">
        <f t="shared" si="7"/>
        <v>5.5236319999999894E-2</v>
      </c>
    </row>
    <row r="57" spans="1:11" ht="22.5" customHeight="1">
      <c r="A57" s="18">
        <f t="shared" si="0"/>
        <v>1960</v>
      </c>
      <c r="B57" s="18">
        <v>1710</v>
      </c>
      <c r="C57" s="19">
        <f t="shared" si="1"/>
        <v>593691169.09077191</v>
      </c>
      <c r="D57" s="20">
        <v>1.2999999999999999E-2</v>
      </c>
      <c r="E57" s="19">
        <f t="shared" si="2"/>
        <v>7618938.9912931919</v>
      </c>
      <c r="F57" s="18"/>
      <c r="G57" s="26">
        <v>4.6399999999999997</v>
      </c>
      <c r="H57" s="10"/>
      <c r="I57" s="10">
        <f t="shared" si="8"/>
        <v>2109.2156242671836</v>
      </c>
      <c r="J57" s="10">
        <f t="shared" si="6"/>
        <v>1252222689835.7065</v>
      </c>
      <c r="K57" s="11">
        <f t="shared" si="7"/>
        <v>6.0003199999999923E-2</v>
      </c>
    </row>
    <row r="58" spans="1:11" ht="22.5" customHeight="1">
      <c r="A58" s="18">
        <f t="shared" si="0"/>
        <v>1959</v>
      </c>
      <c r="B58" s="18">
        <v>1709</v>
      </c>
      <c r="C58" s="19">
        <f t="shared" si="1"/>
        <v>586072230.09947872</v>
      </c>
      <c r="D58" s="20">
        <v>1.32E-2</v>
      </c>
      <c r="E58" s="19">
        <f t="shared" si="2"/>
        <v>7635366.5982167721</v>
      </c>
      <c r="F58" s="18"/>
      <c r="G58" s="26">
        <v>4.6500000000000004</v>
      </c>
      <c r="H58" s="10"/>
      <c r="I58" s="10">
        <f t="shared" si="8"/>
        <v>2015.6877143226143</v>
      </c>
      <c r="J58" s="10">
        <f t="shared" si="6"/>
        <v>1181338593917.1755</v>
      </c>
      <c r="K58" s="11">
        <f t="shared" si="7"/>
        <v>6.0313800000000306E-2</v>
      </c>
    </row>
    <row r="59" spans="1:11" ht="22.5" customHeight="1">
      <c r="A59" s="18">
        <f t="shared" si="0"/>
        <v>1958</v>
      </c>
      <c r="B59" s="18">
        <v>1708</v>
      </c>
      <c r="C59" s="19">
        <f t="shared" si="1"/>
        <v>578436863.50126195</v>
      </c>
      <c r="D59" s="20">
        <v>1.34E-2</v>
      </c>
      <c r="E59" s="19">
        <f t="shared" si="2"/>
        <v>7648563.22371912</v>
      </c>
      <c r="F59" s="18"/>
      <c r="G59" s="26">
        <v>4.1399999999999997</v>
      </c>
      <c r="H59" s="10"/>
      <c r="I59" s="10">
        <f t="shared" si="8"/>
        <v>1926.1229950526654</v>
      </c>
      <c r="J59" s="10">
        <f t="shared" si="6"/>
        <v>1114140543975.9204</v>
      </c>
      <c r="K59" s="11">
        <f t="shared" si="7"/>
        <v>5.5354760000000169E-2</v>
      </c>
    </row>
    <row r="60" spans="1:11" ht="22.5" customHeight="1">
      <c r="A60" s="18">
        <f t="shared" si="0"/>
        <v>1957</v>
      </c>
      <c r="B60" s="18">
        <v>1707</v>
      </c>
      <c r="C60" s="19">
        <f t="shared" si="1"/>
        <v>570788300.27754283</v>
      </c>
      <c r="D60" s="20">
        <v>1.37E-2</v>
      </c>
      <c r="E60" s="19">
        <f t="shared" si="2"/>
        <v>7714116.3202154636</v>
      </c>
      <c r="F60" s="18"/>
      <c r="G60" s="26">
        <v>2.66</v>
      </c>
      <c r="H60" s="10"/>
      <c r="I60" s="10">
        <f t="shared" si="8"/>
        <v>1849.5515604500338</v>
      </c>
      <c r="J60" s="10">
        <f t="shared" si="6"/>
        <v>1055702391464.9518</v>
      </c>
      <c r="K60" s="11">
        <f t="shared" si="7"/>
        <v>4.0664420000000145E-2</v>
      </c>
    </row>
    <row r="61" spans="1:11" ht="22.5" customHeight="1">
      <c r="A61" s="18">
        <f t="shared" si="0"/>
        <v>1956</v>
      </c>
      <c r="B61" s="18">
        <v>1706</v>
      </c>
      <c r="C61" s="19">
        <f t="shared" si="1"/>
        <v>563074183.95732737</v>
      </c>
      <c r="D61" s="20">
        <v>1.4E-2</v>
      </c>
      <c r="E61" s="19">
        <f t="shared" si="2"/>
        <v>7774199.7785035372</v>
      </c>
      <c r="F61" s="18"/>
      <c r="G61" s="26">
        <v>2.4</v>
      </c>
      <c r="H61" s="10"/>
      <c r="I61" s="10">
        <f t="shared" si="8"/>
        <v>1801.6282490259437</v>
      </c>
      <c r="J61" s="10">
        <f t="shared" si="6"/>
        <v>1014450356114.7518</v>
      </c>
      <c r="K61" s="11">
        <f t="shared" si="7"/>
        <v>3.8335999999999926E-2</v>
      </c>
    </row>
    <row r="62" spans="1:11" ht="22.5" customHeight="1">
      <c r="A62" s="18">
        <f t="shared" si="0"/>
        <v>1955</v>
      </c>
      <c r="B62" s="18">
        <v>1705</v>
      </c>
      <c r="C62" s="19">
        <f t="shared" si="1"/>
        <v>555299984.17882383</v>
      </c>
      <c r="D62" s="20">
        <v>1.43E-2</v>
      </c>
      <c r="E62" s="19">
        <f t="shared" si="2"/>
        <v>7828837.3989521265</v>
      </c>
      <c r="F62" s="18"/>
      <c r="G62" s="26">
        <v>2.37</v>
      </c>
      <c r="H62" s="10"/>
      <c r="I62" s="10">
        <f t="shared" si="8"/>
        <v>1759.4025869393981</v>
      </c>
      <c r="J62" s="10">
        <f t="shared" si="6"/>
        <v>976996228691.62952</v>
      </c>
      <c r="K62" s="11">
        <f t="shared" si="7"/>
        <v>3.8338910000000004E-2</v>
      </c>
    </row>
    <row r="63" spans="1:11" ht="22.5" customHeight="1">
      <c r="A63" s="18">
        <f t="shared" si="0"/>
        <v>1954</v>
      </c>
      <c r="B63" s="18">
        <v>1704</v>
      </c>
      <c r="C63" s="19">
        <f t="shared" si="1"/>
        <v>547471146.7798717</v>
      </c>
      <c r="D63" s="20">
        <v>1.4500000000000001E-2</v>
      </c>
      <c r="E63" s="19">
        <f t="shared" si="2"/>
        <v>7824870.9988251925</v>
      </c>
      <c r="F63" s="18"/>
      <c r="G63" s="26">
        <v>1.58</v>
      </c>
      <c r="H63" s="10"/>
      <c r="I63" s="10">
        <f t="shared" si="8"/>
        <v>1718.6701054404591</v>
      </c>
      <c r="J63" s="10">
        <f t="shared" si="6"/>
        <v>940922293561.77112</v>
      </c>
      <c r="K63" s="11">
        <f t="shared" si="7"/>
        <v>3.0529099999999865E-2</v>
      </c>
    </row>
    <row r="64" spans="1:11" ht="22.5" customHeight="1">
      <c r="A64" s="18">
        <f t="shared" si="0"/>
        <v>1953</v>
      </c>
      <c r="B64" s="18">
        <v>1703</v>
      </c>
      <c r="C64" s="19">
        <f t="shared" si="1"/>
        <v>539646275.78104651</v>
      </c>
      <c r="D64" s="20">
        <v>1.47E-2</v>
      </c>
      <c r="E64" s="19">
        <f t="shared" si="2"/>
        <v>7817877.4553871155</v>
      </c>
      <c r="F64" s="18"/>
      <c r="G64" s="26">
        <v>5.66</v>
      </c>
      <c r="H64" s="10"/>
      <c r="I64" s="10">
        <f t="shared" si="8"/>
        <v>1691.9374930502649</v>
      </c>
      <c r="J64" s="10">
        <f t="shared" si="6"/>
        <v>913047766978.89575</v>
      </c>
      <c r="K64" s="11">
        <f t="shared" si="7"/>
        <v>7.2132019999999963E-2</v>
      </c>
    </row>
    <row r="65" spans="1:11" ht="22.5" customHeight="1">
      <c r="A65" s="18">
        <f t="shared" si="0"/>
        <v>1952</v>
      </c>
      <c r="B65" s="18">
        <v>1702</v>
      </c>
      <c r="C65" s="19">
        <f t="shared" si="1"/>
        <v>531828398.32565939</v>
      </c>
      <c r="D65" s="20">
        <v>1.49E-2</v>
      </c>
      <c r="E65" s="19">
        <f t="shared" si="2"/>
        <v>7807905.3454057574</v>
      </c>
      <c r="F65" s="18"/>
      <c r="G65" s="26">
        <v>3.35</v>
      </c>
      <c r="H65" s="10"/>
      <c r="I65" s="10">
        <f t="shared" si="8"/>
        <v>1601.3037034357988</v>
      </c>
      <c r="J65" s="10">
        <f t="shared" si="6"/>
        <v>851618783831.20752</v>
      </c>
      <c r="K65" s="11">
        <f t="shared" si="7"/>
        <v>4.8899150000000002E-2</v>
      </c>
    </row>
    <row r="66" spans="1:11" ht="22.5" customHeight="1">
      <c r="A66" s="18">
        <f t="shared" si="0"/>
        <v>1951</v>
      </c>
      <c r="B66" s="18">
        <v>1701</v>
      </c>
      <c r="C66" s="19">
        <f t="shared" si="1"/>
        <v>524020492.98025364</v>
      </c>
      <c r="D66" s="20">
        <v>1.5100000000000001E-2</v>
      </c>
      <c r="E66" s="19">
        <f t="shared" si="2"/>
        <v>7795004.8704578876</v>
      </c>
      <c r="F66" s="18"/>
      <c r="G66" s="26">
        <v>5</v>
      </c>
      <c r="H66" s="10"/>
      <c r="I66" s="10">
        <f t="shared" si="8"/>
        <v>1549.3988422213822</v>
      </c>
      <c r="J66" s="10">
        <f t="shared" ref="J66" si="9">IF(I66="","",I66*C66)</f>
        <v>811916745123.88293</v>
      </c>
      <c r="K66" s="11">
        <f t="shared" ref="K66" si="10">IFERROR(J66/J67-1,"")</f>
        <v>5.6778995571042934E-2</v>
      </c>
    </row>
    <row r="67" spans="1:11" ht="22.5" customHeight="1">
      <c r="A67" s="18">
        <v>1950</v>
      </c>
      <c r="B67" s="18">
        <v>1700</v>
      </c>
      <c r="C67" s="19">
        <v>516225488.10979575</v>
      </c>
      <c r="D67" s="20">
        <v>1.55E-2</v>
      </c>
      <c r="E67" s="19">
        <v>7879364.9096029997</v>
      </c>
      <c r="F67" s="18"/>
      <c r="G67" s="26">
        <v>9.58</v>
      </c>
      <c r="H67" s="10"/>
      <c r="I67" s="10">
        <v>1488.2910914491131</v>
      </c>
      <c r="J67" s="10">
        <v>768293795132.77905</v>
      </c>
      <c r="K67" s="11">
        <v>0.15127235000000017</v>
      </c>
    </row>
  </sheetData>
  <dataValidations count="1">
    <dataValidation type="custom" allowBlank="1" showDropDown="1" sqref="D2:D67" xr:uid="{00000000-0002-0000-1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M67"/>
  <sheetViews>
    <sheetView topLeftCell="A34" workbookViewId="0">
      <selection activeCell="G65" sqref="G54:G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2020946.7840944673</v>
      </c>
      <c r="D2" s="11">
        <v>-2.8E-3</v>
      </c>
      <c r="E2" s="10">
        <f t="shared" ref="E2:E66" si="2">SUM(C2-C3)</f>
        <v>-5674.5397066432051</v>
      </c>
      <c r="F2" s="14">
        <v>2020940</v>
      </c>
      <c r="G2" s="26">
        <v>5.45</v>
      </c>
      <c r="H2" s="10"/>
      <c r="I2" s="10">
        <f>IF(H2&lt;&gt;"",H2,21584)</f>
        <v>2698</v>
      </c>
      <c r="J2" s="10">
        <f t="shared" ref="J2:J33" si="3">IF(I2="","",I2*C2)</f>
        <v>5452514423.4868727</v>
      </c>
      <c r="K2" s="11">
        <f t="shared" ref="K2:K33" si="4">IFERROR(J2/J3-1,"")</f>
        <v>5.1547400000000021E-2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2026621.3238011105</v>
      </c>
      <c r="D3" s="11">
        <v>-3.0999999999999999E-3</v>
      </c>
      <c r="E3" s="10">
        <f t="shared" si="2"/>
        <v>-6302.0624975257087</v>
      </c>
      <c r="F3" s="3"/>
      <c r="G3" s="26">
        <v>4.08</v>
      </c>
      <c r="H3" s="10"/>
      <c r="I3" s="10">
        <f t="shared" ref="I3:I34" si="5">IF(H3&lt;&gt;"",H3,I2/(1+IF(G2="",0,G2)/100))</f>
        <v>2558.5585585585586</v>
      </c>
      <c r="J3" s="10">
        <f t="shared" si="3"/>
        <v>5185229332.9686069</v>
      </c>
      <c r="K3" s="11">
        <f t="shared" si="4"/>
        <v>3.7573520000000027E-2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2032923.3862986362</v>
      </c>
      <c r="D4" s="11">
        <v>-3.0000000000000001E-3</v>
      </c>
      <c r="E4" s="10">
        <f t="shared" si="2"/>
        <v>-6117.1215234664269</v>
      </c>
      <c r="F4" s="3"/>
      <c r="G4" s="26">
        <v>0.05</v>
      </c>
      <c r="H4" s="10"/>
      <c r="I4" s="10">
        <f t="shared" si="5"/>
        <v>2458.2614897757098</v>
      </c>
      <c r="J4" s="10">
        <f t="shared" si="3"/>
        <v>4997457272.2023659</v>
      </c>
      <c r="K4" s="11">
        <f t="shared" si="4"/>
        <v>-2.5015000000002674E-3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2039040.5078221026</v>
      </c>
      <c r="D5" s="11">
        <v>5.9999999999999995E-4</v>
      </c>
      <c r="E5" s="10">
        <f t="shared" si="2"/>
        <v>1222.690690279007</v>
      </c>
      <c r="F5" s="3"/>
      <c r="G5" s="26">
        <v>0.15</v>
      </c>
      <c r="H5" s="10"/>
      <c r="I5" s="10">
        <f t="shared" si="5"/>
        <v>2457.0329732890655</v>
      </c>
      <c r="J5" s="10">
        <f t="shared" si="3"/>
        <v>5009989761.5909872</v>
      </c>
      <c r="K5" s="11">
        <f t="shared" si="4"/>
        <v>2.1009000000000722E-3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2037817.8171318236</v>
      </c>
      <c r="D6" s="11">
        <v>3.5999999999999999E-3</v>
      </c>
      <c r="E6" s="10">
        <f t="shared" si="2"/>
        <v>7309.8287581454497</v>
      </c>
      <c r="F6" s="3"/>
      <c r="G6" s="26">
        <v>5.45</v>
      </c>
      <c r="H6" s="10"/>
      <c r="I6" s="10">
        <f t="shared" si="5"/>
        <v>2453.3529438732553</v>
      </c>
      <c r="J6" s="10">
        <f t="shared" si="3"/>
        <v>4999486340.737731</v>
      </c>
      <c r="K6" s="11">
        <f t="shared" si="4"/>
        <v>5.8296200000000242E-2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2030507.9883736782</v>
      </c>
      <c r="D7" s="11">
        <v>4.5999999999999999E-3</v>
      </c>
      <c r="E7" s="10">
        <f t="shared" si="2"/>
        <v>9297.567934022285</v>
      </c>
      <c r="F7" s="3"/>
      <c r="G7" s="26">
        <v>4.09</v>
      </c>
      <c r="H7" s="10"/>
      <c r="I7" s="10">
        <f t="shared" si="5"/>
        <v>2326.5556603824139</v>
      </c>
      <c r="J7" s="10">
        <f t="shared" si="3"/>
        <v>4724089853.8024893</v>
      </c>
      <c r="K7" s="11">
        <f t="shared" si="4"/>
        <v>4.5688139999999988E-2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2021210.4204396559</v>
      </c>
      <c r="D8" s="11">
        <v>8.8999999999999999E-3</v>
      </c>
      <c r="E8" s="10">
        <f t="shared" si="2"/>
        <v>17830.084985541413</v>
      </c>
      <c r="F8" s="3"/>
      <c r="G8" s="26">
        <v>-15.14</v>
      </c>
      <c r="H8" s="10"/>
      <c r="I8" s="10">
        <f t="shared" si="5"/>
        <v>2235.1384959000998</v>
      </c>
      <c r="J8" s="10">
        <f t="shared" si="3"/>
        <v>4517685219.0391006</v>
      </c>
      <c r="K8" s="11">
        <f t="shared" si="4"/>
        <v>-0.14384746000000004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2003380.3354541145</v>
      </c>
      <c r="D9" s="11">
        <v>1.6E-2</v>
      </c>
      <c r="E9" s="10">
        <f t="shared" si="2"/>
        <v>31549.296621324727</v>
      </c>
      <c r="F9" s="3"/>
      <c r="G9" s="26">
        <v>2.2400000000000002</v>
      </c>
      <c r="H9" s="10"/>
      <c r="I9" s="10">
        <f t="shared" si="5"/>
        <v>2633.9129105586844</v>
      </c>
      <c r="J9" s="10">
        <f t="shared" si="3"/>
        <v>5276729330.3119802</v>
      </c>
      <c r="K9" s="11">
        <f t="shared" si="4"/>
        <v>3.8758400000000082E-2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1971831.0388327898</v>
      </c>
      <c r="D10" s="11">
        <v>1.8499999999999999E-2</v>
      </c>
      <c r="E10" s="10">
        <f t="shared" si="2"/>
        <v>35816.273164856713</v>
      </c>
      <c r="F10" s="3"/>
      <c r="G10" s="26">
        <v>8.2200000000000006</v>
      </c>
      <c r="H10" s="10"/>
      <c r="I10" s="10">
        <f t="shared" si="5"/>
        <v>2576.2058984337682</v>
      </c>
      <c r="J10" s="10">
        <f t="shared" si="3"/>
        <v>5079842752.9558172</v>
      </c>
      <c r="K10" s="11">
        <f t="shared" si="4"/>
        <v>0.10222069999999972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1936014.765667933</v>
      </c>
      <c r="D11" s="11">
        <v>1.6899999999999998E-2</v>
      </c>
      <c r="E11" s="10">
        <f t="shared" si="2"/>
        <v>32174.893833993468</v>
      </c>
      <c r="F11" s="3"/>
      <c r="G11" s="26">
        <v>7.57</v>
      </c>
      <c r="H11" s="10"/>
      <c r="I11" s="10">
        <f t="shared" si="5"/>
        <v>2380.5266110088414</v>
      </c>
      <c r="J11" s="10">
        <f t="shared" si="3"/>
        <v>4608734668.9785614</v>
      </c>
      <c r="K11" s="11">
        <f t="shared" si="4"/>
        <v>9.3879330000000261E-2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1903839.8718339396</v>
      </c>
      <c r="D12" s="11">
        <v>1.6899999999999998E-2</v>
      </c>
      <c r="E12" s="10">
        <f t="shared" si="2"/>
        <v>31640.174878546037</v>
      </c>
      <c r="F12" s="3"/>
      <c r="G12" s="26">
        <v>3.07</v>
      </c>
      <c r="H12" s="10"/>
      <c r="I12" s="10">
        <f t="shared" si="5"/>
        <v>2213.0023343021671</v>
      </c>
      <c r="J12" s="10">
        <f t="shared" si="3"/>
        <v>4213202080.5060468</v>
      </c>
      <c r="K12" s="11">
        <f t="shared" si="4"/>
        <v>4.8118829999999724E-2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1872199.6969553935</v>
      </c>
      <c r="D13" s="11">
        <v>1.7299999999999999E-2</v>
      </c>
      <c r="E13" s="10">
        <f t="shared" si="2"/>
        <v>31838.25298076123</v>
      </c>
      <c r="F13" s="3"/>
      <c r="G13" s="26">
        <v>11.8</v>
      </c>
      <c r="H13" s="10"/>
      <c r="I13" s="10">
        <f t="shared" si="5"/>
        <v>2147.0867704493717</v>
      </c>
      <c r="J13" s="10">
        <f t="shared" si="3"/>
        <v>4019775200.9722481</v>
      </c>
      <c r="K13" s="11">
        <f t="shared" si="4"/>
        <v>0.13734139999999995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1840361.4439746323</v>
      </c>
      <c r="D14" s="11">
        <v>1.8100000000000002E-2</v>
      </c>
      <c r="E14" s="10">
        <f t="shared" si="2"/>
        <v>32718.340178706218</v>
      </c>
      <c r="F14" s="3"/>
      <c r="G14" s="26">
        <v>9.52</v>
      </c>
      <c r="H14" s="10"/>
      <c r="I14" s="10">
        <f t="shared" si="5"/>
        <v>1920.4711721371839</v>
      </c>
      <c r="J14" s="10">
        <f t="shared" si="3"/>
        <v>3534361099.4660425</v>
      </c>
      <c r="K14" s="11">
        <f t="shared" si="4"/>
        <v>0.11502312000000003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1807643.1037959261</v>
      </c>
      <c r="D15" s="11">
        <v>1.41E-2</v>
      </c>
      <c r="E15" s="10">
        <f t="shared" si="2"/>
        <v>25133.387006727746</v>
      </c>
      <c r="F15" s="3"/>
      <c r="G15" s="26">
        <v>5.34</v>
      </c>
      <c r="H15" s="10"/>
      <c r="I15" s="10">
        <f t="shared" si="5"/>
        <v>1753.5346714181737</v>
      </c>
      <c r="J15" s="10">
        <f t="shared" si="3"/>
        <v>3169764856.0561171</v>
      </c>
      <c r="K15" s="11">
        <f t="shared" si="4"/>
        <v>6.825294000000004E-2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1782509.7167891983</v>
      </c>
      <c r="D16" s="11">
        <v>6.8999999999999999E-3</v>
      </c>
      <c r="E16" s="10">
        <f t="shared" si="2"/>
        <v>12215.033315965207</v>
      </c>
      <c r="F16" s="3"/>
      <c r="G16" s="26">
        <v>8.8000000000000007</v>
      </c>
      <c r="H16" s="10"/>
      <c r="I16" s="10">
        <f t="shared" si="5"/>
        <v>1664.6427486407574</v>
      </c>
      <c r="J16" s="10">
        <f t="shared" si="3"/>
        <v>2967241874.4348292</v>
      </c>
      <c r="K16" s="11">
        <f t="shared" si="4"/>
        <v>9.5507199999999903E-2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1770294.6834732331</v>
      </c>
      <c r="D17" s="11">
        <v>4.4999999999999997E-3</v>
      </c>
      <c r="E17" s="10">
        <f t="shared" si="2"/>
        <v>7930.6382037126459</v>
      </c>
      <c r="F17" s="3"/>
      <c r="G17" s="26">
        <v>5.9</v>
      </c>
      <c r="H17" s="10"/>
      <c r="I17" s="10">
        <f t="shared" si="5"/>
        <v>1530.0025263242255</v>
      </c>
      <c r="J17" s="10">
        <f t="shared" si="3"/>
        <v>2708555338.052392</v>
      </c>
      <c r="K17" s="11">
        <f t="shared" si="4"/>
        <v>6.3765499999999919E-2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1762364.0452695205</v>
      </c>
      <c r="D18" s="11">
        <v>4.1000000000000003E-3</v>
      </c>
      <c r="E18" s="10">
        <f t="shared" si="2"/>
        <v>7196.1882139279041</v>
      </c>
      <c r="F18" s="3"/>
      <c r="G18" s="26">
        <v>-0.2</v>
      </c>
      <c r="H18" s="10"/>
      <c r="I18" s="10">
        <f t="shared" si="5"/>
        <v>1444.7615923741507</v>
      </c>
      <c r="J18" s="10">
        <f t="shared" si="3"/>
        <v>2546195884.3865423</v>
      </c>
      <c r="K18" s="11">
        <f t="shared" si="4"/>
        <v>2.091799999999866E-3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1755167.8570555926</v>
      </c>
      <c r="D19" s="11">
        <v>4.1000000000000003E-3</v>
      </c>
      <c r="E19" s="10">
        <f t="shared" si="2"/>
        <v>7166.8043162312824</v>
      </c>
      <c r="F19" s="3"/>
      <c r="G19" s="26">
        <v>-1.9</v>
      </c>
      <c r="H19" s="10"/>
      <c r="I19" s="10">
        <f t="shared" si="5"/>
        <v>1447.6569061865239</v>
      </c>
      <c r="J19" s="10">
        <f t="shared" si="3"/>
        <v>2540880869.7831302</v>
      </c>
      <c r="K19" s="11">
        <f t="shared" si="4"/>
        <v>-1.4977900000000099E-2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1748001.0527393613</v>
      </c>
      <c r="D20" s="11">
        <v>4.1999999999999997E-3</v>
      </c>
      <c r="E20" s="10">
        <f t="shared" si="2"/>
        <v>7310.8986471870448</v>
      </c>
      <c r="F20" s="3"/>
      <c r="G20" s="26">
        <v>-3</v>
      </c>
      <c r="H20" s="10"/>
      <c r="I20" s="10">
        <f t="shared" si="5"/>
        <v>1475.6951133399837</v>
      </c>
      <c r="J20" s="10">
        <f t="shared" si="3"/>
        <v>2579516611.6406226</v>
      </c>
      <c r="K20" s="11">
        <f t="shared" si="4"/>
        <v>-2.5926000000000116E-2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1740690.1540921743</v>
      </c>
      <c r="D21" s="11">
        <v>4.1999999999999997E-3</v>
      </c>
      <c r="E21" s="10">
        <f t="shared" si="2"/>
        <v>7280.3212977366056</v>
      </c>
      <c r="F21" s="3"/>
      <c r="G21" s="26">
        <v>-10</v>
      </c>
      <c r="H21" s="10"/>
      <c r="I21" s="10">
        <f t="shared" si="5"/>
        <v>1521.3351683917358</v>
      </c>
      <c r="J21" s="10">
        <f t="shared" si="3"/>
        <v>2648173148.6936545</v>
      </c>
      <c r="K21" s="11">
        <f t="shared" si="4"/>
        <v>-9.6219999999999972E-2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1733409.8327944377</v>
      </c>
      <c r="D22" s="11">
        <v>4.4000000000000003E-3</v>
      </c>
      <c r="E22" s="10">
        <f t="shared" si="2"/>
        <v>7593.5914618633687</v>
      </c>
      <c r="F22" s="3"/>
      <c r="G22" s="26">
        <v>-12.2</v>
      </c>
      <c r="H22" s="10"/>
      <c r="I22" s="10">
        <f t="shared" si="5"/>
        <v>1690.3724093241508</v>
      </c>
      <c r="J22" s="10">
        <f t="shared" si="3"/>
        <v>2930108155.4069071</v>
      </c>
      <c r="K22" s="11">
        <f t="shared" si="4"/>
        <v>-0.11813680000000004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1725816.2413325743</v>
      </c>
      <c r="D23" s="11">
        <v>4.7999999999999996E-3</v>
      </c>
      <c r="E23" s="10">
        <f t="shared" si="2"/>
        <v>8244.3451019071508</v>
      </c>
      <c r="F23" s="3"/>
      <c r="G23" s="26">
        <v>-22.9</v>
      </c>
      <c r="H23" s="10"/>
      <c r="I23" s="10">
        <f t="shared" si="5"/>
        <v>1925.2533135810374</v>
      </c>
      <c r="J23" s="10">
        <f t="shared" si="3"/>
        <v>3322633437.2575102</v>
      </c>
      <c r="K23" s="11">
        <f t="shared" si="4"/>
        <v>-0.22529920000000003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1717571.8962306671</v>
      </c>
      <c r="D24" s="11">
        <v>5.1999999999999998E-3</v>
      </c>
      <c r="E24" s="10">
        <f t="shared" si="2"/>
        <v>8885.1709713486489</v>
      </c>
      <c r="F24" s="3"/>
      <c r="G24" s="26">
        <v>-14.2</v>
      </c>
      <c r="H24" s="10"/>
      <c r="I24" s="10">
        <f t="shared" si="5"/>
        <v>2497.0860098327335</v>
      </c>
      <c r="J24" s="10">
        <f t="shared" si="3"/>
        <v>4288924752.9594784</v>
      </c>
      <c r="K24" s="11">
        <f t="shared" si="4"/>
        <v>-0.13753839999999984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1708686.7252593185</v>
      </c>
      <c r="D25" s="11">
        <v>4.8999999999999998E-3</v>
      </c>
      <c r="E25" s="10">
        <f t="shared" si="2"/>
        <v>8331.7394305607304</v>
      </c>
      <c r="F25" s="3"/>
      <c r="G25" s="26">
        <v>-9.9</v>
      </c>
      <c r="H25" s="10"/>
      <c r="I25" s="10">
        <f t="shared" si="5"/>
        <v>2910.3566548167055</v>
      </c>
      <c r="J25" s="10">
        <f t="shared" si="3"/>
        <v>4972887781.8554211</v>
      </c>
      <c r="K25" s="11">
        <f t="shared" si="4"/>
        <v>-9.4585100000000089E-2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1700354.9858287578</v>
      </c>
      <c r="D26" s="11">
        <v>2.5000000000000001E-3</v>
      </c>
      <c r="E26" s="10">
        <f t="shared" si="2"/>
        <v>4240.2867477026302</v>
      </c>
      <c r="F26" s="3"/>
      <c r="G26" s="26">
        <v>-8.6999999999999993</v>
      </c>
      <c r="H26" s="10"/>
      <c r="I26" s="10">
        <f t="shared" si="5"/>
        <v>3230.1405713836907</v>
      </c>
      <c r="J26" s="10">
        <f t="shared" si="3"/>
        <v>5492385625.480011</v>
      </c>
      <c r="K26" s="11">
        <f t="shared" si="4"/>
        <v>-8.4717500000000001E-2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1696114.6990810551</v>
      </c>
      <c r="D27" s="11">
        <v>1E-3</v>
      </c>
      <c r="E27" s="10">
        <f t="shared" si="2"/>
        <v>1694.4202788020484</v>
      </c>
      <c r="F27" s="3"/>
      <c r="G27" s="26">
        <v>-6.35</v>
      </c>
      <c r="H27" s="10"/>
      <c r="I27" s="10">
        <f t="shared" si="5"/>
        <v>3537.941480157383</v>
      </c>
      <c r="J27" s="10">
        <f t="shared" si="3"/>
        <v>6000754548.9835224</v>
      </c>
      <c r="K27" s="11">
        <f t="shared" si="4"/>
        <v>-6.2563500000000105E-2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1694420.2788022531</v>
      </c>
      <c r="D28" s="11">
        <v>1.6000000000000001E-3</v>
      </c>
      <c r="E28" s="10">
        <f t="shared" si="2"/>
        <v>2706.7416594286915</v>
      </c>
      <c r="F28" s="3"/>
      <c r="G28" s="26">
        <v>3.87</v>
      </c>
      <c r="H28" s="10"/>
      <c r="I28" s="10">
        <f t="shared" si="5"/>
        <v>3777.8339350319093</v>
      </c>
      <c r="J28" s="10">
        <f t="shared" si="3"/>
        <v>6401238429.4653807</v>
      </c>
      <c r="K28" s="11">
        <f t="shared" si="4"/>
        <v>4.0361920000000051E-2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1691713.5371428244</v>
      </c>
      <c r="D29" s="11">
        <v>2.0999999999999999E-3</v>
      </c>
      <c r="E29" s="10">
        <f t="shared" si="2"/>
        <v>3545.1536054285243</v>
      </c>
      <c r="F29" s="3"/>
      <c r="G29" s="26">
        <v>2.57</v>
      </c>
      <c r="H29" s="10"/>
      <c r="I29" s="10">
        <f t="shared" si="5"/>
        <v>3637.0789785615766</v>
      </c>
      <c r="J29" s="10">
        <f t="shared" si="3"/>
        <v>6152895743.6902151</v>
      </c>
      <c r="K29" s="11">
        <f t="shared" si="4"/>
        <v>2.7853970000000006E-2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1688168.3835373959</v>
      </c>
      <c r="D30" s="12">
        <v>2.5999999999999999E-3</v>
      </c>
      <c r="E30" s="10">
        <f t="shared" si="2"/>
        <v>4377.8553732268047</v>
      </c>
      <c r="F30" s="3"/>
      <c r="G30" s="29">
        <v>4.12</v>
      </c>
      <c r="H30" s="10"/>
      <c r="I30" s="10">
        <f t="shared" si="5"/>
        <v>3545.9481120810924</v>
      </c>
      <c r="J30" s="10">
        <f t="shared" si="3"/>
        <v>5986157492.4794188</v>
      </c>
      <c r="K30" s="11">
        <f t="shared" si="4"/>
        <v>4.3907119999999855E-2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1683790.5281641691</v>
      </c>
      <c r="D31" s="13">
        <v>3.0000000000000001E-3</v>
      </c>
      <c r="E31" s="10">
        <f t="shared" si="2"/>
        <v>5036.2627961039543</v>
      </c>
      <c r="F31" s="3"/>
      <c r="G31" s="29">
        <v>3.06</v>
      </c>
      <c r="H31" s="10"/>
      <c r="I31" s="10">
        <f t="shared" si="5"/>
        <v>3405.6359124866431</v>
      </c>
      <c r="J31" s="10">
        <f t="shared" si="3"/>
        <v>5734377491.8207464</v>
      </c>
      <c r="K31" s="11">
        <f t="shared" si="4"/>
        <v>3.3691799999999716E-2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1678754.2653680651</v>
      </c>
      <c r="D32" s="12">
        <v>3.5999999999999999E-3</v>
      </c>
      <c r="E32" s="10">
        <f t="shared" si="2"/>
        <v>6021.8367430500221</v>
      </c>
      <c r="F32" s="3"/>
      <c r="G32" s="29">
        <v>5.52</v>
      </c>
      <c r="H32" s="10"/>
      <c r="I32" s="10">
        <f t="shared" si="5"/>
        <v>3304.5176717316544</v>
      </c>
      <c r="J32" s="10">
        <f t="shared" si="3"/>
        <v>5547473136.4036627</v>
      </c>
      <c r="K32" s="11">
        <f t="shared" si="4"/>
        <v>5.8998719999999949E-2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1672732.4286250151</v>
      </c>
      <c r="D33" s="13">
        <v>4.1999999999999997E-3</v>
      </c>
      <c r="E33" s="10">
        <f t="shared" si="2"/>
        <v>6996.0926112576853</v>
      </c>
      <c r="F33" s="3"/>
      <c r="G33" s="29">
        <v>3.5</v>
      </c>
      <c r="H33" s="10"/>
      <c r="I33" s="10">
        <f t="shared" si="5"/>
        <v>3131.6505607767767</v>
      </c>
      <c r="J33" s="10">
        <f t="shared" si="3"/>
        <v>5238413448.133028</v>
      </c>
      <c r="K33" s="11">
        <f t="shared" si="4"/>
        <v>3.9347000000000021E-2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1665736.3360137574</v>
      </c>
      <c r="D34" s="12">
        <v>4.8999999999999998E-3</v>
      </c>
      <c r="E34" s="10">
        <f t="shared" si="2"/>
        <v>8122.3087336723693</v>
      </c>
      <c r="F34" s="3"/>
      <c r="G34" s="29">
        <v>2.45</v>
      </c>
      <c r="H34" s="10"/>
      <c r="I34" s="10">
        <f t="shared" si="5"/>
        <v>3025.7493340838423</v>
      </c>
      <c r="J34" s="10">
        <f t="shared" ref="J34:J65" si="6">IF(I34="","",I34*C34)</f>
        <v>5040100609.4528856</v>
      </c>
      <c r="K34" s="11">
        <f t="shared" ref="K34:K65" si="7">IFERROR(J34/J35-1,"")</f>
        <v>4.258374999999992E-2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1657614.027280085</v>
      </c>
      <c r="D35" s="11">
        <v>6.0000000000000001E-3</v>
      </c>
      <c r="E35" s="10">
        <f t="shared" si="2"/>
        <v>9886.3659678732511</v>
      </c>
      <c r="F35" s="3"/>
      <c r="G35" s="29">
        <v>2.98</v>
      </c>
      <c r="H35" s="10"/>
      <c r="I35" s="10">
        <f t="shared" ref="I35:I66" si="8">IF(H35&lt;&gt;"",H35,I34/(1+IF(G34="",0,G34)/100))</f>
        <v>2916.3849003217756</v>
      </c>
      <c r="J35" s="10">
        <f t="shared" si="6"/>
        <v>4834240519.7212076</v>
      </c>
      <c r="K35" s="11">
        <f t="shared" si="7"/>
        <v>6.3140799999999775E-2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1647727.6613122118</v>
      </c>
      <c r="D36" s="11">
        <v>7.1000000000000004E-3</v>
      </c>
      <c r="E36" s="10">
        <f t="shared" si="2"/>
        <v>11616.390026131412</v>
      </c>
      <c r="F36" s="3"/>
      <c r="G36" s="29">
        <v>-2.36</v>
      </c>
      <c r="H36" s="10"/>
      <c r="I36" s="10">
        <f t="shared" si="8"/>
        <v>2759.637490841953</v>
      </c>
      <c r="J36" s="10">
        <f t="shared" si="6"/>
        <v>4547131028.8545113</v>
      </c>
      <c r="K36" s="11">
        <f t="shared" si="7"/>
        <v>3.1673240000000158E-2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1636111.2712860804</v>
      </c>
      <c r="D37" s="11">
        <v>8.0000000000000002E-3</v>
      </c>
      <c r="E37" s="10">
        <f t="shared" si="2"/>
        <v>12985.010089572053</v>
      </c>
      <c r="F37" s="3"/>
      <c r="G37" s="29">
        <v>-2.51</v>
      </c>
      <c r="H37" s="10"/>
      <c r="I37" s="10">
        <f t="shared" si="8"/>
        <v>2693.9061800487634</v>
      </c>
      <c r="J37" s="10">
        <f t="shared" si="6"/>
        <v>4407530264.9650106</v>
      </c>
      <c r="K37" s="11">
        <f t="shared" si="7"/>
        <v>3.6123200000000022E-2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1623126.2611965083</v>
      </c>
      <c r="D38" s="11">
        <v>8.8000000000000005E-3</v>
      </c>
      <c r="E38" s="10">
        <f t="shared" si="2"/>
        <v>14158.912667059107</v>
      </c>
      <c r="F38" s="3"/>
      <c r="G38" s="29">
        <v>-5.89</v>
      </c>
      <c r="H38" s="10"/>
      <c r="I38" s="10">
        <f t="shared" si="8"/>
        <v>2620.7862438454745</v>
      </c>
      <c r="J38" s="10">
        <f t="shared" si="6"/>
        <v>4253866977.3681455</v>
      </c>
      <c r="K38" s="11">
        <f t="shared" si="7"/>
        <v>-1.3292720000000147E-2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1608967.3485294492</v>
      </c>
      <c r="D39" s="11">
        <v>9.5999999999999992E-3</v>
      </c>
      <c r="E39" s="10">
        <f t="shared" si="2"/>
        <v>15299.21409061295</v>
      </c>
      <c r="F39" s="3"/>
      <c r="G39" s="29">
        <v>4.57</v>
      </c>
      <c r="H39" s="10"/>
      <c r="I39" s="10">
        <f t="shared" si="8"/>
        <v>2679.4665615432723</v>
      </c>
      <c r="J39" s="10">
        <f t="shared" si="6"/>
        <v>4311174208.9995995</v>
      </c>
      <c r="K39" s="11">
        <f t="shared" si="7"/>
        <v>5.5738720000000352E-2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1593668.1344388362</v>
      </c>
      <c r="D40" s="11">
        <v>1.03E-2</v>
      </c>
      <c r="E40" s="10">
        <f t="shared" si="2"/>
        <v>16247.433222527849</v>
      </c>
      <c r="F40" s="3"/>
      <c r="G40" s="29">
        <v>6.17</v>
      </c>
      <c r="H40" s="10"/>
      <c r="I40" s="10">
        <f t="shared" si="8"/>
        <v>2562.3664163175595</v>
      </c>
      <c r="J40" s="10">
        <f t="shared" si="6"/>
        <v>4083561706.4415312</v>
      </c>
      <c r="K40" s="11">
        <f t="shared" si="7"/>
        <v>7.2635509999999792E-2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1577420.7012163084</v>
      </c>
      <c r="D41" s="11">
        <v>1.06E-2</v>
      </c>
      <c r="E41" s="10">
        <f t="shared" si="2"/>
        <v>16545.279470505426</v>
      </c>
      <c r="F41" s="3"/>
      <c r="G41" s="29">
        <v>3.73</v>
      </c>
      <c r="H41" s="10"/>
      <c r="I41" s="10">
        <f t="shared" si="8"/>
        <v>2413.456170592031</v>
      </c>
      <c r="J41" s="10">
        <f t="shared" si="6"/>
        <v>3807035724.970108</v>
      </c>
      <c r="K41" s="11">
        <f t="shared" si="7"/>
        <v>4.829538000000011E-2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1560875.421745803</v>
      </c>
      <c r="D42" s="11">
        <v>1.0800000000000001E-2</v>
      </c>
      <c r="E42" s="10">
        <f t="shared" si="2"/>
        <v>16677.339290516917</v>
      </c>
      <c r="F42" s="3"/>
      <c r="G42" s="29">
        <v>0.06</v>
      </c>
      <c r="H42" s="10"/>
      <c r="I42" s="10">
        <f t="shared" si="8"/>
        <v>2326.671329983641</v>
      </c>
      <c r="J42" s="10">
        <f t="shared" si="6"/>
        <v>3631644093.4520841</v>
      </c>
      <c r="K42" s="11">
        <f t="shared" si="7"/>
        <v>1.1406479999999775E-2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1544198.0824552861</v>
      </c>
      <c r="D43" s="11">
        <v>1.09E-2</v>
      </c>
      <c r="E43" s="10">
        <f t="shared" si="2"/>
        <v>16650.271143300459</v>
      </c>
      <c r="F43" s="3"/>
      <c r="G43" s="29">
        <v>3.31</v>
      </c>
      <c r="H43" s="10"/>
      <c r="I43" s="10">
        <f t="shared" si="8"/>
        <v>2325.2761642850701</v>
      </c>
      <c r="J43" s="10">
        <f t="shared" si="6"/>
        <v>3590686994.0679879</v>
      </c>
      <c r="K43" s="11">
        <f t="shared" si="7"/>
        <v>4.4360789999999817E-2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1527547.8113119856</v>
      </c>
      <c r="D44" s="11">
        <v>1.0999999999999999E-2</v>
      </c>
      <c r="E44" s="10">
        <f t="shared" si="2"/>
        <v>16620.203683908796</v>
      </c>
      <c r="F44" s="3"/>
      <c r="G44" s="29">
        <v>0.23</v>
      </c>
      <c r="H44" s="10"/>
      <c r="I44" s="10">
        <f t="shared" si="8"/>
        <v>2250.7754953877361</v>
      </c>
      <c r="J44" s="10">
        <f t="shared" si="6"/>
        <v>3438167181.7341866</v>
      </c>
      <c r="K44" s="11">
        <f t="shared" si="7"/>
        <v>1.3325299999999984E-2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1510927.6076280768</v>
      </c>
      <c r="D45" s="11">
        <v>1.0999999999999999E-2</v>
      </c>
      <c r="E45" s="10">
        <f t="shared" si="2"/>
        <v>16439.370607229182</v>
      </c>
      <c r="F45" s="3"/>
      <c r="G45" s="29">
        <v>6.85</v>
      </c>
      <c r="H45" s="10"/>
      <c r="I45" s="10">
        <f t="shared" si="8"/>
        <v>2245.6105910283709</v>
      </c>
      <c r="J45" s="10">
        <f t="shared" si="6"/>
        <v>3392955037.9667678</v>
      </c>
      <c r="K45" s="11">
        <f t="shared" si="7"/>
        <v>8.0253499999999978E-2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1494488.2370208476</v>
      </c>
      <c r="D46" s="11">
        <v>1.21E-2</v>
      </c>
      <c r="E46" s="10">
        <f t="shared" si="2"/>
        <v>17867.115569560556</v>
      </c>
      <c r="F46" s="3"/>
      <c r="G46" s="29">
        <v>6.47</v>
      </c>
      <c r="H46" s="10"/>
      <c r="I46" s="10">
        <f t="shared" si="8"/>
        <v>2101.6477220667953</v>
      </c>
      <c r="J46" s="10">
        <f t="shared" si="6"/>
        <v>3140887798.9904852</v>
      </c>
      <c r="K46" s="11">
        <f t="shared" si="7"/>
        <v>7.7582869999999859E-2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1476621.1214512871</v>
      </c>
      <c r="D47" s="11">
        <v>1.11E-2</v>
      </c>
      <c r="E47" s="10">
        <f t="shared" si="2"/>
        <v>16210.557262495859</v>
      </c>
      <c r="F47" s="3"/>
      <c r="G47" s="29">
        <v>5.91</v>
      </c>
      <c r="H47" s="10"/>
      <c r="I47" s="10">
        <f t="shared" si="8"/>
        <v>1973.9341805830707</v>
      </c>
      <c r="J47" s="10">
        <f t="shared" si="6"/>
        <v>2914752903.4036012</v>
      </c>
      <c r="K47" s="11">
        <f t="shared" si="7"/>
        <v>7.0856010000000191E-2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1460410.5641887912</v>
      </c>
      <c r="D48" s="11">
        <v>9.9000000000000008E-3</v>
      </c>
      <c r="E48" s="10">
        <f t="shared" si="2"/>
        <v>14316.332889859565</v>
      </c>
      <c r="F48" s="3"/>
      <c r="G48" s="29">
        <v>5.0999999999999996</v>
      </c>
      <c r="H48" s="10"/>
      <c r="I48" s="10">
        <f t="shared" si="8"/>
        <v>1863.7845157049105</v>
      </c>
      <c r="J48" s="10">
        <f t="shared" si="6"/>
        <v>2721890596.1069412</v>
      </c>
      <c r="K48" s="11">
        <f t="shared" si="7"/>
        <v>6.1404899999999873E-2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1446094.2312989316</v>
      </c>
      <c r="D49" s="11">
        <v>1.3100000000000001E-2</v>
      </c>
      <c r="E49" s="10">
        <f t="shared" si="2"/>
        <v>18698.879113627598</v>
      </c>
      <c r="F49" s="3"/>
      <c r="G49" s="29">
        <v>2.93</v>
      </c>
      <c r="H49" s="10"/>
      <c r="I49" s="10">
        <f t="shared" si="8"/>
        <v>1773.343973077936</v>
      </c>
      <c r="J49" s="10">
        <f t="shared" si="6"/>
        <v>2564422489.5767312</v>
      </c>
      <c r="K49" s="11">
        <f t="shared" si="7"/>
        <v>4.2783830000000078E-2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1427395.352185304</v>
      </c>
      <c r="D50" s="11">
        <v>1.23E-2</v>
      </c>
      <c r="E50" s="10">
        <f t="shared" si="2"/>
        <v>17343.636107753729</v>
      </c>
      <c r="F50" s="3"/>
      <c r="G50" s="29">
        <v>0.55000000000000004</v>
      </c>
      <c r="H50" s="10"/>
      <c r="I50" s="10">
        <f t="shared" si="8"/>
        <v>1722.8640562303856</v>
      </c>
      <c r="J50" s="10">
        <f t="shared" si="6"/>
        <v>2459208146.3103728</v>
      </c>
      <c r="K50" s="11">
        <f t="shared" si="7"/>
        <v>1.7867649999999902E-2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1410051.7160775503</v>
      </c>
      <c r="D51" s="11">
        <v>1.0200000000000001E-2</v>
      </c>
      <c r="E51" s="10">
        <f t="shared" si="2"/>
        <v>14237.306972867809</v>
      </c>
      <c r="F51" s="3"/>
      <c r="G51" s="29">
        <v>3.78</v>
      </c>
      <c r="H51" s="10"/>
      <c r="I51" s="10">
        <f t="shared" si="8"/>
        <v>1713.4401354852168</v>
      </c>
      <c r="J51" s="10">
        <f t="shared" si="6"/>
        <v>2416039203.4370804</v>
      </c>
      <c r="K51" s="11">
        <f t="shared" si="7"/>
        <v>4.8385560000000272E-2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1395814.4091046825</v>
      </c>
      <c r="D52" s="11">
        <v>1.09E-2</v>
      </c>
      <c r="E52" s="10">
        <f t="shared" si="2"/>
        <v>15050.328478821786</v>
      </c>
      <c r="F52" s="3"/>
      <c r="G52" s="29">
        <v>0.6</v>
      </c>
      <c r="H52" s="10"/>
      <c r="I52" s="10">
        <f t="shared" si="8"/>
        <v>1651.0311577232769</v>
      </c>
      <c r="J52" s="10">
        <f t="shared" si="6"/>
        <v>2304533079.8309355</v>
      </c>
      <c r="K52" s="11">
        <f t="shared" si="7"/>
        <v>1.6965399999999908E-2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1380764.0806258607</v>
      </c>
      <c r="D53" s="11">
        <v>9.9000000000000008E-3</v>
      </c>
      <c r="E53" s="10">
        <f t="shared" si="2"/>
        <v>13535.562331117922</v>
      </c>
      <c r="F53" s="3"/>
      <c r="G53" s="29">
        <v>2.31</v>
      </c>
      <c r="H53" s="10"/>
      <c r="I53" s="10">
        <f t="shared" si="8"/>
        <v>1641.1840534028597</v>
      </c>
      <c r="J53" s="10">
        <f t="shared" si="6"/>
        <v>2266087990.6346231</v>
      </c>
      <c r="K53" s="11">
        <f t="shared" si="7"/>
        <v>3.3228689999999839E-2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1367228.5182947428</v>
      </c>
      <c r="D54" s="11">
        <v>8.8000000000000005E-3</v>
      </c>
      <c r="E54" s="10">
        <f t="shared" si="2"/>
        <v>11926.656384807313</v>
      </c>
      <c r="F54" s="3"/>
      <c r="G54" s="29">
        <v>3.29</v>
      </c>
      <c r="H54" s="10"/>
      <c r="I54" s="10">
        <f t="shared" si="8"/>
        <v>1604.1286808746554</v>
      </c>
      <c r="J54" s="10">
        <f t="shared" si="6"/>
        <v>2193210479.5063553</v>
      </c>
      <c r="K54" s="11">
        <f t="shared" si="7"/>
        <v>4.198951999999978E-2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1355301.8619099355</v>
      </c>
      <c r="D55" s="11">
        <v>9.1999999999999998E-3</v>
      </c>
      <c r="E55" s="10">
        <f t="shared" si="2"/>
        <v>12355.110116499709</v>
      </c>
      <c r="F55" s="3"/>
      <c r="G55" s="29">
        <v>0.47</v>
      </c>
      <c r="H55" s="10"/>
      <c r="I55" s="10">
        <f t="shared" si="8"/>
        <v>1553.0338666614923</v>
      </c>
      <c r="J55" s="10">
        <f t="shared" si="6"/>
        <v>2104829691.0955069</v>
      </c>
      <c r="K55" s="11">
        <f t="shared" si="7"/>
        <v>1.3943239999999912E-2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1342946.7517934358</v>
      </c>
      <c r="D56" s="11">
        <v>9.2999999999999992E-3</v>
      </c>
      <c r="E56" s="10">
        <f t="shared" si="2"/>
        <v>12374.323582363082</v>
      </c>
      <c r="F56" s="3"/>
      <c r="G56" s="29">
        <v>4.1500000000000004</v>
      </c>
      <c r="H56" s="10"/>
      <c r="I56" s="10">
        <f t="shared" si="8"/>
        <v>1545.7687535199486</v>
      </c>
      <c r="J56" s="10">
        <f t="shared" si="6"/>
        <v>2075885126.5634031</v>
      </c>
      <c r="K56" s="11">
        <f t="shared" si="7"/>
        <v>5.1185950000000258E-2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1330572.4282110727</v>
      </c>
      <c r="D57" s="11">
        <v>8.9999999999999993E-3</v>
      </c>
      <c r="E57" s="10">
        <f t="shared" si="2"/>
        <v>11868.33682249696</v>
      </c>
      <c r="F57" s="3"/>
      <c r="G57" s="29">
        <v>5.53</v>
      </c>
      <c r="H57" s="10"/>
      <c r="I57" s="10">
        <f t="shared" si="8"/>
        <v>1484.1754714545832</v>
      </c>
      <c r="J57" s="10">
        <f t="shared" si="6"/>
        <v>1974802960.9446385</v>
      </c>
      <c r="K57" s="11">
        <f t="shared" si="7"/>
        <v>6.4797699999999958E-2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1318704.0913885757</v>
      </c>
      <c r="D58" s="11">
        <v>8.5000000000000006E-3</v>
      </c>
      <c r="E58" s="10">
        <f t="shared" si="2"/>
        <v>11114.511429650709</v>
      </c>
      <c r="F58" s="3"/>
      <c r="G58" s="29">
        <v>4.88</v>
      </c>
      <c r="H58" s="10"/>
      <c r="I58" s="10">
        <f t="shared" si="8"/>
        <v>1406.4014701550111</v>
      </c>
      <c r="J58" s="10">
        <f t="shared" si="6"/>
        <v>1854627372.828321</v>
      </c>
      <c r="K58" s="11">
        <f t="shared" si="7"/>
        <v>5.7714799999999844E-2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1307589.579958925</v>
      </c>
      <c r="D59" s="11">
        <v>8.5000000000000006E-3</v>
      </c>
      <c r="E59" s="10">
        <f t="shared" si="2"/>
        <v>11020.834337779786</v>
      </c>
      <c r="F59" s="3"/>
      <c r="G59" s="29">
        <v>2.31</v>
      </c>
      <c r="H59" s="10"/>
      <c r="I59" s="10">
        <f t="shared" si="8"/>
        <v>1340.9625001477987</v>
      </c>
      <c r="J59" s="10">
        <f t="shared" si="6"/>
        <v>1753428592.3089299</v>
      </c>
      <c r="K59" s="11">
        <f t="shared" si="7"/>
        <v>3.1796349999999807E-2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1296568.7456211452</v>
      </c>
      <c r="D60" s="11">
        <v>8.5000000000000006E-3</v>
      </c>
      <c r="E60" s="10">
        <f t="shared" si="2"/>
        <v>10927.946790064219</v>
      </c>
      <c r="F60" s="3"/>
      <c r="G60" s="29">
        <v>4.55</v>
      </c>
      <c r="H60" s="10"/>
      <c r="I60" s="10">
        <f t="shared" si="8"/>
        <v>1310.6856613701484</v>
      </c>
      <c r="J60" s="10">
        <f t="shared" si="6"/>
        <v>1699394063.8663144</v>
      </c>
      <c r="K60" s="11">
        <f t="shared" si="7"/>
        <v>5.438675000000015E-2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1285640.798831081</v>
      </c>
      <c r="D61" s="11">
        <v>8.5000000000000006E-3</v>
      </c>
      <c r="E61" s="10">
        <f t="shared" si="2"/>
        <v>10835.842131942511</v>
      </c>
      <c r="F61" s="3"/>
      <c r="G61" s="29">
        <v>4.1900000000000004</v>
      </c>
      <c r="H61" s="10"/>
      <c r="I61" s="10">
        <f t="shared" si="8"/>
        <v>1253.644821970491</v>
      </c>
      <c r="J61" s="10">
        <f t="shared" si="6"/>
        <v>1611736930.3685904</v>
      </c>
      <c r="K61" s="11">
        <f t="shared" si="7"/>
        <v>5.0756149999999778E-2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1274804.9566991385</v>
      </c>
      <c r="D62" s="11">
        <v>8.5000000000000006E-3</v>
      </c>
      <c r="E62" s="10">
        <f t="shared" si="2"/>
        <v>10744.513764940668</v>
      </c>
      <c r="F62" s="3"/>
      <c r="G62" s="29">
        <v>4.6399999999999997</v>
      </c>
      <c r="H62" s="10"/>
      <c r="I62" s="10">
        <f t="shared" si="8"/>
        <v>1203.2295056823984</v>
      </c>
      <c r="J62" s="10">
        <f t="shared" si="6"/>
        <v>1533882937.8905759</v>
      </c>
      <c r="K62" s="11">
        <f t="shared" si="7"/>
        <v>5.5294399999999966E-2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1264060.4429341978</v>
      </c>
      <c r="D63" s="11">
        <v>8.5000000000000006E-3</v>
      </c>
      <c r="E63" s="10">
        <f t="shared" si="2"/>
        <v>10653.955146197928</v>
      </c>
      <c r="F63" s="3"/>
      <c r="G63" s="29">
        <v>4.6500000000000004</v>
      </c>
      <c r="H63" s="10"/>
      <c r="I63" s="10">
        <f t="shared" si="8"/>
        <v>1149.8752921276744</v>
      </c>
      <c r="J63" s="10">
        <f t="shared" si="6"/>
        <v>1453511871.0859983</v>
      </c>
      <c r="K63" s="11">
        <f t="shared" si="7"/>
        <v>5.5395250000000118E-2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1253406.4877879999</v>
      </c>
      <c r="D64" s="11">
        <v>8.5000000000000006E-3</v>
      </c>
      <c r="E64" s="10">
        <f t="shared" si="2"/>
        <v>10564.159787999932</v>
      </c>
      <c r="F64" s="3"/>
      <c r="G64" s="29">
        <v>4.1399999999999997</v>
      </c>
      <c r="H64" s="10"/>
      <c r="I64" s="10">
        <f t="shared" si="8"/>
        <v>1098.781932276803</v>
      </c>
      <c r="J64" s="10">
        <f t="shared" si="6"/>
        <v>1377220402.5799797</v>
      </c>
      <c r="K64" s="11">
        <f t="shared" si="7"/>
        <v>5.0251899999999905E-2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1242842.328</v>
      </c>
      <c r="D65" s="11">
        <v>8.0000000000000002E-3</v>
      </c>
      <c r="E65" s="10">
        <f t="shared" si="2"/>
        <v>9863.8279999999795</v>
      </c>
      <c r="F65" s="3"/>
      <c r="G65" s="29">
        <v>2.66</v>
      </c>
      <c r="H65" s="10"/>
      <c r="I65" s="10">
        <f t="shared" si="8"/>
        <v>1055.1007607804906</v>
      </c>
      <c r="J65" s="10">
        <f t="shared" si="6"/>
        <v>1311323885.8029962</v>
      </c>
      <c r="K65" s="11">
        <f t="shared" si="7"/>
        <v>3.4812800000000088E-2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1232978.5</v>
      </c>
      <c r="D66" s="11">
        <v>7.4999999999999997E-3</v>
      </c>
      <c r="E66" s="10">
        <f t="shared" si="2"/>
        <v>9178.5</v>
      </c>
      <c r="F66" s="3"/>
      <c r="G66" s="29">
        <v>3.44</v>
      </c>
      <c r="H66" s="10"/>
      <c r="I66" s="10">
        <f t="shared" si="8"/>
        <v>1027.7622840254146</v>
      </c>
      <c r="J66" s="10">
        <f t="shared" ref="J66:J67" si="9">IF(I66="","",I66*C66)</f>
        <v>1267208799.3142297</v>
      </c>
      <c r="K66" s="11">
        <f t="shared" ref="K66" si="10">IFERROR(J66/J67-1,"")</f>
        <v>4.2157999999999918E-2</v>
      </c>
    </row>
    <row r="67" spans="1:11" ht="22.5" customHeight="1">
      <c r="A67" s="3">
        <f t="shared" si="0"/>
        <v>1950</v>
      </c>
      <c r="B67" s="3">
        <v>1700</v>
      </c>
      <c r="C67" s="10">
        <v>1223800</v>
      </c>
      <c r="D67" s="11">
        <v>7.0000000000000001E-3</v>
      </c>
      <c r="E67" s="3" t="s">
        <v>72</v>
      </c>
      <c r="F67" s="3"/>
      <c r="G67" s="29">
        <v>3.6</v>
      </c>
      <c r="H67" s="10"/>
      <c r="I67" s="10">
        <f t="shared" ref="I67" si="11">IF(H67&lt;&gt;"",H67,I66/(1+IF(G66="",0,G66)/100))</f>
        <v>993.58302786679678</v>
      </c>
      <c r="J67" s="10">
        <f t="shared" si="9"/>
        <v>1215946909.503386</v>
      </c>
      <c r="K67" s="11"/>
    </row>
  </sheetData>
  <dataValidations count="1">
    <dataValidation type="custom" allowBlank="1" showDropDown="1" sqref="D2:D67" xr:uid="{00000000-0002-0000-1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67"/>
  <sheetViews>
    <sheetView topLeftCell="A35" workbookViewId="0">
      <selection activeCell="J69" sqref="J6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19679133.337576129</v>
      </c>
      <c r="D2" s="11">
        <v>-3.5999999999999999E-3</v>
      </c>
      <c r="E2" s="10">
        <f t="shared" ref="E2:E66" si="2">SUM(C2-C3)</f>
        <v>-71100.843050256371</v>
      </c>
      <c r="F2" s="14">
        <v>19678480</v>
      </c>
      <c r="G2" s="26">
        <v>4.43</v>
      </c>
      <c r="H2" s="10"/>
      <c r="I2" s="10">
        <f>IF(H2&lt;&gt;"",H2,89840)</f>
        <v>11230</v>
      </c>
      <c r="J2" s="10">
        <f t="shared" ref="J2:J33" si="3">IF(I2="","",I2*C2)</f>
        <v>220996667380.97992</v>
      </c>
      <c r="K2" s="11">
        <f t="shared" ref="K2:K33" si="4">IFERROR(J2/J3-1,"")</f>
        <v>4.0540519999999969E-2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19750234.180626385</v>
      </c>
      <c r="D3" s="11">
        <v>-4.0000000000000001E-3</v>
      </c>
      <c r="E3" s="10">
        <f t="shared" si="2"/>
        <v>-79318.20956074819</v>
      </c>
      <c r="F3" s="3"/>
      <c r="G3" s="26">
        <v>3.92</v>
      </c>
      <c r="H3" s="10"/>
      <c r="I3" s="10">
        <f t="shared" ref="I3:I34" si="5">IF(H3&lt;&gt;"",H3,I2/(1+IF(G2="",0,G2)/100))</f>
        <v>10753.6148616298</v>
      </c>
      <c r="J3" s="10">
        <f t="shared" si="3"/>
        <v>212386411805.45273</v>
      </c>
      <c r="K3" s="11">
        <f t="shared" si="4"/>
        <v>3.504319999999983E-2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19829552.390187133</v>
      </c>
      <c r="D4" s="11">
        <v>-4.7999999999999996E-3</v>
      </c>
      <c r="E4" s="10">
        <f t="shared" si="2"/>
        <v>-95640.927926946431</v>
      </c>
      <c r="F4" s="3"/>
      <c r="G4" s="26">
        <v>0.68</v>
      </c>
      <c r="H4" s="10"/>
      <c r="I4" s="10">
        <f t="shared" si="5"/>
        <v>10347.974270236529</v>
      </c>
      <c r="J4" s="10">
        <f t="shared" si="3"/>
        <v>205195697923.96371</v>
      </c>
      <c r="K4" s="11">
        <f t="shared" si="4"/>
        <v>1.9673599999998626E-3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19925193.31811408</v>
      </c>
      <c r="D5" s="11">
        <v>-5.1999999999999998E-3</v>
      </c>
      <c r="E5" s="10">
        <f t="shared" si="2"/>
        <v>-104152.59876778722</v>
      </c>
      <c r="F5" s="3"/>
      <c r="G5" s="26">
        <v>1.51</v>
      </c>
      <c r="H5" s="10"/>
      <c r="I5" s="10">
        <f t="shared" si="5"/>
        <v>10278.083303770889</v>
      </c>
      <c r="J5" s="10">
        <f t="shared" si="3"/>
        <v>204792796767.31561</v>
      </c>
      <c r="K5" s="11">
        <f t="shared" si="4"/>
        <v>9.821479999999827E-3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20029345.916881867</v>
      </c>
      <c r="D6" s="11">
        <v>-2.8E-3</v>
      </c>
      <c r="E6" s="10">
        <f t="shared" si="2"/>
        <v>-56239.639558032155</v>
      </c>
      <c r="F6" s="3"/>
      <c r="G6" s="26">
        <v>3.26</v>
      </c>
      <c r="H6" s="10"/>
      <c r="I6" s="10">
        <f t="shared" si="5"/>
        <v>10125.192891115053</v>
      </c>
      <c r="J6" s="10">
        <f t="shared" si="3"/>
        <v>202800990891.2966</v>
      </c>
      <c r="K6" s="11">
        <f t="shared" si="4"/>
        <v>2.9708719999999911E-2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20085585.556439899</v>
      </c>
      <c r="D7" s="11">
        <v>-2.3E-3</v>
      </c>
      <c r="E7" s="10">
        <f t="shared" si="2"/>
        <v>-46303.34447209537</v>
      </c>
      <c r="F7" s="3"/>
      <c r="G7" s="26">
        <v>3.17</v>
      </c>
      <c r="H7" s="10"/>
      <c r="I7" s="10">
        <f t="shared" si="5"/>
        <v>9805.5325306169416</v>
      </c>
      <c r="J7" s="10">
        <f t="shared" si="3"/>
        <v>196949862570.16122</v>
      </c>
      <c r="K7" s="11">
        <f t="shared" si="4"/>
        <v>2.9327090000000222E-2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20131888.900911994</v>
      </c>
      <c r="D8" s="11">
        <v>-1.5E-3</v>
      </c>
      <c r="E8" s="10">
        <f t="shared" si="2"/>
        <v>-30243.198148589581</v>
      </c>
      <c r="F8" s="3"/>
      <c r="G8" s="26">
        <v>2.62</v>
      </c>
      <c r="H8" s="10"/>
      <c r="I8" s="10">
        <f t="shared" si="5"/>
        <v>9504.2478730415241</v>
      </c>
      <c r="J8" s="10">
        <f t="shared" si="3"/>
        <v>191338462266.80109</v>
      </c>
      <c r="K8" s="11">
        <f t="shared" si="4"/>
        <v>2.4660700000000091E-2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20162132.099060584</v>
      </c>
      <c r="D9" s="11">
        <v>-1.8E-3</v>
      </c>
      <c r="E9" s="10">
        <f t="shared" si="2"/>
        <v>-36357.280883900821</v>
      </c>
      <c r="F9" s="3"/>
      <c r="G9" s="26">
        <v>4.38</v>
      </c>
      <c r="H9" s="10"/>
      <c r="I9" s="10">
        <f t="shared" si="5"/>
        <v>9261.5941074269376</v>
      </c>
      <c r="J9" s="10">
        <f t="shared" si="3"/>
        <v>186733483841.82303</v>
      </c>
      <c r="K9" s="11">
        <f t="shared" si="4"/>
        <v>4.1921160000000013E-2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20198489.379944485</v>
      </c>
      <c r="D10" s="11">
        <v>-1.5E-3</v>
      </c>
      <c r="E10" s="10">
        <f t="shared" si="2"/>
        <v>-30343.248943328857</v>
      </c>
      <c r="F10" s="3"/>
      <c r="G10" s="26">
        <v>6.76</v>
      </c>
      <c r="H10" s="10"/>
      <c r="I10" s="10">
        <f t="shared" si="5"/>
        <v>8872.9585240725592</v>
      </c>
      <c r="J10" s="10">
        <f t="shared" si="3"/>
        <v>179220358517.16748</v>
      </c>
      <c r="K10" s="11">
        <f t="shared" si="4"/>
        <v>6.5998600000000129E-2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20228832.628887814</v>
      </c>
      <c r="D11" s="11">
        <v>-1.6000000000000001E-3</v>
      </c>
      <c r="E11" s="10">
        <f t="shared" si="2"/>
        <v>-32418.001007832587</v>
      </c>
      <c r="F11" s="3"/>
      <c r="G11" s="26">
        <v>6.2</v>
      </c>
      <c r="H11" s="10"/>
      <c r="I11" s="10">
        <f t="shared" si="5"/>
        <v>8311.1263807348805</v>
      </c>
      <c r="J11" s="10">
        <f t="shared" si="3"/>
        <v>168124384513.42004</v>
      </c>
      <c r="K11" s="11">
        <f t="shared" si="4"/>
        <v>6.0300800000000043E-2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20261250.629895646</v>
      </c>
      <c r="D12" s="11">
        <v>-2E-3</v>
      </c>
      <c r="E12" s="10">
        <f t="shared" si="2"/>
        <v>-40603.708677146584</v>
      </c>
      <c r="F12" s="3"/>
      <c r="G12" s="26">
        <v>3.26</v>
      </c>
      <c r="H12" s="10"/>
      <c r="I12" s="10">
        <f t="shared" si="5"/>
        <v>7825.9193792230508</v>
      </c>
      <c r="J12" s="10">
        <f t="shared" si="3"/>
        <v>158562913951.79559</v>
      </c>
      <c r="K12" s="11">
        <f t="shared" si="4"/>
        <v>3.0534800000000084E-2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20301854.338572793</v>
      </c>
      <c r="D13" s="11">
        <v>-2.2000000000000001E-3</v>
      </c>
      <c r="E13" s="10">
        <f t="shared" si="2"/>
        <v>-44762.557170636952</v>
      </c>
      <c r="F13" s="3"/>
      <c r="G13" s="26">
        <v>5.09</v>
      </c>
      <c r="H13" s="10"/>
      <c r="I13" s="10">
        <f t="shared" si="5"/>
        <v>7578.8489049225755</v>
      </c>
      <c r="J13" s="10">
        <f t="shared" si="3"/>
        <v>153864686521.79004</v>
      </c>
      <c r="K13" s="11">
        <f t="shared" si="4"/>
        <v>4.8588019999999732E-2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20346616.89574343</v>
      </c>
      <c r="D14" s="11">
        <v>-2.8999999999999998E-3</v>
      </c>
      <c r="E14" s="10">
        <f t="shared" si="2"/>
        <v>-59176.80172265321</v>
      </c>
      <c r="F14" s="3"/>
      <c r="G14" s="26">
        <v>3.52</v>
      </c>
      <c r="H14" s="10"/>
      <c r="I14" s="10">
        <f t="shared" si="5"/>
        <v>7211.769821032045</v>
      </c>
      <c r="J14" s="10">
        <f t="shared" si="3"/>
        <v>146735117688.82318</v>
      </c>
      <c r="K14" s="11">
        <f t="shared" si="4"/>
        <v>3.2197919999999769E-2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20405793.697466083</v>
      </c>
      <c r="D15" s="11">
        <v>-2.8E-3</v>
      </c>
      <c r="E15" s="10">
        <f t="shared" si="2"/>
        <v>-57296.652981251478</v>
      </c>
      <c r="F15" s="3"/>
      <c r="G15" s="26">
        <v>1.9</v>
      </c>
      <c r="H15" s="10"/>
      <c r="I15" s="10">
        <f t="shared" si="5"/>
        <v>6966.5473541654228</v>
      </c>
      <c r="J15" s="10">
        <f t="shared" si="3"/>
        <v>142157928092.72781</v>
      </c>
      <c r="K15" s="11">
        <f t="shared" si="4"/>
        <v>1.6146800000000017E-2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20463090.350447334</v>
      </c>
      <c r="D16" s="11">
        <v>-2.3E-3</v>
      </c>
      <c r="E16" s="10">
        <f t="shared" si="2"/>
        <v>-47173.607102364302</v>
      </c>
      <c r="F16" s="3"/>
      <c r="G16" s="26">
        <v>1.23</v>
      </c>
      <c r="H16" s="10"/>
      <c r="I16" s="10">
        <f t="shared" si="5"/>
        <v>6836.6509854420246</v>
      </c>
      <c r="J16" s="10">
        <f t="shared" si="3"/>
        <v>139899006809.57495</v>
      </c>
      <c r="K16" s="11">
        <f t="shared" si="4"/>
        <v>9.971710000000078E-3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20510263.957549699</v>
      </c>
      <c r="D17" s="11">
        <v>-2.5999999999999999E-3</v>
      </c>
      <c r="E17" s="10">
        <f t="shared" si="2"/>
        <v>-53465.697102095932</v>
      </c>
      <c r="F17" s="3"/>
      <c r="G17" s="26">
        <v>4.66</v>
      </c>
      <c r="H17" s="10"/>
      <c r="I17" s="10">
        <f t="shared" si="5"/>
        <v>6753.5819277309347</v>
      </c>
      <c r="J17" s="10">
        <f t="shared" si="3"/>
        <v>138517747996.69879</v>
      </c>
      <c r="K17" s="11">
        <f t="shared" si="4"/>
        <v>4.3878839999999864E-2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20563729.654651795</v>
      </c>
      <c r="D18" s="11">
        <v>-2.8E-3</v>
      </c>
      <c r="E18" s="10">
        <f t="shared" si="2"/>
        <v>-57740.115356020629</v>
      </c>
      <c r="F18" s="3"/>
      <c r="G18" s="26">
        <v>4.7</v>
      </c>
      <c r="H18" s="10"/>
      <c r="I18" s="10">
        <f t="shared" si="5"/>
        <v>6452.8778212602092</v>
      </c>
      <c r="J18" s="10">
        <f t="shared" si="3"/>
        <v>132695235010.89343</v>
      </c>
      <c r="K18" s="11">
        <f t="shared" si="4"/>
        <v>4.4068400000000008E-2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20621469.770007815</v>
      </c>
      <c r="D19" s="11">
        <v>-2.3E-3</v>
      </c>
      <c r="E19" s="10">
        <f t="shared" si="2"/>
        <v>-47538.719525925815</v>
      </c>
      <c r="F19" s="3"/>
      <c r="G19" s="26">
        <v>4.62</v>
      </c>
      <c r="H19" s="10"/>
      <c r="I19" s="10">
        <f t="shared" si="5"/>
        <v>6163.2070881186337</v>
      </c>
      <c r="J19" s="10">
        <f t="shared" si="3"/>
        <v>127094388653.93629</v>
      </c>
      <c r="K19" s="11">
        <f t="shared" si="4"/>
        <v>4.3793740000000136E-2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20669008.489533741</v>
      </c>
      <c r="D20" s="11">
        <v>-2E-3</v>
      </c>
      <c r="E20" s="10">
        <f t="shared" si="2"/>
        <v>-41420.858696460724</v>
      </c>
      <c r="F20" s="3"/>
      <c r="G20" s="26">
        <v>6.36</v>
      </c>
      <c r="H20" s="10"/>
      <c r="I20" s="10">
        <f t="shared" si="5"/>
        <v>5891.0409941871858</v>
      </c>
      <c r="J20" s="10">
        <f t="shared" si="3"/>
        <v>121761976321.04623</v>
      </c>
      <c r="K20" s="11">
        <f t="shared" si="4"/>
        <v>6.1472800000000216E-2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20710429.348230202</v>
      </c>
      <c r="D21" s="11">
        <v>-1.6999999999999999E-3</v>
      </c>
      <c r="E21" s="10">
        <f t="shared" si="2"/>
        <v>-35267.684956416488</v>
      </c>
      <c r="F21" s="3"/>
      <c r="G21" s="26">
        <v>6.09</v>
      </c>
      <c r="H21" s="10"/>
      <c r="I21" s="10">
        <f t="shared" si="5"/>
        <v>5538.7749099164957</v>
      </c>
      <c r="J21" s="10">
        <f t="shared" si="3"/>
        <v>114710406447.57568</v>
      </c>
      <c r="K21" s="11">
        <f t="shared" si="4"/>
        <v>5.9096470000000068E-2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20745697.033186618</v>
      </c>
      <c r="D22" s="11">
        <v>-1.4E-3</v>
      </c>
      <c r="E22" s="10">
        <f t="shared" si="2"/>
        <v>-29084.694418646395</v>
      </c>
      <c r="F22" s="3"/>
      <c r="G22" s="26">
        <v>3.93</v>
      </c>
      <c r="H22" s="10"/>
      <c r="I22" s="10">
        <f t="shared" si="5"/>
        <v>5220.8265716999676</v>
      </c>
      <c r="J22" s="10">
        <f t="shared" si="3"/>
        <v>108309686319.29788</v>
      </c>
      <c r="K22" s="11">
        <f t="shared" si="4"/>
        <v>3.7844979999999806E-2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20774781.727605265</v>
      </c>
      <c r="D23" s="11">
        <v>-1.4E-3</v>
      </c>
      <c r="E23" s="10">
        <f t="shared" si="2"/>
        <v>-29125.470076754689</v>
      </c>
      <c r="F23" s="3"/>
      <c r="G23" s="26">
        <v>5.29</v>
      </c>
      <c r="H23" s="10"/>
      <c r="I23" s="10">
        <f t="shared" si="5"/>
        <v>5023.406688828989</v>
      </c>
      <c r="J23" s="10">
        <f t="shared" si="3"/>
        <v>104360177489.41455</v>
      </c>
      <c r="K23" s="11">
        <f t="shared" si="4"/>
        <v>5.1425939999999892E-2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20803907.197682019</v>
      </c>
      <c r="D24" s="11">
        <v>-1.1000000000000001E-3</v>
      </c>
      <c r="E24" s="10">
        <f t="shared" si="2"/>
        <v>-22909.498365651816</v>
      </c>
      <c r="F24" s="3"/>
      <c r="G24" s="26">
        <v>3.74</v>
      </c>
      <c r="H24" s="10"/>
      <c r="I24" s="10">
        <f t="shared" si="5"/>
        <v>4771.0197443527295</v>
      </c>
      <c r="J24" s="10">
        <f t="shared" si="3"/>
        <v>99255851999.822784</v>
      </c>
      <c r="K24" s="11">
        <f t="shared" si="4"/>
        <v>3.6258860000000004E-2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20826816.696047671</v>
      </c>
      <c r="D25" s="11">
        <v>-4.0000000000000002E-4</v>
      </c>
      <c r="E25" s="10">
        <f t="shared" si="2"/>
        <v>-8334.0603025406599</v>
      </c>
      <c r="F25" s="3"/>
      <c r="G25" s="26">
        <v>2.5099999999999998</v>
      </c>
      <c r="H25" s="10"/>
      <c r="I25" s="10">
        <f t="shared" si="5"/>
        <v>4599.016526270223</v>
      </c>
      <c r="J25" s="10">
        <f t="shared" si="3"/>
        <v>95782874174.723846</v>
      </c>
      <c r="K25" s="11">
        <f t="shared" si="4"/>
        <v>2.46899599999999E-2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20835150.756350212</v>
      </c>
      <c r="D26" s="11">
        <v>-1E-4</v>
      </c>
      <c r="E26" s="10">
        <f t="shared" si="2"/>
        <v>-2083.7234479784966</v>
      </c>
      <c r="F26" s="3"/>
      <c r="G26" s="26">
        <v>-7.02</v>
      </c>
      <c r="H26" s="10"/>
      <c r="I26" s="10">
        <f t="shared" si="5"/>
        <v>4486.4076931716163</v>
      </c>
      <c r="J26" s="10">
        <f t="shared" si="3"/>
        <v>93474980641.680008</v>
      </c>
      <c r="K26" s="11">
        <f t="shared" si="4"/>
        <v>-7.0292979999999949E-2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20837234.47979819</v>
      </c>
      <c r="D27" s="11">
        <v>-1.03E-2</v>
      </c>
      <c r="E27" s="10">
        <f t="shared" si="2"/>
        <v>-216857.14372225851</v>
      </c>
      <c r="F27" s="3"/>
      <c r="G27" s="29">
        <v>3.14</v>
      </c>
      <c r="H27" s="10"/>
      <c r="I27" s="10">
        <f t="shared" si="5"/>
        <v>4825.1319565192689</v>
      </c>
      <c r="J27" s="10">
        <f t="shared" si="3"/>
        <v>100542405973.95941</v>
      </c>
      <c r="K27" s="11">
        <f t="shared" si="4"/>
        <v>2.0776580000000155E-2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21054091.623520449</v>
      </c>
      <c r="D28" s="11">
        <v>-1.09E-2</v>
      </c>
      <c r="E28" s="10">
        <f t="shared" si="2"/>
        <v>-232018.6014522016</v>
      </c>
      <c r="F28" s="3"/>
      <c r="G28" s="29">
        <v>3.47</v>
      </c>
      <c r="H28" s="10"/>
      <c r="I28" s="10">
        <f t="shared" si="5"/>
        <v>4678.2353660260505</v>
      </c>
      <c r="J28" s="10">
        <f t="shared" si="3"/>
        <v>98495996032.706192</v>
      </c>
      <c r="K28" s="11">
        <f t="shared" si="4"/>
        <v>2.3421769999999897E-2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21286110.22497265</v>
      </c>
      <c r="D29" s="11">
        <v>-1.5E-3</v>
      </c>
      <c r="E29" s="10">
        <f t="shared" si="2"/>
        <v>-31977.131034009159</v>
      </c>
      <c r="F29" s="3"/>
      <c r="G29" s="29">
        <v>4.72</v>
      </c>
      <c r="H29" s="10"/>
      <c r="I29" s="10">
        <f t="shared" si="5"/>
        <v>4521.344704770514</v>
      </c>
      <c r="J29" s="10">
        <f t="shared" si="3"/>
        <v>96241841750.841583</v>
      </c>
      <c r="K29" s="11">
        <f t="shared" si="4"/>
        <v>4.5629199999999814E-2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21318087.35600666</v>
      </c>
      <c r="D30" s="12">
        <v>-1.6999999999999999E-3</v>
      </c>
      <c r="E30" s="10">
        <f t="shared" si="2"/>
        <v>-36302.46269178763</v>
      </c>
      <c r="F30" s="3"/>
      <c r="G30" s="29">
        <v>2.31</v>
      </c>
      <c r="H30" s="10"/>
      <c r="I30" s="10">
        <f t="shared" si="5"/>
        <v>4317.5560587953732</v>
      </c>
      <c r="J30" s="10">
        <f t="shared" si="3"/>
        <v>92042037225.855591</v>
      </c>
      <c r="K30" s="11">
        <f t="shared" si="4"/>
        <v>2.1360729999999828E-2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21354389.818698447</v>
      </c>
      <c r="D31" s="13">
        <v>-1.6999999999999999E-3</v>
      </c>
      <c r="E31" s="10">
        <f t="shared" si="2"/>
        <v>-36364.281971137971</v>
      </c>
      <c r="F31" s="3"/>
      <c r="G31" s="29">
        <v>1.82</v>
      </c>
      <c r="H31" s="10"/>
      <c r="I31" s="10">
        <f t="shared" si="5"/>
        <v>4220.072386663448</v>
      </c>
      <c r="J31" s="10">
        <f t="shared" si="3"/>
        <v>90117070807.936386</v>
      </c>
      <c r="K31" s="11">
        <f t="shared" si="4"/>
        <v>1.6469059999999924E-2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21390754.100669585</v>
      </c>
      <c r="D32" s="12">
        <v>-1.8E-3</v>
      </c>
      <c r="E32" s="10">
        <f t="shared" si="2"/>
        <v>-38572.788400325924</v>
      </c>
      <c r="F32" s="3"/>
      <c r="G32" s="29">
        <v>1.65</v>
      </c>
      <c r="H32" s="10"/>
      <c r="I32" s="10">
        <f t="shared" si="5"/>
        <v>4144.6399397598198</v>
      </c>
      <c r="J32" s="10">
        <f t="shared" si="3"/>
        <v>88656973787.216309</v>
      </c>
      <c r="K32" s="11">
        <f t="shared" si="4"/>
        <v>1.4670299999999914E-2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21429326.889069911</v>
      </c>
      <c r="D33" s="13">
        <v>-2E-3</v>
      </c>
      <c r="E33" s="10">
        <f t="shared" si="2"/>
        <v>-42944.542863868177</v>
      </c>
      <c r="F33" s="3"/>
      <c r="G33" s="29">
        <v>2.4700000000000002</v>
      </c>
      <c r="H33" s="10"/>
      <c r="I33" s="10">
        <f t="shared" si="5"/>
        <v>4077.3634429511262</v>
      </c>
      <c r="J33" s="10">
        <f t="shared" si="3"/>
        <v>87375154064.543243</v>
      </c>
      <c r="K33" s="11">
        <f t="shared" si="4"/>
        <v>2.2650599999999965E-2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21472271.431933779</v>
      </c>
      <c r="D34" s="12">
        <v>-1.5E-3</v>
      </c>
      <c r="E34" s="10">
        <f t="shared" si="2"/>
        <v>-32256.792336404324</v>
      </c>
      <c r="F34" s="3"/>
      <c r="G34" s="29">
        <v>-0.99</v>
      </c>
      <c r="H34" s="10"/>
      <c r="I34" s="10">
        <f t="shared" si="5"/>
        <v>3979.0801629268335</v>
      </c>
      <c r="J34" s="10">
        <f t="shared" ref="J34:J65" si="6">IF(I34="","",I34*C34)</f>
        <v>85439889307.788254</v>
      </c>
      <c r="K34" s="11">
        <f t="shared" ref="K34:K65" si="7">IFERROR(J34/J35-1,"")</f>
        <v>1.5953500000001064E-3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21504528.224270184</v>
      </c>
      <c r="D35" s="11">
        <v>-5.9999999999999995E-4</v>
      </c>
      <c r="E35" s="10">
        <f t="shared" si="2"/>
        <v>-12910.463212490082</v>
      </c>
      <c r="F35" s="3"/>
      <c r="G35" s="29">
        <v>-2.11</v>
      </c>
      <c r="H35" s="10"/>
      <c r="I35" s="10">
        <f t="shared" ref="I35:I66" si="8">IF(H35&lt;&gt;"",H35,I34/(1+IF(G34="",0,G34)/100))</f>
        <v>3966.7831352076892</v>
      </c>
      <c r="J35" s="10">
        <f t="shared" si="6"/>
        <v>85303799890.632721</v>
      </c>
      <c r="K35" s="11">
        <f t="shared" si="7"/>
        <v>5.2964600000000583E-3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21517438.687482674</v>
      </c>
      <c r="D36" s="11">
        <v>1E-4</v>
      </c>
      <c r="E36" s="10">
        <f t="shared" si="2"/>
        <v>2151.5287158749998</v>
      </c>
      <c r="F36" s="3"/>
      <c r="G36" s="29">
        <v>-5.08</v>
      </c>
      <c r="H36" s="10"/>
      <c r="I36" s="10">
        <f t="shared" si="8"/>
        <v>3943.5163885154479</v>
      </c>
      <c r="J36" s="10">
        <f t="shared" si="6"/>
        <v>84854372102.964249</v>
      </c>
      <c r="K36" s="11">
        <f t="shared" si="7"/>
        <v>-2.7002800000002214E-3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21515287.158766799</v>
      </c>
      <c r="D37" s="11">
        <v>6.9999999999999999E-4</v>
      </c>
      <c r="E37" s="10">
        <f t="shared" si="2"/>
        <v>15050.165895007551</v>
      </c>
      <c r="F37" s="3"/>
      <c r="G37" s="29">
        <v>-0.86</v>
      </c>
      <c r="H37" s="10"/>
      <c r="I37" s="10">
        <f t="shared" si="8"/>
        <v>3954.58923838292</v>
      </c>
      <c r="J37" s="10">
        <f t="shared" si="6"/>
        <v>85084123058.77742</v>
      </c>
      <c r="K37" s="11">
        <f t="shared" si="7"/>
        <v>4.513107999999999E-2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21500236.992871791</v>
      </c>
      <c r="D38" s="11">
        <v>1.8E-3</v>
      </c>
      <c r="E38" s="10">
        <f t="shared" si="2"/>
        <v>38630.890983399004</v>
      </c>
      <c r="F38" s="3"/>
      <c r="G38" s="29">
        <v>-1.36</v>
      </c>
      <c r="H38" s="10"/>
      <c r="I38" s="10">
        <f t="shared" si="8"/>
        <v>3786.4699716420146</v>
      </c>
      <c r="J38" s="10">
        <f t="shared" si="6"/>
        <v>81410001756.695847</v>
      </c>
      <c r="K38" s="11">
        <f t="shared" si="7"/>
        <v>2.5242120000000146E-2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21461606.101888392</v>
      </c>
      <c r="D39" s="11">
        <v>3.3999999999999998E-3</v>
      </c>
      <c r="E39" s="10">
        <f t="shared" si="2"/>
        <v>72722.205248575658</v>
      </c>
      <c r="F39" s="3"/>
      <c r="G39" s="29">
        <v>2.84</v>
      </c>
      <c r="H39" s="10"/>
      <c r="I39" s="10">
        <f t="shared" si="8"/>
        <v>3699.8924874360114</v>
      </c>
      <c r="J39" s="10">
        <f t="shared" si="6"/>
        <v>79405635184.687729</v>
      </c>
      <c r="K39" s="11">
        <f t="shared" si="7"/>
        <v>3.1896560000000074E-2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21388883.896639816</v>
      </c>
      <c r="D40" s="11">
        <v>4.5999999999999999E-3</v>
      </c>
      <c r="E40" s="10">
        <f t="shared" si="2"/>
        <v>97938.349516764283</v>
      </c>
      <c r="F40" s="3"/>
      <c r="G40" s="29">
        <v>0.63</v>
      </c>
      <c r="H40" s="10"/>
      <c r="I40" s="10">
        <f t="shared" si="8"/>
        <v>3597.7173156709564</v>
      </c>
      <c r="J40" s="10">
        <f t="shared" si="6"/>
        <v>76951157957.816742</v>
      </c>
      <c r="K40" s="11">
        <f t="shared" si="7"/>
        <v>1.0928979999999866E-2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21290945.547123052</v>
      </c>
      <c r="D41" s="11">
        <v>5.4999999999999997E-3</v>
      </c>
      <c r="E41" s="10">
        <f t="shared" si="2"/>
        <v>116459.67231146619</v>
      </c>
      <c r="F41" s="3"/>
      <c r="G41" s="29">
        <v>5.65</v>
      </c>
      <c r="H41" s="10"/>
      <c r="I41" s="10">
        <f t="shared" si="8"/>
        <v>3575.1935960160554</v>
      </c>
      <c r="J41" s="10">
        <f t="shared" si="6"/>
        <v>76119252173.200882</v>
      </c>
      <c r="K41" s="11">
        <f t="shared" si="7"/>
        <v>6.231074999999997E-2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21174485.874811586</v>
      </c>
      <c r="D42" s="11">
        <v>5.8999999999999999E-3</v>
      </c>
      <c r="E42" s="10">
        <f t="shared" si="2"/>
        <v>124196.70609542727</v>
      </c>
      <c r="F42" s="3"/>
      <c r="G42" s="29">
        <v>-1.97</v>
      </c>
      <c r="H42" s="10"/>
      <c r="I42" s="10">
        <f t="shared" si="8"/>
        <v>3383.9977245774307</v>
      </c>
      <c r="J42" s="10">
        <f t="shared" si="6"/>
        <v>71654412019.459351</v>
      </c>
      <c r="K42" s="11">
        <f t="shared" si="7"/>
        <v>-1.3916230000000085E-2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21050289.168716159</v>
      </c>
      <c r="D43" s="11">
        <v>4.4999999999999997E-3</v>
      </c>
      <c r="E43" s="10">
        <f t="shared" si="2"/>
        <v>94301.942517891526</v>
      </c>
      <c r="F43" s="3"/>
      <c r="G43" s="29">
        <v>4.57</v>
      </c>
      <c r="H43" s="10"/>
      <c r="I43" s="10">
        <f t="shared" si="8"/>
        <v>3452.002167272703</v>
      </c>
      <c r="J43" s="10">
        <f t="shared" si="6"/>
        <v>72665643832.12529</v>
      </c>
      <c r="K43" s="11">
        <f t="shared" si="7"/>
        <v>5.040565000000008E-2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20955987.226198267</v>
      </c>
      <c r="D44" s="11">
        <v>3.2000000000000002E-3</v>
      </c>
      <c r="E44" s="10">
        <f t="shared" si="2"/>
        <v>66845.254310045391</v>
      </c>
      <c r="F44" s="3"/>
      <c r="G44" s="29">
        <v>6.38</v>
      </c>
      <c r="H44" s="10"/>
      <c r="I44" s="10">
        <f t="shared" si="8"/>
        <v>3301.1400662452929</v>
      </c>
      <c r="J44" s="10">
        <f t="shared" si="6"/>
        <v>69178649060.127655</v>
      </c>
      <c r="K44" s="11">
        <f t="shared" si="7"/>
        <v>6.7204160000000179E-2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20889141.971888222</v>
      </c>
      <c r="D45" s="11">
        <v>3.0000000000000001E-3</v>
      </c>
      <c r="E45" s="10">
        <f t="shared" si="2"/>
        <v>62479.985957790166</v>
      </c>
      <c r="F45" s="3"/>
      <c r="G45" s="29">
        <v>5.3</v>
      </c>
      <c r="H45" s="10"/>
      <c r="I45" s="10">
        <f t="shared" si="8"/>
        <v>3103.1585507099949</v>
      </c>
      <c r="J45" s="10">
        <f t="shared" si="6"/>
        <v>64822319527.059982</v>
      </c>
      <c r="K45" s="11">
        <f t="shared" si="7"/>
        <v>5.615900000000007E-2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20826661.985930432</v>
      </c>
      <c r="D46" s="11">
        <v>2.8999999999999998E-3</v>
      </c>
      <c r="E46" s="10">
        <f t="shared" si="2"/>
        <v>60222.674004584551</v>
      </c>
      <c r="F46" s="3"/>
      <c r="G46" s="29">
        <v>3.99</v>
      </c>
      <c r="H46" s="10"/>
      <c r="I46" s="10">
        <f t="shared" si="8"/>
        <v>2946.9691839601091</v>
      </c>
      <c r="J46" s="10">
        <f t="shared" si="6"/>
        <v>61375531077.290428</v>
      </c>
      <c r="K46" s="11">
        <f t="shared" si="7"/>
        <v>4.291570999999994E-2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20766439.311925847</v>
      </c>
      <c r="D47" s="11">
        <v>3.8E-3</v>
      </c>
      <c r="E47" s="10">
        <f t="shared" si="2"/>
        <v>78613.737184017897</v>
      </c>
      <c r="F47" s="3"/>
      <c r="G47" s="29">
        <v>6.35</v>
      </c>
      <c r="H47" s="10"/>
      <c r="I47" s="10">
        <f t="shared" si="8"/>
        <v>2833.8967054140871</v>
      </c>
      <c r="J47" s="10">
        <f t="shared" si="6"/>
        <v>58849943949.248238</v>
      </c>
      <c r="K47" s="11">
        <f t="shared" si="7"/>
        <v>6.7541299999999804E-2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20687825.574741829</v>
      </c>
      <c r="D48" s="11">
        <v>4.1999999999999997E-3</v>
      </c>
      <c r="E48" s="10">
        <f t="shared" si="2"/>
        <v>86525.460479900241</v>
      </c>
      <c r="F48" s="3"/>
      <c r="G48" s="29">
        <v>6.63</v>
      </c>
      <c r="H48" s="10"/>
      <c r="I48" s="10">
        <f t="shared" si="8"/>
        <v>2664.6889566658087</v>
      </c>
      <c r="J48" s="10">
        <f t="shared" si="6"/>
        <v>55126620346.443039</v>
      </c>
      <c r="K48" s="11">
        <f t="shared" si="7"/>
        <v>7.0778460000000099E-2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20601300.114261929</v>
      </c>
      <c r="D49" s="11">
        <v>3.8E-3</v>
      </c>
      <c r="E49" s="10">
        <f t="shared" si="2"/>
        <v>77988.583815697581</v>
      </c>
      <c r="F49" s="3"/>
      <c r="G49" s="29">
        <v>4.1900000000000004</v>
      </c>
      <c r="H49" s="10"/>
      <c r="I49" s="10">
        <f t="shared" si="8"/>
        <v>2499.004929818821</v>
      </c>
      <c r="J49" s="10">
        <f t="shared" si="6"/>
        <v>51482750546.217598</v>
      </c>
      <c r="K49" s="11">
        <f t="shared" si="7"/>
        <v>4.5859219999999867E-2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20523311.530446231</v>
      </c>
      <c r="D50" s="11">
        <v>3.7000000000000002E-3</v>
      </c>
      <c r="E50" s="10">
        <f t="shared" si="2"/>
        <v>75656.324262879789</v>
      </c>
      <c r="F50" s="3"/>
      <c r="G50" s="29">
        <v>3.87</v>
      </c>
      <c r="H50" s="10"/>
      <c r="I50" s="10">
        <f t="shared" si="8"/>
        <v>2398.5074669534706</v>
      </c>
      <c r="J50" s="10">
        <f t="shared" si="6"/>
        <v>49225315952.38755</v>
      </c>
      <c r="K50" s="11">
        <f t="shared" si="7"/>
        <v>4.2543190000000175E-2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20447655.206183352</v>
      </c>
      <c r="D51" s="11">
        <v>3.0000000000000001E-3</v>
      </c>
      <c r="E51" s="10">
        <f t="shared" si="2"/>
        <v>61159.487157076597</v>
      </c>
      <c r="F51" s="3"/>
      <c r="G51" s="29">
        <v>3.16</v>
      </c>
      <c r="H51" s="10"/>
      <c r="I51" s="10">
        <f t="shared" si="8"/>
        <v>2309.1436092745457</v>
      </c>
      <c r="J51" s="10">
        <f t="shared" si="6"/>
        <v>47216572344.007683</v>
      </c>
      <c r="K51" s="11">
        <f t="shared" si="7"/>
        <v>3.4694800000000026E-2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20386495.719026275</v>
      </c>
      <c r="D52" s="11">
        <v>2.8E-3</v>
      </c>
      <c r="E52" s="10">
        <f t="shared" si="2"/>
        <v>56922.804161619395</v>
      </c>
      <c r="F52" s="3"/>
      <c r="G52" s="29">
        <v>3.56</v>
      </c>
      <c r="H52" s="10"/>
      <c r="I52" s="10">
        <f t="shared" si="8"/>
        <v>2238.4098577690438</v>
      </c>
      <c r="J52" s="10">
        <f t="shared" si="6"/>
        <v>45633332982.834824</v>
      </c>
      <c r="K52" s="11">
        <f t="shared" si="7"/>
        <v>3.8499680000000147E-2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20329572.914864656</v>
      </c>
      <c r="D53" s="11">
        <v>3.2000000000000002E-3</v>
      </c>
      <c r="E53" s="10">
        <f t="shared" si="2"/>
        <v>64847.122535455972</v>
      </c>
      <c r="F53" s="3"/>
      <c r="G53" s="29">
        <v>6.96</v>
      </c>
      <c r="H53" s="10"/>
      <c r="I53" s="10">
        <f t="shared" si="8"/>
        <v>2161.4618170809613</v>
      </c>
      <c r="J53" s="10">
        <f t="shared" si="6"/>
        <v>43941595613.043251</v>
      </c>
      <c r="K53" s="11">
        <f t="shared" si="7"/>
        <v>7.3022719999999985E-2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20264725.7923292</v>
      </c>
      <c r="D54" s="11">
        <v>2.7000000000000001E-3</v>
      </c>
      <c r="E54" s="10">
        <f t="shared" si="2"/>
        <v>54567.42758480832</v>
      </c>
      <c r="F54" s="3"/>
      <c r="G54" s="29">
        <v>4.3499999999999996</v>
      </c>
      <c r="H54" s="10"/>
      <c r="I54" s="10">
        <f t="shared" si="8"/>
        <v>2020.8132171661944</v>
      </c>
      <c r="J54" s="10">
        <f t="shared" si="6"/>
        <v>40951225723.387527</v>
      </c>
      <c r="K54" s="11">
        <f t="shared" si="7"/>
        <v>4.6317449999999871E-2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20210158.364744391</v>
      </c>
      <c r="D55" s="11">
        <v>3.3E-3</v>
      </c>
      <c r="E55" s="10">
        <f t="shared" si="2"/>
        <v>66474.157882645726</v>
      </c>
      <c r="F55" s="3"/>
      <c r="G55" s="29">
        <v>5.21</v>
      </c>
      <c r="H55" s="10"/>
      <c r="I55" s="10">
        <f t="shared" si="8"/>
        <v>1936.5723211942445</v>
      </c>
      <c r="J55" s="10">
        <f t="shared" si="6"/>
        <v>39138433296.116325</v>
      </c>
      <c r="K55" s="11">
        <f t="shared" si="7"/>
        <v>5.5571930000000158E-2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20143684.206861746</v>
      </c>
      <c r="D56" s="11">
        <v>4.4000000000000003E-3</v>
      </c>
      <c r="E56" s="10">
        <f t="shared" si="2"/>
        <v>88243.937186568975</v>
      </c>
      <c r="F56" s="3"/>
      <c r="G56" s="29">
        <v>4.9800000000000004</v>
      </c>
      <c r="H56" s="10"/>
      <c r="I56" s="10">
        <f t="shared" si="8"/>
        <v>1840.6732451233195</v>
      </c>
      <c r="J56" s="10">
        <f t="shared" si="6"/>
        <v>37077940577.783569</v>
      </c>
      <c r="K56" s="11">
        <f t="shared" si="7"/>
        <v>5.4419119999999932E-2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20055440.269675177</v>
      </c>
      <c r="D57" s="11">
        <v>4.4999999999999997E-3</v>
      </c>
      <c r="E57" s="10">
        <f t="shared" si="2"/>
        <v>89845.177912928164</v>
      </c>
      <c r="F57" s="3"/>
      <c r="G57" s="26">
        <v>5.41</v>
      </c>
      <c r="H57" s="10"/>
      <c r="I57" s="10">
        <f t="shared" si="8"/>
        <v>1753.3561108052195</v>
      </c>
      <c r="J57" s="10">
        <f t="shared" si="6"/>
        <v>35164328751.724052</v>
      </c>
      <c r="K57" s="11">
        <f t="shared" si="7"/>
        <v>5.8843449999999908E-2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19965595.091762248</v>
      </c>
      <c r="D58" s="11">
        <v>5.0000000000000001E-3</v>
      </c>
      <c r="E58" s="10">
        <f t="shared" si="2"/>
        <v>99331.318864487112</v>
      </c>
      <c r="F58" s="3"/>
      <c r="G58" s="26">
        <v>2.9</v>
      </c>
      <c r="H58" s="10"/>
      <c r="I58" s="10">
        <f t="shared" si="8"/>
        <v>1663.3679070346452</v>
      </c>
      <c r="J58" s="10">
        <f t="shared" si="6"/>
        <v>33210130120.485756</v>
      </c>
      <c r="K58" s="11">
        <f t="shared" si="7"/>
        <v>3.414499999999987E-2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19866263.772897761</v>
      </c>
      <c r="D59" s="11">
        <v>5.4999999999999997E-3</v>
      </c>
      <c r="E59" s="10">
        <f t="shared" si="2"/>
        <v>108666.78344200924</v>
      </c>
      <c r="F59" s="3"/>
      <c r="G59" s="26">
        <v>4.8899999999999997</v>
      </c>
      <c r="H59" s="10"/>
      <c r="I59" s="10">
        <f t="shared" si="8"/>
        <v>1616.4897055730275</v>
      </c>
      <c r="J59" s="10">
        <f t="shared" si="6"/>
        <v>32113610877.087605</v>
      </c>
      <c r="K59" s="11">
        <f t="shared" si="7"/>
        <v>5.466895000000016E-2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19757596.989455752</v>
      </c>
      <c r="D60" s="11">
        <v>3.0000000000000001E-3</v>
      </c>
      <c r="E60" s="10">
        <f t="shared" si="2"/>
        <v>59095.504455000162</v>
      </c>
      <c r="F60" s="3"/>
      <c r="G60" s="26">
        <v>5.25</v>
      </c>
      <c r="H60" s="10"/>
      <c r="I60" s="10">
        <f t="shared" si="8"/>
        <v>1541.1285209009702</v>
      </c>
      <c r="J60" s="10">
        <f t="shared" si="6"/>
        <v>30448996224.917404</v>
      </c>
      <c r="K60" s="11">
        <f t="shared" si="7"/>
        <v>5.5657499999999915E-2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19698501.485000752</v>
      </c>
      <c r="D61" s="11">
        <v>-1.4999999999999999E-2</v>
      </c>
      <c r="E61" s="10">
        <f t="shared" si="2"/>
        <v>-299977.17997463048</v>
      </c>
      <c r="F61" s="3"/>
      <c r="G61" s="26">
        <v>4.46</v>
      </c>
      <c r="H61" s="10"/>
      <c r="I61" s="10">
        <f t="shared" si="8"/>
        <v>1464.255126746765</v>
      </c>
      <c r="J61" s="10">
        <f t="shared" si="6"/>
        <v>28843631788.641113</v>
      </c>
      <c r="K61" s="11">
        <f t="shared" si="7"/>
        <v>2.893100000000004E-2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19998478.664975382</v>
      </c>
      <c r="D62" s="11">
        <v>1.2999999999999999E-2</v>
      </c>
      <c r="E62" s="10">
        <f t="shared" si="2"/>
        <v>256643.85256138071</v>
      </c>
      <c r="F62" s="3"/>
      <c r="G62" s="26">
        <v>4.8600000000000003</v>
      </c>
      <c r="H62" s="10"/>
      <c r="I62" s="10">
        <f t="shared" si="8"/>
        <v>1401.7376285149962</v>
      </c>
      <c r="J62" s="10">
        <f t="shared" si="6"/>
        <v>28032620057.75034</v>
      </c>
      <c r="K62" s="11">
        <f t="shared" si="7"/>
        <v>6.2231799999999948E-2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19741834.812414002</v>
      </c>
      <c r="D63" s="11">
        <v>1.4E-2</v>
      </c>
      <c r="E63" s="10">
        <f t="shared" si="2"/>
        <v>272569.71141400188</v>
      </c>
      <c r="F63" s="3"/>
      <c r="G63" s="26">
        <v>5.67</v>
      </c>
      <c r="H63" s="10"/>
      <c r="I63" s="10">
        <f t="shared" si="8"/>
        <v>1336.7705784045359</v>
      </c>
      <c r="J63" s="10">
        <f t="shared" si="6"/>
        <v>26390303940.957466</v>
      </c>
      <c r="K63" s="11">
        <f t="shared" si="7"/>
        <v>7.1493800000000052E-2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19469265.101</v>
      </c>
      <c r="D64" s="11">
        <v>1.2E-2</v>
      </c>
      <c r="E64" s="10">
        <f t="shared" si="2"/>
        <v>230860.85099999979</v>
      </c>
      <c r="F64" s="3"/>
      <c r="G64" s="26">
        <v>5.84</v>
      </c>
      <c r="H64" s="10"/>
      <c r="I64" s="10">
        <f t="shared" si="8"/>
        <v>1265.042659604936</v>
      </c>
      <c r="J64" s="10">
        <f t="shared" si="6"/>
        <v>24629450903.922604</v>
      </c>
      <c r="K64" s="11">
        <f t="shared" si="7"/>
        <v>7.1100799999999964E-2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19238404.25</v>
      </c>
      <c r="D65" s="11">
        <v>1.0500000000000001E-2</v>
      </c>
      <c r="E65" s="10">
        <f t="shared" si="2"/>
        <v>199904.25</v>
      </c>
      <c r="F65" s="3"/>
      <c r="G65" s="26">
        <v>2.29</v>
      </c>
      <c r="H65" s="10"/>
      <c r="I65" s="10">
        <f t="shared" si="8"/>
        <v>1195.2406080923431</v>
      </c>
      <c r="J65" s="10">
        <f t="shared" si="6"/>
        <v>22994521994.496319</v>
      </c>
      <c r="K65" s="11">
        <f t="shared" si="7"/>
        <v>3.3640449999999822E-2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19038500</v>
      </c>
      <c r="D66" s="11">
        <v>0.01</v>
      </c>
      <c r="E66" s="10">
        <f t="shared" si="2"/>
        <v>188500</v>
      </c>
      <c r="F66" s="3"/>
      <c r="G66" s="26">
        <v>4.4000000000000004</v>
      </c>
      <c r="H66" s="10"/>
      <c r="I66" s="10">
        <f t="shared" si="8"/>
        <v>1168.4823620024863</v>
      </c>
      <c r="J66" s="10">
        <f t="shared" ref="J66:J67" si="9">IF(I66="","",I66*C66)</f>
        <v>22246151448.984337</v>
      </c>
      <c r="K66" s="11">
        <f t="shared" ref="K66" si="10">IFERROR(J66/J67-1,"")</f>
        <v>5.4440000000000266E-2</v>
      </c>
    </row>
    <row r="67" spans="1:11" ht="22.5" customHeight="1">
      <c r="A67" s="3">
        <f t="shared" si="0"/>
        <v>1950</v>
      </c>
      <c r="B67" s="3">
        <v>1700</v>
      </c>
      <c r="C67" s="10">
        <v>18850000</v>
      </c>
      <c r="D67" s="11">
        <v>9.4999999999999998E-3</v>
      </c>
      <c r="E67" s="3" t="s">
        <v>72</v>
      </c>
      <c r="F67" s="3"/>
      <c r="G67" s="26">
        <v>9.25</v>
      </c>
      <c r="H67" s="10"/>
      <c r="I67" s="10">
        <f t="shared" ref="I67" si="11">IF(H67&lt;&gt;"",H67,I66/(1+IF(G66="",0,G66)/100))</f>
        <v>1119.2359789295845</v>
      </c>
      <c r="J67" s="10">
        <f t="shared" si="9"/>
        <v>21097598202.822666</v>
      </c>
      <c r="K67" s="11"/>
    </row>
  </sheetData>
  <dataValidations count="1">
    <dataValidation type="custom" allowBlank="1" showDropDown="1" sqref="D2:D67" xr:uid="{00000000-0002-0000-1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M67"/>
  <sheetViews>
    <sheetView topLeftCell="A36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29181367.652544163</v>
      </c>
      <c r="D2" s="11">
        <v>2.06E-2</v>
      </c>
      <c r="E2" s="10">
        <f t="shared" ref="E2:E66" si="2">SUM(C2-C3)</f>
        <v>589002.71765863895</v>
      </c>
      <c r="F2" s="14">
        <v>29182698</v>
      </c>
      <c r="G2" s="26">
        <v>1.59</v>
      </c>
      <c r="H2" s="10"/>
      <c r="I2" s="10">
        <f>IF(H2&lt;&gt;"",H2,112384)</f>
        <v>14048</v>
      </c>
      <c r="J2" s="10">
        <f t="shared" ref="J2:J33" si="3">IF(I2="","",I2*C2)</f>
        <v>409939852782.94043</v>
      </c>
      <c r="K2" s="11">
        <f t="shared" ref="K2:K33" si="4">IFERROR(J2/J3-1,"")</f>
        <v>3.6827539999999992E-2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28592364.934885524</v>
      </c>
      <c r="D3" s="11">
        <v>2.0400000000000001E-2</v>
      </c>
      <c r="E3" s="10">
        <f t="shared" si="2"/>
        <v>571623.13276329264</v>
      </c>
      <c r="F3" s="3"/>
      <c r="G3" s="26">
        <v>0.74</v>
      </c>
      <c r="H3" s="10"/>
      <c r="I3" s="10">
        <f t="shared" ref="I3:I34" si="5">IF(H3&lt;&gt;"",H3,I2/(1+IF(G2="",0,G2)/100))</f>
        <v>13828.132690225415</v>
      </c>
      <c r="J3" s="10">
        <f t="shared" si="3"/>
        <v>395379016246.94537</v>
      </c>
      <c r="K3" s="11">
        <f t="shared" si="4"/>
        <v>2.795096000000008E-2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28020741.802122232</v>
      </c>
      <c r="D4" s="11">
        <v>2.0199999999999999E-2</v>
      </c>
      <c r="E4" s="10">
        <f t="shared" si="2"/>
        <v>554811.7863192223</v>
      </c>
      <c r="F4" s="3"/>
      <c r="G4" s="26">
        <v>-0.98</v>
      </c>
      <c r="H4" s="10"/>
      <c r="I4" s="10">
        <f t="shared" si="5"/>
        <v>13726.556174533864</v>
      </c>
      <c r="J4" s="10">
        <f t="shared" si="3"/>
        <v>384628286398.94006</v>
      </c>
      <c r="K4" s="11">
        <f t="shared" si="4"/>
        <v>1.0202040000000245E-2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27465930.015803009</v>
      </c>
      <c r="D5" s="11">
        <v>1.9900000000000001E-2</v>
      </c>
      <c r="E5" s="10">
        <f t="shared" si="2"/>
        <v>535907.44907783344</v>
      </c>
      <c r="F5" s="3"/>
      <c r="G5" s="26">
        <v>-4.05</v>
      </c>
      <c r="H5" s="10"/>
      <c r="I5" s="10">
        <f t="shared" si="5"/>
        <v>13862.407770686592</v>
      </c>
      <c r="J5" s="10">
        <f t="shared" si="3"/>
        <v>380743921680.20172</v>
      </c>
      <c r="K5" s="11">
        <f t="shared" si="4"/>
        <v>-2.1405949999999896E-2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26930022.566725176</v>
      </c>
      <c r="D6" s="11">
        <v>1.9599999999999999E-2</v>
      </c>
      <c r="E6" s="10">
        <f t="shared" si="2"/>
        <v>517681.87750864401</v>
      </c>
      <c r="F6" s="3"/>
      <c r="G6" s="26">
        <v>-1.71</v>
      </c>
      <c r="H6" s="10"/>
      <c r="I6" s="10">
        <f t="shared" si="5"/>
        <v>14447.532851158512</v>
      </c>
      <c r="J6" s="10">
        <f t="shared" si="3"/>
        <v>389072385715.20203</v>
      </c>
      <c r="K6" s="11">
        <f t="shared" si="4"/>
        <v>2.1648399999998347E-3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26412340.689216532</v>
      </c>
      <c r="D7" s="11">
        <v>1.95E-2</v>
      </c>
      <c r="E7" s="10">
        <f t="shared" si="2"/>
        <v>505189.44918069988</v>
      </c>
      <c r="F7" s="3"/>
      <c r="G7" s="26">
        <v>1.74</v>
      </c>
      <c r="H7" s="10"/>
      <c r="I7" s="10">
        <f t="shared" si="5"/>
        <v>14698.883763514612</v>
      </c>
      <c r="J7" s="10">
        <f t="shared" si="3"/>
        <v>388231925713.14124</v>
      </c>
      <c r="K7" s="11">
        <f t="shared" si="4"/>
        <v>3.7239300000000197E-2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25907151.240035832</v>
      </c>
      <c r="D8" s="11">
        <v>1.9199999999999998E-2</v>
      </c>
      <c r="E8" s="10">
        <f t="shared" si="2"/>
        <v>488046.80514981598</v>
      </c>
      <c r="F8" s="3"/>
      <c r="G8" s="26">
        <v>-3.12</v>
      </c>
      <c r="H8" s="10"/>
      <c r="I8" s="10">
        <f t="shared" si="5"/>
        <v>14447.497310315128</v>
      </c>
      <c r="J8" s="10">
        <f t="shared" si="3"/>
        <v>374293497858.34491</v>
      </c>
      <c r="K8" s="11">
        <f t="shared" si="4"/>
        <v>-1.2599039999999895E-2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25419104.434886016</v>
      </c>
      <c r="D9" s="11">
        <v>1.8200000000000001E-2</v>
      </c>
      <c r="E9" s="10">
        <f t="shared" si="2"/>
        <v>454358.37823111936</v>
      </c>
      <c r="F9" s="3"/>
      <c r="G9" s="26">
        <v>0.32</v>
      </c>
      <c r="H9" s="10"/>
      <c r="I9" s="10">
        <f t="shared" si="5"/>
        <v>14912.77591898754</v>
      </c>
      <c r="J9" s="10">
        <f t="shared" si="3"/>
        <v>379069408498.79755</v>
      </c>
      <c r="K9" s="11">
        <f t="shared" si="4"/>
        <v>2.1458240000000073E-2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24964746.056654897</v>
      </c>
      <c r="D10" s="11">
        <v>1.67E-2</v>
      </c>
      <c r="E10" s="10">
        <f t="shared" si="2"/>
        <v>410063.20364525914</v>
      </c>
      <c r="F10" s="3"/>
      <c r="G10" s="26">
        <v>2.5099999999999998</v>
      </c>
      <c r="H10" s="10"/>
      <c r="I10" s="10">
        <f t="shared" si="5"/>
        <v>14865.207255769077</v>
      </c>
      <c r="J10" s="10">
        <f t="shared" si="3"/>
        <v>371106124219.81885</v>
      </c>
      <c r="K10" s="11">
        <f t="shared" si="4"/>
        <v>4.2219169999999862E-2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24554682.853009637</v>
      </c>
      <c r="D11" s="11">
        <v>1.54E-2</v>
      </c>
      <c r="E11" s="10">
        <f t="shared" si="2"/>
        <v>372407.04740629345</v>
      </c>
      <c r="F11" s="3"/>
      <c r="G11" s="26">
        <v>1.63</v>
      </c>
      <c r="H11" s="10"/>
      <c r="I11" s="10">
        <f t="shared" si="5"/>
        <v>14501.226471338483</v>
      </c>
      <c r="J11" s="10">
        <f t="shared" si="3"/>
        <v>356073016983.38452</v>
      </c>
      <c r="K11" s="11">
        <f t="shared" si="4"/>
        <v>3.1951020000000163E-2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24182275.805603344</v>
      </c>
      <c r="D12" s="11">
        <v>1.46E-2</v>
      </c>
      <c r="E12" s="10">
        <f t="shared" si="2"/>
        <v>347980.70841889083</v>
      </c>
      <c r="F12" s="3"/>
      <c r="G12" s="26">
        <v>0.78</v>
      </c>
      <c r="H12" s="10"/>
      <c r="I12" s="10">
        <f t="shared" si="5"/>
        <v>14268.647516814408</v>
      </c>
      <c r="J12" s="10">
        <f t="shared" si="3"/>
        <v>345048369624.54327</v>
      </c>
      <c r="K12" s="11">
        <f t="shared" si="4"/>
        <v>2.2513879999999986E-2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23834295.097184453</v>
      </c>
      <c r="D13" s="11">
        <v>1.4E-2</v>
      </c>
      <c r="E13" s="10">
        <f t="shared" si="2"/>
        <v>329073.10785067454</v>
      </c>
      <c r="F13" s="3"/>
      <c r="G13" s="26">
        <v>1.79</v>
      </c>
      <c r="H13" s="10"/>
      <c r="I13" s="10">
        <f t="shared" si="5"/>
        <v>14158.213451889667</v>
      </c>
      <c r="J13" s="10">
        <f t="shared" si="3"/>
        <v>337451037461.26489</v>
      </c>
      <c r="K13" s="11">
        <f t="shared" si="4"/>
        <v>3.2150600000000029E-2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23505221.989333779</v>
      </c>
      <c r="D14" s="11">
        <v>1.3299999999999999E-2</v>
      </c>
      <c r="E14" s="10">
        <f t="shared" si="2"/>
        <v>308516.18716879562</v>
      </c>
      <c r="F14" s="3"/>
      <c r="G14" s="26">
        <v>-0.93</v>
      </c>
      <c r="H14" s="10"/>
      <c r="I14" s="10">
        <f t="shared" si="5"/>
        <v>13909.238090077284</v>
      </c>
      <c r="J14" s="10">
        <f t="shared" si="3"/>
        <v>326939729009.76355</v>
      </c>
      <c r="K14" s="11">
        <f t="shared" si="4"/>
        <v>3.8763099999998829E-3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23196705.802164983</v>
      </c>
      <c r="D15" s="11">
        <v>1.3299999999999999E-2</v>
      </c>
      <c r="E15" s="10">
        <f t="shared" si="2"/>
        <v>304466.77900798991</v>
      </c>
      <c r="F15" s="3"/>
      <c r="G15" s="26">
        <v>0.77</v>
      </c>
      <c r="H15" s="10"/>
      <c r="I15" s="10">
        <f t="shared" si="5"/>
        <v>14039.808307335505</v>
      </c>
      <c r="J15" s="10">
        <f t="shared" si="3"/>
        <v>325677302824.05365</v>
      </c>
      <c r="K15" s="11">
        <f t="shared" si="4"/>
        <v>2.1102410000000349E-2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22892239.023156993</v>
      </c>
      <c r="D16" s="11">
        <v>1.37E-2</v>
      </c>
      <c r="E16" s="10">
        <f t="shared" si="2"/>
        <v>309385.09876418114</v>
      </c>
      <c r="F16" s="3"/>
      <c r="G16" s="26">
        <v>1.94</v>
      </c>
      <c r="H16" s="10"/>
      <c r="I16" s="10">
        <f t="shared" si="5"/>
        <v>13932.527842944828</v>
      </c>
      <c r="J16" s="10">
        <f t="shared" si="3"/>
        <v>318946757577.48291</v>
      </c>
      <c r="K16" s="11">
        <f t="shared" si="4"/>
        <v>3.3365780000000012E-2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22582853.924392812</v>
      </c>
      <c r="D17" s="11">
        <v>1.4E-2</v>
      </c>
      <c r="E17" s="10">
        <f t="shared" si="2"/>
        <v>311794.82735848054</v>
      </c>
      <c r="F17" s="3"/>
      <c r="G17" s="26">
        <v>3.82</v>
      </c>
      <c r="H17" s="10"/>
      <c r="I17" s="10">
        <f t="shared" si="5"/>
        <v>13667.380658176209</v>
      </c>
      <c r="J17" s="10">
        <f t="shared" si="3"/>
        <v>308648460932.66504</v>
      </c>
      <c r="K17" s="11">
        <f t="shared" si="4"/>
        <v>5.2734800000000082E-2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22271059.097034331</v>
      </c>
      <c r="D18" s="11">
        <v>1.3899999999999999E-2</v>
      </c>
      <c r="E18" s="10">
        <f t="shared" si="2"/>
        <v>305323.72171691433</v>
      </c>
      <c r="F18" s="3"/>
      <c r="G18" s="26">
        <v>3.91</v>
      </c>
      <c r="H18" s="10"/>
      <c r="I18" s="10">
        <f t="shared" si="5"/>
        <v>13164.496877457339</v>
      </c>
      <c r="J18" s="10">
        <f t="shared" si="3"/>
        <v>293187287940.57629</v>
      </c>
      <c r="K18" s="11">
        <f t="shared" si="4"/>
        <v>5.3543489999999805E-2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21965735.375317417</v>
      </c>
      <c r="D19" s="11">
        <v>1.5900000000000001E-2</v>
      </c>
      <c r="E19" s="10">
        <f t="shared" si="2"/>
        <v>343788.94819130749</v>
      </c>
      <c r="F19" s="3"/>
      <c r="G19" s="26">
        <v>4.8099999999999996</v>
      </c>
      <c r="H19" s="10"/>
      <c r="I19" s="10">
        <f t="shared" si="5"/>
        <v>12669.133747913906</v>
      </c>
      <c r="J19" s="10">
        <f t="shared" si="3"/>
        <v>278286839341.18024</v>
      </c>
      <c r="K19" s="11">
        <f t="shared" si="4"/>
        <v>6.4764790000000128E-2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21621946.42712611</v>
      </c>
      <c r="D20" s="11">
        <v>1.8599999999999998E-2</v>
      </c>
      <c r="E20" s="10">
        <f t="shared" si="2"/>
        <v>394824.46843171492</v>
      </c>
      <c r="F20" s="3"/>
      <c r="G20" s="26">
        <v>4.4000000000000004</v>
      </c>
      <c r="H20" s="10"/>
      <c r="I20" s="10">
        <f t="shared" si="5"/>
        <v>12087.714672181954</v>
      </c>
      <c r="J20" s="10">
        <f t="shared" si="3"/>
        <v>261359919068.30444</v>
      </c>
      <c r="K20" s="11">
        <f t="shared" si="4"/>
        <v>6.3418400000000208E-2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21227121.958694395</v>
      </c>
      <c r="D21" s="11">
        <v>1.9599999999999999E-2</v>
      </c>
      <c r="E21" s="10">
        <f t="shared" si="2"/>
        <v>408053.73714242131</v>
      </c>
      <c r="F21" s="3"/>
      <c r="G21" s="26">
        <v>3.5</v>
      </c>
      <c r="H21" s="10"/>
      <c r="I21" s="10">
        <f t="shared" si="5"/>
        <v>11578.270758794974</v>
      </c>
      <c r="J21" s="10">
        <f t="shared" si="3"/>
        <v>245773365467.72598</v>
      </c>
      <c r="K21" s="11">
        <f t="shared" si="4"/>
        <v>5.5285999999999946E-2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20819068.221551973</v>
      </c>
      <c r="D22" s="11">
        <v>2.07E-2</v>
      </c>
      <c r="E22" s="10">
        <f t="shared" si="2"/>
        <v>422214.86449115723</v>
      </c>
      <c r="F22" s="3"/>
      <c r="G22" s="26">
        <v>4.28</v>
      </c>
      <c r="H22" s="10"/>
      <c r="I22" s="10">
        <f t="shared" si="5"/>
        <v>11186.73503265215</v>
      </c>
      <c r="J22" s="10">
        <f t="shared" si="3"/>
        <v>232897399821.21054</v>
      </c>
      <c r="K22" s="11">
        <f t="shared" si="4"/>
        <v>6.4385959999999631E-2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20396853.357060816</v>
      </c>
      <c r="D23" s="11">
        <v>2.2100000000000002E-2</v>
      </c>
      <c r="E23" s="10">
        <f t="shared" si="2"/>
        <v>441023.8324929513</v>
      </c>
      <c r="F23" s="3"/>
      <c r="G23" s="26">
        <v>0.96</v>
      </c>
      <c r="H23" s="10"/>
      <c r="I23" s="10">
        <f t="shared" si="5"/>
        <v>10727.594009064203</v>
      </c>
      <c r="J23" s="10">
        <f t="shared" si="3"/>
        <v>218809161876.96671</v>
      </c>
      <c r="K23" s="11">
        <f t="shared" si="4"/>
        <v>3.1912160000000078E-2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19955829.524567865</v>
      </c>
      <c r="D24" s="11">
        <v>2.41E-2</v>
      </c>
      <c r="E24" s="10">
        <f t="shared" si="2"/>
        <v>469617.70485507697</v>
      </c>
      <c r="F24" s="3"/>
      <c r="G24" s="26">
        <v>-2.04</v>
      </c>
      <c r="H24" s="10"/>
      <c r="I24" s="10">
        <f t="shared" si="5"/>
        <v>10625.588360800519</v>
      </c>
      <c r="J24" s="10">
        <f t="shared" si="3"/>
        <v>212042429926.36765</v>
      </c>
      <c r="K24" s="11">
        <f t="shared" si="4"/>
        <v>3.2083599999999102E-3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19486211.819712788</v>
      </c>
      <c r="D25" s="11">
        <v>2.4400000000000002E-2</v>
      </c>
      <c r="E25" s="10">
        <f t="shared" si="2"/>
        <v>464138.58688109368</v>
      </c>
      <c r="F25" s="3"/>
      <c r="G25" s="26">
        <v>1.0900000000000001</v>
      </c>
      <c r="H25" s="10"/>
      <c r="I25" s="10">
        <f t="shared" si="5"/>
        <v>10846.864394447242</v>
      </c>
      <c r="J25" s="10">
        <f t="shared" si="3"/>
        <v>211364297169.89966</v>
      </c>
      <c r="K25" s="11">
        <f t="shared" si="4"/>
        <v>3.5565960000000008E-2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19022073.232831694</v>
      </c>
      <c r="D26" s="11">
        <v>2.3800000000000002E-2</v>
      </c>
      <c r="E26" s="10">
        <f t="shared" si="2"/>
        <v>442200.9600912258</v>
      </c>
      <c r="F26" s="3"/>
      <c r="G26" s="26">
        <v>4.37</v>
      </c>
      <c r="H26" s="10"/>
      <c r="I26" s="10">
        <f t="shared" si="5"/>
        <v>10729.908392963936</v>
      </c>
      <c r="J26" s="10">
        <f t="shared" si="3"/>
        <v>204105103232.53543</v>
      </c>
      <c r="K26" s="11">
        <f t="shared" si="4"/>
        <v>6.8540060000000347E-2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18579872.272740468</v>
      </c>
      <c r="D27" s="11">
        <v>2.4799999999999999E-2</v>
      </c>
      <c r="E27" s="10">
        <f t="shared" si="2"/>
        <v>449630.00816155598</v>
      </c>
      <c r="F27" s="3"/>
      <c r="G27" s="26">
        <v>-3.95</v>
      </c>
      <c r="H27" s="10"/>
      <c r="I27" s="10">
        <f t="shared" si="5"/>
        <v>10280.644239689504</v>
      </c>
      <c r="J27" s="10">
        <f t="shared" si="3"/>
        <v>191013056854.91602</v>
      </c>
      <c r="K27" s="11">
        <f t="shared" si="4"/>
        <v>-1.5679600000000127E-2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18130242.264578912</v>
      </c>
      <c r="D28" s="11">
        <v>2.64E-2</v>
      </c>
      <c r="E28" s="10">
        <f t="shared" si="2"/>
        <v>466327.35364856198</v>
      </c>
      <c r="F28" s="3"/>
      <c r="G28" s="26">
        <v>6.44</v>
      </c>
      <c r="H28" s="10"/>
      <c r="I28" s="10">
        <f t="shared" si="5"/>
        <v>10703.429713367521</v>
      </c>
      <c r="J28" s="10">
        <f t="shared" si="3"/>
        <v>194055773765.24557</v>
      </c>
      <c r="K28" s="11">
        <f t="shared" si="4"/>
        <v>9.2500159999999942E-2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17663914.91093035</v>
      </c>
      <c r="D29" s="11">
        <v>2.8000000000000001E-2</v>
      </c>
      <c r="E29" s="10">
        <f t="shared" si="2"/>
        <v>481118.304966975</v>
      </c>
      <c r="F29" s="3"/>
      <c r="G29" s="26">
        <v>7.49</v>
      </c>
      <c r="H29" s="10"/>
      <c r="I29" s="10">
        <f t="shared" si="5"/>
        <v>10055.834003539572</v>
      </c>
      <c r="J29" s="10">
        <f t="shared" si="3"/>
        <v>177625396196.9631</v>
      </c>
      <c r="K29" s="11">
        <f t="shared" si="4"/>
        <v>0.10499720000000012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17182796.605963375</v>
      </c>
      <c r="D30" s="12">
        <v>3.0200000000000001E-2</v>
      </c>
      <c r="E30" s="10">
        <f t="shared" si="2"/>
        <v>503708.46194922738</v>
      </c>
      <c r="F30" s="3"/>
      <c r="G30" s="26">
        <v>6.38</v>
      </c>
      <c r="H30" s="10"/>
      <c r="I30" s="10">
        <f t="shared" si="5"/>
        <v>9355.1344344028021</v>
      </c>
      <c r="J30" s="10">
        <f t="shared" si="3"/>
        <v>160747372207.78757</v>
      </c>
      <c r="K30" s="11">
        <f t="shared" si="4"/>
        <v>9.5926760000000222E-2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16679088.144014148</v>
      </c>
      <c r="D31" s="13">
        <v>3.2899999999999999E-2</v>
      </c>
      <c r="E31" s="10">
        <f t="shared" si="2"/>
        <v>531263.43299260736</v>
      </c>
      <c r="F31" s="3"/>
      <c r="G31" s="26">
        <v>4.1399999999999997</v>
      </c>
      <c r="H31" s="10"/>
      <c r="I31" s="10">
        <f t="shared" si="5"/>
        <v>8794.0726023714997</v>
      </c>
      <c r="J31" s="10">
        <f t="shared" si="3"/>
        <v>146677112079.81412</v>
      </c>
      <c r="K31" s="11">
        <f t="shared" si="4"/>
        <v>7.5662059999999753E-2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16147824.711021541</v>
      </c>
      <c r="D32" s="12">
        <v>3.4000000000000002E-2</v>
      </c>
      <c r="E32" s="10">
        <f t="shared" si="2"/>
        <v>530972.95955003239</v>
      </c>
      <c r="F32" s="3"/>
      <c r="G32" s="26">
        <v>2.81</v>
      </c>
      <c r="H32" s="10"/>
      <c r="I32" s="10">
        <f t="shared" si="5"/>
        <v>8444.4714829762815</v>
      </c>
      <c r="J32" s="10">
        <f t="shared" si="3"/>
        <v>136359845284.32112</v>
      </c>
      <c r="K32" s="11">
        <f t="shared" si="4"/>
        <v>6.3055400000000095E-2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15616851.751471508</v>
      </c>
      <c r="D33" s="13">
        <v>3.4099999999999998E-2</v>
      </c>
      <c r="E33" s="10">
        <f t="shared" si="2"/>
        <v>514974.03029221483</v>
      </c>
      <c r="F33" s="3"/>
      <c r="G33" s="26">
        <v>-1.88</v>
      </c>
      <c r="H33" s="10"/>
      <c r="I33" s="10">
        <f t="shared" si="5"/>
        <v>8213.6674282426629</v>
      </c>
      <c r="J33" s="10">
        <f t="shared" si="3"/>
        <v>128271626562.75591</v>
      </c>
      <c r="K33" s="11">
        <f t="shared" si="4"/>
        <v>1.4658919999999798E-2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15101877.721179293</v>
      </c>
      <c r="D34" s="12">
        <v>3.39E-2</v>
      </c>
      <c r="E34" s="10">
        <f t="shared" si="2"/>
        <v>495167.47726857476</v>
      </c>
      <c r="F34" s="3"/>
      <c r="G34" s="26">
        <v>-1.47</v>
      </c>
      <c r="H34" s="10"/>
      <c r="I34" s="10">
        <f t="shared" si="5"/>
        <v>8371.0430373447452</v>
      </c>
      <c r="J34" s="10">
        <f t="shared" ref="J34:J65" si="6">IF(I34="","",I34*C34)</f>
        <v>126418468348.70966</v>
      </c>
      <c r="K34" s="11">
        <f t="shared" ref="K34:K65" si="7">IFERROR(J34/J35-1,"")</f>
        <v>3.2142370000000087E-2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14606710.243910719</v>
      </c>
      <c r="D35" s="11">
        <v>3.3300000000000003E-2</v>
      </c>
      <c r="E35" s="10">
        <f t="shared" si="2"/>
        <v>470728.20199576952</v>
      </c>
      <c r="F35" s="3"/>
      <c r="G35" s="26">
        <v>-0.56</v>
      </c>
      <c r="H35" s="10"/>
      <c r="I35" s="10">
        <f t="shared" ref="I35:I66" si="8">IF(H35&lt;&gt;"",H35,I34/(1+IF(G34="",0,G34)/100))</f>
        <v>8385.2980440195788</v>
      </c>
      <c r="J35" s="10">
        <f t="shared" si="6"/>
        <v>122481618837.8253</v>
      </c>
      <c r="K35" s="11">
        <f t="shared" si="7"/>
        <v>5.5412620000000246E-2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14135982.041914949</v>
      </c>
      <c r="D36" s="11">
        <v>3.2399999999999998E-2</v>
      </c>
      <c r="E36" s="10">
        <f t="shared" si="2"/>
        <v>443632.13692177832</v>
      </c>
      <c r="F36" s="3"/>
      <c r="G36" s="26">
        <v>-3.18</v>
      </c>
      <c r="H36" s="10"/>
      <c r="I36" s="10">
        <f t="shared" si="8"/>
        <v>8209.6123399447606</v>
      </c>
      <c r="J36" s="10">
        <f t="shared" si="6"/>
        <v>116050932608.5425</v>
      </c>
      <c r="K36" s="11">
        <f t="shared" si="7"/>
        <v>4.9124879999999926E-2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13692349.904993171</v>
      </c>
      <c r="D37" s="11">
        <v>3.1099999999999999E-2</v>
      </c>
      <c r="E37" s="10">
        <f t="shared" si="2"/>
        <v>412988.1505627837</v>
      </c>
      <c r="F37" s="3"/>
      <c r="G37" s="26">
        <v>-3.71</v>
      </c>
      <c r="H37" s="10"/>
      <c r="I37" s="10">
        <f t="shared" si="8"/>
        <v>8078.736803724425</v>
      </c>
      <c r="J37" s="10">
        <f t="shared" si="6"/>
        <v>110616891106.94096</v>
      </c>
      <c r="K37" s="11">
        <f t="shared" si="7"/>
        <v>4.7494489999999834E-2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13279361.754430387</v>
      </c>
      <c r="D38" s="11">
        <v>2.98E-2</v>
      </c>
      <c r="E38" s="10">
        <f t="shared" si="2"/>
        <v>384273.62622065097</v>
      </c>
      <c r="F38" s="3"/>
      <c r="G38" s="26">
        <v>-5.34</v>
      </c>
      <c r="H38" s="10"/>
      <c r="I38" s="10">
        <f t="shared" si="8"/>
        <v>7952.2953083221037</v>
      </c>
      <c r="J38" s="10">
        <f t="shared" si="6"/>
        <v>105601406177.26875</v>
      </c>
      <c r="K38" s="11">
        <f t="shared" si="7"/>
        <v>1.2911280000000191E-2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12895088.128209736</v>
      </c>
      <c r="D39" s="11">
        <v>2.8400000000000002E-2</v>
      </c>
      <c r="E39" s="10">
        <f t="shared" si="2"/>
        <v>356107.06227261387</v>
      </c>
      <c r="F39" s="3"/>
      <c r="G39" s="26">
        <v>2.82</v>
      </c>
      <c r="H39" s="10"/>
      <c r="I39" s="10">
        <f t="shared" si="8"/>
        <v>8084.887462710557</v>
      </c>
      <c r="J39" s="10">
        <f t="shared" si="6"/>
        <v>104255336338.31064</v>
      </c>
      <c r="K39" s="11">
        <f t="shared" si="7"/>
        <v>5.7400879999999876E-2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12538981.065937122</v>
      </c>
      <c r="D40" s="11">
        <v>3.6299999999999999E-2</v>
      </c>
      <c r="E40" s="10">
        <f t="shared" si="2"/>
        <v>439221.28022147715</v>
      </c>
      <c r="F40" s="3"/>
      <c r="G40" s="26">
        <v>5.6</v>
      </c>
      <c r="H40" s="10"/>
      <c r="I40" s="10">
        <f t="shared" si="8"/>
        <v>7863.1467250637588</v>
      </c>
      <c r="J40" s="10">
        <f t="shared" si="6"/>
        <v>98595847904.259964</v>
      </c>
      <c r="K40" s="11">
        <f t="shared" si="7"/>
        <v>9.4332800000000105E-2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12099759.785715645</v>
      </c>
      <c r="D41" s="11">
        <v>4.5499999999999999E-2</v>
      </c>
      <c r="E41" s="10">
        <f t="shared" si="2"/>
        <v>526579.69416553155</v>
      </c>
      <c r="F41" s="3"/>
      <c r="G41" s="26">
        <v>6.9</v>
      </c>
      <c r="H41" s="10"/>
      <c r="I41" s="10">
        <f t="shared" si="8"/>
        <v>7446.1616714618922</v>
      </c>
      <c r="J41" s="10">
        <f t="shared" si="6"/>
        <v>90096767550.291794</v>
      </c>
      <c r="K41" s="11">
        <f t="shared" si="7"/>
        <v>0.11763950000000012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11573180.091550114</v>
      </c>
      <c r="D42" s="11">
        <v>3.5400000000000001E-2</v>
      </c>
      <c r="E42" s="10">
        <f t="shared" si="2"/>
        <v>395683.38346617296</v>
      </c>
      <c r="F42" s="3"/>
      <c r="G42" s="26">
        <v>4.3499999999999996</v>
      </c>
      <c r="H42" s="10"/>
      <c r="I42" s="10">
        <f t="shared" si="8"/>
        <v>6965.5394494498523</v>
      </c>
      <c r="J42" s="10">
        <f t="shared" si="6"/>
        <v>80613442483.279968</v>
      </c>
      <c r="K42" s="11">
        <f t="shared" si="7"/>
        <v>8.0439900000000009E-2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11177496.708083941</v>
      </c>
      <c r="D43" s="11">
        <v>2.4199999999999999E-2</v>
      </c>
      <c r="E43" s="10">
        <f t="shared" si="2"/>
        <v>264104.10108927079</v>
      </c>
      <c r="F43" s="3"/>
      <c r="G43" s="26">
        <v>1.1399999999999999</v>
      </c>
      <c r="H43" s="10"/>
      <c r="I43" s="10">
        <f t="shared" si="8"/>
        <v>6675.1695730233369</v>
      </c>
      <c r="J43" s="10">
        <f t="shared" si="6"/>
        <v>74611685928.370438</v>
      </c>
      <c r="K43" s="11">
        <f t="shared" si="7"/>
        <v>3.5875880000000082E-2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10913392.60699467</v>
      </c>
      <c r="D44" s="11">
        <v>2.3599999999999999E-2</v>
      </c>
      <c r="E44" s="10">
        <f t="shared" si="2"/>
        <v>251617.88347506337</v>
      </c>
      <c r="F44" s="3"/>
      <c r="G44" s="26">
        <v>11.2</v>
      </c>
      <c r="H44" s="10"/>
      <c r="I44" s="10">
        <f t="shared" si="8"/>
        <v>6599.9303668413449</v>
      </c>
      <c r="J44" s="10">
        <f t="shared" si="6"/>
        <v>72027631272.165955</v>
      </c>
      <c r="K44" s="11">
        <f t="shared" si="7"/>
        <v>0.13824320000000023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10661774.723519607</v>
      </c>
      <c r="D45" s="11">
        <v>2.3E-2</v>
      </c>
      <c r="E45" s="10">
        <f t="shared" si="2"/>
        <v>239707.54510356858</v>
      </c>
      <c r="F45" s="3"/>
      <c r="G45" s="26">
        <v>8.02</v>
      </c>
      <c r="H45" s="10"/>
      <c r="I45" s="10">
        <f t="shared" si="8"/>
        <v>5935.1891788141584</v>
      </c>
      <c r="J45" s="10">
        <f t="shared" si="6"/>
        <v>63279649965.987885</v>
      </c>
      <c r="K45" s="11">
        <f t="shared" si="7"/>
        <v>0.10504460000000004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10422067.178416038</v>
      </c>
      <c r="D46" s="11">
        <v>2.2599999999999999E-2</v>
      </c>
      <c r="E46" s="10">
        <f t="shared" si="2"/>
        <v>230333.18817934953</v>
      </c>
      <c r="F46" s="3"/>
      <c r="G46" s="26">
        <v>6.63</v>
      </c>
      <c r="H46" s="10"/>
      <c r="I46" s="10">
        <f t="shared" si="8"/>
        <v>5494.5280307481562</v>
      </c>
      <c r="J46" s="10">
        <f t="shared" si="6"/>
        <v>57264340250.147263</v>
      </c>
      <c r="K46" s="11">
        <f t="shared" si="7"/>
        <v>9.0398379999999889E-2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10191733.990236688</v>
      </c>
      <c r="D47" s="11">
        <v>2.2599999999999999E-2</v>
      </c>
      <c r="E47" s="10">
        <f t="shared" si="2"/>
        <v>225242.70308952592</v>
      </c>
      <c r="F47" s="3"/>
      <c r="G47" s="26">
        <v>9.11</v>
      </c>
      <c r="H47" s="10"/>
      <c r="I47" s="10">
        <f t="shared" si="8"/>
        <v>5152.8913352228792</v>
      </c>
      <c r="J47" s="10">
        <f t="shared" si="6"/>
        <v>52516897769.187134</v>
      </c>
      <c r="K47" s="11">
        <f t="shared" si="7"/>
        <v>0.11575885999999991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9966491.2871471625</v>
      </c>
      <c r="D48" s="11">
        <v>2.2800000000000001E-2</v>
      </c>
      <c r="E48" s="10">
        <f t="shared" si="2"/>
        <v>222170.51363605261</v>
      </c>
      <c r="F48" s="3"/>
      <c r="G48" s="26">
        <v>2.12</v>
      </c>
      <c r="H48" s="10"/>
      <c r="I48" s="10">
        <f t="shared" si="8"/>
        <v>4722.657258933993</v>
      </c>
      <c r="J48" s="10">
        <f t="shared" si="6"/>
        <v>47068322423.347946</v>
      </c>
      <c r="K48" s="11">
        <f t="shared" si="7"/>
        <v>4.4483360000000083E-2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9744320.7735111099</v>
      </c>
      <c r="D49" s="11">
        <v>2.2800000000000001E-2</v>
      </c>
      <c r="E49" s="10">
        <f t="shared" si="2"/>
        <v>217217.94450142048</v>
      </c>
      <c r="F49" s="3"/>
      <c r="G49" s="26">
        <v>8.8800000000000008</v>
      </c>
      <c r="H49" s="10"/>
      <c r="I49" s="10">
        <f t="shared" si="8"/>
        <v>4624.6154121954487</v>
      </c>
      <c r="J49" s="10">
        <f t="shared" si="6"/>
        <v>45063736030.555756</v>
      </c>
      <c r="K49" s="11">
        <f t="shared" si="7"/>
        <v>0.11362463999999983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9527102.8290096894</v>
      </c>
      <c r="D50" s="11">
        <v>2.2499999999999999E-2</v>
      </c>
      <c r="E50" s="10">
        <f t="shared" si="2"/>
        <v>209642.8495381102</v>
      </c>
      <c r="F50" s="3"/>
      <c r="G50" s="26">
        <v>7.54</v>
      </c>
      <c r="H50" s="10"/>
      <c r="I50" s="10">
        <f t="shared" si="8"/>
        <v>4247.4425167114705</v>
      </c>
      <c r="J50" s="10">
        <f t="shared" si="6"/>
        <v>40465821617.017883</v>
      </c>
      <c r="K50" s="11">
        <f t="shared" si="7"/>
        <v>9.9596500000000088E-2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9317459.9794715792</v>
      </c>
      <c r="D51" s="11">
        <v>1.7999999999999999E-2</v>
      </c>
      <c r="E51" s="10">
        <f t="shared" si="2"/>
        <v>164748.80120873079</v>
      </c>
      <c r="F51" s="3"/>
      <c r="G51" s="26">
        <v>4.08</v>
      </c>
      <c r="H51" s="10"/>
      <c r="I51" s="10">
        <f t="shared" si="8"/>
        <v>3949.6396845001586</v>
      </c>
      <c r="J51" s="10">
        <f t="shared" si="6"/>
        <v>36800609693.662979</v>
      </c>
      <c r="K51" s="11">
        <f t="shared" si="7"/>
        <v>5.9534399999999987E-2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9152711.1782628484</v>
      </c>
      <c r="D52" s="11">
        <v>1.52E-2</v>
      </c>
      <c r="E52" s="10">
        <f t="shared" si="2"/>
        <v>137038.22883136012</v>
      </c>
      <c r="F52" s="3"/>
      <c r="G52" s="26">
        <v>7.47</v>
      </c>
      <c r="H52" s="10"/>
      <c r="I52" s="10">
        <f t="shared" si="8"/>
        <v>3794.8113801884692</v>
      </c>
      <c r="J52" s="10">
        <f t="shared" si="6"/>
        <v>34732812538.850067</v>
      </c>
      <c r="K52" s="11">
        <f t="shared" si="7"/>
        <v>9.103544000000019E-2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9015672.9494314883</v>
      </c>
      <c r="D53" s="11">
        <v>1.6400000000000001E-2</v>
      </c>
      <c r="E53" s="10">
        <f t="shared" si="2"/>
        <v>145471.30693691038</v>
      </c>
      <c r="F53" s="3"/>
      <c r="G53" s="26">
        <v>6.31</v>
      </c>
      <c r="H53" s="10"/>
      <c r="I53" s="10">
        <f t="shared" si="8"/>
        <v>3531.0425050604535</v>
      </c>
      <c r="J53" s="10">
        <f t="shared" si="6"/>
        <v>31834724396.166328</v>
      </c>
      <c r="K53" s="11">
        <f t="shared" si="7"/>
        <v>8.0534839999999663E-2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8870201.6424945779</v>
      </c>
      <c r="D54" s="11">
        <v>1.5299999999999999E-2</v>
      </c>
      <c r="E54" s="10">
        <f t="shared" si="2"/>
        <v>133668.9501922261</v>
      </c>
      <c r="F54" s="3"/>
      <c r="G54" s="26">
        <v>5.87</v>
      </c>
      <c r="H54" s="10"/>
      <c r="I54" s="10">
        <f t="shared" si="8"/>
        <v>3321.4584752708624</v>
      </c>
      <c r="J54" s="10">
        <f t="shared" si="6"/>
        <v>29462006422.825142</v>
      </c>
      <c r="K54" s="11">
        <f t="shared" si="7"/>
        <v>7.4898109999999907E-2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8736532.6923023518</v>
      </c>
      <c r="D55" s="11">
        <v>1.47E-2</v>
      </c>
      <c r="E55" s="10">
        <f t="shared" si="2"/>
        <v>126566.50298299454</v>
      </c>
      <c r="F55" s="3"/>
      <c r="G55" s="26">
        <v>6.61</v>
      </c>
      <c r="H55" s="10"/>
      <c r="I55" s="10">
        <f t="shared" si="8"/>
        <v>3137.2990226417896</v>
      </c>
      <c r="J55" s="10">
        <f t="shared" si="6"/>
        <v>27409115476.838211</v>
      </c>
      <c r="K55" s="11">
        <f t="shared" si="7"/>
        <v>8.1771669999999963E-2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8609966.1893193573</v>
      </c>
      <c r="D56" s="11">
        <v>1.77E-2</v>
      </c>
      <c r="E56" s="10">
        <f t="shared" si="2"/>
        <v>149745.89913624153</v>
      </c>
      <c r="F56" s="3"/>
      <c r="G56" s="26">
        <v>5.53</v>
      </c>
      <c r="H56" s="10"/>
      <c r="I56" s="10">
        <f t="shared" si="8"/>
        <v>2942.7811862318631</v>
      </c>
      <c r="J56" s="10">
        <f t="shared" si="6"/>
        <v>25337246516.021454</v>
      </c>
      <c r="K56" s="11">
        <f t="shared" si="7"/>
        <v>7.3978810000000061E-2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8460220.2901831158</v>
      </c>
      <c r="D57" s="11">
        <v>1.7000000000000001E-2</v>
      </c>
      <c r="E57" s="10">
        <f t="shared" si="2"/>
        <v>141419.61153698433</v>
      </c>
      <c r="F57" s="3"/>
      <c r="G57" s="26">
        <v>6.68</v>
      </c>
      <c r="H57" s="10"/>
      <c r="I57" s="10">
        <f t="shared" si="8"/>
        <v>2788.5730941266593</v>
      </c>
      <c r="J57" s="10">
        <f t="shared" si="6"/>
        <v>23591942671.589073</v>
      </c>
      <c r="K57" s="11">
        <f t="shared" si="7"/>
        <v>8.4935600000000111E-2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8318800.6786461314</v>
      </c>
      <c r="D58" s="11">
        <v>1.7000000000000001E-2</v>
      </c>
      <c r="E58" s="10">
        <f t="shared" si="2"/>
        <v>139055.66522810608</v>
      </c>
      <c r="F58" s="3"/>
      <c r="G58" s="26">
        <v>5.44</v>
      </c>
      <c r="H58" s="10"/>
      <c r="I58" s="10">
        <f t="shared" si="8"/>
        <v>2613.9605306774083</v>
      </c>
      <c r="J58" s="10">
        <f t="shared" si="6"/>
        <v>21745016636.553425</v>
      </c>
      <c r="K58" s="11">
        <f t="shared" si="7"/>
        <v>7.2324800000000078E-2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8179745.0134180253</v>
      </c>
      <c r="D59" s="11">
        <v>1.6E-2</v>
      </c>
      <c r="E59" s="10">
        <f t="shared" si="2"/>
        <v>128814.88210107107</v>
      </c>
      <c r="F59" s="3"/>
      <c r="G59" s="26">
        <v>1.3</v>
      </c>
      <c r="H59" s="10"/>
      <c r="I59" s="10">
        <f t="shared" si="8"/>
        <v>2479.0976201416997</v>
      </c>
      <c r="J59" s="10">
        <f t="shared" si="6"/>
        <v>20278386396.130562</v>
      </c>
      <c r="K59" s="11">
        <f t="shared" si="7"/>
        <v>2.9207999999999901E-2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8050930.1313169543</v>
      </c>
      <c r="D60" s="11">
        <v>1.7000000000000001E-2</v>
      </c>
      <c r="E60" s="10">
        <f t="shared" si="2"/>
        <v>134577.98646252416</v>
      </c>
      <c r="F60" s="3"/>
      <c r="G60" s="26">
        <v>4.42</v>
      </c>
      <c r="H60" s="10"/>
      <c r="I60" s="10">
        <f t="shared" si="8"/>
        <v>2447.2829418970387</v>
      </c>
      <c r="J60" s="10">
        <f t="shared" si="6"/>
        <v>19702903976.776867</v>
      </c>
      <c r="K60" s="11">
        <f t="shared" si="7"/>
        <v>6.1951399999999879E-2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7916352.1448544301</v>
      </c>
      <c r="D61" s="11">
        <v>1.7999999999999999E-2</v>
      </c>
      <c r="E61" s="10">
        <f t="shared" si="2"/>
        <v>139974.79234516714</v>
      </c>
      <c r="F61" s="3"/>
      <c r="G61" s="26">
        <v>4.3600000000000003</v>
      </c>
      <c r="H61" s="10"/>
      <c r="I61" s="10">
        <f t="shared" si="8"/>
        <v>2343.6917658466182</v>
      </c>
      <c r="J61" s="10">
        <f t="shared" si="6"/>
        <v>18553489337.437542</v>
      </c>
      <c r="K61" s="11">
        <f t="shared" si="7"/>
        <v>6.2384800000000018E-2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7776377.352509263</v>
      </c>
      <c r="D62" s="11">
        <v>1.9E-2</v>
      </c>
      <c r="E62" s="10">
        <f t="shared" si="2"/>
        <v>144996.24111646228</v>
      </c>
      <c r="F62" s="3"/>
      <c r="G62" s="26">
        <v>4.16</v>
      </c>
      <c r="H62" s="10"/>
      <c r="I62" s="10">
        <f t="shared" si="8"/>
        <v>2245.7759350772499</v>
      </c>
      <c r="J62" s="10">
        <f t="shared" si="6"/>
        <v>17464001120.345039</v>
      </c>
      <c r="K62" s="11">
        <f t="shared" si="7"/>
        <v>6.1390399999999845E-2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7631381.1113928007</v>
      </c>
      <c r="D63" s="11">
        <v>0.02</v>
      </c>
      <c r="E63" s="10">
        <f t="shared" si="2"/>
        <v>149634.92375280056</v>
      </c>
      <c r="F63" s="3"/>
      <c r="G63" s="26">
        <v>4.7699999999999996</v>
      </c>
      <c r="H63" s="10"/>
      <c r="I63" s="10">
        <f t="shared" si="8"/>
        <v>2156.0828869789266</v>
      </c>
      <c r="J63" s="10">
        <f t="shared" si="6"/>
        <v>16453890218.288239</v>
      </c>
      <c r="K63" s="11">
        <f t="shared" si="7"/>
        <v>6.8654000000000215E-2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7481746.1876400001</v>
      </c>
      <c r="D64" s="11">
        <v>0.02</v>
      </c>
      <c r="E64" s="10">
        <f t="shared" si="2"/>
        <v>146700.90564000048</v>
      </c>
      <c r="F64" s="3"/>
      <c r="G64" s="26">
        <v>6.99</v>
      </c>
      <c r="H64" s="10"/>
      <c r="I64" s="10">
        <f t="shared" si="8"/>
        <v>2057.9200982904708</v>
      </c>
      <c r="J64" s="10">
        <f t="shared" si="6"/>
        <v>15396835849.852465</v>
      </c>
      <c r="K64" s="11">
        <f t="shared" si="7"/>
        <v>9.1298000000000101E-2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7335045.2819999997</v>
      </c>
      <c r="D65" s="11">
        <v>1.9E-2</v>
      </c>
      <c r="E65" s="10">
        <f t="shared" si="2"/>
        <v>136767.28199999966</v>
      </c>
      <c r="F65" s="3"/>
      <c r="G65" s="26">
        <v>0.1</v>
      </c>
      <c r="H65" s="10"/>
      <c r="I65" s="10">
        <f t="shared" si="8"/>
        <v>1923.4695749981033</v>
      </c>
      <c r="J65" s="10">
        <f t="shared" si="6"/>
        <v>14108736431.160383</v>
      </c>
      <c r="K65" s="11">
        <f t="shared" si="7"/>
        <v>2.0018999999999787E-2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7198278</v>
      </c>
      <c r="D66" s="11">
        <v>1.7999999999999999E-2</v>
      </c>
      <c r="E66" s="10">
        <f t="shared" si="2"/>
        <v>127278</v>
      </c>
      <c r="F66" s="3"/>
      <c r="G66" s="26">
        <v>4.5199999999999996</v>
      </c>
      <c r="H66" s="10"/>
      <c r="I66" s="10">
        <f t="shared" si="8"/>
        <v>1921.5480269711325</v>
      </c>
      <c r="J66" s="10">
        <f t="shared" ref="J66:J67" si="9">IF(I66="","",I66*C66)</f>
        <v>13831836888.48971</v>
      </c>
      <c r="K66" s="11">
        <f t="shared" ref="K66" si="10">IFERROR(J66/J67-1,"")</f>
        <v>6.4013600000000004E-2</v>
      </c>
    </row>
    <row r="67" spans="1:11" ht="22.5" customHeight="1">
      <c r="A67" s="3">
        <f t="shared" si="0"/>
        <v>1950</v>
      </c>
      <c r="B67" s="3">
        <v>1700</v>
      </c>
      <c r="C67" s="10">
        <v>7071000</v>
      </c>
      <c r="D67" s="11">
        <v>1.7999999999999999E-2</v>
      </c>
      <c r="E67" s="3" t="s">
        <v>72</v>
      </c>
      <c r="F67" s="3"/>
      <c r="G67" s="26">
        <v>2.79</v>
      </c>
      <c r="H67" s="10"/>
      <c r="I67" s="10">
        <f t="shared" ref="I67" si="11">IF(H67&lt;&gt;"",H67,I66/(1+IF(G66="",0,G66)/100))</f>
        <v>1838.4500832100389</v>
      </c>
      <c r="J67" s="10">
        <f t="shared" si="9"/>
        <v>12999680538.378185</v>
      </c>
      <c r="K67" s="11"/>
    </row>
  </sheetData>
  <dataValidations count="1">
    <dataValidation type="custom" allowBlank="1" showDropDown="1" sqref="D2:D67" xr:uid="{00000000-0002-0000-1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M67"/>
  <sheetViews>
    <sheetView topLeftCell="A35" workbookViewId="0">
      <selection activeCell="L66" sqref="L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30642852.662169337</v>
      </c>
      <c r="D2" s="11">
        <v>1.2200000000000001E-2</v>
      </c>
      <c r="E2" s="10">
        <f t="shared" ref="E2:E66" si="2">SUM(C2-C3)</f>
        <v>369336.89239129052</v>
      </c>
      <c r="F2" s="14">
        <v>30642963</v>
      </c>
      <c r="G2" s="26">
        <v>4.37</v>
      </c>
      <c r="H2" s="10"/>
      <c r="I2" s="10">
        <f>IF(H2&lt;&gt;"",H2,14568)</f>
        <v>1821</v>
      </c>
      <c r="J2" s="10">
        <f t="shared" ref="J2:J33" si="3">IF(I2="","",I2*C2)</f>
        <v>55800634697.810364</v>
      </c>
      <c r="K2" s="11">
        <f t="shared" ref="K2:K33" si="4">IFERROR(J2/J3-1,"")</f>
        <v>5.6433139999999993E-2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30273515.769778047</v>
      </c>
      <c r="D3" s="11">
        <v>1.23E-2</v>
      </c>
      <c r="E3" s="10">
        <f t="shared" si="2"/>
        <v>367839.8142529577</v>
      </c>
      <c r="F3" s="3"/>
      <c r="G3" s="26">
        <v>2.92</v>
      </c>
      <c r="H3" s="10"/>
      <c r="I3" s="10">
        <f t="shared" ref="I3:I34" si="5">IF(H3&lt;&gt;"",H3,I2/(1+IF(G2="",0,G2)/100))</f>
        <v>1744.7542397240586</v>
      </c>
      <c r="J3" s="10">
        <f t="shared" si="3"/>
        <v>52819844990.673393</v>
      </c>
      <c r="K3" s="11">
        <f t="shared" si="4"/>
        <v>4.1859160000000006E-2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29905675.955525089</v>
      </c>
      <c r="D4" s="11">
        <v>1.2E-2</v>
      </c>
      <c r="E4" s="10">
        <f t="shared" si="2"/>
        <v>354612.7583659105</v>
      </c>
      <c r="F4" s="3"/>
      <c r="G4" s="26">
        <v>2.19</v>
      </c>
      <c r="H4" s="10"/>
      <c r="I4" s="10">
        <f t="shared" si="5"/>
        <v>1695.2528563195285</v>
      </c>
      <c r="J4" s="10">
        <f t="shared" si="3"/>
        <v>50697682583.770149</v>
      </c>
      <c r="K4" s="11">
        <f t="shared" si="4"/>
        <v>3.4162800000000049E-2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29551063.197159179</v>
      </c>
      <c r="D5" s="11">
        <v>1.15E-2</v>
      </c>
      <c r="E5" s="10">
        <f t="shared" si="2"/>
        <v>335973.53115900233</v>
      </c>
      <c r="F5" s="3"/>
      <c r="G5" s="26">
        <v>2.23</v>
      </c>
      <c r="H5" s="10"/>
      <c r="I5" s="10">
        <f t="shared" si="5"/>
        <v>1658.9224545645645</v>
      </c>
      <c r="J5" s="10">
        <f t="shared" si="3"/>
        <v>49022922294.023872</v>
      </c>
      <c r="K5" s="11">
        <f t="shared" si="4"/>
        <v>3.4056450000000016E-2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29215089.666000176</v>
      </c>
      <c r="D6" s="11">
        <v>1.3299999999999999E-2</v>
      </c>
      <c r="E6" s="10">
        <f t="shared" si="2"/>
        <v>383460.66570394114</v>
      </c>
      <c r="F6" s="3"/>
      <c r="G6" s="26">
        <v>1.76</v>
      </c>
      <c r="H6" s="10"/>
      <c r="I6" s="10">
        <f t="shared" si="5"/>
        <v>1622.7354539416654</v>
      </c>
      <c r="J6" s="10">
        <f t="shared" si="3"/>
        <v>47408361791.103256</v>
      </c>
      <c r="K6" s="11">
        <f t="shared" si="4"/>
        <v>3.1134080000000175E-2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28831629.000296235</v>
      </c>
      <c r="D7" s="11">
        <v>1.6E-2</v>
      </c>
      <c r="E7" s="10">
        <f t="shared" si="2"/>
        <v>454041.40157946944</v>
      </c>
      <c r="F7" s="3"/>
      <c r="G7" s="26">
        <v>5.15</v>
      </c>
      <c r="H7" s="10"/>
      <c r="I7" s="10">
        <f t="shared" si="5"/>
        <v>1594.669274706825</v>
      </c>
      <c r="J7" s="10">
        <f t="shared" si="3"/>
        <v>45976912906.518661</v>
      </c>
      <c r="K7" s="11">
        <f t="shared" si="4"/>
        <v>6.8324000000000273E-2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28377587.598716766</v>
      </c>
      <c r="D8" s="11">
        <v>1.7000000000000001E-2</v>
      </c>
      <c r="E8" s="10">
        <f t="shared" si="2"/>
        <v>474354.95494413376</v>
      </c>
      <c r="F8" s="3"/>
      <c r="G8" s="26">
        <v>4.67</v>
      </c>
      <c r="H8" s="10"/>
      <c r="I8" s="10">
        <f t="shared" si="5"/>
        <v>1516.5661195499999</v>
      </c>
      <c r="J8" s="10">
        <f t="shared" si="3"/>
        <v>43036487906.776085</v>
      </c>
      <c r="K8" s="11">
        <f t="shared" si="4"/>
        <v>6.4493899999999771E-2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27903232.643772632</v>
      </c>
      <c r="D9" s="11">
        <v>1.7600000000000001E-2</v>
      </c>
      <c r="E9" s="10">
        <f t="shared" si="2"/>
        <v>482603.08031682298</v>
      </c>
      <c r="F9" s="3"/>
      <c r="G9" s="26">
        <v>7.16</v>
      </c>
      <c r="H9" s="10"/>
      <c r="I9" s="10">
        <f t="shared" si="5"/>
        <v>1448.9023784752078</v>
      </c>
      <c r="J9" s="10">
        <f t="shared" si="3"/>
        <v>40429060144.709229</v>
      </c>
      <c r="K9" s="11">
        <f t="shared" si="4"/>
        <v>9.0460160000000123E-2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27420629.563455809</v>
      </c>
      <c r="D10" s="11">
        <v>1.77E-2</v>
      </c>
      <c r="E10" s="10">
        <f t="shared" si="2"/>
        <v>476903.94347368553</v>
      </c>
      <c r="F10" s="3"/>
      <c r="G10" s="26">
        <v>7.09</v>
      </c>
      <c r="H10" s="10"/>
      <c r="I10" s="10">
        <f t="shared" si="5"/>
        <v>1352.0925517685776</v>
      </c>
      <c r="J10" s="10">
        <f t="shared" si="3"/>
        <v>37075228997.553864</v>
      </c>
      <c r="K10" s="11">
        <f t="shared" si="4"/>
        <v>8.9854930000000222E-2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26943725.619982123</v>
      </c>
      <c r="D11" s="11">
        <v>1.7299999999999999E-2</v>
      </c>
      <c r="E11" s="10">
        <f t="shared" si="2"/>
        <v>458199.60014321655</v>
      </c>
      <c r="F11" s="3"/>
      <c r="G11" s="26">
        <v>6.84</v>
      </c>
      <c r="H11" s="10"/>
      <c r="I11" s="10">
        <f t="shared" si="5"/>
        <v>1262.575919104097</v>
      </c>
      <c r="J11" s="10">
        <f t="shared" si="3"/>
        <v>34018499138.737537</v>
      </c>
      <c r="K11" s="11">
        <f t="shared" si="4"/>
        <v>8.6883320000000097E-2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26485526.019838907</v>
      </c>
      <c r="D12" s="11">
        <v>1.7100000000000001E-2</v>
      </c>
      <c r="E12" s="10">
        <f t="shared" si="2"/>
        <v>445288.06896002591</v>
      </c>
      <c r="F12" s="3"/>
      <c r="G12" s="26">
        <v>4.47</v>
      </c>
      <c r="H12" s="10"/>
      <c r="I12" s="10">
        <f t="shared" si="5"/>
        <v>1181.7445892026367</v>
      </c>
      <c r="J12" s="10">
        <f t="shared" si="3"/>
        <v>31299127066.130276</v>
      </c>
      <c r="K12" s="11">
        <f t="shared" si="4"/>
        <v>6.2564369999999814E-2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26040237.950878881</v>
      </c>
      <c r="D13" s="11">
        <v>1.7100000000000001E-2</v>
      </c>
      <c r="E13" s="10">
        <f t="shared" si="2"/>
        <v>437801.66056437418</v>
      </c>
      <c r="F13" s="3"/>
      <c r="G13" s="26">
        <v>4.09</v>
      </c>
      <c r="H13" s="10"/>
      <c r="I13" s="10">
        <f t="shared" si="5"/>
        <v>1131.1808071241855</v>
      </c>
      <c r="J13" s="10">
        <f t="shared" si="3"/>
        <v>29456217382.981022</v>
      </c>
      <c r="K13" s="11">
        <f t="shared" si="4"/>
        <v>5.8699389999999685E-2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25602436.290314507</v>
      </c>
      <c r="D14" s="11">
        <v>1.7000000000000001E-2</v>
      </c>
      <c r="E14" s="10">
        <f t="shared" si="2"/>
        <v>427965.99502000585</v>
      </c>
      <c r="F14" s="3"/>
      <c r="G14" s="26">
        <v>3.19</v>
      </c>
      <c r="H14" s="10"/>
      <c r="I14" s="10">
        <f t="shared" si="5"/>
        <v>1086.7334106294416</v>
      </c>
      <c r="J14" s="10">
        <f t="shared" si="3"/>
        <v>27823022910.196472</v>
      </c>
      <c r="K14" s="11">
        <f t="shared" si="4"/>
        <v>4.9442300000000161E-2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25174470.295294501</v>
      </c>
      <c r="D15" s="11">
        <v>1.7500000000000002E-2</v>
      </c>
      <c r="E15" s="10">
        <f t="shared" si="2"/>
        <v>432976.14758491889</v>
      </c>
      <c r="F15" s="3"/>
      <c r="G15" s="26">
        <v>2.39</v>
      </c>
      <c r="H15" s="10"/>
      <c r="I15" s="10">
        <f t="shared" si="5"/>
        <v>1053.1382988947005</v>
      </c>
      <c r="J15" s="10">
        <f t="shared" si="3"/>
        <v>26512198822.361618</v>
      </c>
      <c r="K15" s="11">
        <f t="shared" si="4"/>
        <v>4.1818249999999946E-2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24741494.147709582</v>
      </c>
      <c r="D16" s="11">
        <v>1.8700000000000001E-2</v>
      </c>
      <c r="E16" s="10">
        <f t="shared" si="2"/>
        <v>454172.90719757229</v>
      </c>
      <c r="F16" s="3"/>
      <c r="G16" s="26">
        <v>3.54</v>
      </c>
      <c r="H16" s="10"/>
      <c r="I16" s="10">
        <f t="shared" si="5"/>
        <v>1028.5558149181566</v>
      </c>
      <c r="J16" s="10">
        <f t="shared" si="3"/>
        <v>25448007675.390232</v>
      </c>
      <c r="K16" s="11">
        <f t="shared" si="4"/>
        <v>5.4761980000000099E-2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24287321.24051201</v>
      </c>
      <c r="D17" s="11">
        <v>2.1700000000000001E-2</v>
      </c>
      <c r="E17" s="10">
        <f t="shared" si="2"/>
        <v>515841.11864452437</v>
      </c>
      <c r="F17" s="3"/>
      <c r="G17" s="26">
        <v>6.37</v>
      </c>
      <c r="H17" s="10"/>
      <c r="I17" s="10">
        <f t="shared" si="5"/>
        <v>993.38981545118452</v>
      </c>
      <c r="J17" s="10">
        <f t="shared" si="3"/>
        <v>24126777564.915859</v>
      </c>
      <c r="K17" s="11">
        <f t="shared" si="4"/>
        <v>8.6782290000000151E-2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23771480.121867485</v>
      </c>
      <c r="D18" s="11">
        <v>2.1000000000000001E-2</v>
      </c>
      <c r="E18" s="10">
        <f t="shared" si="2"/>
        <v>488933.47948992625</v>
      </c>
      <c r="F18" s="3"/>
      <c r="G18" s="26">
        <v>6.05</v>
      </c>
      <c r="H18" s="10"/>
      <c r="I18" s="10">
        <f t="shared" si="5"/>
        <v>933.90036236832225</v>
      </c>
      <c r="J18" s="10">
        <f t="shared" si="3"/>
        <v>22200193899.843414</v>
      </c>
      <c r="K18" s="11">
        <f t="shared" si="4"/>
        <v>8.2770499999999858E-2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23282546.642377559</v>
      </c>
      <c r="D19" s="11">
        <v>2.1700000000000001E-2</v>
      </c>
      <c r="E19" s="10">
        <f t="shared" si="2"/>
        <v>494500.59913829342</v>
      </c>
      <c r="F19" s="3"/>
      <c r="G19" s="26">
        <v>5.58</v>
      </c>
      <c r="H19" s="10"/>
      <c r="I19" s="10">
        <f t="shared" si="5"/>
        <v>880.6226896448112</v>
      </c>
      <c r="J19" s="10">
        <f t="shared" si="3"/>
        <v>20503138845.991295</v>
      </c>
      <c r="K19" s="11">
        <f t="shared" si="4"/>
        <v>7.871086000000016E-2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22788046.043239266</v>
      </c>
      <c r="D20" s="11">
        <v>2.23E-2</v>
      </c>
      <c r="E20" s="10">
        <f t="shared" si="2"/>
        <v>497088.35641615465</v>
      </c>
      <c r="F20" s="3"/>
      <c r="G20" s="26">
        <v>5.49</v>
      </c>
      <c r="H20" s="10"/>
      <c r="I20" s="10">
        <f t="shared" si="5"/>
        <v>834.08097143854059</v>
      </c>
      <c r="J20" s="10">
        <f t="shared" si="3"/>
        <v>19007075580.931198</v>
      </c>
      <c r="K20" s="11">
        <f t="shared" si="4"/>
        <v>7.8424269999999963E-2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22290957.686823111</v>
      </c>
      <c r="D21" s="11">
        <v>2.2700000000000001E-2</v>
      </c>
      <c r="E21" s="10">
        <f t="shared" si="2"/>
        <v>494773.38368131593</v>
      </c>
      <c r="F21" s="3"/>
      <c r="G21" s="26">
        <v>4.99</v>
      </c>
      <c r="H21" s="10"/>
      <c r="I21" s="10">
        <f t="shared" si="5"/>
        <v>790.67302250311934</v>
      </c>
      <c r="J21" s="10">
        <f t="shared" si="3"/>
        <v>17624858888.729572</v>
      </c>
      <c r="K21" s="11">
        <f t="shared" si="4"/>
        <v>7.3732729999999913E-2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21796184.303141795</v>
      </c>
      <c r="D22" s="11">
        <v>2.3099999999999999E-2</v>
      </c>
      <c r="E22" s="10">
        <f t="shared" si="2"/>
        <v>492123.79767625034</v>
      </c>
      <c r="F22" s="3"/>
      <c r="G22" s="26">
        <v>4.6399999999999997</v>
      </c>
      <c r="H22" s="10"/>
      <c r="I22" s="10">
        <f t="shared" si="5"/>
        <v>753.09364939815157</v>
      </c>
      <c r="J22" s="10">
        <f t="shared" si="3"/>
        <v>16414567979.807762</v>
      </c>
      <c r="K22" s="11">
        <f t="shared" si="4"/>
        <v>7.0571839999999941E-2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21304060.505465545</v>
      </c>
      <c r="D23" s="11">
        <v>2.3699999999999999E-2</v>
      </c>
      <c r="E23" s="10">
        <f t="shared" si="2"/>
        <v>493216.99128605425</v>
      </c>
      <c r="F23" s="3"/>
      <c r="G23" s="26">
        <v>3.97</v>
      </c>
      <c r="H23" s="10"/>
      <c r="I23" s="10">
        <f t="shared" si="5"/>
        <v>719.6995884921173</v>
      </c>
      <c r="J23" s="10">
        <f t="shared" si="3"/>
        <v>15332523578.99472</v>
      </c>
      <c r="K23" s="11">
        <f t="shared" si="4"/>
        <v>6.4340889999999984E-2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20810843.514179491</v>
      </c>
      <c r="D24" s="11">
        <v>2.4199999999999999E-2</v>
      </c>
      <c r="E24" s="10">
        <f t="shared" si="2"/>
        <v>491722.72314308211</v>
      </c>
      <c r="F24" s="3"/>
      <c r="G24" s="26">
        <v>2.9</v>
      </c>
      <c r="H24" s="10"/>
      <c r="I24" s="10">
        <f t="shared" si="5"/>
        <v>692.21851350593181</v>
      </c>
      <c r="J24" s="10">
        <f t="shared" si="3"/>
        <v>14405651162.18989</v>
      </c>
      <c r="K24" s="11">
        <f t="shared" si="4"/>
        <v>5.39018E-2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20319120.791036408</v>
      </c>
      <c r="D25" s="11">
        <v>2.4E-2</v>
      </c>
      <c r="E25" s="10">
        <f t="shared" si="2"/>
        <v>476229.39353991672</v>
      </c>
      <c r="F25" s="3"/>
      <c r="G25" s="26">
        <v>4.47</v>
      </c>
      <c r="H25" s="10"/>
      <c r="I25" s="10">
        <f t="shared" si="5"/>
        <v>672.70992566174141</v>
      </c>
      <c r="J25" s="10">
        <f t="shared" si="3"/>
        <v>13668874236.850046</v>
      </c>
      <c r="K25" s="11">
        <f t="shared" si="4"/>
        <v>6.9772799999999968E-2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19842891.397496492</v>
      </c>
      <c r="D26" s="11">
        <v>2.3400000000000001E-2</v>
      </c>
      <c r="E26" s="10">
        <f t="shared" si="2"/>
        <v>453706.91684719548</v>
      </c>
      <c r="F26" s="3"/>
      <c r="G26" s="26">
        <v>1.1299999999999999</v>
      </c>
      <c r="H26" s="10"/>
      <c r="I26" s="10">
        <f t="shared" si="5"/>
        <v>643.92641491503923</v>
      </c>
      <c r="J26" s="10">
        <f t="shared" si="3"/>
        <v>12777361919.138388</v>
      </c>
      <c r="K26" s="11">
        <f t="shared" si="4"/>
        <v>3.4964420000000107E-2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19389184.480649296</v>
      </c>
      <c r="D27" s="11">
        <v>2.3900000000000001E-2</v>
      </c>
      <c r="E27" s="10">
        <f t="shared" si="2"/>
        <v>452584.73394620419</v>
      </c>
      <c r="F27" s="3"/>
      <c r="G27" s="26">
        <v>1.67</v>
      </c>
      <c r="H27" s="10"/>
      <c r="I27" s="10">
        <f t="shared" si="5"/>
        <v>636.7313506526641</v>
      </c>
      <c r="J27" s="10">
        <f t="shared" si="3"/>
        <v>12345701622.4175</v>
      </c>
      <c r="K27" s="11">
        <f t="shared" si="4"/>
        <v>4.0999130000000106E-2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18936599.746703092</v>
      </c>
      <c r="D28" s="11">
        <v>2.46E-2</v>
      </c>
      <c r="E28" s="10">
        <f t="shared" si="2"/>
        <v>454655.82058256492</v>
      </c>
      <c r="F28" s="3"/>
      <c r="G28" s="26">
        <v>4.92</v>
      </c>
      <c r="H28" s="10"/>
      <c r="I28" s="10">
        <f t="shared" si="5"/>
        <v>626.27259826169382</v>
      </c>
      <c r="J28" s="10">
        <f t="shared" si="3"/>
        <v>11859473525.609478</v>
      </c>
      <c r="K28" s="11">
        <f t="shared" si="4"/>
        <v>7.5010319999999853E-2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18481943.926120527</v>
      </c>
      <c r="D29" s="11">
        <v>2.4899999999999999E-2</v>
      </c>
      <c r="E29" s="10">
        <f t="shared" si="2"/>
        <v>449019.81047946215</v>
      </c>
      <c r="F29" s="3"/>
      <c r="G29" s="26">
        <v>5.46</v>
      </c>
      <c r="H29" s="10"/>
      <c r="I29" s="10">
        <f t="shared" si="5"/>
        <v>596.90487825170976</v>
      </c>
      <c r="J29" s="10">
        <f t="shared" si="3"/>
        <v>11031962489.075899</v>
      </c>
      <c r="K29" s="11">
        <f t="shared" si="4"/>
        <v>8.0859539999999841E-2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18032924.115641065</v>
      </c>
      <c r="D30" s="12">
        <v>2.52E-2</v>
      </c>
      <c r="E30" s="10">
        <f t="shared" si="2"/>
        <v>443259.54712656513</v>
      </c>
      <c r="F30" s="3"/>
      <c r="G30" s="26">
        <v>3.83</v>
      </c>
      <c r="H30" s="10"/>
      <c r="I30" s="10">
        <f t="shared" si="5"/>
        <v>566.00121207254858</v>
      </c>
      <c r="J30" s="10">
        <f t="shared" si="3"/>
        <v>10206656906.665134</v>
      </c>
      <c r="K30" s="11">
        <f t="shared" si="4"/>
        <v>6.446515999999991E-2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17589664.5685145</v>
      </c>
      <c r="D31" s="13">
        <v>2.5399999999999999E-2</v>
      </c>
      <c r="E31" s="10">
        <f t="shared" si="2"/>
        <v>435710.43499148637</v>
      </c>
      <c r="F31" s="3"/>
      <c r="G31" s="26">
        <v>4.74</v>
      </c>
      <c r="H31" s="10"/>
      <c r="I31" s="10">
        <f t="shared" si="5"/>
        <v>545.12300112929654</v>
      </c>
      <c r="J31" s="10">
        <f t="shared" si="3"/>
        <v>9588530738.4462776</v>
      </c>
      <c r="K31" s="11">
        <f t="shared" si="4"/>
        <v>7.4003960000000202E-2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17153954.133523013</v>
      </c>
      <c r="D32" s="12">
        <v>2.5399999999999999E-2</v>
      </c>
      <c r="E32" s="10">
        <f t="shared" si="2"/>
        <v>424917.52973618731</v>
      </c>
      <c r="F32" s="3"/>
      <c r="G32" s="26">
        <v>5.79</v>
      </c>
      <c r="H32" s="10"/>
      <c r="I32" s="10">
        <f t="shared" si="5"/>
        <v>520.45350499264509</v>
      </c>
      <c r="J32" s="10">
        <f t="shared" si="3"/>
        <v>8927835553.2751255</v>
      </c>
      <c r="K32" s="11">
        <f t="shared" si="4"/>
        <v>8.477066000000022E-2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16729036.603786826</v>
      </c>
      <c r="D33" s="13">
        <v>2.5600000000000001E-2</v>
      </c>
      <c r="E33" s="10">
        <f t="shared" si="2"/>
        <v>417573.45656878315</v>
      </c>
      <c r="F33" s="3"/>
      <c r="G33" s="26">
        <v>9.75</v>
      </c>
      <c r="H33" s="10"/>
      <c r="I33" s="10">
        <f t="shared" si="5"/>
        <v>491.96852726405621</v>
      </c>
      <c r="J33" s="10">
        <f t="shared" si="3"/>
        <v>8230159500.5114937</v>
      </c>
      <c r="K33" s="11">
        <f t="shared" si="4"/>
        <v>0.12559600000000004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16311463.147218043</v>
      </c>
      <c r="D34" s="12">
        <v>2.6499999999999999E-2</v>
      </c>
      <c r="E34" s="10">
        <f t="shared" si="2"/>
        <v>421094.7622028999</v>
      </c>
      <c r="F34" s="3"/>
      <c r="G34" s="26">
        <v>3.79</v>
      </c>
      <c r="H34" s="10"/>
      <c r="I34" s="10">
        <f t="shared" si="5"/>
        <v>448.26289500141797</v>
      </c>
      <c r="J34" s="10">
        <f t="shared" ref="J34:J65" si="6">IF(I34="","",I34*C34)</f>
        <v>7311823692.0809002</v>
      </c>
      <c r="K34" s="11">
        <f t="shared" ref="K34:K65" si="7">IFERROR(J34/J35-1,"")</f>
        <v>7.8748849999999759E-2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15890368.385015143</v>
      </c>
      <c r="D35" s="11">
        <v>2.8199999999999999E-2</v>
      </c>
      <c r="E35" s="10">
        <f t="shared" si="2"/>
        <v>435818.31205740757</v>
      </c>
      <c r="F35" s="3"/>
      <c r="G35" s="26">
        <v>7.21</v>
      </c>
      <c r="H35" s="10"/>
      <c r="I35" s="10">
        <f t="shared" ref="I35:I66" si="8">IF(H35&lt;&gt;"",H35,I34/(1+IF(G34="",0,G34)/100))</f>
        <v>426.55142734933673</v>
      </c>
      <c r="J35" s="10">
        <f t="shared" si="6"/>
        <v>6778059315.7349844</v>
      </c>
      <c r="K35" s="11">
        <f t="shared" si="7"/>
        <v>0.13009461999999994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15454550.072957736</v>
      </c>
      <c r="D36" s="11">
        <v>2.9499999999999998E-2</v>
      </c>
      <c r="E36" s="10">
        <f t="shared" si="2"/>
        <v>442845.29106581211</v>
      </c>
      <c r="F36" s="3"/>
      <c r="G36" s="26">
        <v>2.55</v>
      </c>
      <c r="H36" s="10"/>
      <c r="I36" s="10">
        <f t="shared" si="8"/>
        <v>388.09155431656512</v>
      </c>
      <c r="J36" s="10">
        <f t="shared" si="6"/>
        <v>5997780359.0773525</v>
      </c>
      <c r="K36" s="11">
        <f t="shared" si="7"/>
        <v>0.10516824999999974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15011704.781891923</v>
      </c>
      <c r="D37" s="11">
        <v>3.04E-2</v>
      </c>
      <c r="E37" s="10">
        <f t="shared" si="2"/>
        <v>442891.91126699746</v>
      </c>
      <c r="F37" s="3"/>
      <c r="G37" s="26">
        <v>4.71</v>
      </c>
      <c r="H37" s="10"/>
      <c r="I37" s="10">
        <f t="shared" si="8"/>
        <v>361.51984566051715</v>
      </c>
      <c r="J37" s="10">
        <f t="shared" si="6"/>
        <v>5427029195.8508158</v>
      </c>
      <c r="K37" s="11">
        <f t="shared" si="7"/>
        <v>0.13354304000000017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14568812.870624926</v>
      </c>
      <c r="D38" s="11">
        <v>3.1399999999999997E-2</v>
      </c>
      <c r="E38" s="10">
        <f t="shared" si="2"/>
        <v>443533.76394960657</v>
      </c>
      <c r="F38" s="3"/>
      <c r="G38" s="26">
        <v>0.85</v>
      </c>
      <c r="H38" s="10"/>
      <c r="I38" s="10">
        <f t="shared" si="8"/>
        <v>328.62453018863476</v>
      </c>
      <c r="J38" s="10">
        <f t="shared" si="6"/>
        <v>4787669285.0152521</v>
      </c>
      <c r="K38" s="11">
        <f t="shared" si="7"/>
        <v>7.8328700000000362E-2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14125279.106675319</v>
      </c>
      <c r="D39" s="11">
        <v>3.2199999999999999E-2</v>
      </c>
      <c r="E39" s="10">
        <f t="shared" si="2"/>
        <v>440645.21142699569</v>
      </c>
      <c r="F39" s="3"/>
      <c r="G39" s="26">
        <v>8.6300000000000008</v>
      </c>
      <c r="H39" s="10"/>
      <c r="I39" s="10">
        <f t="shared" si="8"/>
        <v>314.3228409264799</v>
      </c>
      <c r="J39" s="10">
        <f t="shared" si="6"/>
        <v>4439897857.6896362</v>
      </c>
      <c r="K39" s="11">
        <f t="shared" si="7"/>
        <v>0.12127885999999988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13684633.895248324</v>
      </c>
      <c r="D40" s="11">
        <v>3.2800000000000003E-2</v>
      </c>
      <c r="E40" s="10">
        <f t="shared" si="2"/>
        <v>434601.07645637542</v>
      </c>
      <c r="F40" s="3"/>
      <c r="G40" s="26">
        <v>9</v>
      </c>
      <c r="H40" s="10"/>
      <c r="I40" s="10">
        <f t="shared" si="8"/>
        <v>289.3517821287673</v>
      </c>
      <c r="J40" s="10">
        <f t="shared" si="6"/>
        <v>3959673205.3698373</v>
      </c>
      <c r="K40" s="11">
        <f t="shared" si="7"/>
        <v>0.12575200000000009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13250032.818791948</v>
      </c>
      <c r="D41" s="11">
        <v>3.2899999999999999E-2</v>
      </c>
      <c r="E41" s="10">
        <f t="shared" si="2"/>
        <v>422040.93304119818</v>
      </c>
      <c r="F41" s="3"/>
      <c r="G41" s="26">
        <v>13.28</v>
      </c>
      <c r="H41" s="10"/>
      <c r="I41" s="10">
        <f t="shared" si="8"/>
        <v>265.46035057685071</v>
      </c>
      <c r="J41" s="10">
        <f t="shared" si="6"/>
        <v>3517358357.231288</v>
      </c>
      <c r="K41" s="11">
        <f t="shared" si="7"/>
        <v>0.17006911999999996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12827991.88575075</v>
      </c>
      <c r="D42" s="11">
        <v>3.2599999999999997E-2</v>
      </c>
      <c r="E42" s="10">
        <f t="shared" si="2"/>
        <v>404989.86584880389</v>
      </c>
      <c r="F42" s="3"/>
      <c r="G42" s="26">
        <v>2.94</v>
      </c>
      <c r="H42" s="10"/>
      <c r="I42" s="10">
        <f t="shared" si="8"/>
        <v>234.33999874368882</v>
      </c>
      <c r="J42" s="10">
        <f t="shared" si="6"/>
        <v>3006111602.3908811</v>
      </c>
      <c r="K42" s="11">
        <f t="shared" si="7"/>
        <v>6.295844000000006E-2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12423002.019901946</v>
      </c>
      <c r="D43" s="11">
        <v>3.2199999999999999E-2</v>
      </c>
      <c r="E43" s="10">
        <f t="shared" si="2"/>
        <v>387541.81848560646</v>
      </c>
      <c r="F43" s="3"/>
      <c r="G43" s="26">
        <v>1.56</v>
      </c>
      <c r="H43" s="10"/>
      <c r="I43" s="10">
        <f t="shared" si="8"/>
        <v>227.6471718901193</v>
      </c>
      <c r="J43" s="10">
        <f t="shared" si="6"/>
        <v>2828061276.2159176</v>
      </c>
      <c r="K43" s="11">
        <f t="shared" si="7"/>
        <v>4.8302320000000121E-2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12035460.20141634</v>
      </c>
      <c r="D44" s="11">
        <v>3.1800000000000002E-2</v>
      </c>
      <c r="E44" s="10">
        <f t="shared" si="2"/>
        <v>370931.9969035089</v>
      </c>
      <c r="F44" s="3"/>
      <c r="G44" s="26">
        <v>3.51</v>
      </c>
      <c r="H44" s="10"/>
      <c r="I44" s="10">
        <f t="shared" si="8"/>
        <v>224.15042525612375</v>
      </c>
      <c r="J44" s="10">
        <f t="shared" si="6"/>
        <v>2697753522.3006253</v>
      </c>
      <c r="K44" s="11">
        <f t="shared" si="7"/>
        <v>6.8016179999999871E-2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11664528.204512831</v>
      </c>
      <c r="D45" s="11">
        <v>3.15E-2</v>
      </c>
      <c r="E45" s="10">
        <f t="shared" si="2"/>
        <v>356211.96165017411</v>
      </c>
      <c r="F45" s="3"/>
      <c r="G45" s="26">
        <v>3.06</v>
      </c>
      <c r="H45" s="10"/>
      <c r="I45" s="10">
        <f t="shared" si="8"/>
        <v>216.54953652412692</v>
      </c>
      <c r="J45" s="10">
        <f t="shared" si="6"/>
        <v>2525948176.4598598</v>
      </c>
      <c r="K45" s="11">
        <f t="shared" si="7"/>
        <v>6.3063899999999951E-2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11308316.242862657</v>
      </c>
      <c r="D46" s="11">
        <v>2.7799999999999998E-2</v>
      </c>
      <c r="E46" s="10">
        <f t="shared" si="2"/>
        <v>305868.05949755013</v>
      </c>
      <c r="F46" s="3"/>
      <c r="G46" s="26">
        <v>4.0599999999999996</v>
      </c>
      <c r="H46" s="10"/>
      <c r="I46" s="10">
        <f t="shared" si="8"/>
        <v>210.11986854660094</v>
      </c>
      <c r="J46" s="10">
        <f t="shared" si="6"/>
        <v>2376101922.4336939</v>
      </c>
      <c r="K46" s="11">
        <f t="shared" si="7"/>
        <v>6.952868000000012E-2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11002448.183365107</v>
      </c>
      <c r="D47" s="11">
        <v>2.4E-2</v>
      </c>
      <c r="E47" s="10">
        <f t="shared" si="2"/>
        <v>257869.87929761969</v>
      </c>
      <c r="F47" s="3"/>
      <c r="G47" s="26">
        <v>5.6</v>
      </c>
      <c r="H47" s="10"/>
      <c r="I47" s="10">
        <f t="shared" si="8"/>
        <v>201.9218417707101</v>
      </c>
      <c r="J47" s="10">
        <f t="shared" si="6"/>
        <v>2221634601.171886</v>
      </c>
      <c r="K47" s="11">
        <f t="shared" si="7"/>
        <v>8.1344000000000083E-2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10744578.304067487</v>
      </c>
      <c r="D48" s="11">
        <v>2.4E-2</v>
      </c>
      <c r="E48" s="10">
        <f t="shared" si="2"/>
        <v>251826.05400158279</v>
      </c>
      <c r="F48" s="3"/>
      <c r="G48" s="26">
        <v>5.28</v>
      </c>
      <c r="H48" s="10"/>
      <c r="I48" s="10">
        <f t="shared" si="8"/>
        <v>191.21386531317245</v>
      </c>
      <c r="J48" s="10">
        <f t="shared" si="6"/>
        <v>2054512348.6807952</v>
      </c>
      <c r="K48" s="11">
        <f t="shared" si="7"/>
        <v>7.8067200000000003E-2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10492752.250065904</v>
      </c>
      <c r="D49" s="11">
        <v>2.4E-2</v>
      </c>
      <c r="E49" s="10">
        <f t="shared" si="2"/>
        <v>245923.88086091913</v>
      </c>
      <c r="F49" s="3"/>
      <c r="G49" s="26">
        <v>-1.61</v>
      </c>
      <c r="H49" s="10"/>
      <c r="I49" s="10">
        <f t="shared" si="8"/>
        <v>181.6241121895635</v>
      </c>
      <c r="J49" s="10">
        <f t="shared" si="6"/>
        <v>1905736811.8432646</v>
      </c>
      <c r="K49" s="11">
        <f t="shared" si="7"/>
        <v>7.5136000000000092E-3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10246828.369204985</v>
      </c>
      <c r="D50" s="11">
        <v>2.4E-2</v>
      </c>
      <c r="E50" s="10">
        <f t="shared" si="2"/>
        <v>240160.03990324214</v>
      </c>
      <c r="F50" s="3"/>
      <c r="G50" s="26">
        <v>0.81</v>
      </c>
      <c r="H50" s="10"/>
      <c r="I50" s="10">
        <f t="shared" si="8"/>
        <v>184.5961095533728</v>
      </c>
      <c r="J50" s="10">
        <f t="shared" si="6"/>
        <v>1891524652.2163718</v>
      </c>
      <c r="K50" s="11">
        <f t="shared" si="7"/>
        <v>3.2294400000000056E-2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10006668.329301743</v>
      </c>
      <c r="D51" s="11">
        <v>2.3900000000000001E-2</v>
      </c>
      <c r="E51" s="10">
        <f t="shared" si="2"/>
        <v>233576.88550670259</v>
      </c>
      <c r="F51" s="3"/>
      <c r="G51" s="26">
        <v>5.05</v>
      </c>
      <c r="H51" s="10"/>
      <c r="I51" s="10">
        <f t="shared" si="8"/>
        <v>183.1128951030382</v>
      </c>
      <c r="J51" s="10">
        <f t="shared" si="6"/>
        <v>1832350008.1143246</v>
      </c>
      <c r="K51" s="11">
        <f t="shared" si="7"/>
        <v>7.5606950000000062E-2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9773091.4437950402</v>
      </c>
      <c r="D52" s="11">
        <v>2.4E-2</v>
      </c>
      <c r="E52" s="10">
        <f t="shared" si="2"/>
        <v>229056.83071394637</v>
      </c>
      <c r="F52" s="3"/>
      <c r="G52" s="26">
        <v>4.91</v>
      </c>
      <c r="H52" s="10"/>
      <c r="I52" s="10">
        <f t="shared" si="8"/>
        <v>174.31022856072175</v>
      </c>
      <c r="J52" s="10">
        <f t="shared" si="6"/>
        <v>1703549803.3127477</v>
      </c>
      <c r="K52" s="11">
        <f t="shared" si="7"/>
        <v>7.4278400000000078E-2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9544034.6130810939</v>
      </c>
      <c r="D53" s="11">
        <v>2.3900000000000001E-2</v>
      </c>
      <c r="E53" s="10">
        <f t="shared" si="2"/>
        <v>222778.03228111938</v>
      </c>
      <c r="F53" s="3"/>
      <c r="G53" s="26">
        <v>11.51</v>
      </c>
      <c r="H53" s="10"/>
      <c r="I53" s="10">
        <f t="shared" si="8"/>
        <v>166.15215762150584</v>
      </c>
      <c r="J53" s="10">
        <f t="shared" si="6"/>
        <v>1585761943.3777573</v>
      </c>
      <c r="K53" s="11">
        <f t="shared" si="7"/>
        <v>0.14175088999999996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9321256.5807999745</v>
      </c>
      <c r="D54" s="11">
        <v>2.4E-2</v>
      </c>
      <c r="E54" s="10">
        <f t="shared" si="2"/>
        <v>218466.95111249946</v>
      </c>
      <c r="F54" s="3"/>
      <c r="G54" s="26">
        <v>10.52</v>
      </c>
      <c r="H54" s="10"/>
      <c r="I54" s="10">
        <f t="shared" si="8"/>
        <v>149.00202459107331</v>
      </c>
      <c r="J54" s="10">
        <f t="shared" si="6"/>
        <v>1388886102.2720616</v>
      </c>
      <c r="K54" s="11">
        <f t="shared" si="7"/>
        <v>0.13172479999999998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9102789.629687475</v>
      </c>
      <c r="D55" s="11">
        <v>2.3800000000000002E-2</v>
      </c>
      <c r="E55" s="10">
        <f t="shared" si="2"/>
        <v>211610.07343872078</v>
      </c>
      <c r="F55" s="3"/>
      <c r="G55" s="26">
        <v>3.88</v>
      </c>
      <c r="H55" s="10"/>
      <c r="I55" s="10">
        <f t="shared" si="8"/>
        <v>134.81905952865844</v>
      </c>
      <c r="J55" s="10">
        <f t="shared" si="6"/>
        <v>1227229536.9616904</v>
      </c>
      <c r="K55" s="11">
        <f t="shared" si="7"/>
        <v>6.3523440000000209E-2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8891179.5562487543</v>
      </c>
      <c r="D56" s="11">
        <v>2.3E-2</v>
      </c>
      <c r="E56" s="10">
        <f t="shared" si="2"/>
        <v>199899.44261360727</v>
      </c>
      <c r="F56" s="3"/>
      <c r="G56" s="26">
        <v>5.16</v>
      </c>
      <c r="H56" s="10"/>
      <c r="I56" s="10">
        <f t="shared" si="8"/>
        <v>129.78346123282483</v>
      </c>
      <c r="J56" s="10">
        <f t="shared" si="6"/>
        <v>1153928057.2524948</v>
      </c>
      <c r="K56" s="11">
        <f t="shared" si="7"/>
        <v>7.578679999999971E-2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8691280.113635147</v>
      </c>
      <c r="D57" s="11">
        <v>2.2599999999999999E-2</v>
      </c>
      <c r="E57" s="10">
        <f t="shared" si="2"/>
        <v>192081.88007838279</v>
      </c>
      <c r="F57" s="3"/>
      <c r="G57" s="26">
        <v>4.71</v>
      </c>
      <c r="H57" s="10"/>
      <c r="I57" s="10">
        <f t="shared" si="8"/>
        <v>123.41523510158314</v>
      </c>
      <c r="J57" s="10">
        <f t="shared" si="6"/>
        <v>1072636378.5579959</v>
      </c>
      <c r="K57" s="11">
        <f t="shared" si="7"/>
        <v>7.0764459999999918E-2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8499198.2335567642</v>
      </c>
      <c r="D58" s="11">
        <v>2.2700000000000001E-2</v>
      </c>
      <c r="E58" s="10">
        <f t="shared" si="2"/>
        <v>188649.45722278021</v>
      </c>
      <c r="F58" s="3"/>
      <c r="G58" s="26">
        <v>4.76</v>
      </c>
      <c r="H58" s="10"/>
      <c r="I58" s="10">
        <f t="shared" si="8"/>
        <v>117.86384786704531</v>
      </c>
      <c r="J58" s="10">
        <f t="shared" si="6"/>
        <v>1001748207.5917947</v>
      </c>
      <c r="K58" s="11">
        <f t="shared" si="7"/>
        <v>7.1380519999999947E-2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8310548.776333984</v>
      </c>
      <c r="D59" s="11">
        <v>2.3699999999999999E-2</v>
      </c>
      <c r="E59" s="10">
        <f t="shared" si="2"/>
        <v>192400.12308207061</v>
      </c>
      <c r="F59" s="3"/>
      <c r="G59" s="26">
        <v>4.8899999999999997</v>
      </c>
      <c r="H59" s="10"/>
      <c r="I59" s="10">
        <f t="shared" si="8"/>
        <v>112.50844584483133</v>
      </c>
      <c r="J59" s="10">
        <f t="shared" si="6"/>
        <v>935006926.94300127</v>
      </c>
      <c r="K59" s="11">
        <f t="shared" si="7"/>
        <v>7.3758929999999889E-2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8118148.6532519134</v>
      </c>
      <c r="D60" s="11">
        <v>2.4899999999999999E-2</v>
      </c>
      <c r="E60" s="10">
        <f t="shared" si="2"/>
        <v>197230.85322077479</v>
      </c>
      <c r="F60" s="3"/>
      <c r="G60" s="26">
        <v>4.59</v>
      </c>
      <c r="H60" s="10"/>
      <c r="I60" s="10">
        <f t="shared" si="8"/>
        <v>107.26327185130263</v>
      </c>
      <c r="J60" s="10">
        <f t="shared" si="6"/>
        <v>870779185.92304635</v>
      </c>
      <c r="K60" s="11">
        <f t="shared" si="7"/>
        <v>7.1942910000000193E-2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7920917.8000311386</v>
      </c>
      <c r="D61" s="11">
        <v>2.5499999999999998E-2</v>
      </c>
      <c r="E61" s="10">
        <f t="shared" si="2"/>
        <v>196960.90092715248</v>
      </c>
      <c r="F61" s="3"/>
      <c r="G61" s="26">
        <v>4.71</v>
      </c>
      <c r="H61" s="10"/>
      <c r="I61" s="10">
        <f t="shared" si="8"/>
        <v>102.5559535818937</v>
      </c>
      <c r="J61" s="10">
        <f t="shared" si="6"/>
        <v>812337278.22598898</v>
      </c>
      <c r="K61" s="11">
        <f t="shared" si="7"/>
        <v>7.3801049999999924E-2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7723956.8991039861</v>
      </c>
      <c r="D62" s="11">
        <v>2.5999999999999999E-2</v>
      </c>
      <c r="E62" s="10">
        <f t="shared" si="2"/>
        <v>195733.80056208931</v>
      </c>
      <c r="F62" s="3"/>
      <c r="G62" s="26">
        <v>1.96</v>
      </c>
      <c r="H62" s="10"/>
      <c r="I62" s="10">
        <f t="shared" si="8"/>
        <v>97.942845556196843</v>
      </c>
      <c r="J62" s="10">
        <f t="shared" si="6"/>
        <v>756506317.65166283</v>
      </c>
      <c r="K62" s="11">
        <f t="shared" si="7"/>
        <v>4.6109600000000084E-2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7528223.0985418968</v>
      </c>
      <c r="D63" s="11">
        <v>2.6100000000000002E-2</v>
      </c>
      <c r="E63" s="10">
        <f t="shared" si="2"/>
        <v>191488.76607732568</v>
      </c>
      <c r="F63" s="3"/>
      <c r="G63" s="26">
        <v>1.82</v>
      </c>
      <c r="H63" s="10"/>
      <c r="I63" s="10">
        <f t="shared" si="8"/>
        <v>96.060068219102433</v>
      </c>
      <c r="J63" s="10">
        <f t="shared" si="6"/>
        <v>723161624.41455734</v>
      </c>
      <c r="K63" s="11">
        <f t="shared" si="7"/>
        <v>4.477502000000011E-2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7336734.3324645711</v>
      </c>
      <c r="D64" s="11">
        <v>2.6100000000000002E-2</v>
      </c>
      <c r="E64" s="10">
        <f t="shared" si="2"/>
        <v>186618.03535457142</v>
      </c>
      <c r="F64" s="3"/>
      <c r="G64" s="26">
        <v>1.68</v>
      </c>
      <c r="H64" s="10"/>
      <c r="I64" s="10">
        <f t="shared" si="8"/>
        <v>94.343025161169152</v>
      </c>
      <c r="J64" s="10">
        <f t="shared" si="6"/>
        <v>692169711.72851861</v>
      </c>
      <c r="K64" s="11">
        <f t="shared" si="7"/>
        <v>4.3338480000000068E-2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7150116.2971099997</v>
      </c>
      <c r="D65" s="12">
        <v>2.6100000000000002E-2</v>
      </c>
      <c r="E65" s="10">
        <f t="shared" si="2"/>
        <v>181871.19711000007</v>
      </c>
      <c r="F65" s="3"/>
      <c r="G65" s="26">
        <v>1.82</v>
      </c>
      <c r="H65" s="10"/>
      <c r="I65" s="10">
        <f t="shared" si="8"/>
        <v>92.78424976511522</v>
      </c>
      <c r="J65" s="10">
        <f t="shared" si="6"/>
        <v>663418176.36067498</v>
      </c>
      <c r="K65" s="11">
        <f t="shared" si="7"/>
        <v>4.477502000000011E-2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6968245.0999999996</v>
      </c>
      <c r="D66" s="13">
        <v>2.6100000000000002E-2</v>
      </c>
      <c r="E66" s="10">
        <f t="shared" si="2"/>
        <v>177245.09999999963</v>
      </c>
      <c r="F66" s="3"/>
      <c r="G66" s="26">
        <v>1.83</v>
      </c>
      <c r="H66" s="10"/>
      <c r="I66" s="10">
        <f t="shared" si="8"/>
        <v>91.125760916436079</v>
      </c>
      <c r="J66" s="10">
        <f t="shared" ref="J66:J67" si="9">IF(I66="","",I66*C66)</f>
        <v>634986636.98972714</v>
      </c>
      <c r="K66" s="11">
        <f t="shared" ref="K66" si="10">IFERROR(J66/J67-1,"")</f>
        <v>4.487762999999978E-2</v>
      </c>
    </row>
    <row r="67" spans="1:11" ht="22.5" customHeight="1">
      <c r="A67" s="3">
        <f t="shared" si="0"/>
        <v>1950</v>
      </c>
      <c r="B67" s="3">
        <v>1700</v>
      </c>
      <c r="C67" s="10">
        <v>6791000</v>
      </c>
      <c r="D67" s="12">
        <v>2.58E-2</v>
      </c>
      <c r="E67" s="3" t="s">
        <v>72</v>
      </c>
      <c r="F67" s="3"/>
      <c r="G67" s="26">
        <v>1.83</v>
      </c>
      <c r="H67" s="10"/>
      <c r="I67" s="10">
        <f t="shared" ref="I67" si="11">IF(H67&lt;&gt;"",H67,I66/(1+IF(G66="",0,G66)/100))</f>
        <v>89.488128170908453</v>
      </c>
      <c r="J67" s="10">
        <f t="shared" si="9"/>
        <v>607713878.40863931</v>
      </c>
      <c r="K67" s="11"/>
    </row>
  </sheetData>
  <dataValidations count="1">
    <dataValidation type="custom" allowBlank="1" showDropDown="1" sqref="D2:D67" xr:uid="{00000000-0002-0000-1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M67"/>
  <sheetViews>
    <sheetView topLeftCell="A34" workbookViewId="0">
      <selection activeCell="L70" sqref="L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7439240.1907887748</v>
      </c>
      <c r="D2" s="12">
        <v>2.0400000000000001E-2</v>
      </c>
      <c r="E2" s="10">
        <f t="shared" ref="E2:E66" si="2">SUM(C2-C3)</f>
        <v>148726.47970608622</v>
      </c>
      <c r="F2" s="14">
        <v>7438559</v>
      </c>
      <c r="G2" s="26">
        <v>1.45</v>
      </c>
      <c r="H2" s="10"/>
      <c r="I2" s="10">
        <f>IF(H2&lt;&gt;"",H2,145400)</f>
        <v>18175</v>
      </c>
      <c r="J2" s="10">
        <f t="shared" ref="J2:J33" si="3">IF(I2="","",I2*C2)</f>
        <v>135208190467.58598</v>
      </c>
      <c r="K2" s="11">
        <f t="shared" ref="K2:K33" si="4">IFERROR(J2/J3-1,"")</f>
        <v>3.5195799999999888E-2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7290513.7110826885</v>
      </c>
      <c r="D3" s="13">
        <v>1.66E-2</v>
      </c>
      <c r="E3" s="10">
        <f t="shared" si="2"/>
        <v>119046.35806017369</v>
      </c>
      <c r="F3" s="3"/>
      <c r="G3" s="26">
        <v>2.54</v>
      </c>
      <c r="H3" s="10"/>
      <c r="I3" s="10">
        <f t="shared" ref="I3:I34" si="5">IF(H3&lt;&gt;"",H3,I2/(1+IF(G2="",0,G2)/100))</f>
        <v>17915.229176934452</v>
      </c>
      <c r="J3" s="10">
        <f t="shared" si="3"/>
        <v>130611223951.62926</v>
      </c>
      <c r="K3" s="11">
        <f t="shared" si="4"/>
        <v>4.2421640000000149E-2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7171467.3530225148</v>
      </c>
      <c r="D4" s="12">
        <v>7.7000000000000002E-3</v>
      </c>
      <c r="E4" s="10">
        <f t="shared" si="2"/>
        <v>54798.351313162595</v>
      </c>
      <c r="F4" s="3"/>
      <c r="G4" s="26">
        <v>1.84</v>
      </c>
      <c r="H4" s="10"/>
      <c r="I4" s="10">
        <f t="shared" si="5"/>
        <v>17471.454239257313</v>
      </c>
      <c r="J4" s="10">
        <f t="shared" si="3"/>
        <v>125295963686.66064</v>
      </c>
      <c r="K4" s="11">
        <f t="shared" si="4"/>
        <v>2.6241680000000267E-2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7116669.0017093522</v>
      </c>
      <c r="D5" s="11">
        <v>5.4999999999999997E-3</v>
      </c>
      <c r="E5" s="10">
        <f t="shared" si="2"/>
        <v>38927.577831329778</v>
      </c>
      <c r="F5" s="3"/>
      <c r="G5" s="26">
        <v>1.1200000000000001</v>
      </c>
      <c r="H5" s="10"/>
      <c r="I5" s="10">
        <f t="shared" si="5"/>
        <v>17155.787744753841</v>
      </c>
      <c r="J5" s="10">
        <f t="shared" si="3"/>
        <v>122092062842.99486</v>
      </c>
      <c r="K5" s="11">
        <f t="shared" si="4"/>
        <v>1.6761600000000154E-2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7077741.4238780225</v>
      </c>
      <c r="D6" s="11">
        <v>7.6E-3</v>
      </c>
      <c r="E6" s="10">
        <f t="shared" si="2"/>
        <v>53385.108000668697</v>
      </c>
      <c r="F6" s="3"/>
      <c r="G6" s="26">
        <v>1.41</v>
      </c>
      <c r="H6" s="10"/>
      <c r="I6" s="10">
        <f t="shared" si="5"/>
        <v>16965.771108340428</v>
      </c>
      <c r="J6" s="10">
        <f t="shared" si="3"/>
        <v>120079340961.534</v>
      </c>
      <c r="K6" s="11">
        <f t="shared" si="4"/>
        <v>2.180716000000027E-2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7024356.3158773538</v>
      </c>
      <c r="D7" s="11">
        <v>1.11E-2</v>
      </c>
      <c r="E7" s="10">
        <f t="shared" si="2"/>
        <v>77114.385427989066</v>
      </c>
      <c r="F7" s="3"/>
      <c r="G7" s="26">
        <v>3.26</v>
      </c>
      <c r="H7" s="10"/>
      <c r="I7" s="10">
        <f t="shared" si="5"/>
        <v>16729.879803116484</v>
      </c>
      <c r="J7" s="10">
        <f t="shared" si="3"/>
        <v>117516636858.89026</v>
      </c>
      <c r="K7" s="11">
        <f t="shared" si="4"/>
        <v>4.406186000000023E-2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6947241.9304493647</v>
      </c>
      <c r="D8" s="11">
        <v>0.01</v>
      </c>
      <c r="E8" s="10">
        <f t="shared" si="2"/>
        <v>68784.573568806052</v>
      </c>
      <c r="F8" s="3"/>
      <c r="G8" s="26">
        <v>-1.93</v>
      </c>
      <c r="H8" s="10"/>
      <c r="I8" s="10">
        <f t="shared" si="5"/>
        <v>16201.704244738024</v>
      </c>
      <c r="J8" s="10">
        <f t="shared" si="3"/>
        <v>112557159073.78346</v>
      </c>
      <c r="K8" s="11">
        <f t="shared" si="4"/>
        <v>-9.4929999999999737E-3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6878457.3568805587</v>
      </c>
      <c r="D9" s="11">
        <v>8.5000000000000006E-3</v>
      </c>
      <c r="E9" s="10">
        <f t="shared" si="2"/>
        <v>57974.107618724927</v>
      </c>
      <c r="F9" s="3"/>
      <c r="G9" s="26">
        <v>2.5299999999999998</v>
      </c>
      <c r="H9" s="10"/>
      <c r="I9" s="10">
        <f t="shared" si="5"/>
        <v>16520.550876657515</v>
      </c>
      <c r="J9" s="10">
        <f t="shared" si="3"/>
        <v>113635904717.26445</v>
      </c>
      <c r="K9" s="11">
        <f t="shared" si="4"/>
        <v>3.4015050000000047E-2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6820483.2492618337</v>
      </c>
      <c r="D10" s="11">
        <v>9.2999999999999992E-3</v>
      </c>
      <c r="E10" s="10">
        <f t="shared" si="2"/>
        <v>62846.026174711064</v>
      </c>
      <c r="F10" s="3"/>
      <c r="G10" s="26">
        <v>3.98</v>
      </c>
      <c r="H10" s="10"/>
      <c r="I10" s="10">
        <f t="shared" si="5"/>
        <v>16112.894642209611</v>
      </c>
      <c r="J10" s="10">
        <f t="shared" si="3"/>
        <v>109897728004.3114</v>
      </c>
      <c r="K10" s="11">
        <f t="shared" si="4"/>
        <v>4.9470140000000162E-2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6757637.2230871227</v>
      </c>
      <c r="D11" s="11">
        <v>1.2200000000000001E-2</v>
      </c>
      <c r="E11" s="10">
        <f t="shared" si="2"/>
        <v>81449.490339520387</v>
      </c>
      <c r="F11" s="3"/>
      <c r="G11" s="26">
        <v>4.13</v>
      </c>
      <c r="H11" s="10"/>
      <c r="I11" s="10">
        <f t="shared" si="5"/>
        <v>15496.147953654174</v>
      </c>
      <c r="J11" s="10">
        <f t="shared" si="3"/>
        <v>104717346226.0788</v>
      </c>
      <c r="K11" s="11">
        <f t="shared" si="4"/>
        <v>5.4003859999999904E-2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6676187.7327476023</v>
      </c>
      <c r="D12" s="11">
        <v>1.1299999999999999E-2</v>
      </c>
      <c r="E12" s="10">
        <f t="shared" si="2"/>
        <v>74597.964382525533</v>
      </c>
      <c r="F12" s="3"/>
      <c r="G12" s="26">
        <v>2.95</v>
      </c>
      <c r="H12" s="10"/>
      <c r="I12" s="10">
        <f t="shared" si="5"/>
        <v>14881.540337706881</v>
      </c>
      <c r="J12" s="10">
        <f t="shared" si="3"/>
        <v>99351957046.987289</v>
      </c>
      <c r="K12" s="11">
        <f t="shared" si="4"/>
        <v>4.1133350000000179E-2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6601589.7683650767</v>
      </c>
      <c r="D13" s="11">
        <v>1.49E-2</v>
      </c>
      <c r="E13" s="10">
        <f t="shared" si="2"/>
        <v>96919.585721390322</v>
      </c>
      <c r="F13" s="3"/>
      <c r="G13" s="26">
        <v>2.59</v>
      </c>
      <c r="H13" s="10"/>
      <c r="I13" s="10">
        <f t="shared" si="5"/>
        <v>14455.114461104304</v>
      </c>
      <c r="J13" s="10">
        <f t="shared" si="3"/>
        <v>95426735726.972229</v>
      </c>
      <c r="K13" s="11">
        <f t="shared" si="4"/>
        <v>4.1185909999999826E-2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6504670.1826436864</v>
      </c>
      <c r="D14" s="11">
        <v>1.9699999999999999E-2</v>
      </c>
      <c r="E14" s="10">
        <f t="shared" si="2"/>
        <v>125666.3750103768</v>
      </c>
      <c r="F14" s="3"/>
      <c r="G14" s="26">
        <v>-0.28000000000000003</v>
      </c>
      <c r="H14" s="10"/>
      <c r="I14" s="10">
        <f t="shared" si="5"/>
        <v>14090.178829422266</v>
      </c>
      <c r="J14" s="10">
        <f t="shared" si="3"/>
        <v>91651966099.860336</v>
      </c>
      <c r="K14" s="11">
        <f t="shared" si="4"/>
        <v>1.6844840000000083E-2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6379003.8076333096</v>
      </c>
      <c r="D15" s="11">
        <v>1.7399999999999999E-2</v>
      </c>
      <c r="E15" s="10">
        <f t="shared" si="2"/>
        <v>109096.38908278011</v>
      </c>
      <c r="F15" s="3"/>
      <c r="G15" s="26">
        <v>0.38</v>
      </c>
      <c r="H15" s="10"/>
      <c r="I15" s="10">
        <f t="shared" si="5"/>
        <v>14129.742107322771</v>
      </c>
      <c r="J15" s="10">
        <f t="shared" si="3"/>
        <v>90133678703.488663</v>
      </c>
      <c r="K15" s="11">
        <f t="shared" si="4"/>
        <v>2.1266120000000166E-2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6269907.4185505295</v>
      </c>
      <c r="D16" s="11">
        <v>5.8999999999999999E-3</v>
      </c>
      <c r="E16" s="10">
        <f t="shared" si="2"/>
        <v>36775.478446613066</v>
      </c>
      <c r="F16" s="3"/>
      <c r="G16" s="26">
        <v>1.59</v>
      </c>
      <c r="H16" s="10"/>
      <c r="I16" s="10">
        <f t="shared" si="5"/>
        <v>14076.252348398855</v>
      </c>
      <c r="J16" s="10">
        <f t="shared" si="3"/>
        <v>88256799024.615295</v>
      </c>
      <c r="K16" s="11">
        <f t="shared" si="4"/>
        <v>2.1893809999999903E-2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6233131.9401039165</v>
      </c>
      <c r="D17" s="11">
        <v>5.8999999999999999E-3</v>
      </c>
      <c r="E17" s="10">
        <f t="shared" si="2"/>
        <v>36559.775769572705</v>
      </c>
      <c r="F17" s="3"/>
      <c r="G17" s="26">
        <v>3.63</v>
      </c>
      <c r="H17" s="10"/>
      <c r="I17" s="10">
        <f t="shared" si="5"/>
        <v>13855.942856972984</v>
      </c>
      <c r="J17" s="10">
        <f t="shared" si="3"/>
        <v>86365919982.053024</v>
      </c>
      <c r="K17" s="11">
        <f t="shared" si="4"/>
        <v>4.2414170000000029E-2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6196572.1643343437</v>
      </c>
      <c r="D18" s="11">
        <v>5.3E-3</v>
      </c>
      <c r="E18" s="10">
        <f t="shared" si="2"/>
        <v>32668.68842233438</v>
      </c>
      <c r="F18" s="3"/>
      <c r="G18" s="26">
        <v>1.68</v>
      </c>
      <c r="H18" s="10"/>
      <c r="I18" s="10">
        <f t="shared" si="5"/>
        <v>13370.590424561406</v>
      </c>
      <c r="J18" s="10">
        <f t="shared" si="3"/>
        <v>82851828445.552521</v>
      </c>
      <c r="K18" s="11">
        <f t="shared" si="4"/>
        <v>2.2189039999999993E-2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6163903.4759120094</v>
      </c>
      <c r="D19" s="11">
        <v>8.8999999999999999E-3</v>
      </c>
      <c r="E19" s="10">
        <f t="shared" si="2"/>
        <v>54374.805169606581</v>
      </c>
      <c r="F19" s="3"/>
      <c r="G19" s="26">
        <v>2.78</v>
      </c>
      <c r="H19" s="10"/>
      <c r="I19" s="10">
        <f t="shared" si="5"/>
        <v>13149.675869946308</v>
      </c>
      <c r="J19" s="10">
        <f t="shared" si="3"/>
        <v>81053332801.878326</v>
      </c>
      <c r="K19" s="11">
        <f t="shared" si="4"/>
        <v>3.6947419999999731E-2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6109528.6707424028</v>
      </c>
      <c r="D20" s="11">
        <v>1.3100000000000001E-2</v>
      </c>
      <c r="E20" s="10">
        <f t="shared" si="2"/>
        <v>78999.926548935473</v>
      </c>
      <c r="F20" s="3"/>
      <c r="G20" s="26">
        <v>2.1</v>
      </c>
      <c r="H20" s="10"/>
      <c r="I20" s="10">
        <f t="shared" si="5"/>
        <v>12794.00259772943</v>
      </c>
      <c r="J20" s="10">
        <f t="shared" si="3"/>
        <v>78165325684.380737</v>
      </c>
      <c r="K20" s="11">
        <f t="shared" si="4"/>
        <v>3.4375100000000103E-2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6030528.7441934673</v>
      </c>
      <c r="D21" s="11">
        <v>1.5800000000000002E-2</v>
      </c>
      <c r="E21" s="10">
        <f t="shared" si="2"/>
        <v>93800.309271763079</v>
      </c>
      <c r="F21" s="3"/>
      <c r="G21" s="26">
        <v>0.56000000000000005</v>
      </c>
      <c r="H21" s="10"/>
      <c r="I21" s="10">
        <f t="shared" si="5"/>
        <v>12530.854650077797</v>
      </c>
      <c r="J21" s="10">
        <f t="shared" si="3"/>
        <v>75567679156.604538</v>
      </c>
      <c r="K21" s="11">
        <f t="shared" si="4"/>
        <v>2.1488480000000143E-2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5936728.4349217042</v>
      </c>
      <c r="D22" s="11">
        <v>1.46E-2</v>
      </c>
      <c r="E22" s="10">
        <f t="shared" si="2"/>
        <v>85428.972156373784</v>
      </c>
      <c r="F22" s="3"/>
      <c r="G22" s="26">
        <v>4.09</v>
      </c>
      <c r="H22" s="10"/>
      <c r="I22" s="10">
        <f t="shared" si="5"/>
        <v>12461.072643275455</v>
      </c>
      <c r="J22" s="10">
        <f t="shared" si="3"/>
        <v>73978004290.958359</v>
      </c>
      <c r="K22" s="11">
        <f t="shared" si="4"/>
        <v>5.6097140000000101E-2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5851299.4627653304</v>
      </c>
      <c r="D23" s="11">
        <v>1.3299999999999999E-2</v>
      </c>
      <c r="E23" s="10">
        <f t="shared" si="2"/>
        <v>76800.831791946664</v>
      </c>
      <c r="F23" s="3"/>
      <c r="G23" s="26">
        <v>4.0199999999999996</v>
      </c>
      <c r="H23" s="10"/>
      <c r="I23" s="10">
        <f t="shared" si="5"/>
        <v>11971.440717912821</v>
      </c>
      <c r="J23" s="10">
        <f t="shared" si="3"/>
        <v>70048484641.25029</v>
      </c>
      <c r="K23" s="11">
        <f t="shared" si="4"/>
        <v>5.4034660000000123E-2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5774498.6309733838</v>
      </c>
      <c r="D24" s="11">
        <v>1.14E-2</v>
      </c>
      <c r="E24" s="10">
        <f t="shared" si="2"/>
        <v>65087.289295132272</v>
      </c>
      <c r="F24" s="3"/>
      <c r="G24" s="26">
        <v>-2.0699999999999998</v>
      </c>
      <c r="H24" s="10"/>
      <c r="I24" s="10">
        <f t="shared" si="5"/>
        <v>11508.787461942724</v>
      </c>
      <c r="J24" s="10">
        <f t="shared" si="3"/>
        <v>66457477443.151901</v>
      </c>
      <c r="K24" s="11">
        <f t="shared" si="4"/>
        <v>-9.5359800000001105E-3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5709411.3416782515</v>
      </c>
      <c r="D25" s="11">
        <v>1.04E-2</v>
      </c>
      <c r="E25" s="10">
        <f t="shared" si="2"/>
        <v>58766.704229467548</v>
      </c>
      <c r="F25" s="3"/>
      <c r="G25" s="26">
        <v>-1.1599999999999999</v>
      </c>
      <c r="H25" s="10"/>
      <c r="I25" s="10">
        <f t="shared" si="5"/>
        <v>11752.055000452083</v>
      </c>
      <c r="J25" s="10">
        <f t="shared" si="3"/>
        <v>67097316107.607735</v>
      </c>
      <c r="K25" s="11">
        <f t="shared" si="4"/>
        <v>-1.320639999999984E-3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5650644.637448784</v>
      </c>
      <c r="D26" s="11">
        <v>9.4999999999999998E-3</v>
      </c>
      <c r="E26" s="10">
        <f t="shared" si="2"/>
        <v>53175.952506948262</v>
      </c>
      <c r="F26" s="3"/>
      <c r="G26" s="26">
        <v>-1.1499999999999999</v>
      </c>
      <c r="H26" s="10"/>
      <c r="I26" s="10">
        <f t="shared" si="5"/>
        <v>11889.978753998466</v>
      </c>
      <c r="J26" s="10">
        <f t="shared" si="3"/>
        <v>67186044685.661407</v>
      </c>
      <c r="K26" s="11">
        <f t="shared" si="4"/>
        <v>-2.1092499999998404E-3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5597468.6849418357</v>
      </c>
      <c r="D27" s="11">
        <v>9.1999999999999998E-3</v>
      </c>
      <c r="E27" s="10">
        <f t="shared" si="2"/>
        <v>51027.26109935157</v>
      </c>
      <c r="F27" s="3"/>
      <c r="G27" s="26">
        <v>-3.75</v>
      </c>
      <c r="H27" s="10"/>
      <c r="I27" s="10">
        <f t="shared" si="5"/>
        <v>12028.304252906895</v>
      </c>
      <c r="J27" s="10">
        <f t="shared" si="3"/>
        <v>67328056388.599052</v>
      </c>
      <c r="K27" s="11">
        <f t="shared" si="4"/>
        <v>-2.864499999999981E-2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5546441.4238424841</v>
      </c>
      <c r="D28" s="11">
        <v>4.7999999999999996E-3</v>
      </c>
      <c r="E28" s="10">
        <f t="shared" si="2"/>
        <v>26495.739285871387</v>
      </c>
      <c r="F28" s="3"/>
      <c r="G28" s="26">
        <v>2.65</v>
      </c>
      <c r="H28" s="10"/>
      <c r="I28" s="10">
        <f t="shared" si="5"/>
        <v>12496.939483539631</v>
      </c>
      <c r="J28" s="10">
        <f t="shared" si="3"/>
        <v>69313542822.756912</v>
      </c>
      <c r="K28" s="11">
        <f t="shared" si="4"/>
        <v>3.1427199999999988E-2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5519945.6845566127</v>
      </c>
      <c r="D29" s="11">
        <v>2.7000000000000001E-3</v>
      </c>
      <c r="E29" s="10">
        <f t="shared" si="2"/>
        <v>14863.721300790086</v>
      </c>
      <c r="F29" s="3"/>
      <c r="G29" s="26">
        <v>2.56</v>
      </c>
      <c r="H29" s="10"/>
      <c r="I29" s="10">
        <f t="shared" si="5"/>
        <v>12174.320003448252</v>
      </c>
      <c r="J29" s="10">
        <f t="shared" si="3"/>
        <v>67201585165.445427</v>
      </c>
      <c r="K29" s="11">
        <f t="shared" si="4"/>
        <v>2.8369120000000025E-2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5505081.9632558227</v>
      </c>
      <c r="D30" s="12">
        <v>8.6E-3</v>
      </c>
      <c r="E30" s="10">
        <f t="shared" si="2"/>
        <v>46940.020705929026</v>
      </c>
      <c r="F30" s="3"/>
      <c r="G30" s="26">
        <v>3.35</v>
      </c>
      <c r="H30" s="10"/>
      <c r="I30" s="10">
        <f t="shared" si="5"/>
        <v>11870.436820834879</v>
      </c>
      <c r="J30" s="10">
        <f t="shared" si="3"/>
        <v>65347727638.345879</v>
      </c>
      <c r="K30" s="11">
        <f t="shared" si="4"/>
        <v>4.2388099999999929E-2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5458141.9425498936</v>
      </c>
      <c r="D31" s="13">
        <v>-2.0000000000000001E-4</v>
      </c>
      <c r="E31" s="10">
        <f t="shared" si="2"/>
        <v>-1091.8467578617856</v>
      </c>
      <c r="F31" s="3"/>
      <c r="G31" s="26">
        <v>2.69</v>
      </c>
      <c r="H31" s="10"/>
      <c r="I31" s="10">
        <f t="shared" si="5"/>
        <v>11485.666977101962</v>
      </c>
      <c r="J31" s="10">
        <f t="shared" si="3"/>
        <v>62690400665.88047</v>
      </c>
      <c r="K31" s="11">
        <f t="shared" si="4"/>
        <v>2.6694620000000002E-2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5459233.7893077554</v>
      </c>
      <c r="D32" s="12">
        <v>6.1999999999999998E-3</v>
      </c>
      <c r="E32" s="10">
        <f t="shared" si="2"/>
        <v>33638.689618076198</v>
      </c>
      <c r="F32" s="3"/>
      <c r="G32" s="26">
        <v>2.16</v>
      </c>
      <c r="H32" s="10"/>
      <c r="I32" s="10">
        <f t="shared" si="5"/>
        <v>11184.795965626607</v>
      </c>
      <c r="J32" s="10">
        <f t="shared" si="3"/>
        <v>61060416062.061836</v>
      </c>
      <c r="K32" s="11">
        <f t="shared" si="4"/>
        <v>2.7933920000000168E-2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5425595.0996896792</v>
      </c>
      <c r="D33" s="13">
        <v>8.6999999999999994E-3</v>
      </c>
      <c r="E33" s="10">
        <f t="shared" si="2"/>
        <v>46795.556029840373</v>
      </c>
      <c r="F33" s="3"/>
      <c r="G33" s="26">
        <v>4.2300000000000004</v>
      </c>
      <c r="H33" s="10"/>
      <c r="I33" s="10">
        <f t="shared" si="5"/>
        <v>10948.312417410538</v>
      </c>
      <c r="J33" s="10">
        <f t="shared" si="3"/>
        <v>59401110201.774277</v>
      </c>
      <c r="K33" s="11">
        <f t="shared" si="4"/>
        <v>5.1368010000000019E-2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5378799.5436598388</v>
      </c>
      <c r="D34" s="12">
        <v>1.3599999999999999E-2</v>
      </c>
      <c r="E34" s="10">
        <f t="shared" si="2"/>
        <v>72170.159622902982</v>
      </c>
      <c r="F34" s="3"/>
      <c r="G34" s="26">
        <v>0.6</v>
      </c>
      <c r="H34" s="10"/>
      <c r="I34" s="10">
        <f t="shared" si="5"/>
        <v>10503.993492670572</v>
      </c>
      <c r="J34" s="10">
        <f t="shared" ref="J34:J65" si="6">IF(I34="","",I34*C34)</f>
        <v>56498875404.982391</v>
      </c>
      <c r="K34" s="11">
        <f t="shared" ref="K34:K65" si="7">IFERROR(J34/J35-1,"")</f>
        <v>3.2858400000000065E-2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5306629.3840369359</v>
      </c>
      <c r="D35" s="11">
        <v>9.9000000000000008E-3</v>
      </c>
      <c r="E35" s="10">
        <f t="shared" si="2"/>
        <v>52020.626697658561</v>
      </c>
      <c r="F35" s="3"/>
      <c r="G35" s="26">
        <v>-1.45</v>
      </c>
      <c r="H35" s="10"/>
      <c r="I35" s="10">
        <f t="shared" ref="I35:I66" si="8">IF(H35&lt;&gt;"",H35,I34/(1+IF(G34="",0,G34)/100))</f>
        <v>10308.138854436284</v>
      </c>
      <c r="J35" s="10">
        <f t="shared" si="6"/>
        <v>54701472539.684418</v>
      </c>
      <c r="K35" s="11">
        <f t="shared" si="7"/>
        <v>2.2523749999999731E-2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5254608.7573392773</v>
      </c>
      <c r="D36" s="11">
        <v>3.8E-3</v>
      </c>
      <c r="E36" s="10">
        <f t="shared" si="2"/>
        <v>19891.923966815695</v>
      </c>
      <c r="F36" s="3"/>
      <c r="G36" s="26">
        <v>-4.35</v>
      </c>
      <c r="H36" s="10"/>
      <c r="I36" s="10">
        <f t="shared" si="8"/>
        <v>10180.877880924725</v>
      </c>
      <c r="J36" s="10">
        <f t="shared" si="6"/>
        <v>53496530070.508804</v>
      </c>
      <c r="K36" s="11">
        <f t="shared" si="7"/>
        <v>8.3170999999999662E-3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5234716.8333724616</v>
      </c>
      <c r="D37" s="11">
        <v>1.2999999999999999E-3</v>
      </c>
      <c r="E37" s="10">
        <f t="shared" si="2"/>
        <v>6796.2966976780444</v>
      </c>
      <c r="F37" s="3"/>
      <c r="G37" s="26">
        <v>-3.6</v>
      </c>
      <c r="H37" s="10"/>
      <c r="I37" s="10">
        <f t="shared" si="8"/>
        <v>10135.269169661249</v>
      </c>
      <c r="J37" s="10">
        <f t="shared" si="6"/>
        <v>53055264133.186676</v>
      </c>
      <c r="K37" s="11">
        <f t="shared" si="7"/>
        <v>1.832210000000023E-2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5227920.5366747836</v>
      </c>
      <c r="D38" s="11">
        <v>-3.8999999999999998E-3</v>
      </c>
      <c r="E38" s="10">
        <f t="shared" si="2"/>
        <v>-20468.718093596399</v>
      </c>
      <c r="F38" s="3"/>
      <c r="G38" s="26">
        <v>0.14</v>
      </c>
      <c r="H38" s="10"/>
      <c r="I38" s="10">
        <f t="shared" si="8"/>
        <v>9965.8497243473448</v>
      </c>
      <c r="J38" s="10">
        <f t="shared" si="6"/>
        <v>52100670439.330215</v>
      </c>
      <c r="K38" s="11">
        <f t="shared" si="7"/>
        <v>3.4350240000000198E-2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5248389.25476838</v>
      </c>
      <c r="D39" s="11">
        <v>2.9999999999999997E-4</v>
      </c>
      <c r="E39" s="10">
        <f t="shared" si="2"/>
        <v>1574.0445630615577</v>
      </c>
      <c r="F39" s="3"/>
      <c r="G39" s="26">
        <v>1.75</v>
      </c>
      <c r="H39" s="10"/>
      <c r="I39" s="10">
        <f t="shared" si="8"/>
        <v>9597.3129086549925</v>
      </c>
      <c r="J39" s="10">
        <f t="shared" si="6"/>
        <v>50370433944.434731</v>
      </c>
      <c r="K39" s="11">
        <f t="shared" si="7"/>
        <v>1.7805250000000328E-2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5246815.2102053184</v>
      </c>
      <c r="D40" s="11">
        <v>3.0999999999999999E-3</v>
      </c>
      <c r="E40" s="10">
        <f t="shared" si="2"/>
        <v>16214.861082281917</v>
      </c>
      <c r="F40" s="3"/>
      <c r="G40" s="26">
        <v>-1.6</v>
      </c>
      <c r="H40" s="10"/>
      <c r="I40" s="10">
        <f t="shared" si="8"/>
        <v>9432.248558874684</v>
      </c>
      <c r="J40" s="10">
        <f t="shared" si="6"/>
        <v>49489265205.140884</v>
      </c>
      <c r="K40" s="11">
        <f t="shared" si="7"/>
        <v>-1.2949599999999784E-2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5230600.3491230365</v>
      </c>
      <c r="D41" s="11">
        <v>8.8000000000000005E-3</v>
      </c>
      <c r="E41" s="10">
        <f t="shared" si="2"/>
        <v>45627.758794886991</v>
      </c>
      <c r="F41" s="3"/>
      <c r="G41" s="26">
        <v>1.06</v>
      </c>
      <c r="H41" s="10"/>
      <c r="I41" s="10">
        <f t="shared" si="8"/>
        <v>9585.6184541409384</v>
      </c>
      <c r="J41" s="10">
        <f t="shared" si="6"/>
        <v>50138539232.78981</v>
      </c>
      <c r="K41" s="11">
        <f t="shared" si="7"/>
        <v>1.9493279999999835E-2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5184972.5903281495</v>
      </c>
      <c r="D42" s="11">
        <v>1.95E-2</v>
      </c>
      <c r="E42" s="10">
        <f t="shared" si="2"/>
        <v>99173.09025149513</v>
      </c>
      <c r="F42" s="3"/>
      <c r="G42" s="26">
        <v>-2.5499999999999998</v>
      </c>
      <c r="H42" s="10"/>
      <c r="I42" s="10">
        <f t="shared" si="8"/>
        <v>9485.0766417385112</v>
      </c>
      <c r="J42" s="10">
        <f t="shared" si="6"/>
        <v>49179862404.575951</v>
      </c>
      <c r="K42" s="11">
        <f t="shared" si="7"/>
        <v>-6.49725000000001E-3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5085799.5000766544</v>
      </c>
      <c r="D43" s="11">
        <v>2.0899999999999998E-2</v>
      </c>
      <c r="E43" s="10">
        <f t="shared" si="2"/>
        <v>104117.16088902112</v>
      </c>
      <c r="F43" s="3"/>
      <c r="G43" s="26">
        <v>3.2</v>
      </c>
      <c r="H43" s="10"/>
      <c r="I43" s="10">
        <f t="shared" si="8"/>
        <v>9733.2751582745113</v>
      </c>
      <c r="J43" s="10">
        <f t="shared" si="6"/>
        <v>49501485934.061028</v>
      </c>
      <c r="K43" s="11">
        <f t="shared" si="7"/>
        <v>5.3568800000000083E-2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4981682.3391876332</v>
      </c>
      <c r="D44" s="11">
        <v>1.9599999999999999E-2</v>
      </c>
      <c r="E44" s="10">
        <f t="shared" si="2"/>
        <v>95763.99945868738</v>
      </c>
      <c r="F44" s="3"/>
      <c r="G44" s="26">
        <v>3.97</v>
      </c>
      <c r="H44" s="10"/>
      <c r="I44" s="10">
        <f t="shared" si="8"/>
        <v>9431.4681766225876</v>
      </c>
      <c r="J44" s="10">
        <f t="shared" si="6"/>
        <v>46984578448.090935</v>
      </c>
      <c r="K44" s="11">
        <f t="shared" si="7"/>
        <v>6.0078120000000013E-2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4885918.3397289459</v>
      </c>
      <c r="D45" s="11">
        <v>1.77E-2</v>
      </c>
      <c r="E45" s="10">
        <f t="shared" si="2"/>
        <v>84976.667596740648</v>
      </c>
      <c r="F45" s="3"/>
      <c r="G45" s="26">
        <v>2.29</v>
      </c>
      <c r="H45" s="10"/>
      <c r="I45" s="10">
        <f t="shared" si="8"/>
        <v>9071.3361321752309</v>
      </c>
      <c r="J45" s="10">
        <f t="shared" si="6"/>
        <v>44321807574.040802</v>
      </c>
      <c r="K45" s="11">
        <f t="shared" si="7"/>
        <v>4.1005330000000173E-2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4800941.6721322052</v>
      </c>
      <c r="D46" s="11">
        <v>1.49E-2</v>
      </c>
      <c r="E46" s="10">
        <f t="shared" si="2"/>
        <v>70483.821967454627</v>
      </c>
      <c r="F46" s="3"/>
      <c r="G46" s="26">
        <v>0.94</v>
      </c>
      <c r="H46" s="10"/>
      <c r="I46" s="10">
        <f t="shared" si="8"/>
        <v>8868.2531353751401</v>
      </c>
      <c r="J46" s="10">
        <f t="shared" si="6"/>
        <v>42575966036.639595</v>
      </c>
      <c r="K46" s="11">
        <f t="shared" si="7"/>
        <v>2.4440059999999875E-2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4730457.8501647506</v>
      </c>
      <c r="D47" s="11">
        <v>1.3599999999999999E-2</v>
      </c>
      <c r="E47" s="10">
        <f t="shared" si="2"/>
        <v>63471.020878296345</v>
      </c>
      <c r="F47" s="3"/>
      <c r="G47" s="26">
        <v>6.47</v>
      </c>
      <c r="H47" s="10"/>
      <c r="I47" s="10">
        <f t="shared" si="8"/>
        <v>8785.6678575145033</v>
      </c>
      <c r="J47" s="10">
        <f t="shared" si="6"/>
        <v>41560231485.519608</v>
      </c>
      <c r="K47" s="11">
        <f t="shared" si="7"/>
        <v>7.9179920000000292E-2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4666986.8292864542</v>
      </c>
      <c r="D48" s="11">
        <v>8.8999999999999999E-3</v>
      </c>
      <c r="E48" s="10">
        <f t="shared" si="2"/>
        <v>41169.771811526269</v>
      </c>
      <c r="F48" s="3"/>
      <c r="G48" s="26">
        <v>5.01</v>
      </c>
      <c r="H48" s="10"/>
      <c r="I48" s="10">
        <f t="shared" si="8"/>
        <v>8251.7778317972225</v>
      </c>
      <c r="J48" s="10">
        <f t="shared" si="6"/>
        <v>38510938459.195572</v>
      </c>
      <c r="K48" s="11">
        <f t="shared" si="7"/>
        <v>5.944588999999989E-2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4625817.057474928</v>
      </c>
      <c r="D49" s="11">
        <v>8.8000000000000005E-3</v>
      </c>
      <c r="E49" s="10">
        <f t="shared" si="2"/>
        <v>40352.091698829085</v>
      </c>
      <c r="F49" s="3"/>
      <c r="G49" s="26">
        <v>3.64</v>
      </c>
      <c r="H49" s="10"/>
      <c r="I49" s="10">
        <f t="shared" si="8"/>
        <v>7858.0876409839275</v>
      </c>
      <c r="J49" s="10">
        <f t="shared" si="6"/>
        <v>36350075848.796371</v>
      </c>
      <c r="K49" s="11">
        <f t="shared" si="7"/>
        <v>4.5520319999999836E-2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4585464.9657760989</v>
      </c>
      <c r="D50" s="11">
        <v>1.7899999999999999E-2</v>
      </c>
      <c r="E50" s="10">
        <f t="shared" si="2"/>
        <v>80636.430776492693</v>
      </c>
      <c r="F50" s="3"/>
      <c r="G50" s="26">
        <v>3.37</v>
      </c>
      <c r="H50" s="10"/>
      <c r="I50" s="10">
        <f t="shared" si="8"/>
        <v>7582.0992290466302</v>
      </c>
      <c r="J50" s="10">
        <f t="shared" si="6"/>
        <v>34767450381.831291</v>
      </c>
      <c r="K50" s="11">
        <f t="shared" si="7"/>
        <v>5.2203229999999934E-2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4504828.5349996062</v>
      </c>
      <c r="D51" s="11">
        <v>1.7899999999999999E-2</v>
      </c>
      <c r="E51" s="10">
        <f t="shared" si="2"/>
        <v>79218.421039879322</v>
      </c>
      <c r="F51" s="3"/>
      <c r="G51" s="26">
        <v>2.09</v>
      </c>
      <c r="H51" s="10"/>
      <c r="I51" s="10">
        <f t="shared" si="8"/>
        <v>7334.9126720002223</v>
      </c>
      <c r="J51" s="10">
        <f t="shared" si="6"/>
        <v>33042523906.556808</v>
      </c>
      <c r="K51" s="11">
        <f t="shared" si="7"/>
        <v>3.917411000000004E-2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4425610.1139597269</v>
      </c>
      <c r="D52" s="11">
        <v>1.6500000000000001E-2</v>
      </c>
      <c r="E52" s="10">
        <f t="shared" si="2"/>
        <v>71837.252218726091</v>
      </c>
      <c r="F52" s="3"/>
      <c r="G52" s="26">
        <v>3.82</v>
      </c>
      <c r="H52" s="10"/>
      <c r="I52" s="10">
        <f t="shared" si="8"/>
        <v>7184.751368400649</v>
      </c>
      <c r="J52" s="10">
        <f t="shared" si="6"/>
        <v>31796908322.2799</v>
      </c>
      <c r="K52" s="11">
        <f t="shared" si="7"/>
        <v>5.5330300000000054E-2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4353772.8617410008</v>
      </c>
      <c r="D53" s="11">
        <v>2.0899999999999998E-2</v>
      </c>
      <c r="E53" s="10">
        <f t="shared" si="2"/>
        <v>89131.014605139382</v>
      </c>
      <c r="F53" s="3"/>
      <c r="G53" s="26">
        <v>6.82</v>
      </c>
      <c r="H53" s="10"/>
      <c r="I53" s="10">
        <f t="shared" si="8"/>
        <v>6920.3923795036108</v>
      </c>
      <c r="J53" s="10">
        <f t="shared" si="6"/>
        <v>30129816534.482048</v>
      </c>
      <c r="K53" s="11">
        <f t="shared" si="7"/>
        <v>9.05253800000001E-2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4264641.8471358614</v>
      </c>
      <c r="D54" s="11">
        <v>1.9900000000000001E-2</v>
      </c>
      <c r="E54" s="10">
        <f t="shared" si="2"/>
        <v>83210.484123937786</v>
      </c>
      <c r="F54" s="3"/>
      <c r="G54" s="26">
        <v>5.33</v>
      </c>
      <c r="H54" s="10"/>
      <c r="I54" s="10">
        <f t="shared" si="8"/>
        <v>6478.5549330683489</v>
      </c>
      <c r="J54" s="10">
        <f t="shared" si="6"/>
        <v>27628716476.53175</v>
      </c>
      <c r="K54" s="11">
        <f t="shared" si="7"/>
        <v>7.4260669999999918E-2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4181431.3630119236</v>
      </c>
      <c r="D55" s="11">
        <v>2.5399999999999999E-2</v>
      </c>
      <c r="E55" s="10">
        <f t="shared" si="2"/>
        <v>103577.48841476813</v>
      </c>
      <c r="F55" s="3"/>
      <c r="G55" s="26">
        <v>4.26</v>
      </c>
      <c r="H55" s="10"/>
      <c r="I55" s="10">
        <f t="shared" si="8"/>
        <v>6150.7214782762267</v>
      </c>
      <c r="J55" s="10">
        <f t="shared" si="6"/>
        <v>25718819694.415276</v>
      </c>
      <c r="K55" s="11">
        <f t="shared" si="7"/>
        <v>6.9082040000000067E-2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4077853.8745971555</v>
      </c>
      <c r="D56" s="11">
        <v>0.02</v>
      </c>
      <c r="E56" s="10">
        <f t="shared" si="2"/>
        <v>79957.919109748211</v>
      </c>
      <c r="F56" s="3"/>
      <c r="G56" s="26">
        <v>5.68</v>
      </c>
      <c r="H56" s="10"/>
      <c r="I56" s="10">
        <f t="shared" si="8"/>
        <v>5899.4067506965539</v>
      </c>
      <c r="J56" s="10">
        <f t="shared" si="6"/>
        <v>24056918676.152557</v>
      </c>
      <c r="K56" s="11">
        <f t="shared" si="7"/>
        <v>7.7936000000000005E-2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3997895.9554874073</v>
      </c>
      <c r="D57" s="11">
        <v>0.02</v>
      </c>
      <c r="E57" s="10">
        <f t="shared" si="2"/>
        <v>78390.11677426286</v>
      </c>
      <c r="F57" s="3"/>
      <c r="G57" s="26">
        <v>7.82</v>
      </c>
      <c r="H57" s="10"/>
      <c r="I57" s="10">
        <f t="shared" si="8"/>
        <v>5582.3303848377691</v>
      </c>
      <c r="J57" s="10">
        <f t="shared" si="6"/>
        <v>22317576067.737377</v>
      </c>
      <c r="K57" s="11">
        <f t="shared" si="7"/>
        <v>9.9763999999999964E-2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3919505.8387131444</v>
      </c>
      <c r="D58" s="11">
        <v>0.02</v>
      </c>
      <c r="E58" s="10">
        <f t="shared" si="2"/>
        <v>76853.055661042221</v>
      </c>
      <c r="F58" s="3"/>
      <c r="G58" s="26">
        <v>6.85</v>
      </c>
      <c r="H58" s="10"/>
      <c r="I58" s="10">
        <f t="shared" si="8"/>
        <v>5177.4535196046827</v>
      </c>
      <c r="J58" s="10">
        <f t="shared" si="6"/>
        <v>20293059299.756474</v>
      </c>
      <c r="K58" s="11">
        <f t="shared" si="7"/>
        <v>8.9870000000000116E-2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3842652.7830521022</v>
      </c>
      <c r="D59" s="11">
        <v>2.1000000000000001E-2</v>
      </c>
      <c r="E59" s="10">
        <f t="shared" si="2"/>
        <v>79035.953422226943</v>
      </c>
      <c r="F59" s="3"/>
      <c r="G59" s="26">
        <v>-1.26</v>
      </c>
      <c r="H59" s="10"/>
      <c r="I59" s="10">
        <f t="shared" si="8"/>
        <v>4845.534412358149</v>
      </c>
      <c r="J59" s="10">
        <f t="shared" si="6"/>
        <v>18619706295.022774</v>
      </c>
      <c r="K59" s="11">
        <f t="shared" si="7"/>
        <v>8.1354000000000148E-3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3763616.8296298753</v>
      </c>
      <c r="D60" s="11">
        <v>2.1999999999999999E-2</v>
      </c>
      <c r="E60" s="10">
        <f t="shared" si="2"/>
        <v>81017.192027257755</v>
      </c>
      <c r="F60" s="3"/>
      <c r="G60" s="26">
        <v>2.73</v>
      </c>
      <c r="H60" s="10"/>
      <c r="I60" s="10">
        <f t="shared" si="8"/>
        <v>4907.3672395768162</v>
      </c>
      <c r="J60" s="10">
        <f t="shared" si="6"/>
        <v>18469449932.045609</v>
      </c>
      <c r="K60" s="11">
        <f t="shared" si="7"/>
        <v>4.9900600000000184E-2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3682599.6376026175</v>
      </c>
      <c r="D61" s="11">
        <v>2.1999999999999999E-2</v>
      </c>
      <c r="E61" s="10">
        <f t="shared" si="2"/>
        <v>79273.182022756897</v>
      </c>
      <c r="F61" s="3"/>
      <c r="G61" s="26">
        <v>4.9800000000000004</v>
      </c>
      <c r="H61" s="10"/>
      <c r="I61" s="10">
        <f t="shared" si="8"/>
        <v>4776.9563317208367</v>
      </c>
      <c r="J61" s="10">
        <f t="shared" si="6"/>
        <v>17591617656.038681</v>
      </c>
      <c r="K61" s="11">
        <f t="shared" si="7"/>
        <v>7.2895599999999838E-2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3603326.4555798606</v>
      </c>
      <c r="D62" s="11">
        <v>2.1999999999999999E-2</v>
      </c>
      <c r="E62" s="10">
        <f t="shared" si="2"/>
        <v>77566.714307981543</v>
      </c>
      <c r="F62" s="3"/>
      <c r="G62" s="26">
        <v>7.39</v>
      </c>
      <c r="H62" s="10"/>
      <c r="I62" s="10">
        <f t="shared" si="8"/>
        <v>4550.3489538205722</v>
      </c>
      <c r="J62" s="10">
        <f t="shared" si="6"/>
        <v>16396392767.42181</v>
      </c>
      <c r="K62" s="11">
        <f t="shared" si="7"/>
        <v>9.7525800000000107E-2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3525759.7412718791</v>
      </c>
      <c r="D63" s="11">
        <v>2.1999999999999999E-2</v>
      </c>
      <c r="E63" s="10">
        <f t="shared" si="2"/>
        <v>75896.980731879827</v>
      </c>
      <c r="F63" s="3"/>
      <c r="G63" s="26">
        <v>6.72</v>
      </c>
      <c r="H63" s="10"/>
      <c r="I63" s="10">
        <f t="shared" si="8"/>
        <v>4237.2185062115395</v>
      </c>
      <c r="J63" s="10">
        <f t="shared" si="6"/>
        <v>14939414424.172815</v>
      </c>
      <c r="K63" s="11">
        <f t="shared" si="7"/>
        <v>9.0678399999999826E-2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3449862.7605399992</v>
      </c>
      <c r="D64" s="11">
        <v>2.1999999999999999E-2</v>
      </c>
      <c r="E64" s="10">
        <f t="shared" si="2"/>
        <v>74263.190539999865</v>
      </c>
      <c r="F64" s="3"/>
      <c r="G64" s="26">
        <v>5.14</v>
      </c>
      <c r="H64" s="10"/>
      <c r="I64" s="10">
        <f t="shared" si="8"/>
        <v>3970.4071460003183</v>
      </c>
      <c r="J64" s="10">
        <f t="shared" si="6"/>
        <v>13697359757.168398</v>
      </c>
      <c r="K64" s="11">
        <f t="shared" si="7"/>
        <v>7.4530799999999786E-2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3375599.5699999994</v>
      </c>
      <c r="D65" s="11">
        <v>2.1999999999999999E-2</v>
      </c>
      <c r="E65" s="10">
        <f t="shared" si="2"/>
        <v>72664.569999999832</v>
      </c>
      <c r="F65" s="3"/>
      <c r="G65" s="26">
        <v>2.57</v>
      </c>
      <c r="H65" s="10"/>
      <c r="I65" s="10">
        <f t="shared" si="8"/>
        <v>3776.3050656270866</v>
      </c>
      <c r="J65" s="10">
        <f t="shared" si="6"/>
        <v>12747293755.719612</v>
      </c>
      <c r="K65" s="11">
        <f t="shared" si="7"/>
        <v>4.8265400000000014E-2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3302934.9999999995</v>
      </c>
      <c r="D66" s="11">
        <v>2.1000000000000001E-2</v>
      </c>
      <c r="E66" s="10">
        <f t="shared" si="2"/>
        <v>67934.999999999534</v>
      </c>
      <c r="F66" s="3"/>
      <c r="G66" s="26">
        <v>4.12</v>
      </c>
      <c r="H66" s="10"/>
      <c r="I66" s="10">
        <f t="shared" si="8"/>
        <v>3681.685742056241</v>
      </c>
      <c r="J66" s="10">
        <f t="shared" ref="J66:J67" si="9">IF(I66="","",I66*C66)</f>
        <v>12160368696.438528</v>
      </c>
      <c r="K66" s="11">
        <f t="shared" ref="K66" si="10">IFERROR(J66/J67-1,"")</f>
        <v>6.3065199999999599E-2</v>
      </c>
    </row>
    <row r="67" spans="1:11" ht="22.5" customHeight="1">
      <c r="A67" s="3">
        <f t="shared" si="0"/>
        <v>1950</v>
      </c>
      <c r="B67" s="3">
        <v>1700</v>
      </c>
      <c r="C67" s="10">
        <v>3235000</v>
      </c>
      <c r="D67" s="11">
        <v>0.02</v>
      </c>
      <c r="E67" s="3" t="s">
        <v>72</v>
      </c>
      <c r="F67" s="3"/>
      <c r="G67" s="26">
        <v>6.69</v>
      </c>
      <c r="H67" s="10"/>
      <c r="I67" s="10">
        <f t="shared" ref="I67" si="11">IF(H67&lt;&gt;"",H67,I66/(1+IF(G66="",0,G66)/100))</f>
        <v>3536.0024414677691</v>
      </c>
      <c r="J67" s="10">
        <f t="shared" si="9"/>
        <v>11438967898.148233</v>
      </c>
      <c r="K67" s="11"/>
    </row>
  </sheetData>
  <dataValidations count="1">
    <dataValidation type="custom" allowBlank="1" showDropDown="1" sqref="D2:D67" xr:uid="{00000000-0002-0000-1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67"/>
  <sheetViews>
    <sheetView topLeftCell="A39" workbookViewId="0">
      <selection activeCell="L62" sqref="L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95001398.787649736</v>
      </c>
      <c r="D2" s="11">
        <v>2.9000000000000001E-2</v>
      </c>
      <c r="E2" s="10">
        <f t="shared" ref="E2:E66" si="2">SUM(C2-C3)</f>
        <v>2677396.0785634965</v>
      </c>
      <c r="F2" s="14">
        <v>95001457</v>
      </c>
      <c r="G2" s="29">
        <v>-4.8499999999999996</v>
      </c>
      <c r="H2" s="10"/>
      <c r="I2" s="10">
        <f>IF(H2&lt;&gt;"",H2,26384)</f>
        <v>3298</v>
      </c>
      <c r="J2" s="10">
        <f t="shared" ref="J2:J33" si="3">IF(I2="","",I2*C2)</f>
        <v>313314613201.66882</v>
      </c>
      <c r="K2" s="11">
        <f t="shared" ref="K2:K33" si="4">IFERROR(J2/J3-1,"")</f>
        <v>-2.090650000000005E-2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92324002.709086239</v>
      </c>
      <c r="D3" s="11">
        <v>2.9000000000000001E-2</v>
      </c>
      <c r="E3" s="10">
        <f t="shared" si="2"/>
        <v>2601939.8236768693</v>
      </c>
      <c r="F3" s="3"/>
      <c r="G3" s="29">
        <v>5.7</v>
      </c>
      <c r="H3" s="10"/>
      <c r="I3" s="10">
        <f t="shared" ref="I3:I34" si="5">IF(H3&lt;&gt;"",H3,I2/(1+IF(G2="",0,G2)/100))</f>
        <v>3466.1061481870729</v>
      </c>
      <c r="J3" s="10">
        <f t="shared" si="3"/>
        <v>320004793415.2038</v>
      </c>
      <c r="K3" s="11">
        <f t="shared" si="4"/>
        <v>8.7652999999999981E-2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89722062.88540937</v>
      </c>
      <c r="D4" s="11">
        <v>2.8899999999999999E-2</v>
      </c>
      <c r="E4" s="10">
        <f t="shared" si="2"/>
        <v>2520135.6957802773</v>
      </c>
      <c r="F4" s="3"/>
      <c r="G4" s="29">
        <v>11.1</v>
      </c>
      <c r="H4" s="10"/>
      <c r="I4" s="10">
        <f t="shared" si="5"/>
        <v>3279.1921931760389</v>
      </c>
      <c r="J4" s="10">
        <f t="shared" si="3"/>
        <v>294215888169.48401</v>
      </c>
      <c r="K4" s="11">
        <f t="shared" si="4"/>
        <v>0.14310789999999973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87201927.189629093</v>
      </c>
      <c r="D5" s="11">
        <v>2.87E-2</v>
      </c>
      <c r="E5" s="10">
        <f t="shared" si="2"/>
        <v>2432871.8871802837</v>
      </c>
      <c r="F5" s="3"/>
      <c r="G5" s="29">
        <v>-0.17</v>
      </c>
      <c r="H5" s="10"/>
      <c r="I5" s="10">
        <f t="shared" si="5"/>
        <v>2951.5681306715023</v>
      </c>
      <c r="J5" s="10">
        <f t="shared" si="3"/>
        <v>257382429226.04599</v>
      </c>
      <c r="K5" s="11">
        <f t="shared" si="4"/>
        <v>2.6951210000000003E-2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84769055.302448809</v>
      </c>
      <c r="D6" s="11">
        <v>2.7900000000000001E-2</v>
      </c>
      <c r="E6" s="10">
        <f t="shared" si="2"/>
        <v>2300862.5770389438</v>
      </c>
      <c r="F6" s="3"/>
      <c r="G6" s="29">
        <v>6.84</v>
      </c>
      <c r="H6" s="10"/>
      <c r="I6" s="10">
        <f t="shared" si="5"/>
        <v>2956.5943410512896</v>
      </c>
      <c r="J6" s="10">
        <f t="shared" si="3"/>
        <v>250627709203.48395</v>
      </c>
      <c r="K6" s="11">
        <f t="shared" si="4"/>
        <v>9.8208360000000106E-2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82468192.725409865</v>
      </c>
      <c r="D7" s="11">
        <v>2.6800000000000001E-2</v>
      </c>
      <c r="E7" s="10">
        <f t="shared" si="2"/>
        <v>2152461.5943133831</v>
      </c>
      <c r="F7" s="3"/>
      <c r="G7" s="29">
        <v>10.119999999999999</v>
      </c>
      <c r="H7" s="10"/>
      <c r="I7" s="10">
        <f t="shared" si="5"/>
        <v>2767.3103154729406</v>
      </c>
      <c r="J7" s="10">
        <f t="shared" si="3"/>
        <v>228215080427.43723</v>
      </c>
      <c r="K7" s="11">
        <f t="shared" si="4"/>
        <v>0.13071215999999986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80315731.131096482</v>
      </c>
      <c r="D8" s="11">
        <v>2.5899999999999999E-2</v>
      </c>
      <c r="E8" s="10">
        <f t="shared" si="2"/>
        <v>2027661.0159814805</v>
      </c>
      <c r="F8" s="3"/>
      <c r="G8" s="29">
        <v>14.14</v>
      </c>
      <c r="H8" s="10"/>
      <c r="I8" s="10">
        <f t="shared" si="5"/>
        <v>2512.9952011196337</v>
      </c>
      <c r="J8" s="10">
        <f t="shared" si="3"/>
        <v>201833046906.86023</v>
      </c>
      <c r="K8" s="11">
        <f t="shared" si="4"/>
        <v>0.17096225999999981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78288070.115115002</v>
      </c>
      <c r="D9" s="11">
        <v>2.47E-2</v>
      </c>
      <c r="E9" s="10">
        <f t="shared" si="2"/>
        <v>1887103.8663446307</v>
      </c>
      <c r="F9" s="3"/>
      <c r="G9" s="29">
        <v>3.25</v>
      </c>
      <c r="H9" s="10"/>
      <c r="I9" s="10">
        <f t="shared" si="5"/>
        <v>2201.6779403536307</v>
      </c>
      <c r="J9" s="10">
        <f t="shared" si="3"/>
        <v>172365116965.30704</v>
      </c>
      <c r="K9" s="11">
        <f t="shared" si="4"/>
        <v>5.8002750000000214E-2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76400966.248770371</v>
      </c>
      <c r="D10" s="11">
        <v>2.3800000000000002E-2</v>
      </c>
      <c r="E10" s="10">
        <f t="shared" si="2"/>
        <v>1776072.4718897641</v>
      </c>
      <c r="F10" s="3"/>
      <c r="G10" s="29">
        <v>5.79</v>
      </c>
      <c r="H10" s="10"/>
      <c r="I10" s="10">
        <f t="shared" si="5"/>
        <v>2132.3757291560587</v>
      </c>
      <c r="J10" s="10">
        <f t="shared" si="3"/>
        <v>162915566112.94916</v>
      </c>
      <c r="K10" s="11">
        <f t="shared" si="4"/>
        <v>8.3078020000000308E-2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74624893.776880607</v>
      </c>
      <c r="D11" s="11">
        <v>2.35E-2</v>
      </c>
      <c r="E11" s="10">
        <f t="shared" si="2"/>
        <v>1713419.6421658099</v>
      </c>
      <c r="F11" s="3"/>
      <c r="G11" s="29">
        <v>8.36</v>
      </c>
      <c r="H11" s="10"/>
      <c r="I11" s="10">
        <f t="shared" si="5"/>
        <v>2015.6685217469123</v>
      </c>
      <c r="J11" s="10">
        <f t="shared" si="3"/>
        <v>150419049324.76529</v>
      </c>
      <c r="K11" s="11">
        <f t="shared" si="4"/>
        <v>0.10906460000000018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72911474.134714797</v>
      </c>
      <c r="D12" s="11">
        <v>2.3099999999999999E-2</v>
      </c>
      <c r="E12" s="10">
        <f t="shared" si="2"/>
        <v>1646227.2040972561</v>
      </c>
      <c r="F12" s="3"/>
      <c r="G12" s="29">
        <v>4.5599999999999996</v>
      </c>
      <c r="H12" s="10"/>
      <c r="I12" s="10">
        <f t="shared" si="5"/>
        <v>1860.1592116527431</v>
      </c>
      <c r="J12" s="10">
        <f t="shared" si="3"/>
        <v>135626950246.87045</v>
      </c>
      <c r="K12" s="11">
        <f t="shared" si="4"/>
        <v>6.9753359999999986E-2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71265246.930617541</v>
      </c>
      <c r="D13" s="11">
        <v>2.2800000000000001E-2</v>
      </c>
      <c r="E13" s="10">
        <f t="shared" si="2"/>
        <v>1588626.9358800054</v>
      </c>
      <c r="F13" s="3"/>
      <c r="G13" s="29">
        <v>2.71</v>
      </c>
      <c r="H13" s="10"/>
      <c r="I13" s="10">
        <f t="shared" si="5"/>
        <v>1779.0352062478414</v>
      </c>
      <c r="J13" s="10">
        <f t="shared" si="3"/>
        <v>126783383271.51453</v>
      </c>
      <c r="K13" s="11">
        <f t="shared" si="4"/>
        <v>5.0517879999999682E-2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69676619.994737536</v>
      </c>
      <c r="D14" s="11">
        <v>2.2599999999999999E-2</v>
      </c>
      <c r="E14" s="10">
        <f t="shared" si="2"/>
        <v>1539890.0957178473</v>
      </c>
      <c r="F14" s="3"/>
      <c r="G14" s="29">
        <v>4.63</v>
      </c>
      <c r="H14" s="10"/>
      <c r="I14" s="10">
        <f t="shared" si="5"/>
        <v>1732.0954203561889</v>
      </c>
      <c r="J14" s="10">
        <f t="shared" si="3"/>
        <v>120686554398.78336</v>
      </c>
      <c r="K14" s="11">
        <f t="shared" si="4"/>
        <v>6.9946380000000197E-2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68136729.899019688</v>
      </c>
      <c r="D15" s="11">
        <v>2.24E-2</v>
      </c>
      <c r="E15" s="10">
        <f t="shared" si="2"/>
        <v>1492823.503264904</v>
      </c>
      <c r="F15" s="3"/>
      <c r="G15" s="29">
        <v>6.07</v>
      </c>
      <c r="H15" s="10"/>
      <c r="I15" s="10">
        <f t="shared" si="5"/>
        <v>1655.4481700814192</v>
      </c>
      <c r="J15" s="10">
        <f t="shared" si="3"/>
        <v>112796824826.66406</v>
      </c>
      <c r="K15" s="11">
        <f t="shared" si="4"/>
        <v>8.4459679999999926E-2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66643906.395754784</v>
      </c>
      <c r="D16" s="11">
        <v>2.23E-2</v>
      </c>
      <c r="E16" s="10">
        <f t="shared" si="2"/>
        <v>1453740.6951240674</v>
      </c>
      <c r="F16" s="3"/>
      <c r="G16" s="29">
        <v>-2</v>
      </c>
      <c r="H16" s="10"/>
      <c r="I16" s="10">
        <f t="shared" si="5"/>
        <v>1560.7128972201558</v>
      </c>
      <c r="J16" s="10">
        <f t="shared" si="3"/>
        <v>104012004232.98732</v>
      </c>
      <c r="K16" s="11">
        <f t="shared" si="4"/>
        <v>1.8540000000000223E-3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65190165.700630717</v>
      </c>
      <c r="D17" s="11">
        <v>2.1999999999999999E-2</v>
      </c>
      <c r="E17" s="10">
        <f t="shared" si="2"/>
        <v>1403310.8076456711</v>
      </c>
      <c r="F17" s="3"/>
      <c r="G17" s="29">
        <v>-13.4</v>
      </c>
      <c r="H17" s="10"/>
      <c r="I17" s="10">
        <f t="shared" si="5"/>
        <v>1592.5641808368937</v>
      </c>
      <c r="J17" s="10">
        <f t="shared" si="3"/>
        <v>103819522837.64632</v>
      </c>
      <c r="K17" s="11">
        <f t="shared" si="4"/>
        <v>-0.11494800000000005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63786854.892985046</v>
      </c>
      <c r="D18" s="11">
        <v>2.2499999999999999E-2</v>
      </c>
      <c r="E18" s="10">
        <f t="shared" si="2"/>
        <v>1403622.7238065153</v>
      </c>
      <c r="F18" s="3"/>
      <c r="G18" s="29">
        <v>9.67</v>
      </c>
      <c r="H18" s="10"/>
      <c r="I18" s="10">
        <f t="shared" si="5"/>
        <v>1838.988661474473</v>
      </c>
      <c r="J18" s="10">
        <f t="shared" si="3"/>
        <v>117303302899.31702</v>
      </c>
      <c r="K18" s="11">
        <f t="shared" si="4"/>
        <v>0.12137575000000012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62383232.169178531</v>
      </c>
      <c r="D19" s="11">
        <v>2.2800000000000001E-2</v>
      </c>
      <c r="E19" s="10">
        <f t="shared" si="2"/>
        <v>1390631.2998213395</v>
      </c>
      <c r="F19" s="3"/>
      <c r="G19" s="29">
        <v>0.44</v>
      </c>
      <c r="H19" s="10"/>
      <c r="I19" s="10">
        <f t="shared" si="5"/>
        <v>1676.8383892354091</v>
      </c>
      <c r="J19" s="10">
        <f t="shared" si="3"/>
        <v>104606598545.86388</v>
      </c>
      <c r="K19" s="11">
        <f t="shared" si="4"/>
        <v>2.7300319999999711E-2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60992600.869357191</v>
      </c>
      <c r="D20" s="11">
        <v>2.7400000000000001E-2</v>
      </c>
      <c r="E20" s="10">
        <f t="shared" si="2"/>
        <v>1626627.6657780707</v>
      </c>
      <c r="F20" s="3"/>
      <c r="G20" s="29">
        <v>8.33</v>
      </c>
      <c r="H20" s="10"/>
      <c r="I20" s="10">
        <f t="shared" si="5"/>
        <v>1669.4926216999295</v>
      </c>
      <c r="J20" s="10">
        <f t="shared" si="3"/>
        <v>101826697129.68054</v>
      </c>
      <c r="K20" s="11">
        <f t="shared" si="4"/>
        <v>0.11298242000000003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59365973.20357912</v>
      </c>
      <c r="D21" s="11">
        <v>3.2800000000000003E-2</v>
      </c>
      <c r="E21" s="10">
        <f t="shared" si="2"/>
        <v>1885363.9824529365</v>
      </c>
      <c r="F21" s="3"/>
      <c r="G21" s="29">
        <v>5.83</v>
      </c>
      <c r="H21" s="10"/>
      <c r="I21" s="10">
        <f t="shared" si="5"/>
        <v>1541.1175313393608</v>
      </c>
      <c r="J21" s="10">
        <f t="shared" si="3"/>
        <v>91489942069.058502</v>
      </c>
      <c r="K21" s="11">
        <f t="shared" si="4"/>
        <v>9.3012239999999968E-2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57480609.221126184</v>
      </c>
      <c r="D22" s="11">
        <v>5.9799999999999999E-2</v>
      </c>
      <c r="E22" s="10">
        <f t="shared" si="2"/>
        <v>3243385.9515223131</v>
      </c>
      <c r="F22" s="3"/>
      <c r="G22" s="29">
        <v>7.03</v>
      </c>
      <c r="H22" s="10"/>
      <c r="I22" s="10">
        <f t="shared" si="5"/>
        <v>1456.2199105540592</v>
      </c>
      <c r="J22" s="10">
        <f t="shared" si="3"/>
        <v>83704407618.581207</v>
      </c>
      <c r="K22" s="11">
        <f t="shared" si="4"/>
        <v>0.13430394000000012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54237223.269603871</v>
      </c>
      <c r="D23" s="11">
        <v>6.7599999999999993E-2</v>
      </c>
      <c r="E23" s="10">
        <f t="shared" si="2"/>
        <v>3434279.0305594131</v>
      </c>
      <c r="F23" s="3"/>
      <c r="G23" s="29">
        <v>3.63</v>
      </c>
      <c r="H23" s="10"/>
      <c r="I23" s="10">
        <f t="shared" si="5"/>
        <v>1360.571718727515</v>
      </c>
      <c r="J23" s="10">
        <f t="shared" si="3"/>
        <v>73793632082.932907</v>
      </c>
      <c r="K23" s="11">
        <f t="shared" si="4"/>
        <v>0.10635388000000012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50802944.239044458</v>
      </c>
      <c r="D24" s="11">
        <v>3.1699999999999999E-2</v>
      </c>
      <c r="E24" s="10">
        <f t="shared" si="2"/>
        <v>1560970.5654528588</v>
      </c>
      <c r="F24" s="3"/>
      <c r="G24" s="29">
        <v>1.92</v>
      </c>
      <c r="H24" s="10"/>
      <c r="I24" s="10">
        <f t="shared" si="5"/>
        <v>1312.9129776392115</v>
      </c>
      <c r="J24" s="10">
        <f t="shared" si="3"/>
        <v>66699844793.722687</v>
      </c>
      <c r="K24" s="11">
        <f t="shared" si="4"/>
        <v>5.1508640000000216E-2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49241973.673591599</v>
      </c>
      <c r="D25" s="11">
        <v>1.9400000000000001E-2</v>
      </c>
      <c r="E25" s="10">
        <f t="shared" si="2"/>
        <v>937114.27238344401</v>
      </c>
      <c r="F25" s="3"/>
      <c r="G25" s="29">
        <v>2.92</v>
      </c>
      <c r="H25" s="10"/>
      <c r="I25" s="10">
        <f t="shared" si="5"/>
        <v>1288.1799231153957</v>
      </c>
      <c r="J25" s="10">
        <f t="shared" si="3"/>
        <v>63432521860.897568</v>
      </c>
      <c r="K25" s="11">
        <f t="shared" si="4"/>
        <v>4.9166480000000012E-2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48304859.401208155</v>
      </c>
      <c r="D26" s="11">
        <v>1.95E-2</v>
      </c>
      <c r="E26" s="10">
        <f t="shared" si="2"/>
        <v>923928.1592187956</v>
      </c>
      <c r="F26" s="3"/>
      <c r="G26" s="29">
        <v>1.6</v>
      </c>
      <c r="H26" s="10"/>
      <c r="I26" s="10">
        <f t="shared" si="5"/>
        <v>1251.6322610915233</v>
      </c>
      <c r="J26" s="10">
        <f t="shared" si="3"/>
        <v>60459920394.04229</v>
      </c>
      <c r="K26" s="11">
        <f t="shared" si="4"/>
        <v>3.5811999999999955E-2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47380931.241989359</v>
      </c>
      <c r="D27" s="11">
        <v>1.44E-2</v>
      </c>
      <c r="E27" s="10">
        <f t="shared" si="2"/>
        <v>672599.97031214833</v>
      </c>
      <c r="F27" s="3"/>
      <c r="G27" s="29">
        <v>-6.77</v>
      </c>
      <c r="H27" s="10"/>
      <c r="I27" s="10">
        <f t="shared" si="5"/>
        <v>1231.9215168223654</v>
      </c>
      <c r="J27" s="10">
        <f t="shared" si="3"/>
        <v>58369588684.087738</v>
      </c>
      <c r="K27" s="11">
        <f t="shared" si="4"/>
        <v>-5.4274880000000025E-2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46708331.271677211</v>
      </c>
      <c r="D28" s="11">
        <v>1.6400000000000001E-2</v>
      </c>
      <c r="E28" s="10">
        <f t="shared" si="2"/>
        <v>753656.66357290745</v>
      </c>
      <c r="F28" s="3"/>
      <c r="G28" s="29">
        <v>13.06</v>
      </c>
      <c r="H28" s="10"/>
      <c r="I28" s="10">
        <f t="shared" si="5"/>
        <v>1321.3788660542373</v>
      </c>
      <c r="J28" s="10">
        <f t="shared" si="3"/>
        <v>61719401811.054504</v>
      </c>
      <c r="K28" s="11">
        <f t="shared" si="4"/>
        <v>0.14914183999999997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45954674.608104303</v>
      </c>
      <c r="D29" s="11">
        <v>1.77E-2</v>
      </c>
      <c r="E29" s="10">
        <f t="shared" si="2"/>
        <v>799250.9979006052</v>
      </c>
      <c r="F29" s="3"/>
      <c r="G29" s="29">
        <v>19.45</v>
      </c>
      <c r="H29" s="10"/>
      <c r="I29" s="10">
        <f t="shared" si="5"/>
        <v>1168.7412577872255</v>
      </c>
      <c r="J29" s="10">
        <f t="shared" si="3"/>
        <v>53709124202.678497</v>
      </c>
      <c r="K29" s="11">
        <f t="shared" si="4"/>
        <v>0.21564265000000016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45155423.610203698</v>
      </c>
      <c r="D30" s="11">
        <v>1.4E-2</v>
      </c>
      <c r="E30" s="10">
        <f t="shared" si="2"/>
        <v>623447.6632572487</v>
      </c>
      <c r="F30" s="3"/>
      <c r="G30" s="29">
        <v>11.88</v>
      </c>
      <c r="H30" s="10"/>
      <c r="I30" s="10">
        <f t="shared" si="5"/>
        <v>978.43554440119328</v>
      </c>
      <c r="J30" s="10">
        <f t="shared" si="3"/>
        <v>44181671482.716148</v>
      </c>
      <c r="K30" s="11">
        <f t="shared" si="4"/>
        <v>0.13446319999999989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44531975.94694645</v>
      </c>
      <c r="D31" s="13">
        <v>1.7500000000000002E-2</v>
      </c>
      <c r="E31" s="10">
        <f t="shared" si="2"/>
        <v>765906.22021775693</v>
      </c>
      <c r="F31" s="3"/>
      <c r="G31" s="29">
        <v>8.17</v>
      </c>
      <c r="H31" s="10"/>
      <c r="I31" s="10">
        <f t="shared" si="5"/>
        <v>874.5401719710344</v>
      </c>
      <c r="J31" s="10">
        <f t="shared" si="3"/>
        <v>38945001902.852516</v>
      </c>
      <c r="K31" s="11">
        <f t="shared" si="4"/>
        <v>0.10062975000000018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43766069.726728693</v>
      </c>
      <c r="D32" s="12">
        <v>1.8700000000000001E-2</v>
      </c>
      <c r="E32" s="10">
        <f t="shared" si="2"/>
        <v>803401.88857349753</v>
      </c>
      <c r="F32" s="3"/>
      <c r="G32" s="29">
        <v>7.13</v>
      </c>
      <c r="H32" s="10"/>
      <c r="I32" s="10">
        <f t="shared" si="5"/>
        <v>808.48680037998918</v>
      </c>
      <c r="J32" s="10">
        <f t="shared" si="3"/>
        <v>35384289678.570389</v>
      </c>
      <c r="K32" s="11">
        <f t="shared" si="4"/>
        <v>9.1333310000000001E-2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42962667.838155195</v>
      </c>
      <c r="D33" s="13">
        <v>1.9900000000000001E-2</v>
      </c>
      <c r="E33" s="10">
        <f t="shared" si="2"/>
        <v>838275.40933354944</v>
      </c>
      <c r="F33" s="3"/>
      <c r="G33" s="29">
        <v>8.5500000000000007</v>
      </c>
      <c r="H33" s="10"/>
      <c r="I33" s="10">
        <f t="shared" si="5"/>
        <v>754.67824174366581</v>
      </c>
      <c r="J33" s="10">
        <f t="shared" si="3"/>
        <v>32422990624.716103</v>
      </c>
      <c r="K33" s="11">
        <f t="shared" si="4"/>
        <v>0.10710144999999982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42124392.428821646</v>
      </c>
      <c r="D34" s="12">
        <v>2.0899999999999998E-2</v>
      </c>
      <c r="E34" s="10">
        <f t="shared" si="2"/>
        <v>862376.14042743295</v>
      </c>
      <c r="F34" s="3"/>
      <c r="G34" s="29">
        <v>11.85</v>
      </c>
      <c r="H34" s="10"/>
      <c r="I34" s="10">
        <f t="shared" si="5"/>
        <v>695.23559810563415</v>
      </c>
      <c r="J34" s="10">
        <f t="shared" ref="J34:J65" si="6">IF(I34="","",I34*C34)</f>
        <v>29286377165.088264</v>
      </c>
      <c r="K34" s="11">
        <f t="shared" ref="K34:K65" si="7">IFERROR(J34/J35-1,"")</f>
        <v>0.15514834999999971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41262016.288394213</v>
      </c>
      <c r="D35" s="11">
        <v>2.1899999999999999E-2</v>
      </c>
      <c r="E35" s="10">
        <f t="shared" si="2"/>
        <v>884272.58705923706</v>
      </c>
      <c r="F35" s="3"/>
      <c r="G35" s="29">
        <v>9.47</v>
      </c>
      <c r="H35" s="10"/>
      <c r="I35" s="10">
        <f t="shared" ref="I35:I66" si="8">IF(H35&lt;&gt;"",H35,I34/(1+IF(G34="",0,G34)/100))</f>
        <v>614.43711719455075</v>
      </c>
      <c r="J35" s="10">
        <f t="shared" si="6"/>
        <v>25352914337.875538</v>
      </c>
      <c r="K35" s="11">
        <f t="shared" si="7"/>
        <v>0.1462652299999998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40377743.701334976</v>
      </c>
      <c r="D36" s="11">
        <v>2.0299999999999999E-2</v>
      </c>
      <c r="E36" s="10">
        <f t="shared" si="2"/>
        <v>803359.98935323209</v>
      </c>
      <c r="F36" s="3"/>
      <c r="G36" s="29">
        <v>4.26</v>
      </c>
      <c r="H36" s="10"/>
      <c r="I36" s="10">
        <f t="shared" si="8"/>
        <v>547.77312756935976</v>
      </c>
      <c r="J36" s="10">
        <f t="shared" si="6"/>
        <v>22117842951.474277</v>
      </c>
      <c r="K36" s="11">
        <f t="shared" si="7"/>
        <v>0.11273917999999994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39574383.711981744</v>
      </c>
      <c r="D37" s="11">
        <v>2.75E-2</v>
      </c>
      <c r="E37" s="10">
        <f t="shared" si="2"/>
        <v>1059168.4205153286</v>
      </c>
      <c r="F37" s="3"/>
      <c r="G37" s="29">
        <v>6.69</v>
      </c>
      <c r="H37" s="10"/>
      <c r="I37" s="10">
        <f t="shared" si="8"/>
        <v>502.26767611347861</v>
      </c>
      <c r="J37" s="10">
        <f t="shared" si="6"/>
        <v>19876933740.640171</v>
      </c>
      <c r="K37" s="11">
        <f t="shared" si="7"/>
        <v>0.15069725000000012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38515215.291466415</v>
      </c>
      <c r="D38" s="11">
        <v>3.7900000000000003E-2</v>
      </c>
      <c r="E38" s="10">
        <f t="shared" si="2"/>
        <v>1406423.2195265219</v>
      </c>
      <c r="F38" s="3"/>
      <c r="G38" s="29">
        <v>8.45</v>
      </c>
      <c r="H38" s="10"/>
      <c r="I38" s="10">
        <f t="shared" si="8"/>
        <v>448.49332629116765</v>
      </c>
      <c r="J38" s="10">
        <f t="shared" si="6"/>
        <v>17273817018.890217</v>
      </c>
      <c r="K38" s="11">
        <f t="shared" si="7"/>
        <v>0.16400484999999998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37108792.071939893</v>
      </c>
      <c r="D39" s="11">
        <v>3.7699999999999997E-2</v>
      </c>
      <c r="E39" s="10">
        <f t="shared" si="2"/>
        <v>1348175.2540350184</v>
      </c>
      <c r="F39" s="3"/>
      <c r="G39" s="29">
        <v>14.33</v>
      </c>
      <c r="H39" s="10"/>
      <c r="I39" s="10">
        <f t="shared" si="8"/>
        <v>399.90488300594529</v>
      </c>
      <c r="J39" s="10">
        <f t="shared" si="6"/>
        <v>14839987152.021072</v>
      </c>
      <c r="K39" s="11">
        <f t="shared" si="7"/>
        <v>0.18640240999999991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35760616.817904875</v>
      </c>
      <c r="D40" s="11">
        <v>3.56E-2</v>
      </c>
      <c r="E40" s="10">
        <f t="shared" si="2"/>
        <v>1229314.3672435433</v>
      </c>
      <c r="F40" s="3"/>
      <c r="G40" s="29">
        <v>12.01</v>
      </c>
      <c r="H40" s="10"/>
      <c r="I40" s="10">
        <f t="shared" si="8"/>
        <v>349.78123240264614</v>
      </c>
      <c r="J40" s="10">
        <f t="shared" si="6"/>
        <v>12508392622.045561</v>
      </c>
      <c r="K40" s="11">
        <f t="shared" si="7"/>
        <v>0.15997556000000013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34531302.450661331</v>
      </c>
      <c r="D41" s="11">
        <v>3.3599999999999998E-2</v>
      </c>
      <c r="E41" s="10">
        <f t="shared" si="2"/>
        <v>1122534.5997892991</v>
      </c>
      <c r="F41" s="3"/>
      <c r="G41" s="29">
        <v>10.65</v>
      </c>
      <c r="H41" s="10"/>
      <c r="I41" s="10">
        <f t="shared" si="8"/>
        <v>312.27678993183298</v>
      </c>
      <c r="J41" s="10">
        <f t="shared" si="6"/>
        <v>10783324281.457758</v>
      </c>
      <c r="K41" s="11">
        <f t="shared" si="7"/>
        <v>0.14367839999999998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33408767.850872032</v>
      </c>
      <c r="D42" s="11">
        <v>3.2500000000000001E-2</v>
      </c>
      <c r="E42" s="10">
        <f t="shared" si="2"/>
        <v>1051607.7047489993</v>
      </c>
      <c r="F42" s="3"/>
      <c r="G42" s="29">
        <v>-2.4500000000000002</v>
      </c>
      <c r="H42" s="10"/>
      <c r="I42" s="10">
        <f t="shared" si="8"/>
        <v>282.22032528859734</v>
      </c>
      <c r="J42" s="10">
        <f t="shared" si="6"/>
        <v>9428633330.3643379</v>
      </c>
      <c r="K42" s="11">
        <f t="shared" si="7"/>
        <v>7.2037499999999532E-3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32357160.146123033</v>
      </c>
      <c r="D43" s="11">
        <v>3.1E-2</v>
      </c>
      <c r="E43" s="10">
        <f t="shared" si="2"/>
        <v>972911.70177479461</v>
      </c>
      <c r="F43" s="3"/>
      <c r="G43" s="29">
        <v>8.8000000000000007</v>
      </c>
      <c r="H43" s="10"/>
      <c r="I43" s="10">
        <f t="shared" si="8"/>
        <v>289.3083806136313</v>
      </c>
      <c r="J43" s="10">
        <f t="shared" si="6"/>
        <v>9361197603.130785</v>
      </c>
      <c r="K43" s="11">
        <f t="shared" si="7"/>
        <v>0.12172800000000028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31384248.444348238</v>
      </c>
      <c r="D44" s="11">
        <v>2.9600000000000001E-2</v>
      </c>
      <c r="E44" s="10">
        <f t="shared" si="2"/>
        <v>902266.66079322994</v>
      </c>
      <c r="F44" s="3"/>
      <c r="G44" s="29">
        <v>9.3000000000000007</v>
      </c>
      <c r="H44" s="10"/>
      <c r="I44" s="10">
        <f t="shared" si="8"/>
        <v>265.90843806399931</v>
      </c>
      <c r="J44" s="10">
        <f t="shared" si="6"/>
        <v>8345336483.6491404</v>
      </c>
      <c r="K44" s="11">
        <f t="shared" si="7"/>
        <v>0.12535280000000015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30481981.783555008</v>
      </c>
      <c r="D45" s="11">
        <v>2.76E-2</v>
      </c>
      <c r="E45" s="10">
        <f t="shared" si="2"/>
        <v>818706.40057037771</v>
      </c>
      <c r="F45" s="3"/>
      <c r="G45" s="29">
        <v>6.36</v>
      </c>
      <c r="H45" s="10"/>
      <c r="I45" s="10">
        <f t="shared" si="8"/>
        <v>243.28310893321071</v>
      </c>
      <c r="J45" s="10">
        <f t="shared" si="6"/>
        <v>7415751294.7487574</v>
      </c>
      <c r="K45" s="11">
        <f t="shared" si="7"/>
        <v>9.2955359999999931E-2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29663275.382984631</v>
      </c>
      <c r="D46" s="11">
        <v>2.46E-2</v>
      </c>
      <c r="E46" s="10">
        <f t="shared" si="2"/>
        <v>712196.53954852745</v>
      </c>
      <c r="F46" s="3"/>
      <c r="G46" s="29">
        <v>5.82</v>
      </c>
      <c r="H46" s="10"/>
      <c r="I46" s="10">
        <f t="shared" si="8"/>
        <v>228.73552927154071</v>
      </c>
      <c r="J46" s="10">
        <f t="shared" si="6"/>
        <v>6785044994.6544542</v>
      </c>
      <c r="K46" s="11">
        <f t="shared" si="7"/>
        <v>8.423172000000001E-2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28951078.843436103</v>
      </c>
      <c r="D47" s="11">
        <v>2.2499999999999999E-2</v>
      </c>
      <c r="E47" s="10">
        <f t="shared" si="2"/>
        <v>637065.30462328717</v>
      </c>
      <c r="F47" s="3"/>
      <c r="G47" s="29">
        <v>17.12</v>
      </c>
      <c r="H47" s="10"/>
      <c r="I47" s="10">
        <f t="shared" si="8"/>
        <v>216.15529131689729</v>
      </c>
      <c r="J47" s="10">
        <f t="shared" si="6"/>
        <v>6257928881.3413925</v>
      </c>
      <c r="K47" s="11">
        <f t="shared" si="7"/>
        <v>0.19755199999999995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28314013.538812816</v>
      </c>
      <c r="D48" s="11">
        <v>2.18E-2</v>
      </c>
      <c r="E48" s="10">
        <f t="shared" si="2"/>
        <v>604076.62472707033</v>
      </c>
      <c r="F48" s="3"/>
      <c r="G48" s="29">
        <v>15.12</v>
      </c>
      <c r="H48" s="10"/>
      <c r="I48" s="10">
        <f t="shared" si="8"/>
        <v>184.55882113806121</v>
      </c>
      <c r="J48" s="10">
        <f t="shared" si="6"/>
        <v>5225600960.4103975</v>
      </c>
      <c r="K48" s="11">
        <f t="shared" si="7"/>
        <v>0.17629615999999992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27709936.914085746</v>
      </c>
      <c r="D49" s="11">
        <v>2.1499999999999998E-2</v>
      </c>
      <c r="E49" s="10">
        <f t="shared" si="2"/>
        <v>583224.32075658068</v>
      </c>
      <c r="F49" s="3"/>
      <c r="G49" s="29">
        <v>10.57</v>
      </c>
      <c r="H49" s="10"/>
      <c r="I49" s="10">
        <f t="shared" si="8"/>
        <v>160.31864240623801</v>
      </c>
      <c r="J49" s="10">
        <f t="shared" si="6"/>
        <v>4442419467.2287273</v>
      </c>
      <c r="K49" s="11">
        <f t="shared" si="7"/>
        <v>0.12947255000000002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27126712.593329165</v>
      </c>
      <c r="D50" s="11">
        <v>2.1100000000000001E-2</v>
      </c>
      <c r="E50" s="10">
        <f t="shared" si="2"/>
        <v>560546.11274041981</v>
      </c>
      <c r="F50" s="3"/>
      <c r="G50" s="29">
        <v>5.92</v>
      </c>
      <c r="H50" s="10"/>
      <c r="I50" s="10">
        <f t="shared" si="8"/>
        <v>144.99289355723798</v>
      </c>
      <c r="J50" s="10">
        <f t="shared" si="6"/>
        <v>3933180551.6023626</v>
      </c>
      <c r="K50" s="11">
        <f t="shared" si="7"/>
        <v>8.1549119999999808E-2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26566166.480588745</v>
      </c>
      <c r="D51" s="11">
        <v>2.0899999999999998E-2</v>
      </c>
      <c r="E51" s="10">
        <f t="shared" si="2"/>
        <v>543866.07840562612</v>
      </c>
      <c r="F51" s="3"/>
      <c r="G51" s="29">
        <v>6.34</v>
      </c>
      <c r="H51" s="10"/>
      <c r="I51" s="10">
        <f t="shared" si="8"/>
        <v>136.88906113787576</v>
      </c>
      <c r="J51" s="10">
        <f t="shared" si="6"/>
        <v>3636617587.5602984</v>
      </c>
      <c r="K51" s="11">
        <f t="shared" si="7"/>
        <v>8.5625059999999698E-2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26022300.402183119</v>
      </c>
      <c r="D52" s="11">
        <v>2.06E-2</v>
      </c>
      <c r="E52" s="10">
        <f t="shared" si="2"/>
        <v>525239.45550163835</v>
      </c>
      <c r="F52" s="3"/>
      <c r="G52" s="29">
        <v>5.81</v>
      </c>
      <c r="H52" s="10"/>
      <c r="I52" s="10">
        <f t="shared" si="8"/>
        <v>128.72772346988506</v>
      </c>
      <c r="J52" s="10">
        <f t="shared" si="6"/>
        <v>3349791490.2225075</v>
      </c>
      <c r="K52" s="11">
        <f t="shared" si="7"/>
        <v>7.9896860000000069E-2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25497060.946681481</v>
      </c>
      <c r="D53" s="11">
        <v>2.0199999999999999E-2</v>
      </c>
      <c r="E53" s="10">
        <f t="shared" si="2"/>
        <v>504842.8064330183</v>
      </c>
      <c r="F53" s="3"/>
      <c r="G53" s="29">
        <v>6.83</v>
      </c>
      <c r="H53" s="10"/>
      <c r="I53" s="10">
        <f t="shared" si="8"/>
        <v>121.65931714382862</v>
      </c>
      <c r="J53" s="10">
        <f t="shared" si="6"/>
        <v>3101955023.9478493</v>
      </c>
      <c r="K53" s="11">
        <f t="shared" si="7"/>
        <v>8.9879660000000028E-2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24992218.140248463</v>
      </c>
      <c r="D54" s="11">
        <v>0.02</v>
      </c>
      <c r="E54" s="10">
        <f t="shared" si="2"/>
        <v>490043.49294604734</v>
      </c>
      <c r="F54" s="3"/>
      <c r="G54" s="29">
        <v>5.92</v>
      </c>
      <c r="H54" s="10"/>
      <c r="I54" s="10">
        <f t="shared" si="8"/>
        <v>113.88122919014192</v>
      </c>
      <c r="J54" s="10">
        <f t="shared" si="6"/>
        <v>2846144521.9996576</v>
      </c>
      <c r="K54" s="11">
        <f t="shared" si="7"/>
        <v>8.0383999999999789E-2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24502174.647302415</v>
      </c>
      <c r="D55" s="11">
        <v>1.95E-2</v>
      </c>
      <c r="E55" s="10">
        <f t="shared" si="2"/>
        <v>468653.65926669911</v>
      </c>
      <c r="F55" s="3"/>
      <c r="G55" s="29">
        <v>6.67</v>
      </c>
      <c r="H55" s="10"/>
      <c r="I55" s="10">
        <f t="shared" si="8"/>
        <v>107.51626622936361</v>
      </c>
      <c r="J55" s="10">
        <f t="shared" si="6"/>
        <v>2634382332.5777297</v>
      </c>
      <c r="K55" s="11">
        <f t="shared" si="7"/>
        <v>8.7500649999999958E-2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24033520.988035716</v>
      </c>
      <c r="D56" s="11">
        <v>1.7899999999999999E-2</v>
      </c>
      <c r="E56" s="10">
        <f t="shared" si="2"/>
        <v>422634.86166208982</v>
      </c>
      <c r="F56" s="3"/>
      <c r="G56" s="29">
        <v>6.34</v>
      </c>
      <c r="H56" s="10"/>
      <c r="I56" s="10">
        <f t="shared" si="8"/>
        <v>100.7933497978472</v>
      </c>
      <c r="J56" s="10">
        <f t="shared" si="6"/>
        <v>2422419087.8209863</v>
      </c>
      <c r="K56" s="11">
        <f t="shared" si="7"/>
        <v>8.2434859999999999E-2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23610886.126373626</v>
      </c>
      <c r="D57" s="11">
        <v>1.78E-2</v>
      </c>
      <c r="E57" s="10">
        <f t="shared" si="2"/>
        <v>412923.73064398766</v>
      </c>
      <c r="F57" s="3"/>
      <c r="G57" s="30">
        <v>2.4700000000000002</v>
      </c>
      <c r="H57" s="10"/>
      <c r="I57" s="10">
        <f t="shared" si="8"/>
        <v>94.78404156276774</v>
      </c>
      <c r="J57" s="10">
        <f t="shared" si="6"/>
        <v>2237935211.9359741</v>
      </c>
      <c r="K57" s="11">
        <f t="shared" si="7"/>
        <v>4.2939660000000046E-2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23197962.395729639</v>
      </c>
      <c r="D58" s="11">
        <v>1.7500000000000002E-2</v>
      </c>
      <c r="E58" s="10">
        <f t="shared" si="2"/>
        <v>398982.15422631055</v>
      </c>
      <c r="F58" s="3"/>
      <c r="G58" s="30">
        <v>3.19</v>
      </c>
      <c r="H58" s="10"/>
      <c r="I58" s="10">
        <f t="shared" si="8"/>
        <v>92.499308639375172</v>
      </c>
      <c r="J58" s="10">
        <f t="shared" si="6"/>
        <v>2145795483.4472148</v>
      </c>
      <c r="K58" s="11">
        <f t="shared" si="7"/>
        <v>4.9958250000000204E-2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22798980.241503328</v>
      </c>
      <c r="D59" s="11">
        <v>1.7000000000000001E-2</v>
      </c>
      <c r="E59" s="10">
        <f t="shared" si="2"/>
        <v>381103.89784223586</v>
      </c>
      <c r="F59" s="3"/>
      <c r="G59" s="30">
        <v>2.61</v>
      </c>
      <c r="H59" s="10"/>
      <c r="I59" s="10">
        <f t="shared" si="8"/>
        <v>89.639799049690055</v>
      </c>
      <c r="J59" s="10">
        <f t="shared" si="6"/>
        <v>2043696007.3862123</v>
      </c>
      <c r="K59" s="11">
        <f t="shared" si="7"/>
        <v>4.3543699999999852E-2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22417876.343661092</v>
      </c>
      <c r="D60" s="11">
        <v>1.7000000000000001E-2</v>
      </c>
      <c r="E60" s="10">
        <f t="shared" si="2"/>
        <v>374733.42954005674</v>
      </c>
      <c r="F60" s="3"/>
      <c r="G60" s="30">
        <v>2.79</v>
      </c>
      <c r="H60" s="10"/>
      <c r="I60" s="10">
        <f t="shared" si="8"/>
        <v>87.359710602952987</v>
      </c>
      <c r="J60" s="10">
        <f t="shared" si="6"/>
        <v>1958419189.7150187</v>
      </c>
      <c r="K60" s="11">
        <f t="shared" si="7"/>
        <v>4.5374299999999979E-2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22043142.914121035</v>
      </c>
      <c r="D61" s="11">
        <v>1.7000000000000001E-2</v>
      </c>
      <c r="E61" s="10">
        <f t="shared" si="2"/>
        <v>368469.44890860841</v>
      </c>
      <c r="F61" s="3"/>
      <c r="G61" s="30">
        <v>2.98</v>
      </c>
      <c r="H61" s="10"/>
      <c r="I61" s="10">
        <f t="shared" si="8"/>
        <v>84.988530599234352</v>
      </c>
      <c r="J61" s="10">
        <f t="shared" si="6"/>
        <v>1873414326.0600715</v>
      </c>
      <c r="K61" s="11">
        <f t="shared" si="7"/>
        <v>4.7306599999999976E-2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21674673.465212427</v>
      </c>
      <c r="D62" s="11">
        <v>1.7000000000000001E-2</v>
      </c>
      <c r="E62" s="10">
        <f t="shared" si="2"/>
        <v>362310.17591800168</v>
      </c>
      <c r="F62" s="3"/>
      <c r="G62" s="30">
        <v>2.98</v>
      </c>
      <c r="H62" s="10"/>
      <c r="I62" s="10">
        <f t="shared" si="8"/>
        <v>82.529161584030248</v>
      </c>
      <c r="J62" s="10">
        <f t="shared" si="6"/>
        <v>1788792628.6916091</v>
      </c>
      <c r="K62" s="11">
        <f t="shared" si="7"/>
        <v>4.7306599999999976E-2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21312363.289294425</v>
      </c>
      <c r="D63" s="11">
        <v>1.6500000000000001E-2</v>
      </c>
      <c r="E63" s="10">
        <f t="shared" si="2"/>
        <v>345945.88713562116</v>
      </c>
      <c r="F63" s="3"/>
      <c r="G63" s="30">
        <v>2.98</v>
      </c>
      <c r="H63" s="10"/>
      <c r="I63" s="10">
        <f t="shared" si="8"/>
        <v>80.140960947786212</v>
      </c>
      <c r="J63" s="10">
        <f t="shared" si="6"/>
        <v>1707993274.072377</v>
      </c>
      <c r="K63" s="11">
        <f t="shared" si="7"/>
        <v>4.6791700000000214E-2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20966417.402158804</v>
      </c>
      <c r="D64" s="11">
        <v>1.6500000000000001E-2</v>
      </c>
      <c r="E64" s="10">
        <f t="shared" si="2"/>
        <v>340330.43495880067</v>
      </c>
      <c r="F64" s="3"/>
      <c r="G64" s="30">
        <v>3.18</v>
      </c>
      <c r="H64" s="10"/>
      <c r="I64" s="10">
        <f t="shared" si="8"/>
        <v>77.821869244305887</v>
      </c>
      <c r="J64" s="10">
        <f t="shared" si="6"/>
        <v>1631645793.5923419</v>
      </c>
      <c r="K64" s="11">
        <f t="shared" si="7"/>
        <v>4.8824699999999943E-2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20626086.967200004</v>
      </c>
      <c r="D65" s="11">
        <v>1.6E-2</v>
      </c>
      <c r="E65" s="10">
        <f t="shared" si="2"/>
        <v>324820.26720000058</v>
      </c>
      <c r="F65" s="3"/>
      <c r="G65" s="30">
        <v>2.8</v>
      </c>
      <c r="H65" s="10"/>
      <c r="I65" s="10">
        <f t="shared" si="8"/>
        <v>75.423404966375159</v>
      </c>
      <c r="J65" s="10">
        <f t="shared" si="6"/>
        <v>1555689710.1987987</v>
      </c>
      <c r="K65" s="11">
        <f t="shared" si="7"/>
        <v>4.4448000000000043E-2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20301266.700000003</v>
      </c>
      <c r="D66" s="11">
        <v>1.55E-2</v>
      </c>
      <c r="E66" s="10">
        <f t="shared" si="2"/>
        <v>309866.70000000298</v>
      </c>
      <c r="F66" s="3"/>
      <c r="G66" s="30">
        <v>3.03</v>
      </c>
      <c r="H66" s="10"/>
      <c r="I66" s="10">
        <f t="shared" si="8"/>
        <v>73.36907097896416</v>
      </c>
      <c r="J66" s="10">
        <f t="shared" ref="J66:J67" si="9">IF(I66="","",I66*C66)</f>
        <v>1489485077.4751818</v>
      </c>
      <c r="K66" s="11">
        <f t="shared" ref="K66" si="10">IFERROR(J66/J67-1,"")</f>
        <v>4.6269650000000162E-2</v>
      </c>
    </row>
    <row r="67" spans="1:11" ht="22.5" customHeight="1">
      <c r="A67" s="3">
        <f t="shared" si="0"/>
        <v>1950</v>
      </c>
      <c r="B67" s="3">
        <v>1700</v>
      </c>
      <c r="C67" s="10">
        <v>19991400</v>
      </c>
      <c r="D67" s="11">
        <v>1.4999999999999999E-2</v>
      </c>
      <c r="E67" s="3" t="s">
        <v>72</v>
      </c>
      <c r="F67" s="3"/>
      <c r="G67" s="30">
        <v>3.03</v>
      </c>
      <c r="H67" s="10"/>
      <c r="I67" s="10">
        <f t="shared" ref="I67" si="11">IF(H67&lt;&gt;"",H67,I66/(1+IF(G66="",0,G66)/100))</f>
        <v>71.211366571837488</v>
      </c>
      <c r="J67" s="10">
        <f t="shared" si="9"/>
        <v>1423614913.684232</v>
      </c>
      <c r="K67" s="11"/>
    </row>
  </sheetData>
  <dataValidations count="1">
    <dataValidation type="custom" allowBlank="1" showDropDown="1" sqref="D2:D67" xr:uid="{00000000-0002-0000-1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M67"/>
  <sheetViews>
    <sheetView topLeftCell="A35" workbookViewId="0">
      <selection activeCell="J68" sqref="J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137997507.0137313</v>
      </c>
      <c r="D2" s="11">
        <v>1.06E-2</v>
      </c>
      <c r="E2" s="10">
        <f t="shared" ref="E2:E66" si="2">SUM(C2-C3)</f>
        <v>1447430.8077830374</v>
      </c>
      <c r="F2" s="14">
        <v>137992639</v>
      </c>
      <c r="G2" s="29">
        <v>3.88</v>
      </c>
      <c r="H2" s="10"/>
      <c r="I2" s="10">
        <f>IF(H2&lt;&gt;"",H2,39368)</f>
        <v>4921</v>
      </c>
      <c r="J2" s="10">
        <f t="shared" ref="J2:J33" si="3">IF(I2="","",I2*C2)</f>
        <v>679085732014.57178</v>
      </c>
      <c r="K2" s="11">
        <f t="shared" ref="K2:K33" si="4">IFERROR(J2/J3-1,"")</f>
        <v>4.981127999999968E-2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136550076.20594826</v>
      </c>
      <c r="D3" s="11">
        <v>1.01E-2</v>
      </c>
      <c r="E3" s="10">
        <f t="shared" si="2"/>
        <v>1365365.5773488581</v>
      </c>
      <c r="F3" s="3"/>
      <c r="G3" s="29">
        <v>4.3099999999999996</v>
      </c>
      <c r="H3" s="10"/>
      <c r="I3" s="10">
        <f t="shared" ref="I3:I34" si="5">IF(H3&lt;&gt;"",H3,I2/(1+IF(G2="",0,G2)/100))</f>
        <v>4737.1967654986529</v>
      </c>
      <c r="J3" s="10">
        <f t="shared" si="3"/>
        <v>646864579331.41272</v>
      </c>
      <c r="K3" s="11">
        <f t="shared" si="4"/>
        <v>5.3635310000000214E-2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135184710.62859941</v>
      </c>
      <c r="D4" s="11">
        <v>0.01</v>
      </c>
      <c r="E4" s="10">
        <f t="shared" si="2"/>
        <v>1338462.4814712852</v>
      </c>
      <c r="F4" s="3"/>
      <c r="G4" s="29">
        <v>1.64</v>
      </c>
      <c r="H4" s="10"/>
      <c r="I4" s="10">
        <f t="shared" si="5"/>
        <v>4541.4598461304313</v>
      </c>
      <c r="J4" s="10">
        <f t="shared" si="3"/>
        <v>613935935130.5459</v>
      </c>
      <c r="K4" s="11">
        <f t="shared" si="4"/>
        <v>2.656399999999981E-2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133846248.14712812</v>
      </c>
      <c r="D5" s="11">
        <v>1.09E-2</v>
      </c>
      <c r="E5" s="10">
        <f t="shared" si="2"/>
        <v>1443193.2978570461</v>
      </c>
      <c r="F5" s="3"/>
      <c r="G5" s="29">
        <v>5.25</v>
      </c>
      <c r="H5" s="10"/>
      <c r="I5" s="10">
        <f t="shared" si="5"/>
        <v>4468.1816667949934</v>
      </c>
      <c r="J5" s="10">
        <f t="shared" si="3"/>
        <v>598049352140.29126</v>
      </c>
      <c r="K5" s="11">
        <f t="shared" si="4"/>
        <v>6.3972250000000175E-2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132403054.84927107</v>
      </c>
      <c r="D6" s="11">
        <v>1.03E-2</v>
      </c>
      <c r="E6" s="10">
        <f t="shared" si="2"/>
        <v>1349848.0302360505</v>
      </c>
      <c r="F6" s="3"/>
      <c r="G6" s="29">
        <v>2.09</v>
      </c>
      <c r="H6" s="10"/>
      <c r="I6" s="10">
        <f t="shared" si="5"/>
        <v>4245.3032463610389</v>
      </c>
      <c r="J6" s="10">
        <f t="shared" si="3"/>
        <v>562091118579.72913</v>
      </c>
      <c r="K6" s="11">
        <f t="shared" si="4"/>
        <v>3.1415269999999662E-2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131053206.81903502</v>
      </c>
      <c r="D7" s="11">
        <v>1.1399999999999999E-2</v>
      </c>
      <c r="E7" s="10">
        <f t="shared" si="2"/>
        <v>1477166.8555833548</v>
      </c>
      <c r="F7" s="3"/>
      <c r="G7" s="29">
        <v>2.09</v>
      </c>
      <c r="H7" s="10"/>
      <c r="I7" s="10">
        <f t="shared" si="5"/>
        <v>4158.3928360868249</v>
      </c>
      <c r="J7" s="10">
        <f t="shared" si="3"/>
        <v>544970716382.48029</v>
      </c>
      <c r="K7" s="11">
        <f t="shared" si="4"/>
        <v>3.253825999999993E-2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129576039.96345167</v>
      </c>
      <c r="D8" s="11">
        <v>1.0500000000000001E-2</v>
      </c>
      <c r="E8" s="10">
        <f t="shared" si="2"/>
        <v>1346411.1030343771</v>
      </c>
      <c r="F8" s="3"/>
      <c r="G8" s="29">
        <v>0.13</v>
      </c>
      <c r="H8" s="10"/>
      <c r="I8" s="10">
        <f t="shared" si="5"/>
        <v>4073.2616672414783</v>
      </c>
      <c r="J8" s="10">
        <f t="shared" si="3"/>
        <v>527797116576.07758</v>
      </c>
      <c r="K8" s="11">
        <f t="shared" si="4"/>
        <v>1.181365000000012E-2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128229628.86041729</v>
      </c>
      <c r="D9" s="11">
        <v>9.8000000000000014E-3</v>
      </c>
      <c r="E9" s="10">
        <f t="shared" si="2"/>
        <v>1244454.7067063749</v>
      </c>
      <c r="F9" s="3"/>
      <c r="G9" s="29">
        <v>3.31</v>
      </c>
      <c r="H9" s="10"/>
      <c r="I9" s="10">
        <f t="shared" si="5"/>
        <v>4067.9733019489445</v>
      </c>
      <c r="J9" s="10">
        <f t="shared" si="3"/>
        <v>521634706722.99939</v>
      </c>
      <c r="K9" s="11">
        <f t="shared" si="4"/>
        <v>4.322437999999984E-2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126985174.15371092</v>
      </c>
      <c r="D10" s="11">
        <v>9.1999999999999981E-3</v>
      </c>
      <c r="E10" s="10">
        <f t="shared" si="2"/>
        <v>1157613.5574852824</v>
      </c>
      <c r="F10" s="3"/>
      <c r="G10" s="29">
        <v>6.01</v>
      </c>
      <c r="H10" s="10"/>
      <c r="I10" s="10">
        <f t="shared" si="5"/>
        <v>3937.6375006765511</v>
      </c>
      <c r="J10" s="10">
        <f t="shared" si="3"/>
        <v>500021583777.59485</v>
      </c>
      <c r="K10" s="11">
        <f t="shared" si="4"/>
        <v>6.9852919999999985E-2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125827560.59622563</v>
      </c>
      <c r="D11" s="11">
        <v>8.9999999999999993E-3</v>
      </c>
      <c r="E11" s="10">
        <f t="shared" si="2"/>
        <v>1122346.9230584949</v>
      </c>
      <c r="F11" s="3"/>
      <c r="G11" s="29">
        <v>2.81</v>
      </c>
      <c r="H11" s="10"/>
      <c r="I11" s="10">
        <f t="shared" si="5"/>
        <v>3714.4019438511</v>
      </c>
      <c r="J11" s="10">
        <f t="shared" si="3"/>
        <v>467374135668.6626</v>
      </c>
      <c r="K11" s="11">
        <f t="shared" si="4"/>
        <v>3.7352900000000133E-2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124705213.67316714</v>
      </c>
      <c r="D12" s="11">
        <v>9.5999999999999992E-3</v>
      </c>
      <c r="E12" s="10">
        <f t="shared" si="2"/>
        <v>1185786.5008542091</v>
      </c>
      <c r="F12" s="3"/>
      <c r="G12" s="29">
        <v>2.68</v>
      </c>
      <c r="H12" s="10"/>
      <c r="I12" s="10">
        <f t="shared" si="5"/>
        <v>3612.880015417858</v>
      </c>
      <c r="J12" s="10">
        <f t="shared" si="3"/>
        <v>450544974298.19934</v>
      </c>
      <c r="K12" s="11">
        <f t="shared" si="4"/>
        <v>3.6657279999999792E-2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123519427.17231293</v>
      </c>
      <c r="D13" s="11">
        <v>9.5999999999999992E-3</v>
      </c>
      <c r="E13" s="10">
        <f t="shared" si="2"/>
        <v>1174511.1933975965</v>
      </c>
      <c r="F13" s="3"/>
      <c r="G13" s="29">
        <v>0.69</v>
      </c>
      <c r="H13" s="10"/>
      <c r="I13" s="10">
        <f t="shared" si="5"/>
        <v>3518.5820173528032</v>
      </c>
      <c r="J13" s="10">
        <f t="shared" si="3"/>
        <v>434613235242.21948</v>
      </c>
      <c r="K13" s="11">
        <f t="shared" si="4"/>
        <v>1.6566239999999954E-2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122344915.97891533</v>
      </c>
      <c r="D14" s="11">
        <v>9.1999999999999981E-3</v>
      </c>
      <c r="E14" s="10">
        <f t="shared" si="2"/>
        <v>1115312.3533551693</v>
      </c>
      <c r="F14" s="3"/>
      <c r="G14" s="29">
        <v>2.25</v>
      </c>
      <c r="H14" s="10"/>
      <c r="I14" s="10">
        <f t="shared" si="5"/>
        <v>3494.470173158013</v>
      </c>
      <c r="J14" s="10">
        <f t="shared" si="3"/>
        <v>427530659725.84283</v>
      </c>
      <c r="K14" s="11">
        <f t="shared" si="4"/>
        <v>3.190700000000013E-2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121229603.62556016</v>
      </c>
      <c r="D15" s="11">
        <v>9.1999999999999981E-3</v>
      </c>
      <c r="E15" s="10">
        <f t="shared" si="2"/>
        <v>1105145.0191787183</v>
      </c>
      <c r="F15" s="3"/>
      <c r="G15" s="29">
        <v>-0.25</v>
      </c>
      <c r="H15" s="10"/>
      <c r="I15" s="10">
        <f t="shared" si="5"/>
        <v>3417.5747414748294</v>
      </c>
      <c r="J15" s="10">
        <f t="shared" si="3"/>
        <v>414311231269.71979</v>
      </c>
      <c r="K15" s="11">
        <f t="shared" si="4"/>
        <v>6.6770000000002661E-3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120124458.60638145</v>
      </c>
      <c r="D16" s="11">
        <v>9.300000000000001E-3</v>
      </c>
      <c r="E16" s="10">
        <f t="shared" si="2"/>
        <v>1106863.6332501322</v>
      </c>
      <c r="F16" s="3"/>
      <c r="G16" s="29">
        <v>2.14</v>
      </c>
      <c r="H16" s="10"/>
      <c r="I16" s="10">
        <f t="shared" si="5"/>
        <v>3426.1400917040892</v>
      </c>
      <c r="J16" s="10">
        <f t="shared" si="3"/>
        <v>411563223625.57178</v>
      </c>
      <c r="K16" s="11">
        <f t="shared" si="4"/>
        <v>3.089902000000011E-2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119017594.97313131</v>
      </c>
      <c r="D17" s="11">
        <v>2.2000000000000006E-3</v>
      </c>
      <c r="E17" s="10">
        <f t="shared" si="2"/>
        <v>261263.92829862237</v>
      </c>
      <c r="F17" s="3"/>
      <c r="G17" s="29">
        <v>-1.88</v>
      </c>
      <c r="H17" s="10"/>
      <c r="I17" s="10">
        <f t="shared" si="5"/>
        <v>3354.3568550069403</v>
      </c>
      <c r="J17" s="10">
        <f t="shared" si="3"/>
        <v>399227485564.56256</v>
      </c>
      <c r="K17" s="11">
        <f t="shared" si="4"/>
        <v>-1.664136000000016E-2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118756331.04483269</v>
      </c>
      <c r="D18" s="11">
        <v>-4.8000000000000004E-3</v>
      </c>
      <c r="E18" s="10">
        <f t="shared" si="2"/>
        <v>-572779.73172749579</v>
      </c>
      <c r="F18" s="3"/>
      <c r="G18" s="29">
        <v>-8.93</v>
      </c>
      <c r="H18" s="10"/>
      <c r="I18" s="10">
        <f t="shared" si="5"/>
        <v>3418.6270434232983</v>
      </c>
      <c r="J18" s="10">
        <f t="shared" si="3"/>
        <v>405983604887.59485</v>
      </c>
      <c r="K18" s="11">
        <f t="shared" si="4"/>
        <v>-9.3671359999999981E-2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119329110.77656019</v>
      </c>
      <c r="D19" s="11">
        <v>-4.1000000000000003E-3</v>
      </c>
      <c r="E19" s="10">
        <f t="shared" si="2"/>
        <v>-491263.53467607498</v>
      </c>
      <c r="F19" s="3"/>
      <c r="G19" s="29">
        <v>3.48</v>
      </c>
      <c r="H19" s="10"/>
      <c r="I19" s="10">
        <f t="shared" si="5"/>
        <v>3753.8454413344657</v>
      </c>
      <c r="J19" s="10">
        <f t="shared" si="3"/>
        <v>447943038507.08594</v>
      </c>
      <c r="K19" s="11">
        <f t="shared" si="4"/>
        <v>3.0557319999999999E-2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119820374.31123626</v>
      </c>
      <c r="D20" s="11">
        <v>-2E-3</v>
      </c>
      <c r="E20" s="10">
        <f t="shared" si="2"/>
        <v>-240120.99060368538</v>
      </c>
      <c r="F20" s="3"/>
      <c r="G20" s="29">
        <v>1.74</v>
      </c>
      <c r="H20" s="10"/>
      <c r="I20" s="10">
        <f t="shared" si="5"/>
        <v>3627.6047944863412</v>
      </c>
      <c r="J20" s="10">
        <f t="shared" si="3"/>
        <v>434660964328.58868</v>
      </c>
      <c r="K20" s="11">
        <f t="shared" si="4"/>
        <v>1.5365199999999968E-2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120060495.30183995</v>
      </c>
      <c r="D21" s="11">
        <v>9.5999999999999992E-3</v>
      </c>
      <c r="E21" s="10">
        <f t="shared" si="2"/>
        <v>1141621.1914596558</v>
      </c>
      <c r="F21" s="3"/>
      <c r="G21" s="29">
        <v>3.63</v>
      </c>
      <c r="H21" s="10"/>
      <c r="I21" s="10">
        <f t="shared" si="5"/>
        <v>3565.5639812132308</v>
      </c>
      <c r="J21" s="10">
        <f t="shared" si="3"/>
        <v>428083377614.86084</v>
      </c>
      <c r="K21" s="11">
        <f t="shared" si="4"/>
        <v>4.6248480000000258E-2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118918874.11038029</v>
      </c>
      <c r="D22" s="11">
        <v>1.0899999999999998E-2</v>
      </c>
      <c r="E22" s="10">
        <f t="shared" si="2"/>
        <v>1282239.3192235976</v>
      </c>
      <c r="F22" s="3"/>
      <c r="G22" s="29">
        <v>2.97</v>
      </c>
      <c r="H22" s="10"/>
      <c r="I22" s="10">
        <f t="shared" si="5"/>
        <v>3440.6677421723734</v>
      </c>
      <c r="J22" s="10">
        <f t="shared" si="3"/>
        <v>409160334087.04285</v>
      </c>
      <c r="K22" s="11">
        <f t="shared" si="4"/>
        <v>4.0923730000000047E-2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117636634.79115669</v>
      </c>
      <c r="D23" s="11">
        <v>7.3999999999999986E-3</v>
      </c>
      <c r="E23" s="10">
        <f t="shared" si="2"/>
        <v>864116.63436029851</v>
      </c>
      <c r="F23" s="3"/>
      <c r="G23" s="29">
        <v>1.71</v>
      </c>
      <c r="H23" s="10"/>
      <c r="I23" s="10">
        <f t="shared" si="5"/>
        <v>3341.4273498809102</v>
      </c>
      <c r="J23" s="10">
        <f t="shared" si="3"/>
        <v>393074268839.12317</v>
      </c>
      <c r="K23" s="11">
        <f t="shared" si="4"/>
        <v>2.4626539999999864E-2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116772518.1567964</v>
      </c>
      <c r="D24" s="11">
        <v>3.2999999999999991E-3</v>
      </c>
      <c r="E24" s="10">
        <f t="shared" si="2"/>
        <v>384081.83984594047</v>
      </c>
      <c r="F24" s="3"/>
      <c r="G24" s="29">
        <v>1.95</v>
      </c>
      <c r="H24" s="10"/>
      <c r="I24" s="10">
        <f t="shared" si="5"/>
        <v>3285.2495820282279</v>
      </c>
      <c r="J24" s="10">
        <f t="shared" si="3"/>
        <v>383626866466.99902</v>
      </c>
      <c r="K24" s="11">
        <f t="shared" si="4"/>
        <v>2.2864350000000311E-2</v>
      </c>
      <c r="L24" t="s">
        <v>114</v>
      </c>
      <c r="M24" t="s">
        <v>115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116388436.31695046</v>
      </c>
      <c r="D25" s="11">
        <v>9.300000000000001E-3</v>
      </c>
      <c r="E25" s="10">
        <f t="shared" si="2"/>
        <v>1072438.7771204263</v>
      </c>
      <c r="F25" s="3"/>
      <c r="G25" s="29">
        <v>-3.09</v>
      </c>
      <c r="H25" s="10"/>
      <c r="I25" s="10">
        <f t="shared" si="5"/>
        <v>3222.412537546079</v>
      </c>
      <c r="J25" s="10">
        <f t="shared" si="3"/>
        <v>375051556413.12451</v>
      </c>
      <c r="K25" s="11">
        <f t="shared" si="4"/>
        <v>-2.1887370000000073E-2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115315997.53983003</v>
      </c>
      <c r="D26" s="11">
        <v>1.6E-2</v>
      </c>
      <c r="E26" s="10">
        <f t="shared" si="2"/>
        <v>1815999.9612571746</v>
      </c>
      <c r="F26" s="3"/>
      <c r="G26" s="29">
        <v>-6.11</v>
      </c>
      <c r="H26" s="10"/>
      <c r="I26" s="10">
        <f t="shared" si="5"/>
        <v>3325.159980957671</v>
      </c>
      <c r="J26" s="10">
        <f t="shared" si="3"/>
        <v>383444140183.65607</v>
      </c>
      <c r="K26" s="11">
        <f t="shared" si="4"/>
        <v>-4.6077599999999941E-2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113499997.57857285</v>
      </c>
      <c r="D27" s="11">
        <v>1.47E-2</v>
      </c>
      <c r="E27" s="10">
        <f t="shared" si="2"/>
        <v>1644279.0621908158</v>
      </c>
      <c r="F27" s="3"/>
      <c r="G27" s="29">
        <v>-15.19</v>
      </c>
      <c r="H27" s="10"/>
      <c r="I27" s="10">
        <f t="shared" si="5"/>
        <v>3541.5486004448517</v>
      </c>
      <c r="J27" s="10">
        <f t="shared" si="3"/>
        <v>401965757574.88873</v>
      </c>
      <c r="K27" s="11">
        <f t="shared" si="4"/>
        <v>-0.13943293000000012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111855718.51638204</v>
      </c>
      <c r="D28" s="11">
        <v>1.9299999999999998E-2</v>
      </c>
      <c r="E28" s="10">
        <f t="shared" si="2"/>
        <v>2117939.141926989</v>
      </c>
      <c r="F28" s="3"/>
      <c r="G28" s="29">
        <v>8.5500000000000007</v>
      </c>
      <c r="H28" s="10"/>
      <c r="I28" s="10">
        <f t="shared" si="5"/>
        <v>4175.8620450947437</v>
      </c>
      <c r="J28" s="10">
        <f t="shared" si="3"/>
        <v>467094049479.36108</v>
      </c>
      <c r="K28" s="11">
        <f t="shared" si="4"/>
        <v>0.10645015000000013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109737779.37445505</v>
      </c>
      <c r="D29" s="11">
        <v>0.02</v>
      </c>
      <c r="E29" s="10">
        <f t="shared" si="2"/>
        <v>2151721.1642049998</v>
      </c>
      <c r="F29" s="3"/>
      <c r="G29" s="29">
        <v>6.3</v>
      </c>
      <c r="H29" s="10"/>
      <c r="I29" s="10">
        <f t="shared" si="5"/>
        <v>3846.9479917961712</v>
      </c>
      <c r="J29" s="10">
        <f t="shared" si="3"/>
        <v>422155529988.73114</v>
      </c>
      <c r="K29" s="11">
        <f t="shared" si="4"/>
        <v>8.425999999999978E-2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107586058.21025005</v>
      </c>
      <c r="D30" s="12">
        <v>1.84E-2</v>
      </c>
      <c r="E30" s="10">
        <f t="shared" si="2"/>
        <v>1943817.2339636683</v>
      </c>
      <c r="F30" s="3"/>
      <c r="G30" s="29">
        <v>3.2</v>
      </c>
      <c r="H30" s="10"/>
      <c r="I30" s="10">
        <f t="shared" si="5"/>
        <v>3618.9538963275368</v>
      </c>
      <c r="J30" s="10">
        <f t="shared" si="3"/>
        <v>389348984550.50562</v>
      </c>
      <c r="K30" s="11">
        <f t="shared" si="4"/>
        <v>5.0988800000000056E-2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105642240.97628638</v>
      </c>
      <c r="D31" s="13">
        <v>1.06E-2</v>
      </c>
      <c r="E31" s="10">
        <f t="shared" si="2"/>
        <v>1108062.2940318882</v>
      </c>
      <c r="F31" s="3"/>
      <c r="G31" s="29">
        <v>-0.8</v>
      </c>
      <c r="H31" s="10"/>
      <c r="I31" s="10">
        <f t="shared" si="5"/>
        <v>3506.7382716352099</v>
      </c>
      <c r="J31" s="10">
        <f t="shared" si="3"/>
        <v>370459689532.85284</v>
      </c>
      <c r="K31" s="11">
        <f t="shared" si="4"/>
        <v>2.5151999999997177E-3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104534178.68225449</v>
      </c>
      <c r="D32" s="12">
        <v>1.06E-2</v>
      </c>
      <c r="E32" s="10">
        <f t="shared" si="2"/>
        <v>1096440.029716894</v>
      </c>
      <c r="F32" s="3"/>
      <c r="G32" s="29">
        <v>-2.33</v>
      </c>
      <c r="H32" s="10"/>
      <c r="I32" s="10">
        <f t="shared" si="5"/>
        <v>3535.018418987107</v>
      </c>
      <c r="J32" s="10">
        <f t="shared" si="3"/>
        <v>369530247055.45905</v>
      </c>
      <c r="K32" s="11">
        <f t="shared" si="4"/>
        <v>-1.2946979999999941E-2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103437738.6525376</v>
      </c>
      <c r="D33" s="13">
        <v>1.3299999999999999E-2</v>
      </c>
      <c r="E33" s="10">
        <f t="shared" si="2"/>
        <v>1357664.9798467904</v>
      </c>
      <c r="F33" s="3"/>
      <c r="G33" s="29">
        <v>7.51</v>
      </c>
      <c r="H33" s="10"/>
      <c r="I33" s="10">
        <f t="shared" si="5"/>
        <v>3619.3492566674586</v>
      </c>
      <c r="J33" s="10">
        <f t="shared" si="3"/>
        <v>374377302503.4248</v>
      </c>
      <c r="K33" s="11">
        <f t="shared" si="4"/>
        <v>8.9398829999999929E-2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102080073.67269081</v>
      </c>
      <c r="D34" s="12">
        <v>1.38E-2</v>
      </c>
      <c r="E34" s="10">
        <f t="shared" si="2"/>
        <v>1389529.5094526857</v>
      </c>
      <c r="F34" s="3"/>
      <c r="G34" s="29">
        <v>4.31</v>
      </c>
      <c r="H34" s="10"/>
      <c r="I34" s="10">
        <f t="shared" si="5"/>
        <v>3366.523352867137</v>
      </c>
      <c r="J34" s="10">
        <f t="shared" ref="J34:J65" si="6">IF(I34="","",I34*C34)</f>
        <v>343654951881.51141</v>
      </c>
      <c r="K34" s="11">
        <f t="shared" ref="K34:K65" si="7">IFERROR(J34/J35-1,"")</f>
        <v>7.0674180000000142E-2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100690544.16323812</v>
      </c>
      <c r="D35" s="11">
        <v>1.5299999999999999E-2</v>
      </c>
      <c r="E35" s="10">
        <f t="shared" si="2"/>
        <v>1517349.8726460636</v>
      </c>
      <c r="F35" s="3"/>
      <c r="G35" s="29">
        <v>-5.8</v>
      </c>
      <c r="H35" s="10"/>
      <c r="I35" s="10">
        <f t="shared" ref="I35:I66" si="8">IF(H35&lt;&gt;"",H35,I34/(1+IF(G34="",0,G34)/100))</f>
        <v>3187.6937343690342</v>
      </c>
      <c r="J35" s="10">
        <f t="shared" si="6"/>
        <v>320970616739.36267</v>
      </c>
      <c r="K35" s="11">
        <f t="shared" si="7"/>
        <v>-1.6174300000000197E-2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99173194.290592059</v>
      </c>
      <c r="D36" s="11">
        <v>1.8099999999999998E-2</v>
      </c>
      <c r="E36" s="10">
        <f t="shared" si="2"/>
        <v>1763122.3029758483</v>
      </c>
      <c r="F36" s="3"/>
      <c r="G36" s="29">
        <v>0.3</v>
      </c>
      <c r="H36" s="10"/>
      <c r="I36" s="10">
        <f t="shared" si="8"/>
        <v>3289.6736164799117</v>
      </c>
      <c r="J36" s="10">
        <f t="shared" si="6"/>
        <v>326247440719.79694</v>
      </c>
      <c r="K36" s="11">
        <f t="shared" si="7"/>
        <v>7.0023100000000005E-2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97410071.987616211</v>
      </c>
      <c r="D37" s="11">
        <v>1.8599999999999998E-2</v>
      </c>
      <c r="E37" s="10">
        <f t="shared" si="2"/>
        <v>1778742.7242977172</v>
      </c>
      <c r="F37" s="3"/>
      <c r="G37" s="29">
        <v>-2.75</v>
      </c>
      <c r="H37" s="10"/>
      <c r="I37" s="10">
        <f t="shared" si="8"/>
        <v>3130.0414999808868</v>
      </c>
      <c r="J37" s="10">
        <f t="shared" si="6"/>
        <v>304897567837.36438</v>
      </c>
      <c r="K37" s="11">
        <f t="shared" si="7"/>
        <v>4.4574299999999845E-2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95631329.263318494</v>
      </c>
      <c r="D38" s="11">
        <v>1.9799999999999998E-2</v>
      </c>
      <c r="E38" s="10">
        <f t="shared" si="2"/>
        <v>1856736.9282346666</v>
      </c>
      <c r="F38" s="3"/>
      <c r="G38" s="29">
        <v>-3.23</v>
      </c>
      <c r="H38" s="10"/>
      <c r="I38" s="10">
        <f t="shared" si="8"/>
        <v>3052.2101413758037</v>
      </c>
      <c r="J38" s="10">
        <f t="shared" si="6"/>
        <v>291886913010.74939</v>
      </c>
      <c r="K38" s="11">
        <f t="shared" si="7"/>
        <v>2.4593060000000166E-2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93774592.335083827</v>
      </c>
      <c r="D39" s="11">
        <v>2.1100000000000001E-2</v>
      </c>
      <c r="E39" s="10">
        <f t="shared" si="2"/>
        <v>1937757.2209090739</v>
      </c>
      <c r="F39" s="3"/>
      <c r="G39" s="29">
        <v>3.2</v>
      </c>
      <c r="H39" s="10"/>
      <c r="I39" s="10">
        <f t="shared" si="8"/>
        <v>3037.9318616261608</v>
      </c>
      <c r="J39" s="10">
        <f t="shared" si="6"/>
        <v>284880821865.75549</v>
      </c>
      <c r="K39" s="11">
        <f t="shared" si="7"/>
        <v>5.3775199999999801E-2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91836835.114174753</v>
      </c>
      <c r="D40" s="11">
        <v>2.1499999999999998E-2</v>
      </c>
      <c r="E40" s="10">
        <f t="shared" si="2"/>
        <v>1932933.8766077012</v>
      </c>
      <c r="F40" s="3"/>
      <c r="G40" s="29">
        <v>6.2</v>
      </c>
      <c r="H40" s="10"/>
      <c r="I40" s="10">
        <f t="shared" si="8"/>
        <v>2943.7324240563571</v>
      </c>
      <c r="J40" s="10">
        <f t="shared" si="6"/>
        <v>270343069248.31363</v>
      </c>
      <c r="K40" s="11">
        <f t="shared" si="7"/>
        <v>8.4833000000000158E-2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89903901.237567052</v>
      </c>
      <c r="D41" s="11">
        <v>2.1499999999999998E-2</v>
      </c>
      <c r="E41" s="10">
        <f t="shared" si="2"/>
        <v>1892250.4910501242</v>
      </c>
      <c r="F41" s="3"/>
      <c r="G41" s="29">
        <v>-0.32</v>
      </c>
      <c r="H41" s="10"/>
      <c r="I41" s="10">
        <f t="shared" si="8"/>
        <v>2771.8761055144605</v>
      </c>
      <c r="J41" s="10">
        <f t="shared" si="6"/>
        <v>249202475632.94406</v>
      </c>
      <c r="K41" s="11">
        <f t="shared" si="7"/>
        <v>1.8231200000000225E-2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88011650.746516928</v>
      </c>
      <c r="D42" s="11">
        <v>2.1399999999999995E-2</v>
      </c>
      <c r="E42" s="10">
        <f t="shared" si="2"/>
        <v>1843987.9831363559</v>
      </c>
      <c r="F42" s="3"/>
      <c r="G42" s="29">
        <v>-9.19</v>
      </c>
      <c r="H42" s="10"/>
      <c r="I42" s="10">
        <f t="shared" si="8"/>
        <v>2780.7745841838487</v>
      </c>
      <c r="J42" s="10">
        <f t="shared" si="6"/>
        <v>244740561507.97974</v>
      </c>
      <c r="K42" s="11">
        <f t="shared" si="7"/>
        <v>-7.2466659999999905E-2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86167662.763380572</v>
      </c>
      <c r="D43" s="11">
        <v>2.1199999999999997E-2</v>
      </c>
      <c r="E43" s="10">
        <f t="shared" si="2"/>
        <v>1788831.2285386324</v>
      </c>
      <c r="F43" s="3"/>
      <c r="G43" s="29">
        <v>3.49</v>
      </c>
      <c r="H43" s="10"/>
      <c r="I43" s="10">
        <f t="shared" si="8"/>
        <v>3062.1898295164065</v>
      </c>
      <c r="J43" s="10">
        <f t="shared" si="6"/>
        <v>263861740547.22357</v>
      </c>
      <c r="K43" s="11">
        <f t="shared" si="7"/>
        <v>5.6839879999999843E-2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84378831.53484194</v>
      </c>
      <c r="D44" s="11">
        <v>2.1100000000000001E-2</v>
      </c>
      <c r="E44" s="10">
        <f t="shared" si="2"/>
        <v>1743603.3154295981</v>
      </c>
      <c r="F44" s="3"/>
      <c r="G44" s="29">
        <v>3.18</v>
      </c>
      <c r="H44" s="10"/>
      <c r="I44" s="10">
        <f t="shared" si="8"/>
        <v>2958.9234027600801</v>
      </c>
      <c r="J44" s="10">
        <f t="shared" si="6"/>
        <v>249670499325.99405</v>
      </c>
      <c r="K44" s="11">
        <f t="shared" si="7"/>
        <v>5.3570979999999935E-2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82635228.219412342</v>
      </c>
      <c r="D45" s="11">
        <v>2.0799999999999999E-2</v>
      </c>
      <c r="E45" s="10">
        <f t="shared" si="2"/>
        <v>1683789.9166964889</v>
      </c>
      <c r="F45" s="3"/>
      <c r="G45" s="29">
        <v>5.34</v>
      </c>
      <c r="H45" s="10"/>
      <c r="I45" s="10">
        <f t="shared" si="8"/>
        <v>2867.7296014344638</v>
      </c>
      <c r="J45" s="10">
        <f t="shared" si="6"/>
        <v>236975490086.10132</v>
      </c>
      <c r="K45" s="11">
        <f t="shared" si="7"/>
        <v>7.5310719999999831E-2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80951438.302715853</v>
      </c>
      <c r="D46" s="11">
        <v>2.0900000000000002E-2</v>
      </c>
      <c r="E46" s="10">
        <f t="shared" si="2"/>
        <v>1657248.5655076504</v>
      </c>
      <c r="F46" s="3"/>
      <c r="G46" s="29">
        <v>5</v>
      </c>
      <c r="H46" s="10"/>
      <c r="I46" s="10">
        <f t="shared" si="8"/>
        <v>2722.3558016275529</v>
      </c>
      <c r="J46" s="10">
        <f t="shared" si="6"/>
        <v>220378617713.49341</v>
      </c>
      <c r="K46" s="11">
        <f t="shared" si="7"/>
        <v>7.1945000000000148E-2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79294189.737208202</v>
      </c>
      <c r="D47" s="11">
        <v>2.1699999999999997E-2</v>
      </c>
      <c r="E47" s="10">
        <f t="shared" si="2"/>
        <v>1684138.1200914383</v>
      </c>
      <c r="F47" s="3"/>
      <c r="G47" s="29">
        <v>8.68</v>
      </c>
      <c r="H47" s="10"/>
      <c r="I47" s="10">
        <f t="shared" si="8"/>
        <v>2592.7198110738595</v>
      </c>
      <c r="J47" s="10">
        <f t="shared" si="6"/>
        <v>205587616634.70923</v>
      </c>
      <c r="K47" s="11">
        <f t="shared" si="7"/>
        <v>0.11038356000000005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77610051.617116764</v>
      </c>
      <c r="D48" s="11">
        <v>2.2699999999999998E-2</v>
      </c>
      <c r="E48" s="10">
        <f t="shared" si="2"/>
        <v>1722644.1495145708</v>
      </c>
      <c r="F48" s="3"/>
      <c r="G48" s="29">
        <v>8.08</v>
      </c>
      <c r="H48" s="10"/>
      <c r="I48" s="10">
        <f t="shared" si="8"/>
        <v>2385.6457591772723</v>
      </c>
      <c r="J48" s="10">
        <f t="shared" si="6"/>
        <v>185150090509.90381</v>
      </c>
      <c r="K48" s="11">
        <f t="shared" si="7"/>
        <v>0.10533415999999995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75887407.467602193</v>
      </c>
      <c r="D49" s="11">
        <v>2.3099999999999996E-2</v>
      </c>
      <c r="E49" s="10">
        <f t="shared" si="2"/>
        <v>1713419.1305850893</v>
      </c>
      <c r="F49" s="3"/>
      <c r="G49" s="29">
        <v>2.5099999999999998</v>
      </c>
      <c r="H49" s="10"/>
      <c r="I49" s="10">
        <f t="shared" si="8"/>
        <v>2207.2962242572839</v>
      </c>
      <c r="J49" s="10">
        <f t="shared" si="6"/>
        <v>167505987971.91232</v>
      </c>
      <c r="K49" s="11">
        <f t="shared" si="7"/>
        <v>4.8779809999999646E-2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74173988.337017104</v>
      </c>
      <c r="D50" s="11">
        <v>2.3199999999999998E-2</v>
      </c>
      <c r="E50" s="10">
        <f t="shared" si="2"/>
        <v>1681818.3438416719</v>
      </c>
      <c r="F50" s="3"/>
      <c r="G50" s="29">
        <v>4.12</v>
      </c>
      <c r="H50" s="10"/>
      <c r="I50" s="10">
        <f t="shared" si="8"/>
        <v>2153.2496578453656</v>
      </c>
      <c r="J50" s="10">
        <f t="shared" si="6"/>
        <v>159715115007.70822</v>
      </c>
      <c r="K50" s="11">
        <f t="shared" si="7"/>
        <v>6.5355840000000054E-2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72492169.993175432</v>
      </c>
      <c r="D51" s="11">
        <v>2.3199999999999998E-2</v>
      </c>
      <c r="E51" s="10">
        <f t="shared" si="2"/>
        <v>1643684.8552010208</v>
      </c>
      <c r="F51" s="3"/>
      <c r="G51" s="29">
        <v>4.51</v>
      </c>
      <c r="H51" s="10"/>
      <c r="I51" s="10">
        <f t="shared" si="8"/>
        <v>2068.0461562095329</v>
      </c>
      <c r="J51" s="10">
        <f t="shared" si="6"/>
        <v>149917153509.6745</v>
      </c>
      <c r="K51" s="11">
        <f t="shared" si="7"/>
        <v>6.9346320000000183E-2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70848485.137974411</v>
      </c>
      <c r="D52" s="11">
        <v>2.3300000000000001E-2</v>
      </c>
      <c r="E52" s="10">
        <f t="shared" si="2"/>
        <v>1613182.5502929837</v>
      </c>
      <c r="F52" s="3"/>
      <c r="G52" s="29">
        <v>8.33</v>
      </c>
      <c r="H52" s="10"/>
      <c r="I52" s="10">
        <f t="shared" si="8"/>
        <v>1978.8021779825215</v>
      </c>
      <c r="J52" s="10">
        <f t="shared" si="6"/>
        <v>140195136697.78607</v>
      </c>
      <c r="K52" s="11">
        <f t="shared" si="7"/>
        <v>0.10854089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69235302.587681428</v>
      </c>
      <c r="D53" s="11">
        <v>2.35E-2</v>
      </c>
      <c r="E53" s="10">
        <f t="shared" si="2"/>
        <v>1589672.311490491</v>
      </c>
      <c r="F53" s="3"/>
      <c r="G53" s="29">
        <v>4.55</v>
      </c>
      <c r="H53" s="10"/>
      <c r="I53" s="10">
        <f t="shared" si="8"/>
        <v>1826.6428302247962</v>
      </c>
      <c r="J53" s="10">
        <f t="shared" si="6"/>
        <v>126468169070.23256</v>
      </c>
      <c r="K53" s="11">
        <f t="shared" si="7"/>
        <v>7.0069250000000194E-2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67645630.276190937</v>
      </c>
      <c r="D54" s="11">
        <v>2.35E-2</v>
      </c>
      <c r="E54" s="10">
        <f t="shared" si="2"/>
        <v>1553172.7518226653</v>
      </c>
      <c r="F54" s="3"/>
      <c r="G54" s="29">
        <v>6.09</v>
      </c>
      <c r="H54" s="10"/>
      <c r="I54" s="10">
        <f t="shared" si="8"/>
        <v>1747.147613797031</v>
      </c>
      <c r="J54" s="10">
        <f t="shared" si="6"/>
        <v>118186901520.84319</v>
      </c>
      <c r="K54" s="11">
        <f t="shared" si="7"/>
        <v>8.5831150000000189E-2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66092457.524368271</v>
      </c>
      <c r="D55" s="11">
        <v>2.3E-2</v>
      </c>
      <c r="E55" s="10">
        <f t="shared" si="2"/>
        <v>1485949.680411011</v>
      </c>
      <c r="F55" s="3"/>
      <c r="G55" s="29">
        <v>7.45</v>
      </c>
      <c r="H55" s="10"/>
      <c r="I55" s="10">
        <f t="shared" si="8"/>
        <v>1646.854193417882</v>
      </c>
      <c r="J55" s="10">
        <f t="shared" si="6"/>
        <v>108844640827.29913</v>
      </c>
      <c r="K55" s="11">
        <f t="shared" si="7"/>
        <v>9.9213499999999843E-2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64606507.84395726</v>
      </c>
      <c r="D56" s="11">
        <v>2.2499999999999999E-2</v>
      </c>
      <c r="E56" s="10">
        <f t="shared" si="2"/>
        <v>1421659.0968107954</v>
      </c>
      <c r="F56" s="3"/>
      <c r="G56" s="29">
        <v>14.77</v>
      </c>
      <c r="H56" s="10"/>
      <c r="I56" s="10">
        <f t="shared" si="8"/>
        <v>1532.6702591138967</v>
      </c>
      <c r="J56" s="10">
        <f t="shared" si="6"/>
        <v>99020473117.641968</v>
      </c>
      <c r="K56" s="11">
        <f t="shared" si="7"/>
        <v>0.17352324999999991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63184848.747146465</v>
      </c>
      <c r="D57" s="11">
        <v>2.2199999999999998E-2</v>
      </c>
      <c r="E57" s="10">
        <f t="shared" si="2"/>
        <v>1372239.9160503373</v>
      </c>
      <c r="F57" s="3"/>
      <c r="G57" s="30">
        <v>4.17</v>
      </c>
      <c r="H57" s="10"/>
      <c r="I57" s="10">
        <f t="shared" si="8"/>
        <v>1335.4276022600825</v>
      </c>
      <c r="J57" s="10">
        <f t="shared" si="6"/>
        <v>84378791061.56778</v>
      </c>
      <c r="K57" s="11">
        <f t="shared" si="7"/>
        <v>6.4825740000000076E-2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61812608.831096128</v>
      </c>
      <c r="D58" s="11">
        <v>2.1999999999999999E-2</v>
      </c>
      <c r="E58" s="10">
        <f t="shared" si="2"/>
        <v>1330604.1039962023</v>
      </c>
      <c r="F58" s="3"/>
      <c r="G58" s="30">
        <v>3.75</v>
      </c>
      <c r="H58" s="10"/>
      <c r="I58" s="10">
        <f t="shared" si="8"/>
        <v>1281.9694751464745</v>
      </c>
      <c r="J58" s="10">
        <f t="shared" si="6"/>
        <v>79241877700.634628</v>
      </c>
      <c r="K58" s="11">
        <f t="shared" si="7"/>
        <v>6.0324999999999962E-2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60482004.727099925</v>
      </c>
      <c r="D59" s="11">
        <v>2.1999999999999999E-2</v>
      </c>
      <c r="E59" s="10">
        <f t="shared" si="2"/>
        <v>1301960.9628142864</v>
      </c>
      <c r="F59" s="3"/>
      <c r="G59" s="30">
        <v>3.74</v>
      </c>
      <c r="H59" s="10"/>
      <c r="I59" s="10">
        <f t="shared" si="8"/>
        <v>1235.6332290568428</v>
      </c>
      <c r="J59" s="10">
        <f t="shared" si="6"/>
        <v>74733574800.77771</v>
      </c>
      <c r="K59" s="11">
        <f t="shared" si="7"/>
        <v>6.0222800000000021E-2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59180043.764285639</v>
      </c>
      <c r="D60" s="11">
        <v>2.1499999999999998E-2</v>
      </c>
      <c r="E60" s="10">
        <f t="shared" si="2"/>
        <v>1245590.7400216758</v>
      </c>
      <c r="F60" s="3"/>
      <c r="G60" s="30">
        <v>3.66</v>
      </c>
      <c r="H60" s="10"/>
      <c r="I60" s="10">
        <f t="shared" si="8"/>
        <v>1191.0865905695418</v>
      </c>
      <c r="J60" s="10">
        <f t="shared" si="6"/>
        <v>70488556556.959259</v>
      </c>
      <c r="K60" s="11">
        <f t="shared" si="7"/>
        <v>5.8886899999999853E-2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57934453.024263963</v>
      </c>
      <c r="D61" s="11">
        <v>2.0999999999999998E-2</v>
      </c>
      <c r="E61" s="10">
        <f t="shared" si="2"/>
        <v>1191599.9152884781</v>
      </c>
      <c r="F61" s="3"/>
      <c r="G61" s="30">
        <v>3.68</v>
      </c>
      <c r="H61" s="10"/>
      <c r="I61" s="10">
        <f t="shared" si="8"/>
        <v>1149.0320186856472</v>
      </c>
      <c r="J61" s="10">
        <f t="shared" si="6"/>
        <v>66568541509.918823</v>
      </c>
      <c r="K61" s="11">
        <f t="shared" si="7"/>
        <v>5.8572799999999647E-2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56742853.108975485</v>
      </c>
      <c r="D62" s="11">
        <v>2.0499999999999997E-2</v>
      </c>
      <c r="E62" s="10">
        <f t="shared" si="2"/>
        <v>1139861.3314394876</v>
      </c>
      <c r="F62" s="3"/>
      <c r="G62" s="30">
        <v>3.74</v>
      </c>
      <c r="H62" s="10"/>
      <c r="I62" s="10">
        <f t="shared" si="8"/>
        <v>1108.2484748125457</v>
      </c>
      <c r="J62" s="10">
        <f t="shared" si="6"/>
        <v>62885180414.534401</v>
      </c>
      <c r="K62" s="11">
        <f t="shared" si="7"/>
        <v>5.8666700000000072E-2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55602991.777535997</v>
      </c>
      <c r="D63" s="11">
        <v>1.9999999999999997E-2</v>
      </c>
      <c r="E63" s="10">
        <f t="shared" si="2"/>
        <v>1090254.7407360002</v>
      </c>
      <c r="F63" s="3"/>
      <c r="G63" s="30">
        <v>3.68</v>
      </c>
      <c r="H63" s="10"/>
      <c r="I63" s="10">
        <f t="shared" si="8"/>
        <v>1068.2942691464677</v>
      </c>
      <c r="J63" s="10">
        <f t="shared" si="6"/>
        <v>59400357463.339874</v>
      </c>
      <c r="K63" s="11">
        <f t="shared" si="7"/>
        <v>5.7536000000000032E-2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54512737.036799997</v>
      </c>
      <c r="D64" s="11">
        <v>1.9999999999999997E-2</v>
      </c>
      <c r="E64" s="10">
        <f t="shared" si="2"/>
        <v>1068877.196800001</v>
      </c>
      <c r="F64" s="3"/>
      <c r="G64" s="30">
        <v>3.62</v>
      </c>
      <c r="H64" s="10"/>
      <c r="I64" s="10">
        <f t="shared" si="8"/>
        <v>1030.3764170008369</v>
      </c>
      <c r="J64" s="10">
        <f t="shared" si="6"/>
        <v>56168638668.886803</v>
      </c>
      <c r="K64" s="11">
        <f t="shared" si="7"/>
        <v>5.6924000000000197E-2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53443859.839999996</v>
      </c>
      <c r="D65" s="11">
        <v>1.9000000000000003E-2</v>
      </c>
      <c r="E65" s="10">
        <f t="shared" si="2"/>
        <v>996499.83999999613</v>
      </c>
      <c r="F65" s="3"/>
      <c r="G65" s="30">
        <v>3.69</v>
      </c>
      <c r="H65" s="10"/>
      <c r="I65" s="10">
        <f t="shared" si="8"/>
        <v>994.37986585682006</v>
      </c>
      <c r="J65" s="10">
        <f t="shared" si="6"/>
        <v>53143498178.569885</v>
      </c>
      <c r="K65" s="11">
        <f t="shared" si="7"/>
        <v>5.6601099999999738E-2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52447360</v>
      </c>
      <c r="D66" s="11">
        <v>1.8000000000000002E-2</v>
      </c>
      <c r="E66" s="10">
        <f t="shared" si="2"/>
        <v>927360</v>
      </c>
      <c r="F66" s="3"/>
      <c r="G66" s="30">
        <v>3.69</v>
      </c>
      <c r="H66" s="10"/>
      <c r="I66" s="10">
        <f t="shared" si="8"/>
        <v>958.9930232971551</v>
      </c>
      <c r="J66" s="10">
        <f t="shared" ref="J66:J67" si="9">IF(I66="","",I66*C66)</f>
        <v>50296652330.354279</v>
      </c>
      <c r="K66" s="11">
        <f t="shared" ref="K66" si="10">IFERROR(J66/J67-1,"")</f>
        <v>5.5564200000000064E-2</v>
      </c>
    </row>
    <row r="67" spans="1:11" ht="22.5" customHeight="1">
      <c r="A67" s="3">
        <f t="shared" si="0"/>
        <v>1950</v>
      </c>
      <c r="B67" s="3">
        <v>1700</v>
      </c>
      <c r="C67" s="10">
        <v>51520000</v>
      </c>
      <c r="D67" s="11">
        <v>1.7000000000000001E-2</v>
      </c>
      <c r="E67" s="3" t="s">
        <v>72</v>
      </c>
      <c r="F67" s="3"/>
      <c r="G67" s="30">
        <v>3.69</v>
      </c>
      <c r="H67" s="10"/>
      <c r="I67" s="10">
        <f t="shared" ref="I67" si="11">IF(H67&lt;&gt;"",H67,I66/(1+IF(G66="",0,G66)/100))</f>
        <v>924.8654868330168</v>
      </c>
      <c r="J67" s="10">
        <f t="shared" si="9"/>
        <v>47649069881.637024</v>
      </c>
      <c r="K67" s="11"/>
    </row>
  </sheetData>
  <dataValidations count="1">
    <dataValidation type="custom" allowBlank="1" showDropDown="1" sqref="D2:D67" xr:uid="{00000000-0002-0000-1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M67"/>
  <sheetViews>
    <sheetView workbookViewId="0">
      <selection activeCell="L25" sqref="L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29915462.024033483</v>
      </c>
      <c r="D2" s="11">
        <v>1.6999999999999999E-3</v>
      </c>
      <c r="E2" s="10">
        <f t="shared" ref="E2:E66" si="2">SUM(C2-C3)</f>
        <v>50769.976480841637</v>
      </c>
      <c r="F2" s="14">
        <v>29913650</v>
      </c>
      <c r="G2" s="27">
        <v>2.14</v>
      </c>
      <c r="H2" s="10"/>
      <c r="I2" s="10">
        <f>IF(H2&lt;&gt;"",H2,200000)</f>
        <v>25000</v>
      </c>
      <c r="J2" s="10">
        <f t="shared" ref="J2:J33" si="3">IF(I2="","",I2*C2)</f>
        <v>747886550600.83704</v>
      </c>
      <c r="K2" s="11">
        <f t="shared" ref="K2:K33" si="4">IFERROR(J2/J3-1,"")</f>
        <v>2.3136380000000178E-2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29864692.047552641</v>
      </c>
      <c r="D3" s="11">
        <v>8.9999999999999998E-4</v>
      </c>
      <c r="E3" s="10">
        <f t="shared" si="2"/>
        <v>26854.054194018245</v>
      </c>
      <c r="F3" s="3"/>
      <c r="G3" s="27">
        <v>3.16</v>
      </c>
      <c r="H3" s="10"/>
      <c r="I3" s="10">
        <f t="shared" ref="I3:I34" si="5">IF(H3&lt;&gt;"",H3,I2/(1+IF(G2="",0,G2)/100))</f>
        <v>24476.209124730758</v>
      </c>
      <c r="J3" s="10">
        <f t="shared" si="3"/>
        <v>730974448001.58203</v>
      </c>
      <c r="K3" s="11">
        <f t="shared" si="4"/>
        <v>3.2528439999999881E-2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29837837.993358623</v>
      </c>
      <c r="D4" s="11">
        <v>2.7000000000000001E-3</v>
      </c>
      <c r="E4" s="10">
        <f t="shared" si="2"/>
        <v>80345.230459824204</v>
      </c>
      <c r="F4" s="3"/>
      <c r="G4" s="27">
        <v>-1.72</v>
      </c>
      <c r="H4" s="10"/>
      <c r="I4" s="10">
        <f t="shared" si="5"/>
        <v>23726.45320350015</v>
      </c>
      <c r="J4" s="10">
        <f t="shared" si="3"/>
        <v>707946066843.04224</v>
      </c>
      <c r="K4" s="11">
        <f t="shared" si="4"/>
        <v>-1.454644000000016E-2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29757492.762898799</v>
      </c>
      <c r="D5" s="11">
        <v>1.9E-3</v>
      </c>
      <c r="E5" s="10">
        <f t="shared" si="2"/>
        <v>56432.015420209616</v>
      </c>
      <c r="F5" s="3"/>
      <c r="G5" s="27">
        <v>1.53</v>
      </c>
      <c r="H5" s="10"/>
      <c r="I5" s="10">
        <f t="shared" si="5"/>
        <v>24141.69027625168</v>
      </c>
      <c r="J5" s="10">
        <f t="shared" si="3"/>
        <v>718396173679.70374</v>
      </c>
      <c r="K5" s="11">
        <f t="shared" si="4"/>
        <v>1.722907000000018E-2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29701060.747478589</v>
      </c>
      <c r="D6" s="11">
        <v>1.1999999999999999E-3</v>
      </c>
      <c r="E6" s="10">
        <f t="shared" si="2"/>
        <v>35598.55463141948</v>
      </c>
      <c r="F6" s="3"/>
      <c r="G6" s="27">
        <v>0.85</v>
      </c>
      <c r="H6" s="10"/>
      <c r="I6" s="10">
        <f t="shared" si="5"/>
        <v>23777.888580962946</v>
      </c>
      <c r="J6" s="10">
        <f t="shared" si="3"/>
        <v>706228513189.95789</v>
      </c>
      <c r="K6" s="11">
        <f t="shared" si="4"/>
        <v>9.7102000000000022E-3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29665462.19284717</v>
      </c>
      <c r="D7" s="11">
        <v>-1.5E-3</v>
      </c>
      <c r="E7" s="10">
        <f t="shared" si="2"/>
        <v>-44565.040850546211</v>
      </c>
      <c r="F7" s="3"/>
      <c r="G7" s="27">
        <v>2.2599999999999998</v>
      </c>
      <c r="H7" s="10"/>
      <c r="I7" s="10">
        <f t="shared" si="5"/>
        <v>23577.480000954831</v>
      </c>
      <c r="J7" s="10">
        <f t="shared" si="3"/>
        <v>699436841570.93579</v>
      </c>
      <c r="K7" s="11">
        <f t="shared" si="4"/>
        <v>2.1066099999999865E-2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29710027.233697716</v>
      </c>
      <c r="D8" s="11">
        <v>-2.5000000000000001E-3</v>
      </c>
      <c r="E8" s="10">
        <f t="shared" si="2"/>
        <v>-74461.221137084067</v>
      </c>
      <c r="F8" s="3"/>
      <c r="G8" s="27">
        <v>3.2</v>
      </c>
      <c r="H8" s="10"/>
      <c r="I8" s="10">
        <f t="shared" si="5"/>
        <v>23056.405242474899</v>
      </c>
      <c r="J8" s="10">
        <f t="shared" si="3"/>
        <v>685006427665.1001</v>
      </c>
      <c r="K8" s="11">
        <f t="shared" si="4"/>
        <v>2.9420000000000224E-2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29784488.4548348</v>
      </c>
      <c r="D9" s="11">
        <v>-1.9E-3</v>
      </c>
      <c r="E9" s="10">
        <f t="shared" si="2"/>
        <v>-56698.254748206586</v>
      </c>
      <c r="F9" s="3"/>
      <c r="G9" s="27">
        <v>2.2000000000000002</v>
      </c>
      <c r="H9" s="10"/>
      <c r="I9" s="10">
        <f t="shared" si="5"/>
        <v>22341.47794813459</v>
      </c>
      <c r="J9" s="10">
        <f t="shared" si="3"/>
        <v>665429492010.16101</v>
      </c>
      <c r="K9" s="11">
        <f t="shared" si="4"/>
        <v>2.0058200000000026E-2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29841186.709583007</v>
      </c>
      <c r="D10" s="11">
        <v>-1.2999999999999999E-3</v>
      </c>
      <c r="E10" s="10">
        <f t="shared" si="2"/>
        <v>-38844.039974424988</v>
      </c>
      <c r="F10" s="3"/>
      <c r="G10" s="27">
        <v>2.93</v>
      </c>
      <c r="H10" s="10"/>
      <c r="I10" s="10">
        <f t="shared" si="5"/>
        <v>21860.545937509385</v>
      </c>
      <c r="J10" s="10">
        <f t="shared" si="3"/>
        <v>652344632894.63391</v>
      </c>
      <c r="K10" s="11">
        <f t="shared" si="4"/>
        <v>2.7961910000000145E-2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29880030.749557432</v>
      </c>
      <c r="D11" s="11">
        <v>-1.1000000000000001E-3</v>
      </c>
      <c r="E11" s="10">
        <f t="shared" si="2"/>
        <v>-32904.228475835174</v>
      </c>
      <c r="F11" s="3"/>
      <c r="G11" s="27">
        <v>2.19</v>
      </c>
      <c r="H11" s="10"/>
      <c r="I11" s="10">
        <f t="shared" si="5"/>
        <v>21238.264779470886</v>
      </c>
      <c r="J11" s="10">
        <f t="shared" si="3"/>
        <v>634600004677.83264</v>
      </c>
      <c r="K11" s="11">
        <f t="shared" si="4"/>
        <v>2.0775910000000009E-2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29912934.978033267</v>
      </c>
      <c r="D12" s="11">
        <v>-5.9999999999999995E-4</v>
      </c>
      <c r="E12" s="10">
        <f t="shared" si="2"/>
        <v>-17958.536108486354</v>
      </c>
      <c r="F12" s="3"/>
      <c r="G12" s="27">
        <v>2.79</v>
      </c>
      <c r="H12" s="10"/>
      <c r="I12" s="10">
        <f t="shared" si="5"/>
        <v>20783.114570379574</v>
      </c>
      <c r="J12" s="10">
        <f t="shared" si="3"/>
        <v>621683954784.78003</v>
      </c>
      <c r="K12" s="11">
        <f t="shared" si="4"/>
        <v>2.7283260000000142E-2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29930893.514141753</v>
      </c>
      <c r="D13" s="11">
        <v>-2.0000000000000001E-4</v>
      </c>
      <c r="E13" s="10">
        <f t="shared" si="2"/>
        <v>-5987.3761780634522</v>
      </c>
      <c r="F13" s="3"/>
      <c r="G13" s="27">
        <v>2.33</v>
      </c>
      <c r="H13" s="10"/>
      <c r="I13" s="10">
        <f t="shared" si="5"/>
        <v>20219.004349041319</v>
      </c>
      <c r="J13" s="10">
        <f t="shared" si="3"/>
        <v>605172866133.12476</v>
      </c>
      <c r="K13" s="11">
        <f t="shared" si="4"/>
        <v>2.3095340000000242E-2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29936880.890319817</v>
      </c>
      <c r="D14" s="11">
        <v>5.9999999999999995E-4</v>
      </c>
      <c r="E14" s="10">
        <f t="shared" si="2"/>
        <v>17951.357719559222</v>
      </c>
      <c r="F14" s="3"/>
      <c r="G14" s="27">
        <v>3.22</v>
      </c>
      <c r="H14" s="10"/>
      <c r="I14" s="10">
        <f t="shared" si="5"/>
        <v>19758.628309431562</v>
      </c>
      <c r="J14" s="10">
        <f t="shared" si="3"/>
        <v>591511702255.55383</v>
      </c>
      <c r="K14" s="11">
        <f t="shared" si="4"/>
        <v>3.2819319999999763E-2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29918929.532600258</v>
      </c>
      <c r="D15" s="11">
        <v>1.6999999999999999E-3</v>
      </c>
      <c r="E15" s="10">
        <f t="shared" si="2"/>
        <v>50775.861241310835</v>
      </c>
      <c r="F15" s="3"/>
      <c r="G15" s="27">
        <v>1.71</v>
      </c>
      <c r="H15" s="10"/>
      <c r="I15" s="10">
        <f t="shared" si="5"/>
        <v>19142.247926207674</v>
      </c>
      <c r="J15" s="10">
        <f t="shared" si="3"/>
        <v>572715566799.77087</v>
      </c>
      <c r="K15" s="11">
        <f t="shared" si="4"/>
        <v>1.8829069999999781E-2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29868153.671358947</v>
      </c>
      <c r="D16" s="11">
        <v>1.6999999999999999E-3</v>
      </c>
      <c r="E16" s="10">
        <f t="shared" si="2"/>
        <v>50689.688770402223</v>
      </c>
      <c r="F16" s="3"/>
      <c r="G16" s="27">
        <v>2.39</v>
      </c>
      <c r="H16" s="10"/>
      <c r="I16" s="10">
        <f t="shared" si="5"/>
        <v>18820.418765320694</v>
      </c>
      <c r="J16" s="10">
        <f t="shared" si="3"/>
        <v>562131159841.92615</v>
      </c>
      <c r="K16" s="11">
        <f t="shared" si="4"/>
        <v>2.5640630000000275E-2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29817463.982588544</v>
      </c>
      <c r="D17" s="11">
        <v>1.4E-3</v>
      </c>
      <c r="E17" s="10">
        <f t="shared" si="2"/>
        <v>41686.08905095607</v>
      </c>
      <c r="F17" s="3"/>
      <c r="G17" s="27">
        <v>1.52</v>
      </c>
      <c r="H17" s="10"/>
      <c r="I17" s="10">
        <f t="shared" si="5"/>
        <v>18381.110230804465</v>
      </c>
      <c r="J17" s="10">
        <f t="shared" si="3"/>
        <v>548078092267.00195</v>
      </c>
      <c r="K17" s="11">
        <f t="shared" si="4"/>
        <v>1.6621280000000294E-2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29775777.893537588</v>
      </c>
      <c r="D18" s="11">
        <v>5.9999999999999995E-4</v>
      </c>
      <c r="E18" s="10">
        <f t="shared" si="2"/>
        <v>17854.753883790225</v>
      </c>
      <c r="F18" s="3"/>
      <c r="G18" s="27">
        <v>2.94</v>
      </c>
      <c r="H18" s="10"/>
      <c r="I18" s="10">
        <f t="shared" si="5"/>
        <v>18105.900542557589</v>
      </c>
      <c r="J18" s="10">
        <f t="shared" si="3"/>
        <v>539117273117.67645</v>
      </c>
      <c r="K18" s="11">
        <f t="shared" si="4"/>
        <v>3.0017639999999846E-2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29757923.139653798</v>
      </c>
      <c r="D19" s="11">
        <v>2.0000000000000001E-4</v>
      </c>
      <c r="E19" s="10">
        <f t="shared" si="2"/>
        <v>5950.3945490196347</v>
      </c>
      <c r="F19" s="3"/>
      <c r="G19" s="27">
        <v>3.25</v>
      </c>
      <c r="H19" s="10"/>
      <c r="I19" s="10">
        <f t="shared" si="5"/>
        <v>17588.790113228664</v>
      </c>
      <c r="J19" s="10">
        <f t="shared" si="3"/>
        <v>523405864308.96124</v>
      </c>
      <c r="K19" s="11">
        <f t="shared" si="4"/>
        <v>3.2706499999999972E-2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29751972.745104779</v>
      </c>
      <c r="D20" s="11">
        <v>1.5E-3</v>
      </c>
      <c r="E20" s="10">
        <f t="shared" si="2"/>
        <v>44561.117441497743</v>
      </c>
      <c r="F20" s="3"/>
      <c r="G20" s="27">
        <v>1.88</v>
      </c>
      <c r="H20" s="10"/>
      <c r="I20" s="10">
        <f t="shared" si="5"/>
        <v>17035.147809422437</v>
      </c>
      <c r="J20" s="10">
        <f t="shared" si="3"/>
        <v>506829253334.7677</v>
      </c>
      <c r="K20" s="11">
        <f t="shared" si="4"/>
        <v>2.0328200000000018E-2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29707411.627663281</v>
      </c>
      <c r="D21" s="11">
        <v>1.1999999999999999E-3</v>
      </c>
      <c r="E21" s="10">
        <f t="shared" si="2"/>
        <v>35606.166553333402</v>
      </c>
      <c r="F21" s="3"/>
      <c r="G21" s="27">
        <v>2.61</v>
      </c>
      <c r="H21" s="10"/>
      <c r="I21" s="10">
        <f t="shared" si="5"/>
        <v>16720.79682903655</v>
      </c>
      <c r="J21" s="10">
        <f t="shared" si="3"/>
        <v>496731594142.7157</v>
      </c>
      <c r="K21" s="11">
        <f t="shared" si="4"/>
        <v>2.7331320000000048E-2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29671805.461109947</v>
      </c>
      <c r="D22" s="11">
        <v>5.0000000000000001E-4</v>
      </c>
      <c r="E22" s="10">
        <f t="shared" si="2"/>
        <v>14828.488486308604</v>
      </c>
      <c r="F22" s="3"/>
      <c r="G22" s="27">
        <v>3.53</v>
      </c>
      <c r="H22" s="10"/>
      <c r="I22" s="10">
        <f t="shared" si="5"/>
        <v>16295.48467891682</v>
      </c>
      <c r="J22" s="10">
        <f t="shared" si="3"/>
        <v>483516451287.31757</v>
      </c>
      <c r="K22" s="11">
        <f t="shared" si="4"/>
        <v>3.581764999999959E-2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29656976.972623639</v>
      </c>
      <c r="D23" s="11">
        <v>-1.9E-3</v>
      </c>
      <c r="E23" s="10">
        <f t="shared" si="2"/>
        <v>-56455.521739289165</v>
      </c>
      <c r="F23" s="3"/>
      <c r="G23" s="27">
        <v>4.95</v>
      </c>
      <c r="H23" s="10"/>
      <c r="I23" s="10">
        <f t="shared" si="5"/>
        <v>15739.867361071016</v>
      </c>
      <c r="J23" s="10">
        <f t="shared" si="3"/>
        <v>466796883879.43353</v>
      </c>
      <c r="K23" s="11">
        <f t="shared" si="4"/>
        <v>4.750595000000013E-2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29713432.494362928</v>
      </c>
      <c r="D24" s="11">
        <v>-3.2000000000000002E-3</v>
      </c>
      <c r="E24" s="10">
        <f t="shared" si="2"/>
        <v>-95388.226306140423</v>
      </c>
      <c r="F24" s="3"/>
      <c r="G24" s="27">
        <v>3.49</v>
      </c>
      <c r="H24" s="10"/>
      <c r="I24" s="10">
        <f t="shared" si="5"/>
        <v>14997.491530320165</v>
      </c>
      <c r="J24" s="10">
        <f t="shared" si="3"/>
        <v>445626952170.948</v>
      </c>
      <c r="K24" s="11">
        <f t="shared" si="4"/>
        <v>3.1588320000000003E-2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29808820.720669068</v>
      </c>
      <c r="D25" s="11">
        <v>-1.6999999999999999E-3</v>
      </c>
      <c r="E25" s="10">
        <f t="shared" si="2"/>
        <v>-50761.289417147636</v>
      </c>
      <c r="F25" s="3"/>
      <c r="G25" s="27">
        <v>1.29</v>
      </c>
      <c r="H25" s="10"/>
      <c r="I25" s="10">
        <f t="shared" si="5"/>
        <v>14491.73014814974</v>
      </c>
      <c r="J25" s="10">
        <f t="shared" si="3"/>
        <v>431981385918.51062</v>
      </c>
      <c r="K25" s="11">
        <f t="shared" si="4"/>
        <v>1.1178069999999929E-2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29859582.010086216</v>
      </c>
      <c r="D26" s="11">
        <v>-1.5E-3</v>
      </c>
      <c r="E26" s="10">
        <f t="shared" si="2"/>
        <v>-44856.658002130687</v>
      </c>
      <c r="F26" s="3"/>
      <c r="G26" s="27">
        <v>-1.29</v>
      </c>
      <c r="H26" s="10"/>
      <c r="I26" s="10">
        <f t="shared" si="5"/>
        <v>14307.167685013072</v>
      </c>
      <c r="J26" s="10">
        <f t="shared" si="3"/>
        <v>427206046822.70319</v>
      </c>
      <c r="K26" s="11">
        <f t="shared" si="4"/>
        <v>-1.4380649999999884E-2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29904438.668088347</v>
      </c>
      <c r="D27" s="11">
        <v>-2.9999999999999997E-4</v>
      </c>
      <c r="E27" s="10">
        <f t="shared" si="2"/>
        <v>-8974.023807566613</v>
      </c>
      <c r="F27" s="3"/>
      <c r="G27" s="27">
        <v>-8.1999999999999993</v>
      </c>
      <c r="H27" s="10"/>
      <c r="I27" s="10">
        <f t="shared" si="5"/>
        <v>14494.142118339654</v>
      </c>
      <c r="J27" s="10">
        <f t="shared" si="3"/>
        <v>433439184024.44427</v>
      </c>
      <c r="K27" s="11">
        <f t="shared" si="4"/>
        <v>-8.2275399999999888E-2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29913412.691895913</v>
      </c>
      <c r="D28" s="11">
        <v>5.0000000000000001E-4</v>
      </c>
      <c r="E28" s="10">
        <f t="shared" si="2"/>
        <v>14949.231730081141</v>
      </c>
      <c r="F28" s="3"/>
      <c r="G28" s="27">
        <v>2.2799999999999998</v>
      </c>
      <c r="H28" s="10"/>
      <c r="I28" s="10">
        <f t="shared" si="5"/>
        <v>15788.8258369713</v>
      </c>
      <c r="J28" s="10">
        <f t="shared" si="3"/>
        <v>472297663181.79138</v>
      </c>
      <c r="K28" s="11">
        <f t="shared" si="4"/>
        <v>2.3311399999999871E-2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29898463.460165832</v>
      </c>
      <c r="D29" s="11">
        <v>-2.2000000000000001E-3</v>
      </c>
      <c r="E29" s="10">
        <f t="shared" si="2"/>
        <v>-65921.647236283869</v>
      </c>
      <c r="F29" s="3"/>
      <c r="G29" s="27">
        <v>5.03</v>
      </c>
      <c r="H29" s="10"/>
      <c r="I29" s="10">
        <f t="shared" si="5"/>
        <v>15436.86530795004</v>
      </c>
      <c r="J29" s="10">
        <f t="shared" si="3"/>
        <v>461538553349.24585</v>
      </c>
      <c r="K29" s="11">
        <f t="shared" si="4"/>
        <v>4.7989339999999991E-2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29964385.107402116</v>
      </c>
      <c r="D30" s="12">
        <v>1.5E-3</v>
      </c>
      <c r="E30" s="10">
        <f t="shared" si="2"/>
        <v>44879.258772946894</v>
      </c>
      <c r="F30" s="3"/>
      <c r="G30" s="27">
        <v>4.5599999999999996</v>
      </c>
      <c r="H30" s="10"/>
      <c r="I30" s="10">
        <f t="shared" si="5"/>
        <v>14697.577175997372</v>
      </c>
      <c r="J30" s="10">
        <f t="shared" si="3"/>
        <v>440403862647.34894</v>
      </c>
      <c r="K30" s="11">
        <f t="shared" si="4"/>
        <v>4.716840000000011E-2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29919505.848629169</v>
      </c>
      <c r="D31" s="13">
        <v>5.0000000000000001E-4</v>
      </c>
      <c r="E31" s="10">
        <f t="shared" si="2"/>
        <v>14952.276785921305</v>
      </c>
      <c r="F31" s="3"/>
      <c r="G31" s="27">
        <v>4.01</v>
      </c>
      <c r="H31" s="10"/>
      <c r="I31" s="10">
        <f t="shared" si="5"/>
        <v>14056.596381022735</v>
      </c>
      <c r="J31" s="10">
        <f t="shared" si="3"/>
        <v>420566417633.82935</v>
      </c>
      <c r="K31" s="11">
        <f t="shared" si="4"/>
        <v>4.0620050000000019E-2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29904553.571843248</v>
      </c>
      <c r="D32" s="12">
        <v>-2.2000000000000001E-3</v>
      </c>
      <c r="E32" s="10">
        <f t="shared" si="2"/>
        <v>-65935.075023107231</v>
      </c>
      <c r="F32" s="3"/>
      <c r="G32" s="27">
        <v>3.6</v>
      </c>
      <c r="H32" s="10"/>
      <c r="I32" s="10">
        <f t="shared" si="5"/>
        <v>13514.658572274526</v>
      </c>
      <c r="J32" s="10">
        <f t="shared" si="3"/>
        <v>404149831279.75415</v>
      </c>
      <c r="K32" s="11">
        <f t="shared" si="4"/>
        <v>3.3720799999999995E-2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29970488.646866355</v>
      </c>
      <c r="D33" s="13">
        <v>-3.5000000000000001E-3</v>
      </c>
      <c r="E33" s="10">
        <f t="shared" si="2"/>
        <v>-105265.13824789971</v>
      </c>
      <c r="F33" s="3"/>
      <c r="G33" s="27">
        <v>2.67</v>
      </c>
      <c r="H33" s="10"/>
      <c r="I33" s="10">
        <f t="shared" si="5"/>
        <v>13045.037231925218</v>
      </c>
      <c r="J33" s="10">
        <f t="shared" si="3"/>
        <v>390966140257.36365</v>
      </c>
      <c r="K33" s="11">
        <f t="shared" si="4"/>
        <v>2.3106549999999837E-2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30075753.785114255</v>
      </c>
      <c r="D34" s="12">
        <v>-2.5999999999999999E-3</v>
      </c>
      <c r="E34" s="10">
        <f t="shared" si="2"/>
        <v>-78400.80192630738</v>
      </c>
      <c r="F34" s="3"/>
      <c r="G34" s="27">
        <v>2.32</v>
      </c>
      <c r="H34" s="10"/>
      <c r="I34" s="10">
        <f t="shared" si="5"/>
        <v>12705.792570298256</v>
      </c>
      <c r="J34" s="10">
        <f t="shared" ref="J34:J65" si="6">IF(I34="","",I34*C34)</f>
        <v>382136288989.02435</v>
      </c>
      <c r="K34" s="11">
        <f t="shared" ref="K34:K65" si="7">IFERROR(J34/J35-1,"")</f>
        <v>3.3505880000000099E-2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30154154.587040562</v>
      </c>
      <c r="D35" s="11">
        <v>-1E-3</v>
      </c>
      <c r="E35" s="10">
        <f t="shared" si="2"/>
        <v>-30184.33892596513</v>
      </c>
      <c r="F35" s="3"/>
      <c r="G35" s="27">
        <v>-0.61</v>
      </c>
      <c r="H35" s="10"/>
      <c r="I35" s="10">
        <f t="shared" ref="I35:I66" si="8">IF(H35&lt;&gt;"",H35,I34/(1+IF(G34="",0,G34)/100))</f>
        <v>12261.911378400169</v>
      </c>
      <c r="J35" s="10">
        <f t="shared" si="6"/>
        <v>369747571236.8703</v>
      </c>
      <c r="K35" s="11">
        <f t="shared" si="7"/>
        <v>1.9879099999999816E-2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30184338.925966527</v>
      </c>
      <c r="D36" s="11">
        <v>1.5E-3</v>
      </c>
      <c r="E36" s="10">
        <f t="shared" si="2"/>
        <v>45208.695345930755</v>
      </c>
      <c r="F36" s="3"/>
      <c r="G36" s="27">
        <v>-2.48</v>
      </c>
      <c r="H36" s="10"/>
      <c r="I36" s="10">
        <f t="shared" si="8"/>
        <v>12010.883904790058</v>
      </c>
      <c r="J36" s="10">
        <f t="shared" si="6"/>
        <v>362540590582.61938</v>
      </c>
      <c r="K36" s="11">
        <f t="shared" si="7"/>
        <v>2.4734800000000057E-2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30139130.230620597</v>
      </c>
      <c r="D37" s="11">
        <v>2.0999999999999999E-3</v>
      </c>
      <c r="E37" s="10">
        <f t="shared" si="2"/>
        <v>63159.538453549147</v>
      </c>
      <c r="F37" s="3"/>
      <c r="G37" s="27">
        <v>-4</v>
      </c>
      <c r="H37" s="10"/>
      <c r="I37" s="10">
        <f t="shared" si="8"/>
        <v>11738.549555111471</v>
      </c>
      <c r="J37" s="10">
        <f t="shared" si="6"/>
        <v>353789673760.09808</v>
      </c>
      <c r="K37" s="11">
        <f t="shared" si="7"/>
        <v>1.5127299999999844E-2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30075970.692167047</v>
      </c>
      <c r="D38" s="11">
        <v>4.0000000000000002E-4</v>
      </c>
      <c r="E38" s="10">
        <f t="shared" si="2"/>
        <v>12025.578045647591</v>
      </c>
      <c r="F38" s="3"/>
      <c r="G38" s="27">
        <v>-5.88</v>
      </c>
      <c r="H38" s="10"/>
      <c r="I38" s="10">
        <f t="shared" si="8"/>
        <v>11587.906767138669</v>
      </c>
      <c r="J38" s="10">
        <f t="shared" si="6"/>
        <v>348517544312.02679</v>
      </c>
      <c r="K38" s="11">
        <f t="shared" si="7"/>
        <v>-2.1408720000000159E-2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30063945.1141214</v>
      </c>
      <c r="D39" s="11">
        <v>-8.9999999999999998E-4</v>
      </c>
      <c r="E39" s="10">
        <f t="shared" si="2"/>
        <v>-27081.924334611744</v>
      </c>
      <c r="F39" s="3"/>
      <c r="G39" s="27">
        <v>3.4</v>
      </c>
      <c r="H39" s="10"/>
      <c r="I39" s="10">
        <f t="shared" si="8"/>
        <v>11846.152900366664</v>
      </c>
      <c r="J39" s="10">
        <f t="shared" si="6"/>
        <v>356142090610.1134</v>
      </c>
      <c r="K39" s="11">
        <f t="shared" si="7"/>
        <v>3.3069399999999805E-2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30091027.038456012</v>
      </c>
      <c r="D40" s="11">
        <v>-2.3E-3</v>
      </c>
      <c r="E40" s="10">
        <f t="shared" si="2"/>
        <v>-69368.910683017224</v>
      </c>
      <c r="F40" s="3"/>
      <c r="G40" s="27">
        <v>1</v>
      </c>
      <c r="H40" s="10"/>
      <c r="I40" s="10">
        <f t="shared" si="8"/>
        <v>11456.627563217276</v>
      </c>
      <c r="J40" s="10">
        <f t="shared" si="6"/>
        <v>344741689774.2915</v>
      </c>
      <c r="K40" s="11">
        <f t="shared" si="7"/>
        <v>7.6770000000001559E-3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30160395.949139029</v>
      </c>
      <c r="D41" s="11">
        <v>-4.3E-3</v>
      </c>
      <c r="E41" s="10">
        <f t="shared" si="2"/>
        <v>-130249.77662076801</v>
      </c>
      <c r="F41" s="3"/>
      <c r="G41" s="27">
        <v>-6.2</v>
      </c>
      <c r="H41" s="10"/>
      <c r="I41" s="10">
        <f t="shared" si="8"/>
        <v>11343.195607145819</v>
      </c>
      <c r="J41" s="10">
        <f t="shared" si="6"/>
        <v>342115270840.05237</v>
      </c>
      <c r="K41" s="11">
        <f t="shared" si="7"/>
        <v>-6.6033400000000131E-2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30290645.725759797</v>
      </c>
      <c r="D42" s="11">
        <v>-3.7000000000000002E-3</v>
      </c>
      <c r="E42" s="10">
        <f t="shared" si="2"/>
        <v>-112491.60813541338</v>
      </c>
      <c r="F42" s="3"/>
      <c r="G42" s="27">
        <v>-5.3</v>
      </c>
      <c r="H42" s="10"/>
      <c r="I42" s="10">
        <f t="shared" si="8"/>
        <v>12092.959069451834</v>
      </c>
      <c r="J42" s="10">
        <f t="shared" si="6"/>
        <v>366303538948.87933</v>
      </c>
      <c r="K42" s="11">
        <f t="shared" si="7"/>
        <v>-5.6503900000000162E-2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30403137.33389521</v>
      </c>
      <c r="D43" s="11">
        <v>4.0000000000000002E-4</v>
      </c>
      <c r="E43" s="10">
        <f t="shared" si="2"/>
        <v>12156.392376605421</v>
      </c>
      <c r="F43" s="3"/>
      <c r="G43" s="27">
        <v>4.3</v>
      </c>
      <c r="H43" s="10"/>
      <c r="I43" s="10">
        <f t="shared" si="8"/>
        <v>12769.756145144493</v>
      </c>
      <c r="J43" s="10">
        <f t="shared" si="6"/>
        <v>388240649801.1803</v>
      </c>
      <c r="K43" s="11">
        <f t="shared" si="7"/>
        <v>4.3417199999999934E-2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30390980.941518605</v>
      </c>
      <c r="D44" s="11">
        <v>3.0999999999999999E-3</v>
      </c>
      <c r="E44" s="10">
        <f t="shared" si="2"/>
        <v>93920.886171579361</v>
      </c>
      <c r="F44" s="3"/>
      <c r="G44" s="27">
        <v>7.31</v>
      </c>
      <c r="H44" s="10"/>
      <c r="I44" s="10">
        <f t="shared" si="8"/>
        <v>12243.294482401239</v>
      </c>
      <c r="J44" s="10">
        <f t="shared" si="6"/>
        <v>372085729276.05597</v>
      </c>
      <c r="K44" s="11">
        <f t="shared" si="7"/>
        <v>7.6426610000000172E-2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30297060.055347025</v>
      </c>
      <c r="D45" s="11">
        <v>1.8E-3</v>
      </c>
      <c r="E45" s="10">
        <f t="shared" si="2"/>
        <v>54436.722000025213</v>
      </c>
      <c r="F45" s="3"/>
      <c r="G45" s="27">
        <v>3.63</v>
      </c>
      <c r="H45" s="10"/>
      <c r="I45" s="10">
        <f t="shared" si="8"/>
        <v>11409.276379089777</v>
      </c>
      <c r="J45" s="10">
        <f t="shared" si="6"/>
        <v>345667531645.33521</v>
      </c>
      <c r="K45" s="11">
        <f t="shared" si="7"/>
        <v>3.8165339999999937E-2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30242623.333347</v>
      </c>
      <c r="D46" s="11">
        <v>1.8E-3</v>
      </c>
      <c r="E46" s="10">
        <f t="shared" si="2"/>
        <v>54338.911958500743</v>
      </c>
      <c r="F46" s="3"/>
      <c r="G46" s="27">
        <v>2</v>
      </c>
      <c r="H46" s="10"/>
      <c r="I46" s="10">
        <f t="shared" si="8"/>
        <v>11009.626921827441</v>
      </c>
      <c r="J46" s="10">
        <f t="shared" si="6"/>
        <v>332960000037.50391</v>
      </c>
      <c r="K46" s="11">
        <f t="shared" si="7"/>
        <v>2.1836000000000189E-2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30188284.421388499</v>
      </c>
      <c r="D47" s="11">
        <v>2.2000000000000001E-3</v>
      </c>
      <c r="E47" s="10">
        <f t="shared" si="2"/>
        <v>66268.435169681907</v>
      </c>
      <c r="F47" s="3"/>
      <c r="G47" s="27">
        <v>2.71</v>
      </c>
      <c r="H47" s="10"/>
      <c r="I47" s="10">
        <f t="shared" si="8"/>
        <v>10793.751884144549</v>
      </c>
      <c r="J47" s="10">
        <f t="shared" si="6"/>
        <v>325844851852.45367</v>
      </c>
      <c r="K47" s="11">
        <f t="shared" si="7"/>
        <v>2.935961999999992E-2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30122015.986218818</v>
      </c>
      <c r="D48" s="11">
        <v>3.2000000000000002E-3</v>
      </c>
      <c r="E48" s="10">
        <f t="shared" si="2"/>
        <v>96082.985601976514</v>
      </c>
      <c r="F48" s="3"/>
      <c r="G48" s="27">
        <v>1.94</v>
      </c>
      <c r="H48" s="10"/>
      <c r="I48" s="10">
        <f t="shared" si="8"/>
        <v>10508.959092731526</v>
      </c>
      <c r="J48" s="10">
        <f t="shared" si="6"/>
        <v>316551033789.77863</v>
      </c>
      <c r="K48" s="11">
        <f t="shared" si="7"/>
        <v>2.266208000000014E-2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30025933.000616841</v>
      </c>
      <c r="D49" s="11">
        <v>3.5999999999999999E-3</v>
      </c>
      <c r="E49" s="10">
        <f t="shared" si="2"/>
        <v>107705.61857534945</v>
      </c>
      <c r="F49" s="3"/>
      <c r="G49" s="27">
        <v>5.47</v>
      </c>
      <c r="H49" s="10"/>
      <c r="I49" s="10">
        <f t="shared" si="8"/>
        <v>10308.965168463335</v>
      </c>
      <c r="J49" s="10">
        <f t="shared" si="6"/>
        <v>309536297453.97284</v>
      </c>
      <c r="K49" s="11">
        <f t="shared" si="7"/>
        <v>5.8496920000000063E-2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29918227.382041492</v>
      </c>
      <c r="D50" s="11">
        <v>3.8E-3</v>
      </c>
      <c r="E50" s="10">
        <f t="shared" si="2"/>
        <v>113258.88030659407</v>
      </c>
      <c r="F50" s="3"/>
      <c r="G50" s="27">
        <v>2.78</v>
      </c>
      <c r="H50" s="10"/>
      <c r="I50" s="10">
        <f t="shared" si="8"/>
        <v>9774.3103901235754</v>
      </c>
      <c r="J50" s="10">
        <f t="shared" si="6"/>
        <v>292430040754.3678</v>
      </c>
      <c r="K50" s="11">
        <f t="shared" si="7"/>
        <v>3.1705640000000201E-2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29804968.501734897</v>
      </c>
      <c r="D51" s="11">
        <v>4.0000000000000001E-3</v>
      </c>
      <c r="E51" s="10">
        <f t="shared" si="2"/>
        <v>118744.89442922175</v>
      </c>
      <c r="F51" s="3"/>
      <c r="G51" s="27">
        <v>1.57</v>
      </c>
      <c r="H51" s="10"/>
      <c r="I51" s="10">
        <f t="shared" si="8"/>
        <v>9509.9342188398277</v>
      </c>
      <c r="J51" s="10">
        <f t="shared" si="6"/>
        <v>283443289846.09192</v>
      </c>
      <c r="K51" s="11">
        <f t="shared" si="7"/>
        <v>1.976280000000008E-2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29686223.607305676</v>
      </c>
      <c r="D52" s="11">
        <v>4.4000000000000003E-3</v>
      </c>
      <c r="E52" s="10">
        <f t="shared" si="2"/>
        <v>130047.17629643902</v>
      </c>
      <c r="F52" s="3"/>
      <c r="G52" s="27">
        <v>2.13</v>
      </c>
      <c r="H52" s="10"/>
      <c r="I52" s="10">
        <f t="shared" si="8"/>
        <v>9362.9361217286878</v>
      </c>
      <c r="J52" s="10">
        <f t="shared" si="6"/>
        <v>277950215330.55719</v>
      </c>
      <c r="K52" s="11">
        <f t="shared" si="7"/>
        <v>2.579372000000002E-2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29556176.431009237</v>
      </c>
      <c r="D53" s="11">
        <v>4.5999999999999999E-3</v>
      </c>
      <c r="E53" s="10">
        <f t="shared" si="2"/>
        <v>135335.86659629643</v>
      </c>
      <c r="F53" s="3"/>
      <c r="G53" s="27">
        <v>1</v>
      </c>
      <c r="H53" s="10"/>
      <c r="I53" s="10">
        <f t="shared" si="8"/>
        <v>9167.6648602062924</v>
      </c>
      <c r="J53" s="10">
        <f t="shared" si="6"/>
        <v>270961120068.62082</v>
      </c>
      <c r="K53" s="11">
        <f t="shared" si="7"/>
        <v>1.4645999999999937E-2</v>
      </c>
      <c r="L53" t="s">
        <v>116</v>
      </c>
      <c r="M53" t="s">
        <v>117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29420840.56441294</v>
      </c>
      <c r="D54" s="11">
        <v>4.7000000000000002E-3</v>
      </c>
      <c r="E54" s="10">
        <f t="shared" si="2"/>
        <v>137631.08455532789</v>
      </c>
      <c r="F54" s="3"/>
      <c r="G54" s="27">
        <v>1</v>
      </c>
      <c r="H54" s="10"/>
      <c r="I54" s="10">
        <f t="shared" si="8"/>
        <v>9076.895901194348</v>
      </c>
      <c r="J54" s="10">
        <f t="shared" si="6"/>
        <v>267049907128.81223</v>
      </c>
      <c r="K54" s="11">
        <f t="shared" si="7"/>
        <v>1.4747000000000066E-2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29283209.479857612</v>
      </c>
      <c r="D55" s="11">
        <v>4.7999999999999996E-3</v>
      </c>
      <c r="E55" s="10">
        <f t="shared" si="2"/>
        <v>139887.94337511435</v>
      </c>
      <c r="F55" s="3"/>
      <c r="G55" s="27">
        <v>1.1000000000000001</v>
      </c>
      <c r="H55" s="10"/>
      <c r="I55" s="10">
        <f t="shared" si="8"/>
        <v>8987.0256447468782</v>
      </c>
      <c r="J55" s="10">
        <f t="shared" si="6"/>
        <v>263168954555.97525</v>
      </c>
      <c r="K55" s="11">
        <f t="shared" si="7"/>
        <v>1.58528E-2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29143321.536482498</v>
      </c>
      <c r="D56" s="11">
        <v>5.4000000000000003E-3</v>
      </c>
      <c r="E56" s="10">
        <f t="shared" si="2"/>
        <v>156528.68141735345</v>
      </c>
      <c r="F56" s="3"/>
      <c r="G56" s="27">
        <v>2.7</v>
      </c>
      <c r="H56" s="10"/>
      <c r="I56" s="10">
        <f t="shared" si="8"/>
        <v>8889.2439611739646</v>
      </c>
      <c r="J56" s="10">
        <f t="shared" si="6"/>
        <v>259062094976.72818</v>
      </c>
      <c r="K56" s="11">
        <f t="shared" si="7"/>
        <v>3.2545799999999847E-2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28986792.855065145</v>
      </c>
      <c r="D57" s="11">
        <v>4.0000000000000001E-3</v>
      </c>
      <c r="E57" s="10">
        <f t="shared" si="2"/>
        <v>115485.2304982692</v>
      </c>
      <c r="F57" s="3"/>
      <c r="G57" s="28">
        <v>5.76</v>
      </c>
      <c r="H57" s="10"/>
      <c r="I57" s="10">
        <f t="shared" si="8"/>
        <v>8655.5442659921773</v>
      </c>
      <c r="J57" s="10">
        <f t="shared" si="6"/>
        <v>250896468686.16214</v>
      </c>
      <c r="K57" s="11">
        <f t="shared" si="7"/>
        <v>6.1830400000000063E-2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28871307.624566875</v>
      </c>
      <c r="D58" s="11">
        <v>4.0000000000000001E-3</v>
      </c>
      <c r="E58" s="10">
        <f t="shared" si="2"/>
        <v>115025.12997835502</v>
      </c>
      <c r="F58" s="3"/>
      <c r="G58" s="28">
        <v>4.04</v>
      </c>
      <c r="H58" s="10"/>
      <c r="I58" s="10">
        <f t="shared" si="8"/>
        <v>8184.137921702134</v>
      </c>
      <c r="J58" s="10">
        <f t="shared" si="6"/>
        <v>236286763579.34573</v>
      </c>
      <c r="K58" s="11">
        <f t="shared" si="7"/>
        <v>4.4561600000000201E-2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28756282.49458852</v>
      </c>
      <c r="D59" s="11">
        <v>3.3999999999999998E-3</v>
      </c>
      <c r="E59" s="10">
        <f t="shared" si="2"/>
        <v>97440.064263109118</v>
      </c>
      <c r="F59" s="3"/>
      <c r="G59" s="28">
        <v>-0.2</v>
      </c>
      <c r="H59" s="10"/>
      <c r="I59" s="10">
        <f t="shared" si="8"/>
        <v>7866.3378716860188</v>
      </c>
      <c r="J59" s="10">
        <f t="shared" si="6"/>
        <v>226206634036.08337</v>
      </c>
      <c r="K59" s="11">
        <f t="shared" si="7"/>
        <v>1.3932000000000944E-3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28658842.430325411</v>
      </c>
      <c r="D60" s="11">
        <v>4.0000000000000002E-4</v>
      </c>
      <c r="E60" s="10">
        <f t="shared" si="2"/>
        <v>11458.953390773386</v>
      </c>
      <c r="F60" s="3"/>
      <c r="G60" s="28">
        <v>1.59</v>
      </c>
      <c r="H60" s="10"/>
      <c r="I60" s="10">
        <f t="shared" si="8"/>
        <v>7882.1020758376944</v>
      </c>
      <c r="J60" s="10">
        <f t="shared" si="6"/>
        <v>225891921411.17331</v>
      </c>
      <c r="K60" s="11">
        <f t="shared" si="7"/>
        <v>1.6306359999999964E-2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28647383.476934638</v>
      </c>
      <c r="D61" s="11">
        <v>-2.9999999999999997E-4</v>
      </c>
      <c r="E61" s="10">
        <f t="shared" si="2"/>
        <v>-8596.7940813042223</v>
      </c>
      <c r="F61" s="3"/>
      <c r="G61" s="28">
        <v>1.25</v>
      </c>
      <c r="H61" s="10"/>
      <c r="I61" s="10">
        <f t="shared" si="8"/>
        <v>7758.7381394209015</v>
      </c>
      <c r="J61" s="10">
        <f t="shared" si="6"/>
        <v>222267546777.10892</v>
      </c>
      <c r="K61" s="11">
        <f t="shared" si="7"/>
        <v>1.2196249999999909E-2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28655980.271015942</v>
      </c>
      <c r="D62" s="11">
        <v>2E-3</v>
      </c>
      <c r="E62" s="10">
        <f t="shared" si="2"/>
        <v>57197.56541121006</v>
      </c>
      <c r="F62" s="3"/>
      <c r="G62" s="28">
        <v>3.63</v>
      </c>
      <c r="H62" s="10"/>
      <c r="I62" s="10">
        <f t="shared" si="8"/>
        <v>7662.9512488107675</v>
      </c>
      <c r="J62" s="10">
        <f t="shared" si="6"/>
        <v>219589379803.67834</v>
      </c>
      <c r="K62" s="11">
        <f t="shared" si="7"/>
        <v>3.8372599999999979E-2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28598782.705604732</v>
      </c>
      <c r="D63" s="11">
        <v>3.3999999999999998E-3</v>
      </c>
      <c r="E63" s="10">
        <f t="shared" si="2"/>
        <v>96906.379508730024</v>
      </c>
      <c r="F63" s="3"/>
      <c r="G63" s="28">
        <v>4.08</v>
      </c>
      <c r="H63" s="10"/>
      <c r="I63" s="10">
        <f t="shared" si="8"/>
        <v>7394.5298164728047</v>
      </c>
      <c r="J63" s="10">
        <f t="shared" si="6"/>
        <v>211474551431.42099</v>
      </c>
      <c r="K63" s="11">
        <f t="shared" si="7"/>
        <v>4.4338720000000276E-2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28501876.326096002</v>
      </c>
      <c r="D64" s="11">
        <v>5.5999999999999999E-3</v>
      </c>
      <c r="E64" s="10">
        <f t="shared" si="2"/>
        <v>158721.66609600186</v>
      </c>
      <c r="F64" s="3"/>
      <c r="G64" s="28">
        <v>3.93</v>
      </c>
      <c r="H64" s="10"/>
      <c r="I64" s="10">
        <f t="shared" si="8"/>
        <v>7104.6597006848624</v>
      </c>
      <c r="J64" s="10">
        <f t="shared" si="6"/>
        <v>202496132127.91818</v>
      </c>
      <c r="K64" s="11">
        <f t="shared" si="7"/>
        <v>4.5120079999999785E-2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28343154.66</v>
      </c>
      <c r="D65" s="11">
        <v>5.4999999999999997E-3</v>
      </c>
      <c r="E65" s="10">
        <f t="shared" si="2"/>
        <v>155034.66000000015</v>
      </c>
      <c r="F65" s="3"/>
      <c r="G65" s="28">
        <v>3.2</v>
      </c>
      <c r="H65" s="10"/>
      <c r="I65" s="10">
        <f t="shared" si="8"/>
        <v>6836.004715370791</v>
      </c>
      <c r="J65" s="10">
        <f t="shared" si="6"/>
        <v>193753938904.24362</v>
      </c>
      <c r="K65" s="11">
        <f t="shared" si="7"/>
        <v>3.7676000000000043E-2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28188120</v>
      </c>
      <c r="D66" s="11">
        <v>6.0000000000000001E-3</v>
      </c>
      <c r="E66" s="10">
        <f t="shared" si="2"/>
        <v>168120</v>
      </c>
      <c r="F66" s="3"/>
      <c r="G66" s="28">
        <v>2.98</v>
      </c>
      <c r="H66" s="10"/>
      <c r="I66" s="10">
        <f t="shared" si="8"/>
        <v>6624.0355769096814</v>
      </c>
      <c r="J66" s="10">
        <f t="shared" ref="J66:J67" si="9">IF(I66="","",I66*C66)</f>
        <v>186719109726.19934</v>
      </c>
      <c r="K66" s="11">
        <f t="shared" ref="K66" si="10">IFERROR(J66/J67-1,"")</f>
        <v>3.5978800000000311E-2</v>
      </c>
    </row>
    <row r="67" spans="1:11" ht="22.5" customHeight="1">
      <c r="A67" s="3">
        <f t="shared" si="0"/>
        <v>1950</v>
      </c>
      <c r="B67" s="3">
        <v>1700</v>
      </c>
      <c r="C67" s="23">
        <v>28020000</v>
      </c>
      <c r="D67" s="11">
        <v>5.0000000000000001E-3</v>
      </c>
      <c r="E67" s="3" t="s">
        <v>72</v>
      </c>
      <c r="F67" s="3"/>
      <c r="G67" s="28">
        <v>-0.61</v>
      </c>
      <c r="H67" s="10"/>
      <c r="I67" s="10">
        <f t="shared" ref="I67" si="11">IF(H67&lt;&gt;"",H67,I66/(1+IF(G66="",0,G66)/100))</f>
        <v>6432.3515021457379</v>
      </c>
      <c r="J67" s="10">
        <f t="shared" si="9"/>
        <v>180234489090.12357</v>
      </c>
      <c r="K67" s="11"/>
    </row>
  </sheetData>
  <dataValidations count="1">
    <dataValidation type="custom" allowBlank="1" showDropDown="1" sqref="D2:D67" xr:uid="{00000000-0002-0000-1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29419801.414635636</v>
      </c>
      <c r="D2" s="11">
        <v>2.5399999999999999E-2</v>
      </c>
      <c r="E2" s="10">
        <f t="shared" ref="E2:E66" si="2">SUM(C2-C3)</f>
        <v>728752.63890359551</v>
      </c>
      <c r="F2" s="14">
        <v>29421790</v>
      </c>
      <c r="G2" s="26">
        <v>4.97</v>
      </c>
      <c r="H2" s="10"/>
      <c r="I2" s="10">
        <f>IF(H2&lt;&gt;"",H2,9584)</f>
        <v>1198</v>
      </c>
      <c r="J2" s="10">
        <f t="shared" ref="J2:J33" si="3">IF(I2="","",I2*C2)</f>
        <v>35244922094.73349</v>
      </c>
      <c r="K2" s="11">
        <f t="shared" ref="K2:K33" si="4">IFERROR(J2/J3-1,"")</f>
        <v>7.6362380000000174E-2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28691048.77573204</v>
      </c>
      <c r="D3" s="11">
        <v>2.64E-2</v>
      </c>
      <c r="E3" s="10">
        <f t="shared" si="2"/>
        <v>737961.50397440046</v>
      </c>
      <c r="F3" s="3"/>
      <c r="G3" s="26">
        <v>5.0199999999999996</v>
      </c>
      <c r="H3" s="10"/>
      <c r="I3" s="10">
        <f t="shared" ref="I3:I34" si="5">IF(H3&lt;&gt;"",H3,I2/(1+IF(G2="",0,G2)/100))</f>
        <v>1141.2784605125273</v>
      </c>
      <c r="J3" s="10">
        <f t="shared" si="3"/>
        <v>32744475977.257294</v>
      </c>
      <c r="K3" s="11">
        <f t="shared" si="4"/>
        <v>7.7925279999999875E-2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27953087.27175764</v>
      </c>
      <c r="D4" s="11">
        <v>2.7099999999999999E-2</v>
      </c>
      <c r="E4" s="10">
        <f t="shared" si="2"/>
        <v>737541.29594453424</v>
      </c>
      <c r="F4" s="3"/>
      <c r="G4" s="26">
        <v>3.8</v>
      </c>
      <c r="H4" s="10"/>
      <c r="I4" s="10">
        <f t="shared" si="5"/>
        <v>1086.7248719410848</v>
      </c>
      <c r="J4" s="10">
        <f t="shared" si="3"/>
        <v>30377315185.758789</v>
      </c>
      <c r="K4" s="11">
        <f t="shared" si="4"/>
        <v>6.6129799999999905E-2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27215545.975813106</v>
      </c>
      <c r="D5" s="11">
        <v>2.7699999999999999E-2</v>
      </c>
      <c r="E5" s="10">
        <f t="shared" si="2"/>
        <v>733551.25379977003</v>
      </c>
      <c r="F5" s="3"/>
      <c r="G5" s="26">
        <v>4.57</v>
      </c>
      <c r="H5" s="10"/>
      <c r="I5" s="10">
        <f t="shared" si="5"/>
        <v>1046.9411097698312</v>
      </c>
      <c r="J5" s="10">
        <f t="shared" si="3"/>
        <v>28493073906.909637</v>
      </c>
      <c r="K5" s="11">
        <f t="shared" si="4"/>
        <v>7.4665890000000124E-2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26481994.722013336</v>
      </c>
      <c r="D6" s="11">
        <v>2.8000000000000001E-2</v>
      </c>
      <c r="E6" s="10">
        <f t="shared" si="2"/>
        <v>721299.46713655069</v>
      </c>
      <c r="F6" s="3"/>
      <c r="G6" s="26">
        <v>5.12</v>
      </c>
      <c r="H6" s="10"/>
      <c r="I6" s="10">
        <f t="shared" si="5"/>
        <v>1001.1868698190983</v>
      </c>
      <c r="J6" s="10">
        <f t="shared" si="3"/>
        <v>26513425402.298416</v>
      </c>
      <c r="K6" s="11">
        <f t="shared" si="4"/>
        <v>8.0633599999999861E-2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25760695.254876785</v>
      </c>
      <c r="D7" s="11">
        <v>2.8000000000000001E-2</v>
      </c>
      <c r="E7" s="10">
        <f t="shared" si="2"/>
        <v>701653.17814839631</v>
      </c>
      <c r="F7" s="3"/>
      <c r="G7" s="26">
        <v>8.06</v>
      </c>
      <c r="H7" s="10"/>
      <c r="I7" s="10">
        <f t="shared" si="5"/>
        <v>952.42282136520021</v>
      </c>
      <c r="J7" s="10">
        <f t="shared" si="3"/>
        <v>24535074054.978874</v>
      </c>
      <c r="K7" s="11">
        <f t="shared" si="4"/>
        <v>0.11085680000000009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25059042.076728389</v>
      </c>
      <c r="D8" s="11">
        <v>2.7900000000000001E-2</v>
      </c>
      <c r="E8" s="10">
        <f t="shared" si="2"/>
        <v>680170.51652954891</v>
      </c>
      <c r="F8" s="3"/>
      <c r="G8" s="26">
        <v>3.31</v>
      </c>
      <c r="H8" s="10"/>
      <c r="I8" s="10">
        <f t="shared" si="5"/>
        <v>881.38332534258768</v>
      </c>
      <c r="J8" s="10">
        <f t="shared" si="3"/>
        <v>22086621835.486691</v>
      </c>
      <c r="K8" s="11">
        <f t="shared" si="4"/>
        <v>6.1923490000000081E-2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24378871.56019884</v>
      </c>
      <c r="D9" s="11">
        <v>2.7799999999999998E-2</v>
      </c>
      <c r="E9" s="10">
        <f t="shared" si="2"/>
        <v>659401.27395750955</v>
      </c>
      <c r="F9" s="3"/>
      <c r="G9" s="26">
        <v>0.23</v>
      </c>
      <c r="H9" s="10"/>
      <c r="I9" s="10">
        <f t="shared" si="5"/>
        <v>853.14425064619854</v>
      </c>
      <c r="J9" s="10">
        <f t="shared" si="3"/>
        <v>20798694108.82576</v>
      </c>
      <c r="K9" s="11">
        <f t="shared" si="4"/>
        <v>3.0163939999999778E-2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23719470.28624133</v>
      </c>
      <c r="D10" s="11">
        <v>2.7699999999999999E-2</v>
      </c>
      <c r="E10" s="10">
        <f t="shared" si="2"/>
        <v>639320.15853739902</v>
      </c>
      <c r="F10" s="3"/>
      <c r="G10" s="26">
        <v>6.85</v>
      </c>
      <c r="H10" s="10"/>
      <c r="I10" s="10">
        <f t="shared" si="5"/>
        <v>851.18652164641185</v>
      </c>
      <c r="J10" s="10">
        <f t="shared" si="3"/>
        <v>20189693408.24118</v>
      </c>
      <c r="K10" s="11">
        <f t="shared" si="4"/>
        <v>9.809745000000003E-2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23080150.127703931</v>
      </c>
      <c r="D11" s="11">
        <v>2.76E-2</v>
      </c>
      <c r="E11" s="10">
        <f t="shared" si="2"/>
        <v>619902.82553973421</v>
      </c>
      <c r="F11" s="3"/>
      <c r="G11" s="26">
        <v>6.47</v>
      </c>
      <c r="H11" s="10"/>
      <c r="I11" s="10">
        <f t="shared" si="5"/>
        <v>796.61817655256141</v>
      </c>
      <c r="J11" s="10">
        <f t="shared" si="3"/>
        <v>18386067109.290874</v>
      </c>
      <c r="K11" s="11">
        <f t="shared" si="4"/>
        <v>9.4085720000000261E-2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22460247.302164197</v>
      </c>
      <c r="D12" s="11">
        <v>2.7699999999999999E-2</v>
      </c>
      <c r="E12" s="10">
        <f t="shared" si="2"/>
        <v>605379.82900647074</v>
      </c>
      <c r="F12" s="3"/>
      <c r="G12" s="26">
        <v>5.91</v>
      </c>
      <c r="H12" s="10"/>
      <c r="I12" s="10">
        <f t="shared" si="5"/>
        <v>748.20905095572596</v>
      </c>
      <c r="J12" s="10">
        <f t="shared" si="3"/>
        <v>16804960318.183178</v>
      </c>
      <c r="K12" s="11">
        <f t="shared" si="4"/>
        <v>8.8437069999999895E-2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21854867.473157726</v>
      </c>
      <c r="D13" s="11">
        <v>2.7699999999999999E-2</v>
      </c>
      <c r="E13" s="10">
        <f t="shared" si="2"/>
        <v>589062.78973092511</v>
      </c>
      <c r="F13" s="3"/>
      <c r="G13" s="26">
        <v>5.0999999999999996</v>
      </c>
      <c r="H13" s="10"/>
      <c r="I13" s="10">
        <f t="shared" si="5"/>
        <v>706.45741757692952</v>
      </c>
      <c r="J13" s="10">
        <f t="shared" si="3"/>
        <v>15439533236.573042</v>
      </c>
      <c r="K13" s="11">
        <f t="shared" si="4"/>
        <v>8.0112700000000148E-2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21265804.683426801</v>
      </c>
      <c r="D14" s="11">
        <v>2.76E-2</v>
      </c>
      <c r="E14" s="10">
        <f t="shared" si="2"/>
        <v>571171.86576740071</v>
      </c>
      <c r="F14" s="3"/>
      <c r="G14" s="26">
        <v>2.93</v>
      </c>
      <c r="H14" s="10"/>
      <c r="I14" s="10">
        <f t="shared" si="5"/>
        <v>672.17642014931448</v>
      </c>
      <c r="J14" s="10">
        <f t="shared" si="3"/>
        <v>14294372463.700354</v>
      </c>
      <c r="K14" s="11">
        <f t="shared" si="4"/>
        <v>5.7708680000000179E-2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20694632.8176594</v>
      </c>
      <c r="D15" s="11">
        <v>2.7400000000000001E-2</v>
      </c>
      <c r="E15" s="10">
        <f t="shared" si="2"/>
        <v>551910.58906352893</v>
      </c>
      <c r="F15" s="3"/>
      <c r="G15" s="26">
        <v>0.55000000000000004</v>
      </c>
      <c r="H15" s="10"/>
      <c r="I15" s="10">
        <f t="shared" si="5"/>
        <v>653.04228130701881</v>
      </c>
      <c r="J15" s="10">
        <f t="shared" si="3"/>
        <v>13514470226.055393</v>
      </c>
      <c r="K15" s="11">
        <f t="shared" si="4"/>
        <v>3.305070000000021E-2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20142722.228595871</v>
      </c>
      <c r="D16" s="11">
        <v>2.7199999999999998E-2</v>
      </c>
      <c r="E16" s="10">
        <f t="shared" si="2"/>
        <v>533374.26462013647</v>
      </c>
      <c r="F16" s="3"/>
      <c r="G16" s="26">
        <v>3.78</v>
      </c>
      <c r="H16" s="10"/>
      <c r="I16" s="10">
        <f t="shared" si="5"/>
        <v>649.47019523323593</v>
      </c>
      <c r="J16" s="10">
        <f t="shared" si="3"/>
        <v>13082097738.335001</v>
      </c>
      <c r="K16" s="11">
        <f t="shared" si="4"/>
        <v>6.6028159999999891E-2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19609347.963975735</v>
      </c>
      <c r="D17" s="11">
        <v>2.6700000000000002E-2</v>
      </c>
      <c r="E17" s="10">
        <f t="shared" si="2"/>
        <v>509953.82354938239</v>
      </c>
      <c r="F17" s="3"/>
      <c r="G17" s="26">
        <v>0.6</v>
      </c>
      <c r="H17" s="10"/>
      <c r="I17" s="10">
        <f t="shared" si="5"/>
        <v>625.81441051574086</v>
      </c>
      <c r="J17" s="10">
        <f t="shared" si="3"/>
        <v>12271812536.673517</v>
      </c>
      <c r="K17" s="11">
        <f t="shared" si="4"/>
        <v>3.2860199999999784E-2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19099394.140426353</v>
      </c>
      <c r="D18" s="11">
        <v>2.64E-2</v>
      </c>
      <c r="E18" s="10">
        <f t="shared" si="2"/>
        <v>491254.8765659146</v>
      </c>
      <c r="F18" s="3"/>
      <c r="G18" s="26">
        <v>2.31</v>
      </c>
      <c r="H18" s="10"/>
      <c r="I18" s="10">
        <f t="shared" si="5"/>
        <v>622.08191900173051</v>
      </c>
      <c r="J18" s="10">
        <f t="shared" si="3"/>
        <v>11881387758.646833</v>
      </c>
      <c r="K18" s="11">
        <f t="shared" si="4"/>
        <v>5.0109839999999961E-2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18608139.263860438</v>
      </c>
      <c r="D19" s="11">
        <v>2.6100000000000002E-2</v>
      </c>
      <c r="E19" s="10">
        <f t="shared" si="2"/>
        <v>473318.813747935</v>
      </c>
      <c r="F19" s="3"/>
      <c r="G19" s="26">
        <v>3.29</v>
      </c>
      <c r="H19" s="10"/>
      <c r="I19" s="10">
        <f t="shared" si="5"/>
        <v>608.03628091264841</v>
      </c>
      <c r="J19" s="10">
        <f t="shared" si="3"/>
        <v>11314423792.702328</v>
      </c>
      <c r="K19" s="11">
        <f t="shared" si="4"/>
        <v>5.985868999999977E-2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18134820.450112503</v>
      </c>
      <c r="D20" s="11">
        <v>2.5999999999999999E-2</v>
      </c>
      <c r="E20" s="10">
        <f t="shared" si="2"/>
        <v>459556.85351162404</v>
      </c>
      <c r="F20" s="3"/>
      <c r="G20" s="26">
        <v>0.47</v>
      </c>
      <c r="H20" s="10"/>
      <c r="I20" s="10">
        <f t="shared" si="5"/>
        <v>588.6690685571192</v>
      </c>
      <c r="J20" s="10">
        <f t="shared" si="3"/>
        <v>10675407862.818325</v>
      </c>
      <c r="K20" s="11">
        <f t="shared" si="4"/>
        <v>3.08221999999998E-2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17675263.596600879</v>
      </c>
      <c r="D21" s="11">
        <v>2.6100000000000002E-2</v>
      </c>
      <c r="E21" s="10">
        <f t="shared" si="2"/>
        <v>449590.07881423086</v>
      </c>
      <c r="F21" s="3"/>
      <c r="G21" s="26">
        <v>4.1500000000000004</v>
      </c>
      <c r="H21" s="10"/>
      <c r="I21" s="10">
        <f t="shared" si="5"/>
        <v>585.9152668031445</v>
      </c>
      <c r="J21" s="10">
        <f t="shared" si="3"/>
        <v>10356206786.018312</v>
      </c>
      <c r="K21" s="11">
        <f t="shared" si="4"/>
        <v>6.8683150000000248E-2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17225673.517786648</v>
      </c>
      <c r="D22" s="11">
        <v>2.64E-2</v>
      </c>
      <c r="E22" s="10">
        <f t="shared" si="2"/>
        <v>443060.97122911736</v>
      </c>
      <c r="F22" s="3"/>
      <c r="G22" s="26">
        <v>4.41</v>
      </c>
      <c r="H22" s="10"/>
      <c r="I22" s="10">
        <f t="shared" si="5"/>
        <v>562.56866711775751</v>
      </c>
      <c r="J22" s="10">
        <f t="shared" si="3"/>
        <v>9690624191.1068878</v>
      </c>
      <c r="K22" s="11">
        <f t="shared" si="4"/>
        <v>7.1664239999999824E-2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16782612.546557531</v>
      </c>
      <c r="D23" s="11">
        <v>2.64E-2</v>
      </c>
      <c r="E23" s="10">
        <f t="shared" si="2"/>
        <v>431665.01483741216</v>
      </c>
      <c r="F23" s="3"/>
      <c r="G23" s="26">
        <v>2.63</v>
      </c>
      <c r="H23" s="10"/>
      <c r="I23" s="10">
        <f t="shared" si="5"/>
        <v>538.80726665813381</v>
      </c>
      <c r="J23" s="10">
        <f t="shared" si="3"/>
        <v>9042593593.5931664</v>
      </c>
      <c r="K23" s="11">
        <f t="shared" si="4"/>
        <v>5.3394320000000217E-2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16350947.531720119</v>
      </c>
      <c r="D24" s="11">
        <v>2.6499999999999999E-2</v>
      </c>
      <c r="E24" s="10">
        <f t="shared" si="2"/>
        <v>422114.08630353957</v>
      </c>
      <c r="F24" s="3"/>
      <c r="G24" s="26">
        <v>0.35</v>
      </c>
      <c r="H24" s="10"/>
      <c r="I24" s="10">
        <f t="shared" si="5"/>
        <v>524.99977263776066</v>
      </c>
      <c r="J24" s="10">
        <f t="shared" si="3"/>
        <v>8584243736.5650158</v>
      </c>
      <c r="K24" s="11">
        <f t="shared" si="4"/>
        <v>3.009274999999989E-2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15928833.445416579</v>
      </c>
      <c r="D25" s="11">
        <v>2.63E-2</v>
      </c>
      <c r="E25" s="10">
        <f t="shared" si="2"/>
        <v>408192.84771943465</v>
      </c>
      <c r="F25" s="3"/>
      <c r="G25" s="26">
        <v>-0.8</v>
      </c>
      <c r="H25" s="10"/>
      <c r="I25" s="10">
        <f t="shared" si="5"/>
        <v>523.16868224988605</v>
      </c>
      <c r="J25" s="10">
        <f t="shared" si="3"/>
        <v>8333466803.4165039</v>
      </c>
      <c r="K25" s="11">
        <f t="shared" si="4"/>
        <v>1.8089599999999928E-2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15520640.597697144</v>
      </c>
      <c r="D26" s="11">
        <v>2.64E-2</v>
      </c>
      <c r="E26" s="10">
        <f t="shared" si="2"/>
        <v>399205.87663601339</v>
      </c>
      <c r="F26" s="3"/>
      <c r="G26" s="26">
        <v>1.44</v>
      </c>
      <c r="H26" s="10"/>
      <c r="I26" s="10">
        <f t="shared" si="5"/>
        <v>527.38778452609483</v>
      </c>
      <c r="J26" s="10">
        <f t="shared" si="3"/>
        <v>8185396259.2452612</v>
      </c>
      <c r="K26" s="11">
        <f t="shared" si="4"/>
        <v>4.118015999999991E-2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15121434.721061131</v>
      </c>
      <c r="D27" s="11">
        <v>2.7E-2</v>
      </c>
      <c r="E27" s="10">
        <f t="shared" si="2"/>
        <v>397545.02187794447</v>
      </c>
      <c r="F27" s="3"/>
      <c r="G27" s="26">
        <v>-2.19</v>
      </c>
      <c r="H27" s="10"/>
      <c r="I27" s="10">
        <f t="shared" si="5"/>
        <v>519.90120714323234</v>
      </c>
      <c r="J27" s="10">
        <f t="shared" si="3"/>
        <v>7861652165.2172689</v>
      </c>
      <c r="K27" s="11">
        <f t="shared" si="4"/>
        <v>4.5086999999999211E-3</v>
      </c>
      <c r="L27" s="32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14723889.699183187</v>
      </c>
      <c r="D28" s="11">
        <v>2.69E-2</v>
      </c>
      <c r="E28" s="10">
        <f t="shared" si="2"/>
        <v>385697.37355928123</v>
      </c>
      <c r="F28" s="3"/>
      <c r="G28" s="26">
        <v>4.6900000000000004</v>
      </c>
      <c r="H28" s="10"/>
      <c r="I28" s="10">
        <f t="shared" si="5"/>
        <v>531.5419764269833</v>
      </c>
      <c r="J28" s="10">
        <f t="shared" si="3"/>
        <v>7826365431.3967314</v>
      </c>
      <c r="K28" s="11">
        <f t="shared" si="4"/>
        <v>7.5061609999999668E-2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14338192.325623905</v>
      </c>
      <c r="D29" s="11">
        <v>2.6700000000000002E-2</v>
      </c>
      <c r="E29" s="10">
        <f t="shared" si="2"/>
        <v>372873.99931251258</v>
      </c>
      <c r="F29" s="3"/>
      <c r="G29" s="26">
        <v>6.2</v>
      </c>
      <c r="H29" s="10"/>
      <c r="I29" s="10">
        <f t="shared" si="5"/>
        <v>507.72946454005478</v>
      </c>
      <c r="J29" s="10">
        <f t="shared" si="3"/>
        <v>7279922711.9613485</v>
      </c>
      <c r="K29" s="11">
        <f t="shared" si="4"/>
        <v>9.0355399999999975E-2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13965318.326311393</v>
      </c>
      <c r="D30" s="12">
        <v>2.6599999999999999E-2</v>
      </c>
      <c r="E30" s="10">
        <f t="shared" si="2"/>
        <v>361852.19898683205</v>
      </c>
      <c r="F30" s="3"/>
      <c r="G30" s="26">
        <v>5.94</v>
      </c>
      <c r="H30" s="10"/>
      <c r="I30" s="10">
        <f t="shared" si="5"/>
        <v>478.08800804148279</v>
      </c>
      <c r="J30" s="10">
        <f t="shared" si="3"/>
        <v>6676651220.2914286</v>
      </c>
      <c r="K30" s="11">
        <f t="shared" si="4"/>
        <v>8.758003999999997E-2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13603466.127324561</v>
      </c>
      <c r="D31" s="13">
        <v>2.7199999999999998E-2</v>
      </c>
      <c r="E31" s="10">
        <f t="shared" si="2"/>
        <v>360216.39277962036</v>
      </c>
      <c r="F31" s="3"/>
      <c r="G31" s="26">
        <v>7.18</v>
      </c>
      <c r="H31" s="10"/>
      <c r="I31" s="10">
        <f t="shared" si="5"/>
        <v>451.28186524587773</v>
      </c>
      <c r="J31" s="10">
        <f t="shared" si="3"/>
        <v>6138997567.7481441</v>
      </c>
      <c r="K31" s="11">
        <f t="shared" si="4"/>
        <v>0.10095295999999987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13243249.73454494</v>
      </c>
      <c r="D32" s="12">
        <v>2.8299999999999999E-2</v>
      </c>
      <c r="E32" s="10">
        <f t="shared" si="2"/>
        <v>364469.48117049597</v>
      </c>
      <c r="F32" s="3"/>
      <c r="G32" s="26">
        <v>4.3</v>
      </c>
      <c r="H32" s="10"/>
      <c r="I32" s="10">
        <f t="shared" si="5"/>
        <v>421.05044340910405</v>
      </c>
      <c r="J32" s="10">
        <f t="shared" si="3"/>
        <v>5576076172.9076462</v>
      </c>
      <c r="K32" s="11">
        <f t="shared" si="4"/>
        <v>7.2516899999999662E-2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12878780.253374444</v>
      </c>
      <c r="D33" s="13">
        <v>2.5600000000000001E-2</v>
      </c>
      <c r="E33" s="10">
        <f t="shared" si="2"/>
        <v>321467.21381277964</v>
      </c>
      <c r="F33" s="3"/>
      <c r="G33" s="26">
        <v>1.76</v>
      </c>
      <c r="H33" s="10"/>
      <c r="I33" s="10">
        <f t="shared" si="5"/>
        <v>403.69170029636058</v>
      </c>
      <c r="J33" s="10">
        <f t="shared" si="3"/>
        <v>5199056698.2279234</v>
      </c>
      <c r="K33" s="11">
        <f t="shared" si="4"/>
        <v>4.3650560000000116E-2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12557313.039561665</v>
      </c>
      <c r="D34" s="12">
        <v>2.5899999999999999E-2</v>
      </c>
      <c r="E34" s="10">
        <f t="shared" si="2"/>
        <v>317023.4990980085</v>
      </c>
      <c r="F34" s="3"/>
      <c r="G34" s="26">
        <v>0.01</v>
      </c>
      <c r="H34" s="10"/>
      <c r="I34" s="10">
        <f t="shared" si="5"/>
        <v>396.70961114029143</v>
      </c>
      <c r="J34" s="10">
        <f t="shared" ref="J34:J65" si="6">IF(I34="","",I34*C34)</f>
        <v>4981606772.8914194</v>
      </c>
      <c r="K34" s="11">
        <f t="shared" ref="K34:K65" si="7">IFERROR(J34/J35-1,"")</f>
        <v>3.9339290000000027E-2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12240289.540463656</v>
      </c>
      <c r="D35" s="11">
        <v>2.9899999999999999E-2</v>
      </c>
      <c r="E35" s="10">
        <f t="shared" si="2"/>
        <v>355359.41087470949</v>
      </c>
      <c r="F35" s="3"/>
      <c r="G35" s="26">
        <v>-1.19</v>
      </c>
      <c r="H35" s="10"/>
      <c r="I35" s="10">
        <f t="shared" ref="I35:I66" si="8">IF(H35&lt;&gt;"",H35,I34/(1+IF(G34="",0,G34)/100))</f>
        <v>391.57991426344034</v>
      </c>
      <c r="J35" s="10">
        <f t="shared" si="6"/>
        <v>4793051528.8144445</v>
      </c>
      <c r="K35" s="11">
        <f t="shared" si="7"/>
        <v>4.5451490000000039E-2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11884930.129588947</v>
      </c>
      <c r="D36" s="11">
        <v>3.0700000000000002E-2</v>
      </c>
      <c r="E36" s="10">
        <f t="shared" si="2"/>
        <v>353999.5682336092</v>
      </c>
      <c r="F36" s="3"/>
      <c r="G36" s="26">
        <v>-1.03</v>
      </c>
      <c r="H36" s="10"/>
      <c r="I36" s="10">
        <f t="shared" si="8"/>
        <v>385.75501355870398</v>
      </c>
      <c r="J36" s="10">
        <f t="shared" si="6"/>
        <v>4584671383.2838335</v>
      </c>
      <c r="K36" s="11">
        <f t="shared" si="7"/>
        <v>6.9557390000000163E-2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11530930.561355338</v>
      </c>
      <c r="D37" s="11">
        <v>3.1199999999999999E-2</v>
      </c>
      <c r="E37" s="10">
        <f t="shared" si="2"/>
        <v>348879.97819461301</v>
      </c>
      <c r="F37" s="3"/>
      <c r="G37" s="26">
        <v>-6.89</v>
      </c>
      <c r="H37" s="10"/>
      <c r="I37" s="10">
        <f t="shared" si="8"/>
        <v>371.74040046131245</v>
      </c>
      <c r="J37" s="10">
        <f t="shared" si="6"/>
        <v>4286512744.5698195</v>
      </c>
      <c r="K37" s="11">
        <f t="shared" si="7"/>
        <v>1.4803919999999859E-2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11182050.583160724</v>
      </c>
      <c r="D38" s="11">
        <v>3.0800000000000001E-2</v>
      </c>
      <c r="E38" s="10">
        <f t="shared" si="2"/>
        <v>334116.3736528419</v>
      </c>
      <c r="F38" s="3"/>
      <c r="G38" s="26">
        <v>-1.08</v>
      </c>
      <c r="H38" s="10"/>
      <c r="I38" s="10">
        <f t="shared" si="8"/>
        <v>377.74657093924645</v>
      </c>
      <c r="J38" s="10">
        <f t="shared" si="6"/>
        <v>4223981263.8581648</v>
      </c>
      <c r="K38" s="11">
        <f t="shared" si="7"/>
        <v>5.7806959999999963E-2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10847934.209507883</v>
      </c>
      <c r="D39" s="11">
        <v>3.0599999999999999E-2</v>
      </c>
      <c r="E39" s="10">
        <f t="shared" si="2"/>
        <v>322090.80808358267</v>
      </c>
      <c r="F39" s="3"/>
      <c r="G39" s="26">
        <v>6.91</v>
      </c>
      <c r="H39" s="10"/>
      <c r="I39" s="10">
        <f t="shared" si="8"/>
        <v>368.10229091721538</v>
      </c>
      <c r="J39" s="10">
        <f t="shared" si="6"/>
        <v>3993149434.2390833</v>
      </c>
      <c r="K39" s="11">
        <f t="shared" si="7"/>
        <v>0.10181445999999972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10525843.4014243</v>
      </c>
      <c r="D40" s="11">
        <v>2.98E-2</v>
      </c>
      <c r="E40" s="10">
        <f t="shared" si="2"/>
        <v>304593.25438186526</v>
      </c>
      <c r="F40" s="3"/>
      <c r="G40" s="26">
        <v>9.4499999999999993</v>
      </c>
      <c r="H40" s="10"/>
      <c r="I40" s="10">
        <f t="shared" si="8"/>
        <v>344.31043954467816</v>
      </c>
      <c r="J40" s="10">
        <f t="shared" si="6"/>
        <v>3624157768.1228509</v>
      </c>
      <c r="K40" s="11">
        <f t="shared" si="7"/>
        <v>0.12711610000000007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10221250.147042435</v>
      </c>
      <c r="D41" s="11">
        <v>2.87E-2</v>
      </c>
      <c r="E41" s="10">
        <f t="shared" si="2"/>
        <v>285165.62576078251</v>
      </c>
      <c r="F41" s="3"/>
      <c r="G41" s="26">
        <v>2.15</v>
      </c>
      <c r="H41" s="10"/>
      <c r="I41" s="10">
        <f t="shared" si="8"/>
        <v>314.58240250770046</v>
      </c>
      <c r="J41" s="10">
        <f t="shared" si="6"/>
        <v>3215425427.8887959</v>
      </c>
      <c r="K41" s="11">
        <f t="shared" si="7"/>
        <v>5.081705000000003E-2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9936084.5212816522</v>
      </c>
      <c r="D42" s="11">
        <v>2.7699999999999999E-2</v>
      </c>
      <c r="E42" s="10">
        <f t="shared" si="2"/>
        <v>267811.17178116366</v>
      </c>
      <c r="F42" s="3"/>
      <c r="G42" s="26">
        <v>-4.66</v>
      </c>
      <c r="H42" s="10"/>
      <c r="I42" s="10">
        <f t="shared" si="8"/>
        <v>307.96123593509589</v>
      </c>
      <c r="J42" s="10">
        <f t="shared" si="6"/>
        <v>3059928869.5294733</v>
      </c>
      <c r="K42" s="11">
        <f t="shared" si="7"/>
        <v>-2.0190819999999832E-2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9668273.3495004885</v>
      </c>
      <c r="D43" s="11">
        <v>2.6200000000000001E-2</v>
      </c>
      <c r="E43" s="10">
        <f t="shared" si="2"/>
        <v>246841.51408781298</v>
      </c>
      <c r="F43" s="3"/>
      <c r="G43" s="26">
        <v>4.07</v>
      </c>
      <c r="H43" s="10"/>
      <c r="I43" s="10">
        <f t="shared" si="8"/>
        <v>323.01367310163192</v>
      </c>
      <c r="J43" s="10">
        <f t="shared" si="6"/>
        <v>3122984487.1727705</v>
      </c>
      <c r="K43" s="11">
        <f t="shared" si="7"/>
        <v>6.7966340000000125E-2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9421431.8354126755</v>
      </c>
      <c r="D44" s="11">
        <v>2.4899999999999999E-2</v>
      </c>
      <c r="E44" s="10">
        <f t="shared" si="2"/>
        <v>228894.18743465282</v>
      </c>
      <c r="F44" s="3"/>
      <c r="G44" s="26">
        <v>5.9</v>
      </c>
      <c r="H44" s="10"/>
      <c r="I44" s="10">
        <f t="shared" si="8"/>
        <v>310.38115989394822</v>
      </c>
      <c r="J44" s="10">
        <f t="shared" si="6"/>
        <v>2924234940.9371557</v>
      </c>
      <c r="K44" s="11">
        <f t="shared" si="7"/>
        <v>8.5369100000000087E-2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9192537.6479780227</v>
      </c>
      <c r="D45" s="11">
        <v>2.4E-2</v>
      </c>
      <c r="E45" s="10">
        <f t="shared" si="2"/>
        <v>215450.10112448595</v>
      </c>
      <c r="F45" s="3"/>
      <c r="G45" s="26">
        <v>17.079999999999998</v>
      </c>
      <c r="H45" s="10"/>
      <c r="I45" s="10">
        <f t="shared" si="8"/>
        <v>293.08891396973394</v>
      </c>
      <c r="J45" s="10">
        <f t="shared" si="6"/>
        <v>2694230875.8717709</v>
      </c>
      <c r="K45" s="11">
        <f t="shared" si="7"/>
        <v>0.19889920000000028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8977087.5468535367</v>
      </c>
      <c r="D46" s="11">
        <v>2.3400000000000001E-2</v>
      </c>
      <c r="E46" s="10">
        <f t="shared" si="2"/>
        <v>205260.74711390771</v>
      </c>
      <c r="F46" s="3"/>
      <c r="G46" s="26">
        <v>11.17</v>
      </c>
      <c r="H46" s="10"/>
      <c r="I46" s="10">
        <f t="shared" si="8"/>
        <v>250.33217797209934</v>
      </c>
      <c r="J46" s="10">
        <f t="shared" si="6"/>
        <v>2247253877.4500561</v>
      </c>
      <c r="K46" s="11">
        <f t="shared" si="7"/>
        <v>0.1377137799999999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8771826.799739629</v>
      </c>
      <c r="D47" s="11">
        <v>2.2800000000000001E-2</v>
      </c>
      <c r="E47" s="10">
        <f t="shared" si="2"/>
        <v>195539.35376814939</v>
      </c>
      <c r="F47" s="3"/>
      <c r="G47" s="26">
        <v>2.1</v>
      </c>
      <c r="H47" s="10"/>
      <c r="I47" s="10">
        <f t="shared" si="8"/>
        <v>225.17961497895058</v>
      </c>
      <c r="J47" s="10">
        <f t="shared" si="6"/>
        <v>1975236581.4274099</v>
      </c>
      <c r="K47" s="11">
        <f t="shared" si="7"/>
        <v>4.4278799999999841E-2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8576287.4459714796</v>
      </c>
      <c r="D48" s="11">
        <v>2.2200000000000001E-2</v>
      </c>
      <c r="E48" s="10">
        <f t="shared" si="2"/>
        <v>186258.63950358704</v>
      </c>
      <c r="F48" s="3"/>
      <c r="G48" s="26">
        <v>7.96</v>
      </c>
      <c r="H48" s="10"/>
      <c r="I48" s="10">
        <f t="shared" si="8"/>
        <v>220.54810477859999</v>
      </c>
      <c r="J48" s="10">
        <f t="shared" si="6"/>
        <v>1891483942.2455096</v>
      </c>
      <c r="K48" s="11">
        <f t="shared" si="7"/>
        <v>0.10356712000000012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8390028.8064678926</v>
      </c>
      <c r="D49" s="11">
        <v>2.1600000000000001E-2</v>
      </c>
      <c r="E49" s="10">
        <f t="shared" si="2"/>
        <v>177392.93482743483</v>
      </c>
      <c r="F49" s="3"/>
      <c r="G49" s="26">
        <v>7.98</v>
      </c>
      <c r="H49" s="10"/>
      <c r="I49" s="10">
        <f t="shared" si="8"/>
        <v>204.28686993201183</v>
      </c>
      <c r="J49" s="10">
        <f t="shared" si="6"/>
        <v>1713972723.5127387</v>
      </c>
      <c r="K49" s="11">
        <f t="shared" si="7"/>
        <v>0.10312368000000016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8212635.8716404578</v>
      </c>
      <c r="D50" s="11">
        <v>2.1399999999999999E-2</v>
      </c>
      <c r="E50" s="10">
        <f t="shared" si="2"/>
        <v>172068.1492589647</v>
      </c>
      <c r="F50" s="3"/>
      <c r="G50" s="26">
        <v>3.36</v>
      </c>
      <c r="H50" s="10"/>
      <c r="I50" s="10">
        <f t="shared" si="8"/>
        <v>189.189544297103</v>
      </c>
      <c r="J50" s="10">
        <f t="shared" si="6"/>
        <v>1553744838.0336995</v>
      </c>
      <c r="K50" s="11">
        <f t="shared" si="7"/>
        <v>5.5719040000000053E-2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8040567.7223814931</v>
      </c>
      <c r="D51" s="11">
        <v>2.18E-2</v>
      </c>
      <c r="E51" s="10">
        <f t="shared" si="2"/>
        <v>171544.701847638</v>
      </c>
      <c r="F51" s="3"/>
      <c r="G51" s="26">
        <v>14.73</v>
      </c>
      <c r="H51" s="10"/>
      <c r="I51" s="10">
        <f t="shared" si="8"/>
        <v>183.03941979208881</v>
      </c>
      <c r="J51" s="10">
        <f t="shared" si="6"/>
        <v>1471740850.7037055</v>
      </c>
      <c r="K51" s="11">
        <f t="shared" si="7"/>
        <v>0.17231114000000014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7869023.0205338551</v>
      </c>
      <c r="D52" s="11">
        <v>2.1700000000000001E-2</v>
      </c>
      <c r="E52" s="10">
        <f t="shared" si="2"/>
        <v>167131.05563823506</v>
      </c>
      <c r="F52" s="3"/>
      <c r="G52" s="26">
        <v>2.0099999999999998</v>
      </c>
      <c r="H52" s="10"/>
      <c r="I52" s="10">
        <f t="shared" si="8"/>
        <v>159.53928335403887</v>
      </c>
      <c r="J52" s="10">
        <f t="shared" si="6"/>
        <v>1255418293.3924055</v>
      </c>
      <c r="K52" s="11">
        <f t="shared" si="7"/>
        <v>4.2236169999999795E-2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7701891.96489562</v>
      </c>
      <c r="D53" s="11">
        <v>2.1399999999999999E-2</v>
      </c>
      <c r="E53" s="10">
        <f t="shared" si="2"/>
        <v>161367.2293408718</v>
      </c>
      <c r="F53" s="3"/>
      <c r="G53" s="26">
        <v>4.96</v>
      </c>
      <c r="H53" s="10"/>
      <c r="I53" s="10">
        <f t="shared" si="8"/>
        <v>156.39572919717565</v>
      </c>
      <c r="J53" s="10">
        <f t="shared" si="6"/>
        <v>1204543010.0477185</v>
      </c>
      <c r="K53" s="11">
        <f t="shared" si="7"/>
        <v>7.2061439999999921E-2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7540524.7355547482</v>
      </c>
      <c r="D54" s="11">
        <v>2.12E-2</v>
      </c>
      <c r="E54" s="10">
        <f t="shared" si="2"/>
        <v>156540.46650387906</v>
      </c>
      <c r="F54" s="3"/>
      <c r="G54" s="26">
        <v>8.7799999999999994</v>
      </c>
      <c r="H54" s="10"/>
      <c r="I54" s="10">
        <f t="shared" si="8"/>
        <v>149.005077360114</v>
      </c>
      <c r="J54" s="10">
        <f t="shared" si="6"/>
        <v>1123576471.5571885</v>
      </c>
      <c r="K54" s="11">
        <f t="shared" si="7"/>
        <v>0.11086136000000035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7383984.2690508692</v>
      </c>
      <c r="D55" s="11">
        <v>2.1000000000000001E-2</v>
      </c>
      <c r="E55" s="10">
        <f t="shared" si="2"/>
        <v>151874.30915775429</v>
      </c>
      <c r="F55" s="3"/>
      <c r="G55" s="26">
        <v>9.4600000000000009</v>
      </c>
      <c r="H55" s="10"/>
      <c r="I55" s="10">
        <f t="shared" si="8"/>
        <v>136.97837595156645</v>
      </c>
      <c r="J55" s="10">
        <f t="shared" si="6"/>
        <v>1011446173.2265025</v>
      </c>
      <c r="K55" s="11">
        <f t="shared" si="7"/>
        <v>0.11758659999999965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7232109.9598931149</v>
      </c>
      <c r="D56" s="11">
        <v>2.06E-2</v>
      </c>
      <c r="E56" s="10">
        <f t="shared" si="2"/>
        <v>145974.39268449694</v>
      </c>
      <c r="F56" s="3"/>
      <c r="G56" s="26">
        <v>-7.77</v>
      </c>
      <c r="H56" s="10"/>
      <c r="I56" s="10">
        <f t="shared" si="8"/>
        <v>125.14012054774936</v>
      </c>
      <c r="J56" s="10">
        <f t="shared" si="6"/>
        <v>905027112.19560325</v>
      </c>
      <c r="K56" s="11">
        <f t="shared" si="7"/>
        <v>-5.870061999999987E-2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7086135.5672086179</v>
      </c>
      <c r="D57" s="11">
        <v>2.0500000000000001E-2</v>
      </c>
      <c r="E57" s="10">
        <f t="shared" si="2"/>
        <v>142347.65225651767</v>
      </c>
      <c r="F57" s="3"/>
      <c r="G57" s="26">
        <v>3.89</v>
      </c>
      <c r="H57" s="10"/>
      <c r="I57" s="10">
        <f t="shared" si="8"/>
        <v>135.68266350184251</v>
      </c>
      <c r="J57" s="10">
        <f t="shared" si="6"/>
        <v>961465747.69400477</v>
      </c>
      <c r="K57" s="11">
        <f t="shared" si="7"/>
        <v>6.0197449999999986E-2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6943787.9149521003</v>
      </c>
      <c r="D58" s="11">
        <v>0.02</v>
      </c>
      <c r="E58" s="10">
        <f t="shared" si="2"/>
        <v>136152.70421474706</v>
      </c>
      <c r="F58" s="3"/>
      <c r="G58" s="26">
        <v>2.33</v>
      </c>
      <c r="H58" s="10"/>
      <c r="I58" s="10">
        <f t="shared" si="8"/>
        <v>130.6022365019179</v>
      </c>
      <c r="J58" s="10">
        <f t="shared" si="6"/>
        <v>906874231.4877336</v>
      </c>
      <c r="K58" s="11">
        <f t="shared" si="7"/>
        <v>4.3766000000000194E-2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6807635.2107373532</v>
      </c>
      <c r="D59" s="11">
        <v>0.02</v>
      </c>
      <c r="E59" s="10">
        <f t="shared" si="2"/>
        <v>133483.04334779177</v>
      </c>
      <c r="F59" s="3"/>
      <c r="G59" s="26">
        <v>1.25</v>
      </c>
      <c r="H59" s="10"/>
      <c r="I59" s="10">
        <f t="shared" si="8"/>
        <v>127.62849262378373</v>
      </c>
      <c r="J59" s="10">
        <f t="shared" si="6"/>
        <v>868848220.27900267</v>
      </c>
      <c r="K59" s="11">
        <f t="shared" si="7"/>
        <v>3.2750000000000057E-2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6674152.1673895614</v>
      </c>
      <c r="D60" s="11">
        <v>0.02</v>
      </c>
      <c r="E60" s="10">
        <f t="shared" si="2"/>
        <v>130865.72877234407</v>
      </c>
      <c r="F60" s="3"/>
      <c r="G60" s="26">
        <v>3.23</v>
      </c>
      <c r="H60" s="10"/>
      <c r="I60" s="10">
        <f t="shared" si="8"/>
        <v>126.05283222102098</v>
      </c>
      <c r="J60" s="10">
        <f t="shared" si="6"/>
        <v>841295783.3735199</v>
      </c>
      <c r="K60" s="11">
        <f t="shared" si="7"/>
        <v>5.2945999999999938E-2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6543286.4386172174</v>
      </c>
      <c r="D61" s="11">
        <v>1.95E-2</v>
      </c>
      <c r="E61" s="10">
        <f t="shared" si="2"/>
        <v>125153.59053755365</v>
      </c>
      <c r="F61" s="3"/>
      <c r="G61" s="26">
        <v>5.54</v>
      </c>
      <c r="H61" s="10"/>
      <c r="I61" s="10">
        <f t="shared" si="8"/>
        <v>122.10872054734183</v>
      </c>
      <c r="J61" s="10">
        <f t="shared" si="6"/>
        <v>798992335.19432139</v>
      </c>
      <c r="K61" s="11">
        <f t="shared" si="7"/>
        <v>7.598029999999989E-2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6418132.8480796637</v>
      </c>
      <c r="D62" s="11">
        <v>1.9E-2</v>
      </c>
      <c r="E62" s="10">
        <f t="shared" si="2"/>
        <v>119670.77930668555</v>
      </c>
      <c r="F62" s="3"/>
      <c r="G62" s="26">
        <v>7.5</v>
      </c>
      <c r="H62" s="10"/>
      <c r="I62" s="10">
        <f t="shared" si="8"/>
        <v>115.69899616007376</v>
      </c>
      <c r="J62" s="10">
        <f t="shared" si="6"/>
        <v>742571527.74481225</v>
      </c>
      <c r="K62" s="11">
        <f t="shared" si="7"/>
        <v>9.5424999999999871E-2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6298462.0687729781</v>
      </c>
      <c r="D63" s="11">
        <v>1.8499999999999999E-2</v>
      </c>
      <c r="E63" s="10">
        <f t="shared" si="2"/>
        <v>114405.05475925375</v>
      </c>
      <c r="F63" s="3"/>
      <c r="G63" s="26">
        <v>11.63</v>
      </c>
      <c r="H63" s="10"/>
      <c r="I63" s="10">
        <f t="shared" si="8"/>
        <v>107.62697317216164</v>
      </c>
      <c r="J63" s="10">
        <f t="shared" si="6"/>
        <v>677884408.10170698</v>
      </c>
      <c r="K63" s="11">
        <f t="shared" si="7"/>
        <v>0.13695155000000003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6184057.0140137244</v>
      </c>
      <c r="D64" s="11">
        <v>1.8499999999999999E-2</v>
      </c>
      <c r="E64" s="10">
        <f t="shared" si="2"/>
        <v>112327.00516372453</v>
      </c>
      <c r="F64" s="3"/>
      <c r="G64" s="26">
        <v>-2.4</v>
      </c>
      <c r="H64" s="10"/>
      <c r="I64" s="10">
        <f t="shared" si="8"/>
        <v>96.414022370475351</v>
      </c>
      <c r="J64" s="10">
        <f t="shared" si="6"/>
        <v>596229811.28941417</v>
      </c>
      <c r="K64" s="11">
        <f t="shared" si="7"/>
        <v>-5.9440000000001714E-3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6071730.0088499999</v>
      </c>
      <c r="D65" s="11">
        <v>1.7999999999999999E-2</v>
      </c>
      <c r="E65" s="10">
        <f t="shared" si="2"/>
        <v>107358.68384999968</v>
      </c>
      <c r="F65" s="3"/>
      <c r="G65" s="26">
        <v>-11.1</v>
      </c>
      <c r="H65" s="10"/>
      <c r="I65" s="10">
        <f t="shared" si="8"/>
        <v>98.78485898614278</v>
      </c>
      <c r="J65" s="10">
        <f t="shared" si="6"/>
        <v>599794992.72617865</v>
      </c>
      <c r="K65" s="11">
        <f t="shared" si="7"/>
        <v>-9.4998000000000027E-2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5964371.3250000002</v>
      </c>
      <c r="D66" s="11">
        <v>1.7500000000000002E-2</v>
      </c>
      <c r="E66" s="10">
        <f t="shared" si="2"/>
        <v>102581.32500000019</v>
      </c>
      <c r="F66" s="3"/>
      <c r="G66" s="26">
        <v>21.65</v>
      </c>
      <c r="H66" s="10"/>
      <c r="I66" s="10">
        <f t="shared" si="8"/>
        <v>111.11907647485127</v>
      </c>
      <c r="J66" s="10">
        <f t="shared" ref="J66:J67" si="9">IF(I66="","",I66*C66)</f>
        <v>662755433.38708496</v>
      </c>
      <c r="K66" s="11">
        <f t="shared" ref="K66" si="10">IFERROR(J66/J67-1,"")</f>
        <v>0.23778874999999977</v>
      </c>
    </row>
    <row r="67" spans="1:11" ht="22.5" customHeight="1">
      <c r="A67" s="3">
        <f t="shared" si="0"/>
        <v>1950</v>
      </c>
      <c r="B67" s="3">
        <v>1700</v>
      </c>
      <c r="C67" s="10">
        <v>5861790</v>
      </c>
      <c r="D67" s="11">
        <v>1.7000000000000001E-2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91.343260562968581</v>
      </c>
      <c r="J67" s="10">
        <f t="shared" si="9"/>
        <v>535435011.33540362</v>
      </c>
      <c r="K67" s="11"/>
    </row>
  </sheetData>
  <dataValidations count="1">
    <dataValidation type="custom" allowBlank="1" showDropDown="1" sqref="D2:D67" xr:uid="{00000000-0002-0000-2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M67"/>
  <sheetViews>
    <sheetView topLeftCell="A31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5393470.1198432725</v>
      </c>
      <c r="D2" s="11">
        <v>0.01</v>
      </c>
      <c r="E2" s="10">
        <f t="shared" ref="E2:E66" si="2">SUM(C2-C3)</f>
        <v>53400.694255874492</v>
      </c>
      <c r="F2" s="14">
        <v>5393380</v>
      </c>
      <c r="G2" s="26">
        <v>0.47</v>
      </c>
      <c r="H2" s="10"/>
      <c r="I2" s="10">
        <f>IF(H2&lt;&gt;"",H2,110160)</f>
        <v>13770</v>
      </c>
      <c r="J2" s="10">
        <f t="shared" ref="J2:J33" si="3">IF(I2="","",I2*C2)</f>
        <v>74268083550.241867</v>
      </c>
      <c r="K2" s="11">
        <f t="shared" ref="K2:K33" si="4">IFERROR(J2/J3-1,"")</f>
        <v>1.4747000000000066E-2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5340069.425587398</v>
      </c>
      <c r="D3" s="11">
        <v>1.1299999999999999E-2</v>
      </c>
      <c r="E3" s="10">
        <f t="shared" si="2"/>
        <v>59668.530118796043</v>
      </c>
      <c r="F3" s="3"/>
      <c r="G3" s="26">
        <v>-0.48</v>
      </c>
      <c r="H3" s="10"/>
      <c r="I3" s="10">
        <f t="shared" ref="I3:I34" si="5">IF(H3&lt;&gt;"",H3,I2/(1+IF(G2="",0,G2)/100))</f>
        <v>13705.583756345179</v>
      </c>
      <c r="J3" s="10">
        <f t="shared" si="3"/>
        <v>73188768777.086166</v>
      </c>
      <c r="K3" s="11">
        <f t="shared" si="4"/>
        <v>6.4457600000000781E-3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5280400.895468602</v>
      </c>
      <c r="D4" s="11">
        <v>1.21E-2</v>
      </c>
      <c r="E4" s="10">
        <f t="shared" si="2"/>
        <v>63128.990055498667</v>
      </c>
      <c r="F4" s="3"/>
      <c r="G4" s="26">
        <v>-0.98</v>
      </c>
      <c r="H4" s="10"/>
      <c r="I4" s="10">
        <f t="shared" si="5"/>
        <v>13771.687858063886</v>
      </c>
      <c r="J4" s="10">
        <f t="shared" si="3"/>
        <v>72720032897.83461</v>
      </c>
      <c r="K4" s="11">
        <f t="shared" si="4"/>
        <v>2.1814200000001005E-3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5217271.9054131033</v>
      </c>
      <c r="D5" s="11">
        <v>1.3100000000000001E-2</v>
      </c>
      <c r="E5" s="10">
        <f t="shared" si="2"/>
        <v>67462.503169393167</v>
      </c>
      <c r="F5" s="3"/>
      <c r="G5" s="26">
        <v>0.52</v>
      </c>
      <c r="H5" s="10"/>
      <c r="I5" s="10">
        <f t="shared" si="5"/>
        <v>13907.986122060074</v>
      </c>
      <c r="J5" s="10">
        <f t="shared" si="3"/>
        <v>72561745255.499359</v>
      </c>
      <c r="K5" s="11">
        <f t="shared" si="4"/>
        <v>1.8368120000000099E-2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5149809.4022437101</v>
      </c>
      <c r="D6" s="11">
        <v>1.2999999999999999E-2</v>
      </c>
      <c r="E6" s="10">
        <f t="shared" si="2"/>
        <v>66088.373375289142</v>
      </c>
      <c r="F6" s="3"/>
      <c r="G6" s="26">
        <v>2.39</v>
      </c>
      <c r="H6" s="10"/>
      <c r="I6" s="10">
        <f t="shared" si="5"/>
        <v>13836.038720712369</v>
      </c>
      <c r="J6" s="10">
        <f t="shared" si="3"/>
        <v>71252962293.73259</v>
      </c>
      <c r="K6" s="11">
        <f t="shared" si="4"/>
        <v>3.721069999999993E-2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5083721.028868421</v>
      </c>
      <c r="D7" s="11">
        <v>1.2500000000000001E-2</v>
      </c>
      <c r="E7" s="10">
        <f t="shared" si="2"/>
        <v>62761.988010721281</v>
      </c>
      <c r="F7" s="3"/>
      <c r="G7" s="26">
        <v>3.17</v>
      </c>
      <c r="H7" s="10"/>
      <c r="I7" s="10">
        <f t="shared" si="5"/>
        <v>13513.076199543284</v>
      </c>
      <c r="J7" s="10">
        <f t="shared" si="3"/>
        <v>68696709640.319557</v>
      </c>
      <c r="K7" s="11">
        <f t="shared" si="4"/>
        <v>4.4596250000000115E-2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5020959.0408576997</v>
      </c>
      <c r="D8" s="11">
        <v>1.26E-2</v>
      </c>
      <c r="E8" s="10">
        <f t="shared" si="2"/>
        <v>62476.875286201015</v>
      </c>
      <c r="F8" s="3"/>
      <c r="G8" s="26">
        <v>-0.32</v>
      </c>
      <c r="H8" s="10"/>
      <c r="I8" s="10">
        <f t="shared" si="5"/>
        <v>13097.873606225921</v>
      </c>
      <c r="J8" s="10">
        <f t="shared" si="3"/>
        <v>65763886899.191483</v>
      </c>
      <c r="K8" s="11">
        <f t="shared" si="4"/>
        <v>9.3596799999999813E-3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4958482.1655714987</v>
      </c>
      <c r="D9" s="11">
        <v>1.2500000000000001E-2</v>
      </c>
      <c r="E9" s="10">
        <f t="shared" si="2"/>
        <v>61215.829204586335</v>
      </c>
      <c r="F9" s="3"/>
      <c r="G9" s="26">
        <v>0.78</v>
      </c>
      <c r="H9" s="10"/>
      <c r="I9" s="10">
        <f t="shared" si="5"/>
        <v>13139.921354560514</v>
      </c>
      <c r="J9" s="10">
        <f t="shared" si="3"/>
        <v>65154065693.600403</v>
      </c>
      <c r="K9" s="11">
        <f t="shared" si="4"/>
        <v>2.0397500000000068E-2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4897266.3363669124</v>
      </c>
      <c r="D10" s="11">
        <v>1.03E-2</v>
      </c>
      <c r="E10" s="10">
        <f t="shared" si="2"/>
        <v>49927.589096881449</v>
      </c>
      <c r="F10" s="3"/>
      <c r="G10" s="26">
        <v>5.31</v>
      </c>
      <c r="H10" s="10"/>
      <c r="I10" s="10">
        <f t="shared" si="5"/>
        <v>13038.223213495252</v>
      </c>
      <c r="J10" s="10">
        <f t="shared" si="3"/>
        <v>63851651629.487923</v>
      </c>
      <c r="K10" s="11">
        <f t="shared" si="4"/>
        <v>6.3946929999999957E-2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4847338.7472700309</v>
      </c>
      <c r="D11" s="11">
        <v>8.0999999999999996E-3</v>
      </c>
      <c r="E11" s="10">
        <f t="shared" si="2"/>
        <v>38947.965333684348</v>
      </c>
      <c r="F11" s="3"/>
      <c r="G11" s="26">
        <v>4.0199999999999996</v>
      </c>
      <c r="H11" s="10"/>
      <c r="I11" s="10">
        <f t="shared" si="5"/>
        <v>12380.802595665418</v>
      </c>
      <c r="J11" s="10">
        <f t="shared" si="3"/>
        <v>60013944144.270355</v>
      </c>
      <c r="K11" s="11">
        <f t="shared" si="4"/>
        <v>4.8625619999999925E-2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4808390.7819363466</v>
      </c>
      <c r="D12" s="11">
        <v>6.7999999999999996E-3</v>
      </c>
      <c r="E12" s="10">
        <f t="shared" si="2"/>
        <v>32476.219027778134</v>
      </c>
      <c r="F12" s="3"/>
      <c r="G12" s="26">
        <v>2.78</v>
      </c>
      <c r="H12" s="10"/>
      <c r="I12" s="10">
        <f t="shared" si="5"/>
        <v>11902.328971030012</v>
      </c>
      <c r="J12" s="10">
        <f t="shared" si="3"/>
        <v>57231048907.874634</v>
      </c>
      <c r="K12" s="11">
        <f t="shared" si="4"/>
        <v>3.478904000000016E-2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4775914.5629085684</v>
      </c>
      <c r="D13" s="11">
        <v>5.8999999999999999E-3</v>
      </c>
      <c r="E13" s="10">
        <f t="shared" si="2"/>
        <v>28012.621454578824</v>
      </c>
      <c r="F13" s="3"/>
      <c r="G13" s="26">
        <v>4.01</v>
      </c>
      <c r="H13" s="10"/>
      <c r="I13" s="10">
        <f t="shared" si="5"/>
        <v>11580.394017347744</v>
      </c>
      <c r="J13" s="10">
        <f t="shared" si="3"/>
        <v>55306972431.670349</v>
      </c>
      <c r="K13" s="11">
        <f t="shared" si="4"/>
        <v>4.6236590000000133E-2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4747901.9414539896</v>
      </c>
      <c r="D14" s="11">
        <v>5.8999999999999999E-3</v>
      </c>
      <c r="E14" s="10">
        <f t="shared" si="2"/>
        <v>27848.316387889907</v>
      </c>
      <c r="F14" s="3"/>
      <c r="G14" s="26">
        <v>2.0099999999999998</v>
      </c>
      <c r="H14" s="10"/>
      <c r="I14" s="10">
        <f t="shared" si="5"/>
        <v>11133.923677865343</v>
      </c>
      <c r="J14" s="10">
        <f t="shared" si="3"/>
        <v>52862777846.137405</v>
      </c>
      <c r="K14" s="11">
        <f t="shared" si="4"/>
        <v>2.6118590000000053E-2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4720053.6250660997</v>
      </c>
      <c r="D15" s="11">
        <v>5.4000000000000003E-3</v>
      </c>
      <c r="E15" s="10">
        <f t="shared" si="2"/>
        <v>25351.392058243044</v>
      </c>
      <c r="F15" s="3"/>
      <c r="G15" s="26">
        <v>1.69</v>
      </c>
      <c r="H15" s="10"/>
      <c r="I15" s="10">
        <f t="shared" si="5"/>
        <v>10914.541395809571</v>
      </c>
      <c r="J15" s="10">
        <f t="shared" si="3"/>
        <v>51517220681.224968</v>
      </c>
      <c r="K15" s="11">
        <f t="shared" si="4"/>
        <v>2.2391260000000024E-2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4694702.2330078566</v>
      </c>
      <c r="D16" s="11">
        <v>5.1000000000000004E-3</v>
      </c>
      <c r="E16" s="10">
        <f t="shared" si="2"/>
        <v>23821.491780261509</v>
      </c>
      <c r="F16" s="3"/>
      <c r="G16" s="26">
        <v>2.64</v>
      </c>
      <c r="H16" s="10"/>
      <c r="I16" s="10">
        <f t="shared" si="5"/>
        <v>10733.151141517919</v>
      </c>
      <c r="J16" s="10">
        <f t="shared" si="3"/>
        <v>50388948631.294998</v>
      </c>
      <c r="K16" s="11">
        <f t="shared" si="4"/>
        <v>3.1634640000000047E-2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4670880.7412275951</v>
      </c>
      <c r="D17" s="11">
        <v>6.4999999999999997E-3</v>
      </c>
      <c r="E17" s="10">
        <f t="shared" si="2"/>
        <v>30164.654563318007</v>
      </c>
      <c r="F17" s="3"/>
      <c r="G17" s="26">
        <v>5.75</v>
      </c>
      <c r="H17" s="10"/>
      <c r="I17" s="10">
        <f t="shared" si="5"/>
        <v>10457.084120730631</v>
      </c>
      <c r="J17" s="10">
        <f t="shared" si="3"/>
        <v>48843792828.917603</v>
      </c>
      <c r="K17" s="11">
        <f t="shared" si="4"/>
        <v>6.4373750000000118E-2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4640716.0866642771</v>
      </c>
      <c r="D18" s="11">
        <v>6.7999999999999996E-3</v>
      </c>
      <c r="E18" s="10">
        <f t="shared" si="2"/>
        <v>31343.73201163765</v>
      </c>
      <c r="F18" s="3"/>
      <c r="G18" s="26">
        <v>4.3899999999999997</v>
      </c>
      <c r="H18" s="10"/>
      <c r="I18" s="10">
        <f t="shared" si="5"/>
        <v>9888.4956224403122</v>
      </c>
      <c r="J18" s="10">
        <f t="shared" si="3"/>
        <v>45889700707.96804</v>
      </c>
      <c r="K18" s="11">
        <f t="shared" si="4"/>
        <v>5.0998520000000047E-2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4609372.3546526395</v>
      </c>
      <c r="D19" s="11">
        <v>6.0000000000000001E-3</v>
      </c>
      <c r="E19" s="10">
        <f t="shared" si="2"/>
        <v>27491.286409459077</v>
      </c>
      <c r="F19" s="3"/>
      <c r="G19" s="26">
        <v>5.45</v>
      </c>
      <c r="H19" s="10"/>
      <c r="I19" s="10">
        <f t="shared" si="5"/>
        <v>9472.6464435676899</v>
      </c>
      <c r="J19" s="10">
        <f t="shared" si="3"/>
        <v>43662954642.379555</v>
      </c>
      <c r="K19" s="11">
        <f t="shared" si="4"/>
        <v>6.0826999999999964E-2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4581881.0682431804</v>
      </c>
      <c r="D20" s="11">
        <v>5.4000000000000003E-3</v>
      </c>
      <c r="E20" s="10">
        <f t="shared" si="2"/>
        <v>24609.267722810619</v>
      </c>
      <c r="F20" s="3"/>
      <c r="G20" s="26">
        <v>1.4</v>
      </c>
      <c r="H20" s="10"/>
      <c r="I20" s="10">
        <f t="shared" si="5"/>
        <v>8983.0691736061544</v>
      </c>
      <c r="J20" s="10">
        <f t="shared" si="3"/>
        <v>41159354581.264954</v>
      </c>
      <c r="K20" s="11">
        <f t="shared" si="4"/>
        <v>1.9475600000000259E-2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4557271.8005203698</v>
      </c>
      <c r="D21" s="11">
        <v>5.1000000000000004E-3</v>
      </c>
      <c r="E21" s="10">
        <f t="shared" si="2"/>
        <v>23124.153002342209</v>
      </c>
      <c r="F21" s="3"/>
      <c r="G21" s="26">
        <v>3.66</v>
      </c>
      <c r="H21" s="10"/>
      <c r="I21" s="10">
        <f t="shared" si="5"/>
        <v>8859.0425775208623</v>
      </c>
      <c r="J21" s="10">
        <f t="shared" si="3"/>
        <v>40373064918.145119</v>
      </c>
      <c r="K21" s="11">
        <f t="shared" si="4"/>
        <v>4.1886659999999853E-2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4534147.6475180276</v>
      </c>
      <c r="D22" s="11">
        <v>5.1999999999999998E-3</v>
      </c>
      <c r="E22" s="10">
        <f t="shared" si="2"/>
        <v>23455.598654093221</v>
      </c>
      <c r="F22" s="3"/>
      <c r="G22" s="26">
        <v>4.2300000000000004</v>
      </c>
      <c r="H22" s="10"/>
      <c r="I22" s="10">
        <f t="shared" si="5"/>
        <v>8546.249833610711</v>
      </c>
      <c r="J22" s="10">
        <f t="shared" si="3"/>
        <v>38749958578.167343</v>
      </c>
      <c r="K22" s="11">
        <f t="shared" si="4"/>
        <v>4.7719960000000228E-2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4510692.0488639344</v>
      </c>
      <c r="D23" s="11">
        <v>5.7000000000000002E-3</v>
      </c>
      <c r="E23" s="10">
        <f t="shared" si="2"/>
        <v>25565.222907949239</v>
      </c>
      <c r="F23" s="3"/>
      <c r="G23" s="26">
        <v>3.2</v>
      </c>
      <c r="H23" s="10"/>
      <c r="I23" s="10">
        <f t="shared" si="5"/>
        <v>8199.4145961917984</v>
      </c>
      <c r="J23" s="10">
        <f t="shared" si="3"/>
        <v>36985034224.381233</v>
      </c>
      <c r="K23" s="11">
        <f t="shared" si="4"/>
        <v>3.7882400000000205E-2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4485126.8259559851</v>
      </c>
      <c r="D24" s="11">
        <v>6.0000000000000001E-3</v>
      </c>
      <c r="E24" s="10">
        <f t="shared" si="2"/>
        <v>26750.259399339557</v>
      </c>
      <c r="F24" s="3"/>
      <c r="G24" s="26">
        <v>1.96</v>
      </c>
      <c r="H24" s="10"/>
      <c r="I24" s="10">
        <f t="shared" si="5"/>
        <v>7945.1691823563933</v>
      </c>
      <c r="J24" s="10">
        <f t="shared" si="3"/>
        <v>35635091436.545441</v>
      </c>
      <c r="K24" s="11">
        <f t="shared" si="4"/>
        <v>2.5717600000000118E-2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4458376.5665566456</v>
      </c>
      <c r="D25" s="11">
        <v>5.7999999999999996E-3</v>
      </c>
      <c r="E25" s="10">
        <f t="shared" si="2"/>
        <v>25709.469164872542</v>
      </c>
      <c r="F25" s="3"/>
      <c r="G25" s="26">
        <v>-0.78</v>
      </c>
      <c r="H25" s="10"/>
      <c r="I25" s="10">
        <f t="shared" si="5"/>
        <v>7792.437409137302</v>
      </c>
      <c r="J25" s="10">
        <f t="shared" si="3"/>
        <v>34741620341.257126</v>
      </c>
      <c r="K25" s="11">
        <f t="shared" si="4"/>
        <v>-2.0452400000000592E-3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4432667.097391773</v>
      </c>
      <c r="D26" s="11">
        <v>4.7999999999999996E-3</v>
      </c>
      <c r="E26" s="10">
        <f t="shared" si="2"/>
        <v>21175.16129327286</v>
      </c>
      <c r="F26" s="3"/>
      <c r="G26" s="26">
        <v>-3.31</v>
      </c>
      <c r="H26" s="10"/>
      <c r="I26" s="10">
        <f t="shared" si="5"/>
        <v>7853.6962398078031</v>
      </c>
      <c r="J26" s="10">
        <f t="shared" si="3"/>
        <v>34812820915.105537</v>
      </c>
      <c r="K26" s="11">
        <f t="shared" si="4"/>
        <v>-2.8458879999999964E-2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4411491.9360985002</v>
      </c>
      <c r="D27" s="11">
        <v>3.3999999999999998E-3</v>
      </c>
      <c r="E27" s="10">
        <f t="shared" si="2"/>
        <v>14948.248537707143</v>
      </c>
      <c r="F27" s="3"/>
      <c r="G27" s="26">
        <v>-5.88</v>
      </c>
      <c r="H27" s="10"/>
      <c r="I27" s="10">
        <f t="shared" si="5"/>
        <v>8122.5527353478155</v>
      </c>
      <c r="J27" s="10">
        <f t="shared" si="3"/>
        <v>35832575892.521706</v>
      </c>
      <c r="K27" s="11">
        <f t="shared" si="4"/>
        <v>-5.5599919999999803E-2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4396543.687560793</v>
      </c>
      <c r="D28" s="11">
        <v>4.1000000000000003E-3</v>
      </c>
      <c r="E28" s="10">
        <f t="shared" si="2"/>
        <v>17952.224996513687</v>
      </c>
      <c r="F28" s="3"/>
      <c r="G28" s="26">
        <v>5.08</v>
      </c>
      <c r="H28" s="10"/>
      <c r="I28" s="10">
        <f t="shared" si="5"/>
        <v>8629.9965313937682</v>
      </c>
      <c r="J28" s="10">
        <f t="shared" si="3"/>
        <v>37942156773.770813</v>
      </c>
      <c r="K28" s="11">
        <f t="shared" si="4"/>
        <v>5.5108280000000009E-2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4378591.4625642793</v>
      </c>
      <c r="D29" s="11">
        <v>5.4000000000000003E-3</v>
      </c>
      <c r="E29" s="10">
        <f t="shared" si="2"/>
        <v>23517.399938181043</v>
      </c>
      <c r="F29" s="3"/>
      <c r="G29" s="26">
        <v>5.23</v>
      </c>
      <c r="H29" s="10"/>
      <c r="I29" s="10">
        <f t="shared" si="5"/>
        <v>8212.7869541242562</v>
      </c>
      <c r="J29" s="10">
        <f t="shared" si="3"/>
        <v>35960438841.187759</v>
      </c>
      <c r="K29" s="11">
        <f t="shared" si="4"/>
        <v>5.7982419999999868E-2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4355074.0626260983</v>
      </c>
      <c r="D30" s="12">
        <v>4.7000000000000002E-3</v>
      </c>
      <c r="E30" s="10">
        <f t="shared" si="2"/>
        <v>20373.094549957663</v>
      </c>
      <c r="F30" s="3"/>
      <c r="G30" s="26">
        <v>3.56</v>
      </c>
      <c r="H30" s="10"/>
      <c r="I30" s="10">
        <f t="shared" si="5"/>
        <v>7804.6060573261011</v>
      </c>
      <c r="J30" s="10">
        <f t="shared" si="3"/>
        <v>33989637409.27544</v>
      </c>
      <c r="K30" s="11">
        <f t="shared" si="4"/>
        <v>4.0467320000000084E-2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4334700.9680761406</v>
      </c>
      <c r="D31" s="13">
        <v>3.5999999999999999E-3</v>
      </c>
      <c r="E31" s="10">
        <f t="shared" si="2"/>
        <v>15548.94727488514</v>
      </c>
      <c r="F31" s="3"/>
      <c r="G31" s="26">
        <v>2.76</v>
      </c>
      <c r="H31" s="10"/>
      <c r="I31" s="10">
        <f t="shared" si="5"/>
        <v>7536.3133037138859</v>
      </c>
      <c r="J31" s="10">
        <f t="shared" si="3"/>
        <v>32667664573.333679</v>
      </c>
      <c r="K31" s="11">
        <f t="shared" si="4"/>
        <v>3.129936000000022E-2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4319152.0208012555</v>
      </c>
      <c r="D32" s="12">
        <v>3.0000000000000001E-3</v>
      </c>
      <c r="E32" s="10">
        <f t="shared" si="2"/>
        <v>12918.699962515384</v>
      </c>
      <c r="F32" s="3"/>
      <c r="G32" s="26">
        <v>3.54</v>
      </c>
      <c r="H32" s="10"/>
      <c r="I32" s="10">
        <f t="shared" si="5"/>
        <v>7333.8977264634932</v>
      </c>
      <c r="J32" s="10">
        <f t="shared" si="3"/>
        <v>31676219185.60453</v>
      </c>
      <c r="K32" s="11">
        <f t="shared" si="4"/>
        <v>3.8506199999999824E-2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4306233.3208387401</v>
      </c>
      <c r="D33" s="13">
        <v>2.8E-3</v>
      </c>
      <c r="E33" s="10">
        <f t="shared" si="2"/>
        <v>12023.786695600487</v>
      </c>
      <c r="F33" s="3"/>
      <c r="G33" s="26">
        <v>1.23</v>
      </c>
      <c r="H33" s="10"/>
      <c r="I33" s="10">
        <f t="shared" si="5"/>
        <v>7083.1540723039334</v>
      </c>
      <c r="J33" s="10">
        <f t="shared" si="3"/>
        <v>30501714082.789814</v>
      </c>
      <c r="K33" s="11">
        <f t="shared" si="4"/>
        <v>1.5134439999999971E-2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4294209.5341431396</v>
      </c>
      <c r="D34" s="12">
        <v>3.3E-3</v>
      </c>
      <c r="E34" s="10">
        <f t="shared" si="2"/>
        <v>14124.281334269792</v>
      </c>
      <c r="F34" s="3"/>
      <c r="G34" s="26">
        <v>-0.2</v>
      </c>
      <c r="H34" s="10"/>
      <c r="I34" s="10">
        <f t="shared" si="5"/>
        <v>6997.0898669405642</v>
      </c>
      <c r="J34" s="10">
        <f t="shared" ref="J34:J65" si="6">IF(I34="","",I34*C34)</f>
        <v>30046970017.872524</v>
      </c>
      <c r="K34" s="11">
        <f t="shared" ref="K34:K65" si="7">IFERROR(J34/J35-1,"")</f>
        <v>1.433630000000008E-2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4280085.2528088698</v>
      </c>
      <c r="D35" s="11">
        <v>3.7000000000000002E-3</v>
      </c>
      <c r="E35" s="10">
        <f t="shared" si="2"/>
        <v>15777.937068240717</v>
      </c>
      <c r="F35" s="3"/>
      <c r="G35" s="26">
        <v>-1.61</v>
      </c>
      <c r="H35" s="10"/>
      <c r="I35" s="10">
        <f t="shared" ref="I35:I66" si="8">IF(H35&lt;&gt;"",H35,I34/(1+IF(G34="",0,G34)/100))</f>
        <v>6920.9593144812707</v>
      </c>
      <c r="J35" s="10">
        <f t="shared" si="6"/>
        <v>29622295897.201473</v>
      </c>
      <c r="K35" s="11">
        <f t="shared" si="7"/>
        <v>1.4640329999999979E-2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4264307.3157406291</v>
      </c>
      <c r="D36" s="11">
        <v>3.3999999999999998E-3</v>
      </c>
      <c r="E36" s="10">
        <f t="shared" si="2"/>
        <v>14449.516517359763</v>
      </c>
      <c r="F36" s="3"/>
      <c r="G36" s="26">
        <v>-3.51</v>
      </c>
      <c r="H36" s="10"/>
      <c r="I36" s="10">
        <f t="shared" si="8"/>
        <v>6846.3342709281542</v>
      </c>
      <c r="J36" s="10">
        <f t="shared" si="6"/>
        <v>29194873317.524715</v>
      </c>
      <c r="K36" s="11">
        <f t="shared" si="7"/>
        <v>1.6343860000000099E-2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4249857.7992232693</v>
      </c>
      <c r="D37" s="11">
        <v>3.2000000000000002E-3</v>
      </c>
      <c r="E37" s="10">
        <f t="shared" si="2"/>
        <v>13556.165228783153</v>
      </c>
      <c r="F37" s="3"/>
      <c r="G37" s="26">
        <v>-3.91</v>
      </c>
      <c r="H37" s="10"/>
      <c r="I37" s="10">
        <f t="shared" si="8"/>
        <v>6759.1413475448262</v>
      </c>
      <c r="J37" s="10">
        <f t="shared" si="6"/>
        <v>28725389571.915859</v>
      </c>
      <c r="K37" s="11">
        <f t="shared" si="7"/>
        <v>1.714448000000024E-2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4236301.6339944862</v>
      </c>
      <c r="D38" s="11">
        <v>3.3999999999999998E-3</v>
      </c>
      <c r="E38" s="10">
        <f t="shared" si="2"/>
        <v>14354.619848097675</v>
      </c>
      <c r="F38" s="3"/>
      <c r="G38" s="26">
        <v>-4.82</v>
      </c>
      <c r="H38" s="10"/>
      <c r="I38" s="10">
        <f t="shared" si="8"/>
        <v>6666.4773128955776</v>
      </c>
      <c r="J38" s="10">
        <f t="shared" si="6"/>
        <v>28241208733.606709</v>
      </c>
      <c r="K38" s="11">
        <f t="shared" si="7"/>
        <v>-7.8380799999999695E-3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4221947.0141463885</v>
      </c>
      <c r="D39" s="11">
        <v>3.8E-3</v>
      </c>
      <c r="E39" s="10">
        <f t="shared" si="2"/>
        <v>15982.664528547786</v>
      </c>
      <c r="F39" s="3"/>
      <c r="G39" s="26">
        <v>2.92</v>
      </c>
      <c r="H39" s="10"/>
      <c r="I39" s="10">
        <f t="shared" si="8"/>
        <v>6741.987573721256</v>
      </c>
      <c r="J39" s="10">
        <f t="shared" si="6"/>
        <v>28464314306.284512</v>
      </c>
      <c r="K39" s="11">
        <f t="shared" si="7"/>
        <v>3.3110959999999912E-2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4205964.3496178407</v>
      </c>
      <c r="D40" s="11">
        <v>4.1999999999999997E-3</v>
      </c>
      <c r="E40" s="10">
        <f t="shared" si="2"/>
        <v>17591.167365459725</v>
      </c>
      <c r="F40" s="3"/>
      <c r="G40" s="26">
        <v>0.24</v>
      </c>
      <c r="H40" s="10"/>
      <c r="I40" s="10">
        <f t="shared" si="8"/>
        <v>6550.706931326522</v>
      </c>
      <c r="J40" s="10">
        <f t="shared" si="6"/>
        <v>27552039817.953835</v>
      </c>
      <c r="K40" s="11">
        <f t="shared" si="7"/>
        <v>6.6100799999997406E-3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4188373.182252381</v>
      </c>
      <c r="D41" s="11">
        <v>4.7000000000000002E-3</v>
      </c>
      <c r="E41" s="10">
        <f t="shared" si="2"/>
        <v>19593.265608227346</v>
      </c>
      <c r="F41" s="3"/>
      <c r="G41" s="26">
        <v>0.34</v>
      </c>
      <c r="H41" s="10"/>
      <c r="I41" s="10">
        <f t="shared" si="8"/>
        <v>6535.0228764231069</v>
      </c>
      <c r="J41" s="10">
        <f t="shared" si="6"/>
        <v>27371114561.016357</v>
      </c>
      <c r="K41" s="11">
        <f t="shared" si="7"/>
        <v>8.1159799999999116E-3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4168779.9166441537</v>
      </c>
      <c r="D42" s="11">
        <v>5.4999999999999997E-3</v>
      </c>
      <c r="E42" s="10">
        <f t="shared" si="2"/>
        <v>22802.873735995032</v>
      </c>
      <c r="F42" s="3"/>
      <c r="G42" s="26">
        <v>-5.2</v>
      </c>
      <c r="H42" s="10"/>
      <c r="I42" s="10">
        <f t="shared" si="8"/>
        <v>6512.8790875255199</v>
      </c>
      <c r="J42" s="10">
        <f t="shared" si="6"/>
        <v>27150759539.608089</v>
      </c>
      <c r="K42" s="11">
        <f t="shared" si="7"/>
        <v>-4.6785999999999883E-2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4145977.0429081586</v>
      </c>
      <c r="D43" s="11">
        <v>6.1999999999999998E-3</v>
      </c>
      <c r="E43" s="10">
        <f t="shared" si="2"/>
        <v>25546.668322431389</v>
      </c>
      <c r="F43" s="3"/>
      <c r="G43" s="26">
        <v>3.24</v>
      </c>
      <c r="H43" s="10"/>
      <c r="I43" s="10">
        <f t="shared" si="8"/>
        <v>6870.1256197526582</v>
      </c>
      <c r="J43" s="10">
        <f t="shared" si="6"/>
        <v>28483383101.389706</v>
      </c>
      <c r="K43" s="11">
        <f t="shared" si="7"/>
        <v>3.8800879999999927E-2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4120430.3745857272</v>
      </c>
      <c r="D44" s="11">
        <v>7.0000000000000001E-3</v>
      </c>
      <c r="E44" s="10">
        <f t="shared" si="2"/>
        <v>28642.515016980935</v>
      </c>
      <c r="F44" s="3"/>
      <c r="G44" s="26">
        <v>4.9800000000000004</v>
      </c>
      <c r="H44" s="10"/>
      <c r="I44" s="10">
        <f t="shared" si="8"/>
        <v>6654.519197745698</v>
      </c>
      <c r="J44" s="10">
        <f t="shared" si="6"/>
        <v>27419483030.65522</v>
      </c>
      <c r="K44" s="11">
        <f t="shared" si="7"/>
        <v>5.7148600000000105E-2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4091787.8595687463</v>
      </c>
      <c r="D45" s="11">
        <v>7.6E-3</v>
      </c>
      <c r="E45" s="10">
        <f t="shared" si="2"/>
        <v>30863.028714492451</v>
      </c>
      <c r="F45" s="3"/>
      <c r="G45" s="26">
        <v>7.74</v>
      </c>
      <c r="H45" s="10"/>
      <c r="I45" s="10">
        <f t="shared" si="8"/>
        <v>6338.8447301826036</v>
      </c>
      <c r="J45" s="10">
        <f t="shared" si="6"/>
        <v>25937207910.652504</v>
      </c>
      <c r="K45" s="11">
        <f t="shared" si="7"/>
        <v>8.5588240000000093E-2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4060924.8308542538</v>
      </c>
      <c r="D46" s="11">
        <v>7.0000000000000001E-3</v>
      </c>
      <c r="E46" s="10">
        <f t="shared" si="2"/>
        <v>28228.871713981498</v>
      </c>
      <c r="F46" s="3"/>
      <c r="G46" s="26">
        <v>2.36</v>
      </c>
      <c r="H46" s="10"/>
      <c r="I46" s="10">
        <f t="shared" si="8"/>
        <v>5883.4645722875475</v>
      </c>
      <c r="J46" s="10">
        <f t="shared" si="6"/>
        <v>23892307373.053802</v>
      </c>
      <c r="K46" s="11">
        <f t="shared" si="7"/>
        <v>3.0765199999999826E-2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4032695.9591402723</v>
      </c>
      <c r="D47" s="11">
        <v>7.3000000000000001E-3</v>
      </c>
      <c r="E47" s="10">
        <f t="shared" si="2"/>
        <v>29225.335552193224</v>
      </c>
      <c r="F47" s="3"/>
      <c r="G47" s="26">
        <v>2.4700000000000002</v>
      </c>
      <c r="H47" s="10"/>
      <c r="I47" s="10">
        <f t="shared" si="8"/>
        <v>5747.8161120433251</v>
      </c>
      <c r="J47" s="10">
        <f t="shared" si="6"/>
        <v>23179194808.918468</v>
      </c>
      <c r="K47" s="11">
        <f t="shared" si="7"/>
        <v>3.218030999999999E-2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4003470.6235880791</v>
      </c>
      <c r="D48" s="11">
        <v>8.0999999999999996E-3</v>
      </c>
      <c r="E48" s="10">
        <f t="shared" si="2"/>
        <v>32167.554856724106</v>
      </c>
      <c r="F48" s="3"/>
      <c r="G48" s="26">
        <v>2.59</v>
      </c>
      <c r="H48" s="10"/>
      <c r="I48" s="10">
        <f t="shared" si="8"/>
        <v>5609.2672119091685</v>
      </c>
      <c r="J48" s="10">
        <f t="shared" si="6"/>
        <v>22456536502.734165</v>
      </c>
      <c r="K48" s="11">
        <f t="shared" si="7"/>
        <v>3.4209790000000018E-2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3971303.068731355</v>
      </c>
      <c r="D49" s="11">
        <v>8.3999999999999995E-3</v>
      </c>
      <c r="E49" s="10">
        <f t="shared" si="2"/>
        <v>33081.06483274838</v>
      </c>
      <c r="F49" s="3"/>
      <c r="G49" s="26">
        <v>3.3</v>
      </c>
      <c r="H49" s="10"/>
      <c r="I49" s="10">
        <f t="shared" si="8"/>
        <v>5467.6549487368829</v>
      </c>
      <c r="J49" s="10">
        <f t="shared" si="6"/>
        <v>21713714876.682964</v>
      </c>
      <c r="K49" s="11">
        <f t="shared" si="7"/>
        <v>4.1677200000000081E-2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3938222.0038986066</v>
      </c>
      <c r="D50" s="11">
        <v>8.3999999999999995E-3</v>
      </c>
      <c r="E50" s="10">
        <f t="shared" si="2"/>
        <v>32805.498644137289</v>
      </c>
      <c r="F50" s="3"/>
      <c r="G50" s="26">
        <v>3.17</v>
      </c>
      <c r="H50" s="10"/>
      <c r="I50" s="10">
        <f t="shared" si="8"/>
        <v>5292.9863976155693</v>
      </c>
      <c r="J50" s="10">
        <f t="shared" si="6"/>
        <v>20844955497.425655</v>
      </c>
      <c r="K50" s="11">
        <f t="shared" si="7"/>
        <v>4.0366279999999977E-2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3905416.5052544693</v>
      </c>
      <c r="D51" s="11">
        <v>8.0000000000000002E-3</v>
      </c>
      <c r="E51" s="10">
        <f t="shared" si="2"/>
        <v>30995.369089321233</v>
      </c>
      <c r="F51" s="3"/>
      <c r="G51" s="26">
        <v>2.37</v>
      </c>
      <c r="H51" s="10"/>
      <c r="I51" s="10">
        <f t="shared" si="8"/>
        <v>5130.3541704134623</v>
      </c>
      <c r="J51" s="10">
        <f t="shared" si="6"/>
        <v>20036169854.933838</v>
      </c>
      <c r="K51" s="11">
        <f t="shared" si="7"/>
        <v>3.1889600000000184E-2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3874421.1361651481</v>
      </c>
      <c r="D52" s="11">
        <v>7.7999999999999996E-3</v>
      </c>
      <c r="E52" s="10">
        <f t="shared" si="2"/>
        <v>29986.589464266784</v>
      </c>
      <c r="F52" s="3"/>
      <c r="G52" s="26">
        <v>5.3</v>
      </c>
      <c r="H52" s="10"/>
      <c r="I52" s="10">
        <f t="shared" si="8"/>
        <v>5011.5797307936527</v>
      </c>
      <c r="J52" s="10">
        <f t="shared" si="6"/>
        <v>19416970434.56377</v>
      </c>
      <c r="K52" s="11">
        <f t="shared" si="7"/>
        <v>6.1213399999999973E-2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3844434.5467008813</v>
      </c>
      <c r="D53" s="11">
        <v>7.6E-3</v>
      </c>
      <c r="E53" s="10">
        <f t="shared" si="2"/>
        <v>28997.322900880128</v>
      </c>
      <c r="F53" s="3"/>
      <c r="G53" s="26">
        <v>5.24</v>
      </c>
      <c r="H53" s="10"/>
      <c r="I53" s="10">
        <f t="shared" si="8"/>
        <v>4759.3349770120158</v>
      </c>
      <c r="J53" s="10">
        <f t="shared" si="6"/>
        <v>18296951804.946838</v>
      </c>
      <c r="K53" s="11">
        <f t="shared" si="7"/>
        <v>6.0398240000000047E-2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3815437.2238000012</v>
      </c>
      <c r="D54" s="11">
        <v>7.6E-3</v>
      </c>
      <c r="E54" s="10">
        <f t="shared" si="2"/>
        <v>28778.605499087367</v>
      </c>
      <c r="F54" s="3"/>
      <c r="G54" s="26">
        <v>3.29</v>
      </c>
      <c r="H54" s="10"/>
      <c r="I54" s="10">
        <f t="shared" si="8"/>
        <v>4522.3631480539871</v>
      </c>
      <c r="J54" s="10">
        <f t="shared" si="6"/>
        <v>17254792694.626537</v>
      </c>
      <c r="K54" s="11">
        <f t="shared" si="7"/>
        <v>4.0750040000000043E-2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3786658.6183009138</v>
      </c>
      <c r="D55" s="11">
        <v>8.0000000000000002E-3</v>
      </c>
      <c r="E55" s="10">
        <f t="shared" si="2"/>
        <v>30052.846176991239</v>
      </c>
      <c r="F55" s="3"/>
      <c r="G55" s="26">
        <v>2.98</v>
      </c>
      <c r="H55" s="10"/>
      <c r="I55" s="10">
        <f t="shared" si="8"/>
        <v>4378.3165340826672</v>
      </c>
      <c r="J55" s="10">
        <f t="shared" si="6"/>
        <v>16579190037.433519</v>
      </c>
      <c r="K55" s="11">
        <f t="shared" si="7"/>
        <v>3.8038400000000028E-2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3756605.7721239226</v>
      </c>
      <c r="D56" s="11">
        <v>7.9000000000000008E-3</v>
      </c>
      <c r="E56" s="10">
        <f t="shared" si="2"/>
        <v>29444.573469371069</v>
      </c>
      <c r="F56" s="3"/>
      <c r="G56" s="26">
        <v>2.6</v>
      </c>
      <c r="H56" s="10"/>
      <c r="I56" s="10">
        <f t="shared" si="8"/>
        <v>4251.6183084896747</v>
      </c>
      <c r="J56" s="10">
        <f t="shared" si="6"/>
        <v>15971653878.54006</v>
      </c>
      <c r="K56" s="11">
        <f t="shared" si="7"/>
        <v>3.4105400000000285E-2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3727161.1986545515</v>
      </c>
      <c r="D57" s="11">
        <v>8.5000000000000006E-3</v>
      </c>
      <c r="E57" s="10">
        <f t="shared" si="2"/>
        <v>31413.852442799602</v>
      </c>
      <c r="F57" s="3"/>
      <c r="G57" s="26">
        <v>2.14</v>
      </c>
      <c r="H57" s="10"/>
      <c r="I57" s="10">
        <f t="shared" si="8"/>
        <v>4143.8774936546533</v>
      </c>
      <c r="J57" s="10">
        <f t="shared" si="6"/>
        <v>15444899406.327496</v>
      </c>
      <c r="K57" s="11">
        <f t="shared" si="7"/>
        <v>3.0081899999999884E-2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3695747.3462117519</v>
      </c>
      <c r="D58" s="11">
        <v>8.5000000000000006E-3</v>
      </c>
      <c r="E58" s="10">
        <f t="shared" si="2"/>
        <v>31149.08521844307</v>
      </c>
      <c r="F58" s="3"/>
      <c r="G58" s="26">
        <v>5.96</v>
      </c>
      <c r="H58" s="10"/>
      <c r="I58" s="10">
        <f t="shared" si="8"/>
        <v>4057.0564848782583</v>
      </c>
      <c r="J58" s="10">
        <f t="shared" si="6"/>
        <v>14993855737.420002</v>
      </c>
      <c r="K58" s="11">
        <f t="shared" si="7"/>
        <v>6.8606600000000073E-2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3664598.2609933089</v>
      </c>
      <c r="D59" s="11">
        <v>8.5000000000000006E-3</v>
      </c>
      <c r="E59" s="10">
        <f t="shared" si="2"/>
        <v>30886.549547290895</v>
      </c>
      <c r="F59" s="3"/>
      <c r="G59" s="26">
        <v>0.53</v>
      </c>
      <c r="H59" s="10"/>
      <c r="I59" s="10">
        <f t="shared" si="8"/>
        <v>3828.8566297454304</v>
      </c>
      <c r="J59" s="10">
        <f t="shared" si="6"/>
        <v>14031221346.957806</v>
      </c>
      <c r="K59" s="11">
        <f t="shared" si="7"/>
        <v>1.3845050000000025E-2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3633711.711446018</v>
      </c>
      <c r="D60" s="11">
        <v>8.5000000000000006E-3</v>
      </c>
      <c r="E60" s="10">
        <f t="shared" si="2"/>
        <v>30626.226621012203</v>
      </c>
      <c r="F60" s="3"/>
      <c r="G60" s="26">
        <v>1.71</v>
      </c>
      <c r="H60" s="10"/>
      <c r="I60" s="10">
        <f t="shared" si="8"/>
        <v>3808.6706751670449</v>
      </c>
      <c r="J60" s="10">
        <f t="shared" si="6"/>
        <v>13839611237.395504</v>
      </c>
      <c r="K60" s="11">
        <f t="shared" si="7"/>
        <v>2.574535E-2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3603085.4848250058</v>
      </c>
      <c r="D61" s="11">
        <v>8.9999999999999993E-3</v>
      </c>
      <c r="E61" s="10">
        <f t="shared" si="2"/>
        <v>32138.522659489419</v>
      </c>
      <c r="F61" s="3"/>
      <c r="G61" s="26">
        <v>3.01</v>
      </c>
      <c r="H61" s="10"/>
      <c r="I61" s="10">
        <f t="shared" si="8"/>
        <v>3744.6373760368156</v>
      </c>
      <c r="J61" s="10">
        <f t="shared" si="6"/>
        <v>13492248575.531446</v>
      </c>
      <c r="K61" s="11">
        <f t="shared" si="7"/>
        <v>3.9370899999999986E-2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3570946.9621655163</v>
      </c>
      <c r="D62" s="11">
        <v>9.4999999999999998E-3</v>
      </c>
      <c r="E62" s="10">
        <f t="shared" si="2"/>
        <v>33604.751006015576</v>
      </c>
      <c r="F62" s="3"/>
      <c r="G62" s="26">
        <v>2.09</v>
      </c>
      <c r="H62" s="10"/>
      <c r="I62" s="10">
        <f t="shared" si="8"/>
        <v>3635.2173342751339</v>
      </c>
      <c r="J62" s="10">
        <f t="shared" si="6"/>
        <v>12981168296.641216</v>
      </c>
      <c r="K62" s="11">
        <f t="shared" si="7"/>
        <v>3.0598550000000113E-2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3537342.2111595008</v>
      </c>
      <c r="D63" s="11">
        <v>9.4999999999999998E-3</v>
      </c>
      <c r="E63" s="10">
        <f t="shared" si="2"/>
        <v>33288.510159500409</v>
      </c>
      <c r="F63" s="3"/>
      <c r="G63" s="26">
        <v>3.76</v>
      </c>
      <c r="H63" s="10"/>
      <c r="I63" s="10">
        <f t="shared" si="8"/>
        <v>3560.7966835881421</v>
      </c>
      <c r="J63" s="10">
        <f t="shared" si="6"/>
        <v>12595756414.213095</v>
      </c>
      <c r="K63" s="11">
        <f t="shared" si="7"/>
        <v>4.7457200000000199E-2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3504053.7010000004</v>
      </c>
      <c r="D64" s="11">
        <v>0.01</v>
      </c>
      <c r="E64" s="10">
        <f t="shared" si="2"/>
        <v>34693.601000000257</v>
      </c>
      <c r="F64" s="3"/>
      <c r="G64" s="26">
        <v>0.72</v>
      </c>
      <c r="H64" s="10"/>
      <c r="I64" s="10">
        <f t="shared" si="8"/>
        <v>3431.762416719489</v>
      </c>
      <c r="J64" s="10">
        <f t="shared" si="6"/>
        <v>12025079797.258631</v>
      </c>
      <c r="K64" s="11">
        <f t="shared" si="7"/>
        <v>1.7271999999999954E-2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3469360.1</v>
      </c>
      <c r="D65" s="11">
        <v>0.01</v>
      </c>
      <c r="E65" s="10">
        <f t="shared" si="2"/>
        <v>34350.100000000093</v>
      </c>
      <c r="F65" s="3"/>
      <c r="G65" s="26">
        <v>3.34</v>
      </c>
      <c r="H65" s="10"/>
      <c r="I65" s="10">
        <f t="shared" si="8"/>
        <v>3407.2303581408746</v>
      </c>
      <c r="J65" s="10">
        <f t="shared" si="6"/>
        <v>11820909056.042662</v>
      </c>
      <c r="K65" s="11">
        <f t="shared" si="7"/>
        <v>4.3734000000000162E-2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3435010</v>
      </c>
      <c r="D66" s="11">
        <v>0.01</v>
      </c>
      <c r="E66" s="10">
        <f t="shared" si="2"/>
        <v>34010</v>
      </c>
      <c r="F66" s="3"/>
      <c r="G66" s="26">
        <v>3.51</v>
      </c>
      <c r="H66" s="10"/>
      <c r="I66" s="10">
        <f t="shared" si="8"/>
        <v>3297.1069848469851</v>
      </c>
      <c r="J66" s="10">
        <f t="shared" ref="J66:J67" si="9">IF(I66="","",I66*C66)</f>
        <v>11325595464.019243</v>
      </c>
      <c r="K66" s="11">
        <f t="shared" ref="K66" si="10">IFERROR(J66/J67-1,"")</f>
        <v>4.5450999999999908E-2</v>
      </c>
    </row>
    <row r="67" spans="1:11" ht="22.5" customHeight="1">
      <c r="A67" s="3">
        <f t="shared" si="0"/>
        <v>1950</v>
      </c>
      <c r="B67" s="3">
        <v>1700</v>
      </c>
      <c r="C67" s="10">
        <v>3401000</v>
      </c>
      <c r="D67" s="11">
        <v>0.01</v>
      </c>
      <c r="E67" s="3" t="s">
        <v>72</v>
      </c>
      <c r="F67" s="3"/>
      <c r="G67" s="26">
        <v>3.84</v>
      </c>
      <c r="H67" s="10"/>
      <c r="I67" s="10">
        <f t="shared" ref="I67" si="11">IF(H67&lt;&gt;"",H67,I66/(1+IF(G66="",0,G66)/100))</f>
        <v>3185.3028546488122</v>
      </c>
      <c r="J67" s="10">
        <f t="shared" si="9"/>
        <v>10833215008.66061</v>
      </c>
      <c r="K67" s="11"/>
    </row>
  </sheetData>
  <dataValidations count="1">
    <dataValidation type="custom" allowBlank="1" showDropDown="1" sqref="D2:D67" xr:uid="{00000000-0002-0000-2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M67"/>
  <sheetViews>
    <sheetView workbookViewId="0">
      <selection activeCell="K18" sqref="K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495256.78734733211</v>
      </c>
      <c r="D2" s="11">
        <v>4.7999999999999996E-3</v>
      </c>
      <c r="E2" s="10">
        <f t="shared" ref="E2:E66" si="2">SUM(C2-C3)</f>
        <v>2365.8763726783218</v>
      </c>
      <c r="F2" s="14">
        <v>495291</v>
      </c>
      <c r="G2" s="26">
        <v>3.5</v>
      </c>
      <c r="H2" s="10"/>
      <c r="I2" s="10">
        <f>IF(H2&lt;&gt;"",H2,18096)</f>
        <v>2262</v>
      </c>
      <c r="J2" s="10">
        <f t="shared" ref="J2:J33" si="3">IF(I2="","",I2*C2)</f>
        <v>1120270852.9796653</v>
      </c>
      <c r="K2" s="11">
        <f t="shared" ref="K2:K33" si="4">IFERROR(J2/J3-1,"")</f>
        <v>3.9968000000000004E-2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492890.91097465379</v>
      </c>
      <c r="D3" s="11">
        <v>5.4999999999999997E-3</v>
      </c>
      <c r="E3" s="10">
        <f t="shared" si="2"/>
        <v>2696.0716164700571</v>
      </c>
      <c r="F3" s="3"/>
      <c r="G3" s="26">
        <v>3.11</v>
      </c>
      <c r="H3" s="10"/>
      <c r="I3" s="10">
        <f t="shared" ref="I3:I34" si="5">IF(H3&lt;&gt;"",H3,I2/(1+IF(G2="",0,G2)/100))</f>
        <v>2185.507246376812</v>
      </c>
      <c r="J3" s="10">
        <f t="shared" si="3"/>
        <v>1077216657.6083739</v>
      </c>
      <c r="K3" s="11">
        <f t="shared" si="4"/>
        <v>3.6771050000000027E-2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490194.83935818373</v>
      </c>
      <c r="D4" s="11">
        <v>7.4999999999999997E-3</v>
      </c>
      <c r="E4" s="10">
        <f t="shared" si="2"/>
        <v>3649.09309695923</v>
      </c>
      <c r="F4" s="3"/>
      <c r="G4" s="26">
        <v>0.46</v>
      </c>
      <c r="H4" s="10"/>
      <c r="I4" s="10">
        <f t="shared" si="5"/>
        <v>2119.5880577798584</v>
      </c>
      <c r="J4" s="10">
        <f t="shared" si="3"/>
        <v>1039011127.4889224</v>
      </c>
      <c r="K4" s="11">
        <f t="shared" si="4"/>
        <v>1.2134499999999937E-2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486545.7462612245</v>
      </c>
      <c r="D5" s="11">
        <v>8.9999999999999993E-3</v>
      </c>
      <c r="E5" s="10">
        <f t="shared" si="2"/>
        <v>4339.8530389999505</v>
      </c>
      <c r="F5" s="3"/>
      <c r="G5" s="26">
        <v>1.01</v>
      </c>
      <c r="H5" s="10"/>
      <c r="I5" s="10">
        <f t="shared" si="5"/>
        <v>2109.8825978298414</v>
      </c>
      <c r="J5" s="10">
        <f t="shared" si="3"/>
        <v>1026554403.0846912</v>
      </c>
      <c r="K5" s="11">
        <f t="shared" si="4"/>
        <v>1.9190899999999678E-2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482205.89322222455</v>
      </c>
      <c r="D6" s="11">
        <v>0.01</v>
      </c>
      <c r="E6" s="10">
        <f t="shared" si="2"/>
        <v>4774.3157744774944</v>
      </c>
      <c r="F6" s="3"/>
      <c r="G6" s="26">
        <v>3.14</v>
      </c>
      <c r="H6" s="10"/>
      <c r="I6" s="10">
        <f t="shared" si="5"/>
        <v>2088.7858606374039</v>
      </c>
      <c r="J6" s="10">
        <f t="shared" si="3"/>
        <v>1007224851.6786124</v>
      </c>
      <c r="K6" s="11">
        <f t="shared" si="4"/>
        <v>4.1714000000000251E-2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477431.57744774705</v>
      </c>
      <c r="D7" s="11">
        <v>1.0800000000000001E-2</v>
      </c>
      <c r="E7" s="10">
        <f t="shared" si="2"/>
        <v>5101.1684175263508</v>
      </c>
      <c r="F7" s="3"/>
      <c r="G7" s="26">
        <v>1.26</v>
      </c>
      <c r="H7" s="10"/>
      <c r="I7" s="10">
        <f t="shared" si="5"/>
        <v>2025.1947456247854</v>
      </c>
      <c r="J7" s="10">
        <f t="shared" si="3"/>
        <v>966891922.04253006</v>
      </c>
      <c r="K7" s="11">
        <f t="shared" si="4"/>
        <v>2.3536079999999959E-2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472330.4090302207</v>
      </c>
      <c r="D8" s="11">
        <v>1.0999999999999999E-2</v>
      </c>
      <c r="E8" s="10">
        <f t="shared" si="2"/>
        <v>5139.1043514662306</v>
      </c>
      <c r="F8" s="3"/>
      <c r="G8" s="26">
        <v>3.04</v>
      </c>
      <c r="H8" s="10"/>
      <c r="I8" s="10">
        <f t="shared" si="5"/>
        <v>1999.9948110061084</v>
      </c>
      <c r="J8" s="10">
        <f t="shared" si="3"/>
        <v>944658367.14083409</v>
      </c>
      <c r="K8" s="11">
        <f t="shared" si="4"/>
        <v>4.1734399999999727E-2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467191.30467875447</v>
      </c>
      <c r="D9" s="11">
        <v>1.0999999999999999E-2</v>
      </c>
      <c r="E9" s="10">
        <f t="shared" si="2"/>
        <v>5083.1892695017159</v>
      </c>
      <c r="F9" s="3"/>
      <c r="G9" s="26">
        <v>5.6</v>
      </c>
      <c r="H9" s="10"/>
      <c r="I9" s="10">
        <f t="shared" si="5"/>
        <v>1940.9887529174189</v>
      </c>
      <c r="J9" s="10">
        <f t="shared" si="3"/>
        <v>906813067.84227753</v>
      </c>
      <c r="K9" s="11">
        <f t="shared" si="4"/>
        <v>6.7615999999999898E-2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462108.11540925276</v>
      </c>
      <c r="D10" s="11">
        <v>1.0500000000000001E-2</v>
      </c>
      <c r="E10" s="10">
        <f t="shared" si="2"/>
        <v>4801.7171813925379</v>
      </c>
      <c r="F10" s="3"/>
      <c r="G10" s="26">
        <v>2.88</v>
      </c>
      <c r="H10" s="10"/>
      <c r="I10" s="10">
        <f t="shared" si="5"/>
        <v>1838.057531171798</v>
      </c>
      <c r="J10" s="10">
        <f t="shared" si="3"/>
        <v>849381301.74358344</v>
      </c>
      <c r="K10" s="11">
        <f t="shared" si="4"/>
        <v>3.9602400000000149E-2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457306.39822786022</v>
      </c>
      <c r="D11" s="11">
        <v>0.01</v>
      </c>
      <c r="E11" s="10">
        <f t="shared" si="2"/>
        <v>4527.7861210679403</v>
      </c>
      <c r="F11" s="3"/>
      <c r="G11" s="26">
        <v>8.4600000000000009</v>
      </c>
      <c r="H11" s="10"/>
      <c r="I11" s="10">
        <f t="shared" si="5"/>
        <v>1786.6033545604569</v>
      </c>
      <c r="J11" s="10">
        <f t="shared" si="3"/>
        <v>817025145.1358552</v>
      </c>
      <c r="K11" s="11">
        <f t="shared" si="4"/>
        <v>9.5446000000000142E-2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452778.61210679228</v>
      </c>
      <c r="D12" s="11">
        <v>9.4999999999999998E-3</v>
      </c>
      <c r="E12" s="10">
        <f t="shared" si="2"/>
        <v>4260.9180931298179</v>
      </c>
      <c r="F12" s="3"/>
      <c r="G12" s="26">
        <v>5.31</v>
      </c>
      <c r="H12" s="10"/>
      <c r="I12" s="10">
        <f t="shared" si="5"/>
        <v>1647.2463162091617</v>
      </c>
      <c r="J12" s="10">
        <f t="shared" si="3"/>
        <v>745837900.85121047</v>
      </c>
      <c r="K12" s="11">
        <f t="shared" si="4"/>
        <v>6.3104449999999757E-2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448517.69401366246</v>
      </c>
      <c r="D13" s="11">
        <v>8.9999999999999993E-3</v>
      </c>
      <c r="E13" s="10">
        <f t="shared" si="2"/>
        <v>4000.6533658304252</v>
      </c>
      <c r="F13" s="3"/>
      <c r="G13" s="26">
        <v>3.99</v>
      </c>
      <c r="H13" s="10"/>
      <c r="I13" s="10">
        <f t="shared" si="5"/>
        <v>1564.1879367668425</v>
      </c>
      <c r="J13" s="10">
        <f t="shared" si="3"/>
        <v>701565966.40265274</v>
      </c>
      <c r="K13" s="11">
        <f t="shared" si="4"/>
        <v>4.92591E-2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444517.04064783204</v>
      </c>
      <c r="D14" s="11">
        <v>0.01</v>
      </c>
      <c r="E14" s="10">
        <f t="shared" si="2"/>
        <v>4401.1588182953419</v>
      </c>
      <c r="F14" s="3"/>
      <c r="G14" s="26">
        <v>4.29</v>
      </c>
      <c r="H14" s="10"/>
      <c r="I14" s="10">
        <f t="shared" si="5"/>
        <v>1504.1714941502476</v>
      </c>
      <c r="J14" s="10">
        <f t="shared" si="3"/>
        <v>668629861.20649588</v>
      </c>
      <c r="K14" s="11">
        <f t="shared" si="4"/>
        <v>5.332899999999996E-2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440115.88182953669</v>
      </c>
      <c r="D15" s="11">
        <v>1.15E-2</v>
      </c>
      <c r="E15" s="10">
        <f t="shared" si="2"/>
        <v>5003.789066771802</v>
      </c>
      <c r="F15" s="3"/>
      <c r="G15" s="26">
        <v>-5.2</v>
      </c>
      <c r="H15" s="10"/>
      <c r="I15" s="10">
        <f t="shared" si="5"/>
        <v>1442.2969547897667</v>
      </c>
      <c r="J15" s="10">
        <f t="shared" si="3"/>
        <v>634777796.11735356</v>
      </c>
      <c r="K15" s="11">
        <f t="shared" si="4"/>
        <v>-4.1098000000000079E-2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435112.09276276489</v>
      </c>
      <c r="D16" s="11">
        <v>1.2999999999999999E-2</v>
      </c>
      <c r="E16" s="10">
        <f t="shared" si="2"/>
        <v>5583.8669357511098</v>
      </c>
      <c r="F16" s="3"/>
      <c r="G16" s="26">
        <v>-3.4</v>
      </c>
      <c r="H16" s="10"/>
      <c r="I16" s="10">
        <f t="shared" si="5"/>
        <v>1521.4102898626231</v>
      </c>
      <c r="J16" s="10">
        <f t="shared" si="3"/>
        <v>661984015.17293072</v>
      </c>
      <c r="K16" s="11">
        <f t="shared" si="4"/>
        <v>-2.1442000000000072E-2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429528.22582701378</v>
      </c>
      <c r="D17" s="11">
        <v>1.44E-2</v>
      </c>
      <c r="E17" s="10">
        <f t="shared" si="2"/>
        <v>6097.4038366610766</v>
      </c>
      <c r="F17" s="3"/>
      <c r="G17" s="26">
        <v>5.92</v>
      </c>
      <c r="H17" s="10"/>
      <c r="I17" s="10">
        <f t="shared" si="5"/>
        <v>1574.9588921973325</v>
      </c>
      <c r="J17" s="10">
        <f t="shared" si="3"/>
        <v>676489298.71599925</v>
      </c>
      <c r="K17" s="11">
        <f t="shared" si="4"/>
        <v>7.4452479999999932E-2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423430.82199035271</v>
      </c>
      <c r="D18" s="11">
        <v>1.4E-2</v>
      </c>
      <c r="E18" s="10">
        <f t="shared" si="2"/>
        <v>5846.1849189989734</v>
      </c>
      <c r="F18" s="3"/>
      <c r="G18" s="26">
        <v>0.34</v>
      </c>
      <c r="H18" s="10"/>
      <c r="I18" s="10">
        <f t="shared" si="5"/>
        <v>1486.9324888569984</v>
      </c>
      <c r="J18" s="10">
        <f t="shared" si="3"/>
        <v>629613046.00087976</v>
      </c>
      <c r="K18" s="11">
        <f t="shared" si="4"/>
        <v>1.7447600000000119E-2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417584.63707135373</v>
      </c>
      <c r="D19" s="11">
        <v>1.4500000000000001E-2</v>
      </c>
      <c r="E19" s="10">
        <f t="shared" si="2"/>
        <v>5968.4349310346297</v>
      </c>
      <c r="F19" s="3"/>
      <c r="G19" s="26">
        <v>1.18</v>
      </c>
      <c r="H19" s="10"/>
      <c r="I19" s="10">
        <f t="shared" si="5"/>
        <v>1481.894049090092</v>
      </c>
      <c r="J19" s="10">
        <f t="shared" si="3"/>
        <v>618816188.66748488</v>
      </c>
      <c r="K19" s="11">
        <f t="shared" si="4"/>
        <v>2.647109999999997E-2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411616.2021403191</v>
      </c>
      <c r="D20" s="11">
        <v>1.55E-2</v>
      </c>
      <c r="E20" s="10">
        <f t="shared" si="2"/>
        <v>6282.6697520187008</v>
      </c>
      <c r="F20" s="3"/>
      <c r="G20" s="26">
        <v>4.91</v>
      </c>
      <c r="H20" s="10"/>
      <c r="I20" s="10">
        <f t="shared" si="5"/>
        <v>1464.6116318344455</v>
      </c>
      <c r="J20" s="10">
        <f t="shared" si="3"/>
        <v>602857877.50622976</v>
      </c>
      <c r="K20" s="11">
        <f t="shared" si="4"/>
        <v>6.5361050000000143E-2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405333.5323883004</v>
      </c>
      <c r="D21" s="11">
        <v>1.6500000000000001E-2</v>
      </c>
      <c r="E21" s="10">
        <f t="shared" si="2"/>
        <v>6579.4424834303209</v>
      </c>
      <c r="F21" s="3"/>
      <c r="G21" s="26">
        <v>2.33</v>
      </c>
      <c r="H21" s="10"/>
      <c r="I21" s="10">
        <f t="shared" si="5"/>
        <v>1396.0648478071162</v>
      </c>
      <c r="J21" s="10">
        <f t="shared" si="3"/>
        <v>565871896.20479333</v>
      </c>
      <c r="K21" s="11">
        <f t="shared" si="4"/>
        <v>4.0184449999999927E-2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398754.08990487008</v>
      </c>
      <c r="D22" s="11">
        <v>1.7100000000000001E-2</v>
      </c>
      <c r="E22" s="10">
        <f t="shared" si="2"/>
        <v>6704.0555868382799</v>
      </c>
      <c r="F22" s="3"/>
      <c r="G22" s="26">
        <v>1</v>
      </c>
      <c r="H22" s="10"/>
      <c r="I22" s="10">
        <f t="shared" si="5"/>
        <v>1364.2771892965075</v>
      </c>
      <c r="J22" s="10">
        <f t="shared" si="3"/>
        <v>544011108.99590302</v>
      </c>
      <c r="K22" s="11">
        <f t="shared" si="4"/>
        <v>2.7270999999999823E-2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392050.0343180318</v>
      </c>
      <c r="D23" s="11">
        <v>1.7100000000000001E-2</v>
      </c>
      <c r="E23" s="10">
        <f t="shared" si="2"/>
        <v>6591.3436110886978</v>
      </c>
      <c r="F23" s="3"/>
      <c r="G23" s="26">
        <v>9.08</v>
      </c>
      <c r="H23" s="10"/>
      <c r="I23" s="10">
        <f t="shared" si="5"/>
        <v>1350.7694943529777</v>
      </c>
      <c r="J23" s="10">
        <f t="shared" si="3"/>
        <v>529569226.61683542</v>
      </c>
      <c r="K23" s="11">
        <f t="shared" si="4"/>
        <v>0.10945267999999975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385458.6907069431</v>
      </c>
      <c r="D24" s="11">
        <v>1.7100000000000001E-2</v>
      </c>
      <c r="E24" s="10">
        <f t="shared" si="2"/>
        <v>6480.5266061239527</v>
      </c>
      <c r="F24" s="3"/>
      <c r="G24" s="26">
        <v>0.74</v>
      </c>
      <c r="H24" s="10"/>
      <c r="I24" s="10">
        <f t="shared" si="5"/>
        <v>1238.3292027438374</v>
      </c>
      <c r="J24" s="10">
        <f t="shared" si="3"/>
        <v>477324753.15381229</v>
      </c>
      <c r="K24" s="11">
        <f t="shared" si="4"/>
        <v>2.4626540000000086E-2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378978.16410081915</v>
      </c>
      <c r="D25" s="11">
        <v>1.7000000000000001E-2</v>
      </c>
      <c r="E25" s="10">
        <f t="shared" si="2"/>
        <v>6334.934896473831</v>
      </c>
      <c r="F25" s="3"/>
      <c r="G25" s="26">
        <v>2.59</v>
      </c>
      <c r="H25" s="10"/>
      <c r="I25" s="10">
        <f t="shared" si="5"/>
        <v>1229.2328794360108</v>
      </c>
      <c r="J25" s="10">
        <f t="shared" si="3"/>
        <v>465852419.90102291</v>
      </c>
      <c r="K25" s="11">
        <f t="shared" si="4"/>
        <v>4.3340299999999887E-2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372643.22920434532</v>
      </c>
      <c r="D26" s="11">
        <v>1.6899999999999998E-2</v>
      </c>
      <c r="E26" s="10">
        <f t="shared" si="2"/>
        <v>6193.0087260826258</v>
      </c>
      <c r="F26" s="3"/>
      <c r="G26" s="26">
        <v>3.15</v>
      </c>
      <c r="H26" s="10"/>
      <c r="I26" s="10">
        <f t="shared" si="5"/>
        <v>1198.199512073312</v>
      </c>
      <c r="J26" s="10">
        <f t="shared" si="3"/>
        <v>446500935.41006994</v>
      </c>
      <c r="K26" s="11">
        <f t="shared" si="4"/>
        <v>4.8932350000000069E-2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366450.22047826269</v>
      </c>
      <c r="D27" s="11">
        <v>1.6799999999999999E-2</v>
      </c>
      <c r="E27" s="10">
        <f t="shared" si="2"/>
        <v>6054.6456569972215</v>
      </c>
      <c r="F27" s="3"/>
      <c r="G27" s="26">
        <v>11.7</v>
      </c>
      <c r="H27" s="10"/>
      <c r="I27" s="10">
        <f t="shared" si="5"/>
        <v>1161.6088338083489</v>
      </c>
      <c r="J27" s="10">
        <f t="shared" si="3"/>
        <v>425671813.25856704</v>
      </c>
      <c r="K27" s="11">
        <f t="shared" si="4"/>
        <v>0.13576559999999982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360395.57482126547</v>
      </c>
      <c r="D28" s="11">
        <v>1.6799999999999999E-2</v>
      </c>
      <c r="E28" s="10">
        <f t="shared" si="2"/>
        <v>5954.6082385889604</v>
      </c>
      <c r="F28" s="3"/>
      <c r="G28" s="26">
        <v>1.53</v>
      </c>
      <c r="H28" s="10"/>
      <c r="I28" s="10">
        <f t="shared" si="5"/>
        <v>1039.9362881005809</v>
      </c>
      <c r="J28" s="10">
        <f t="shared" si="3"/>
        <v>374788436.32750201</v>
      </c>
      <c r="K28" s="11">
        <f t="shared" si="4"/>
        <v>3.2357039999999948E-2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354440.96658267651</v>
      </c>
      <c r="D29" s="11">
        <v>1.67E-2</v>
      </c>
      <c r="E29" s="10">
        <f t="shared" si="2"/>
        <v>5821.9377809881698</v>
      </c>
      <c r="F29" s="3"/>
      <c r="G29" s="26">
        <v>-1.69</v>
      </c>
      <c r="H29" s="10"/>
      <c r="I29" s="10">
        <f t="shared" si="5"/>
        <v>1024.265033094239</v>
      </c>
      <c r="J29" s="10">
        <f t="shared" si="3"/>
        <v>363041488.36675924</v>
      </c>
      <c r="K29" s="11">
        <f t="shared" si="4"/>
        <v>-4.8222999999991689E-4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348619.02880168834</v>
      </c>
      <c r="D30" s="12">
        <v>1.66E-2</v>
      </c>
      <c r="E30" s="10">
        <f t="shared" si="2"/>
        <v>5692.5790656187455</v>
      </c>
      <c r="F30" s="3"/>
      <c r="G30" s="26">
        <v>-2.89</v>
      </c>
      <c r="H30" s="10"/>
      <c r="I30" s="10">
        <f t="shared" si="5"/>
        <v>1041.8726814100692</v>
      </c>
      <c r="J30" s="10">
        <f t="shared" si="3"/>
        <v>363216642.32818913</v>
      </c>
      <c r="K30" s="11">
        <f t="shared" si="4"/>
        <v>-1.277974000000015E-2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342926.4497360696</v>
      </c>
      <c r="D31" s="13">
        <v>1.6500000000000001E-2</v>
      </c>
      <c r="E31" s="10">
        <f t="shared" si="2"/>
        <v>5566.440158037527</v>
      </c>
      <c r="F31" s="3"/>
      <c r="G31" s="26">
        <v>-0.15</v>
      </c>
      <c r="H31" s="10"/>
      <c r="I31" s="10">
        <f t="shared" si="5"/>
        <v>1072.8788810730812</v>
      </c>
      <c r="J31" s="10">
        <f t="shared" si="3"/>
        <v>367918545.68319857</v>
      </c>
      <c r="K31" s="11">
        <f t="shared" si="4"/>
        <v>1.4975249999999996E-2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337360.00957803207</v>
      </c>
      <c r="D32" s="12">
        <v>1.6400000000000001E-2</v>
      </c>
      <c r="E32" s="10">
        <f t="shared" si="2"/>
        <v>5443.4318743405165</v>
      </c>
      <c r="F32" s="3"/>
      <c r="G32" s="26">
        <v>1</v>
      </c>
      <c r="H32" s="10"/>
      <c r="I32" s="10">
        <f t="shared" si="5"/>
        <v>1074.4906169985791</v>
      </c>
      <c r="J32" s="10">
        <f t="shared" si="3"/>
        <v>362490164.84214622</v>
      </c>
      <c r="K32" s="11">
        <f t="shared" si="4"/>
        <v>2.6564000000000032E-2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331916.57770369155</v>
      </c>
      <c r="D33" s="13">
        <v>1.6299999999999999E-2</v>
      </c>
      <c r="E33" s="10">
        <f t="shared" si="2"/>
        <v>5323.4676931714639</v>
      </c>
      <c r="F33" s="3"/>
      <c r="G33" s="26">
        <v>9.57</v>
      </c>
      <c r="H33" s="10"/>
      <c r="I33" s="10">
        <f t="shared" si="5"/>
        <v>1063.852096038197</v>
      </c>
      <c r="J33" s="10">
        <f t="shared" si="3"/>
        <v>353110146.89989734</v>
      </c>
      <c r="K33" s="11">
        <f t="shared" si="4"/>
        <v>0.11355990999999976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326593.11001052009</v>
      </c>
      <c r="D34" s="12">
        <v>1.6199999999999999E-2</v>
      </c>
      <c r="E34" s="10">
        <f t="shared" si="2"/>
        <v>5206.4636707049794</v>
      </c>
      <c r="F34" s="3"/>
      <c r="G34" s="26">
        <v>1.71</v>
      </c>
      <c r="H34" s="10"/>
      <c r="I34" s="10">
        <f t="shared" si="5"/>
        <v>970.93373737172317</v>
      </c>
      <c r="J34" s="10">
        <f t="shared" ref="J34:J65" si="6">IF(I34="","",I34*C34)</f>
        <v>317100268.90236861</v>
      </c>
      <c r="K34" s="11">
        <f t="shared" ref="K34:K65" si="7">IFERROR(J34/J35-1,"")</f>
        <v>4.6787619999999919E-2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321386.64633981511</v>
      </c>
      <c r="D35" s="11">
        <v>1.6E-2</v>
      </c>
      <c r="E35" s="10">
        <f t="shared" si="2"/>
        <v>5061.2070289734984</v>
      </c>
      <c r="F35" s="3"/>
      <c r="G35" s="26">
        <v>-0.72</v>
      </c>
      <c r="H35" s="10"/>
      <c r="I35" s="10">
        <f t="shared" ref="I35:I66" si="8">IF(H35&lt;&gt;"",H35,I34/(1+IF(G34="",0,G34)/100))</f>
        <v>942.56260302079716</v>
      </c>
      <c r="J35" s="10">
        <f t="shared" si="6"/>
        <v>302927033.95018047</v>
      </c>
      <c r="K35" s="11">
        <f t="shared" si="7"/>
        <v>3.611680000000006E-2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316325.43931084161</v>
      </c>
      <c r="D36" s="11">
        <v>1.5900000000000001E-2</v>
      </c>
      <c r="E36" s="10">
        <f t="shared" si="2"/>
        <v>4950.8558766043861</v>
      </c>
      <c r="F36" s="3"/>
      <c r="G36" s="26">
        <v>-0.42</v>
      </c>
      <c r="H36" s="10"/>
      <c r="I36" s="10">
        <f t="shared" si="8"/>
        <v>924.26221123827918</v>
      </c>
      <c r="J36" s="10">
        <f t="shared" si="6"/>
        <v>292367650.00835854</v>
      </c>
      <c r="K36" s="11">
        <f t="shared" si="7"/>
        <v>6.0396420000000228E-2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311374.58343423723</v>
      </c>
      <c r="D37" s="11">
        <v>1.55E-2</v>
      </c>
      <c r="E37" s="10">
        <f t="shared" si="2"/>
        <v>4752.6401213497738</v>
      </c>
      <c r="F37" s="3"/>
      <c r="G37" s="26">
        <v>-16.7</v>
      </c>
      <c r="H37" s="10"/>
      <c r="I37" s="10">
        <f t="shared" si="8"/>
        <v>885.47826330549833</v>
      </c>
      <c r="J37" s="10">
        <f t="shared" si="6"/>
        <v>275715425.37682134</v>
      </c>
      <c r="K37" s="11">
        <f t="shared" si="7"/>
        <v>-0.100267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306621.94331288745</v>
      </c>
      <c r="D38" s="11">
        <v>1.55E-2</v>
      </c>
      <c r="E38" s="10">
        <f t="shared" si="2"/>
        <v>4680.0985931558535</v>
      </c>
      <c r="F38" s="3"/>
      <c r="G38" s="26">
        <v>-0.19</v>
      </c>
      <c r="H38" s="10"/>
      <c r="I38" s="10">
        <f t="shared" si="8"/>
        <v>999.41113239898232</v>
      </c>
      <c r="J38" s="10">
        <f t="shared" si="6"/>
        <v>306441383.58470941</v>
      </c>
      <c r="K38" s="11">
        <f t="shared" si="7"/>
        <v>5.1144049999999774E-2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301941.8447197316</v>
      </c>
      <c r="D39" s="11">
        <v>1.6E-2</v>
      </c>
      <c r="E39" s="10">
        <f t="shared" si="2"/>
        <v>4754.9896806256729</v>
      </c>
      <c r="F39" s="3"/>
      <c r="G39" s="26">
        <v>1.29</v>
      </c>
      <c r="H39" s="10"/>
      <c r="I39" s="10">
        <f t="shared" si="8"/>
        <v>965.52133358997435</v>
      </c>
      <c r="J39" s="10">
        <f t="shared" si="6"/>
        <v>291531292.58041221</v>
      </c>
      <c r="K39" s="11">
        <f t="shared" si="7"/>
        <v>2.9106399999999866E-2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297186.85503910593</v>
      </c>
      <c r="D40" s="11">
        <v>1.7000000000000001E-2</v>
      </c>
      <c r="E40" s="10">
        <f t="shared" si="2"/>
        <v>4967.7252071433468</v>
      </c>
      <c r="F40" s="3"/>
      <c r="G40" s="26">
        <v>7.77</v>
      </c>
      <c r="H40" s="10"/>
      <c r="I40" s="10">
        <f t="shared" si="8"/>
        <v>953.22473451473434</v>
      </c>
      <c r="J40" s="10">
        <f t="shared" si="6"/>
        <v>283285860.9959206</v>
      </c>
      <c r="K40" s="11">
        <f t="shared" si="7"/>
        <v>9.6020900000000076E-2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292219.12983196258</v>
      </c>
      <c r="D41" s="11">
        <v>1.7399999999999999E-2</v>
      </c>
      <c r="E41" s="10">
        <f t="shared" si="2"/>
        <v>4997.6536849578843</v>
      </c>
      <c r="F41" s="3"/>
      <c r="G41" s="26">
        <v>-1.25</v>
      </c>
      <c r="H41" s="10"/>
      <c r="I41" s="10">
        <f t="shared" si="8"/>
        <v>884.49915051937853</v>
      </c>
      <c r="J41" s="10">
        <f t="shared" si="6"/>
        <v>258467572.10188287</v>
      </c>
      <c r="K41" s="11">
        <f t="shared" si="7"/>
        <v>4.6824999999999228E-3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287221.47614700469</v>
      </c>
      <c r="D42" s="11">
        <v>1.7000000000000001E-2</v>
      </c>
      <c r="E42" s="10">
        <f t="shared" si="2"/>
        <v>4801.1456189764431</v>
      </c>
      <c r="F42" s="3"/>
      <c r="G42" s="26">
        <v>-4.25</v>
      </c>
      <c r="H42" s="10"/>
      <c r="I42" s="10">
        <f t="shared" si="8"/>
        <v>895.69534229810483</v>
      </c>
      <c r="J42" s="10">
        <f t="shared" si="6"/>
        <v>257262938.39285833</v>
      </c>
      <c r="K42" s="11">
        <f t="shared" si="7"/>
        <v>-2.6222500000000148E-2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282420.33052802825</v>
      </c>
      <c r="D43" s="11">
        <v>1.6500000000000001E-2</v>
      </c>
      <c r="E43" s="10">
        <f t="shared" si="2"/>
        <v>4584.2945929291309</v>
      </c>
      <c r="F43" s="3"/>
      <c r="G43" s="26">
        <v>6.38</v>
      </c>
      <c r="H43" s="10"/>
      <c r="I43" s="10">
        <f t="shared" si="8"/>
        <v>935.45205461943067</v>
      </c>
      <c r="J43" s="10">
        <f t="shared" si="6"/>
        <v>264190678.45874274</v>
      </c>
      <c r="K43" s="11">
        <f t="shared" si="7"/>
        <v>8.1352700000000056E-2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277836.03593509912</v>
      </c>
      <c r="D44" s="11">
        <v>1.7000000000000001E-2</v>
      </c>
      <c r="E44" s="10">
        <f t="shared" si="2"/>
        <v>4644.2601877056877</v>
      </c>
      <c r="F44" s="3"/>
      <c r="G44" s="26">
        <v>1.1399999999999999</v>
      </c>
      <c r="H44" s="10"/>
      <c r="I44" s="10">
        <f t="shared" si="8"/>
        <v>879.34955312975239</v>
      </c>
      <c r="J44" s="10">
        <f t="shared" si="6"/>
        <v>244314994.04287124</v>
      </c>
      <c r="K44" s="11">
        <f t="shared" si="7"/>
        <v>2.8593800000000114E-2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273191.77574739343</v>
      </c>
      <c r="D45" s="11">
        <v>1.7000000000000001E-2</v>
      </c>
      <c r="E45" s="10">
        <f t="shared" si="2"/>
        <v>4566.6275198679068</v>
      </c>
      <c r="F45" s="3"/>
      <c r="G45" s="26">
        <v>4.1500000000000004</v>
      </c>
      <c r="H45" s="10"/>
      <c r="I45" s="10">
        <f t="shared" si="8"/>
        <v>869.43796038140431</v>
      </c>
      <c r="J45" s="10">
        <f t="shared" si="6"/>
        <v>237523300.29878774</v>
      </c>
      <c r="K45" s="11">
        <f t="shared" si="7"/>
        <v>5.9205500000000022E-2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268625.14822752553</v>
      </c>
      <c r="D46" s="11">
        <v>1.7999999999999999E-2</v>
      </c>
      <c r="E46" s="10">
        <f t="shared" si="2"/>
        <v>4749.7570413511712</v>
      </c>
      <c r="F46" s="3"/>
      <c r="G46" s="26">
        <v>1.41</v>
      </c>
      <c r="H46" s="10"/>
      <c r="I46" s="10">
        <f t="shared" si="8"/>
        <v>834.79400900758924</v>
      </c>
      <c r="J46" s="10">
        <f t="shared" si="6"/>
        <v>224246664.40911394</v>
      </c>
      <c r="K46" s="11">
        <f t="shared" si="7"/>
        <v>3.2353800000000099E-2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263875.39118617435</v>
      </c>
      <c r="D47" s="11">
        <v>0.02</v>
      </c>
      <c r="E47" s="10">
        <f t="shared" si="2"/>
        <v>5174.027278160298</v>
      </c>
      <c r="F47" s="3"/>
      <c r="G47" s="26">
        <v>14.07</v>
      </c>
      <c r="H47" s="10"/>
      <c r="I47" s="10">
        <f t="shared" si="8"/>
        <v>823.18707130222788</v>
      </c>
      <c r="J47" s="10">
        <f t="shared" si="6"/>
        <v>217218810.45927659</v>
      </c>
      <c r="K47" s="11">
        <f t="shared" si="7"/>
        <v>0.16351400000000016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258701.36390801406</v>
      </c>
      <c r="D48" s="11">
        <v>2.1999999999999999E-2</v>
      </c>
      <c r="E48" s="10">
        <f t="shared" si="2"/>
        <v>5568.9139001725125</v>
      </c>
      <c r="F48" s="3"/>
      <c r="G48" s="26">
        <v>0.44</v>
      </c>
      <c r="H48" s="10"/>
      <c r="I48" s="10">
        <f t="shared" si="8"/>
        <v>721.65080328064153</v>
      </c>
      <c r="J48" s="10">
        <f t="shared" si="6"/>
        <v>186692047.07401592</v>
      </c>
      <c r="K48" s="11">
        <f t="shared" si="7"/>
        <v>2.6496800000000098E-2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253132.45000784154</v>
      </c>
      <c r="D49" s="11">
        <v>2.4E-2</v>
      </c>
      <c r="E49" s="10">
        <f t="shared" si="2"/>
        <v>5932.7917970588023</v>
      </c>
      <c r="F49" s="3"/>
      <c r="G49" s="26">
        <v>5.6</v>
      </c>
      <c r="H49" s="10"/>
      <c r="I49" s="10">
        <f t="shared" si="8"/>
        <v>718.48944970195294</v>
      </c>
      <c r="J49" s="10">
        <f t="shared" si="6"/>
        <v>181872994.70784119</v>
      </c>
      <c r="K49" s="11">
        <f t="shared" si="7"/>
        <v>8.1344000000000305E-2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247199.65821078274</v>
      </c>
      <c r="D50" s="11">
        <v>2.5000000000000001E-2</v>
      </c>
      <c r="E50" s="10">
        <f t="shared" si="2"/>
        <v>6029.2599563605327</v>
      </c>
      <c r="F50" s="3"/>
      <c r="G50" s="26">
        <v>6.18</v>
      </c>
      <c r="H50" s="10"/>
      <c r="I50" s="10">
        <f t="shared" si="8"/>
        <v>680.38773646018262</v>
      </c>
      <c r="J50" s="10">
        <f t="shared" si="6"/>
        <v>168191615.90376526</v>
      </c>
      <c r="K50" s="11">
        <f t="shared" si="7"/>
        <v>8.8345000000000118E-2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241170.39825442221</v>
      </c>
      <c r="D51" s="11">
        <v>2.6499999999999999E-2</v>
      </c>
      <c r="E51" s="10">
        <f t="shared" si="2"/>
        <v>6226.0258682339918</v>
      </c>
      <c r="F51" s="3"/>
      <c r="G51" s="26">
        <v>6.59</v>
      </c>
      <c r="H51" s="10"/>
      <c r="I51" s="10">
        <f t="shared" si="8"/>
        <v>640.78709404801521</v>
      </c>
      <c r="J51" s="10">
        <f t="shared" si="6"/>
        <v>154538878.66785371</v>
      </c>
      <c r="K51" s="11">
        <f t="shared" si="7"/>
        <v>9.4146349999999934E-2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234944.37238618822</v>
      </c>
      <c r="D52" s="11">
        <v>2.9499999999999998E-2</v>
      </c>
      <c r="E52" s="10">
        <f t="shared" si="2"/>
        <v>6732.2573923191521</v>
      </c>
      <c r="F52" s="3"/>
      <c r="G52" s="26">
        <v>2.17</v>
      </c>
      <c r="H52" s="10"/>
      <c r="I52" s="10">
        <f t="shared" si="8"/>
        <v>601.16999160147782</v>
      </c>
      <c r="J52" s="10">
        <f t="shared" si="6"/>
        <v>141241506.37421924</v>
      </c>
      <c r="K52" s="11">
        <f t="shared" si="7"/>
        <v>5.1840150000000085E-2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228212.11499386907</v>
      </c>
      <c r="D53" s="11">
        <v>2.9499999999999998E-2</v>
      </c>
      <c r="E53" s="10">
        <f t="shared" si="2"/>
        <v>6539.3466656815435</v>
      </c>
      <c r="F53" s="3"/>
      <c r="G53" s="26">
        <v>4.4800000000000004</v>
      </c>
      <c r="H53" s="10"/>
      <c r="I53" s="10">
        <f t="shared" si="8"/>
        <v>588.4016752485835</v>
      </c>
      <c r="J53" s="10">
        <f t="shared" si="6"/>
        <v>134280390.77441493</v>
      </c>
      <c r="K53" s="11">
        <f t="shared" si="7"/>
        <v>7.5621599999999844E-2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221672.76832818752</v>
      </c>
      <c r="D54" s="11">
        <v>2.9399999999999999E-2</v>
      </c>
      <c r="E54" s="10">
        <f t="shared" si="2"/>
        <v>6331.0466182715609</v>
      </c>
      <c r="F54" s="3"/>
      <c r="G54" s="26">
        <v>4.6100000000000003</v>
      </c>
      <c r="H54" s="10"/>
      <c r="I54" s="10">
        <f t="shared" si="8"/>
        <v>563.1715881016305</v>
      </c>
      <c r="J54" s="10">
        <f t="shared" si="6"/>
        <v>124839804.97827019</v>
      </c>
      <c r="K54" s="11">
        <f t="shared" si="7"/>
        <v>7.6855340000000272E-2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215341.72170991596</v>
      </c>
      <c r="D55" s="11">
        <v>3.2899999999999999E-2</v>
      </c>
      <c r="E55" s="10">
        <f t="shared" si="2"/>
        <v>6859.0789469031151</v>
      </c>
      <c r="F55" s="3"/>
      <c r="G55" s="26">
        <v>2.44</v>
      </c>
      <c r="H55" s="10"/>
      <c r="I55" s="10">
        <f t="shared" si="8"/>
        <v>538.35349211512334</v>
      </c>
      <c r="J55" s="10">
        <f t="shared" si="6"/>
        <v>115929967.88061632</v>
      </c>
      <c r="K55" s="11">
        <f t="shared" si="7"/>
        <v>5.810275999999992E-2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208482.64276301285</v>
      </c>
      <c r="D56" s="11">
        <v>3.56E-2</v>
      </c>
      <c r="E56" s="10">
        <f t="shared" si="2"/>
        <v>7166.8424897289369</v>
      </c>
      <c r="F56" s="3"/>
      <c r="G56" s="26">
        <v>3.38</v>
      </c>
      <c r="H56" s="10"/>
      <c r="I56" s="10">
        <f t="shared" si="8"/>
        <v>525.53054677384159</v>
      </c>
      <c r="J56" s="10">
        <f t="shared" si="6"/>
        <v>109563997.24410163</v>
      </c>
      <c r="K56" s="11">
        <f t="shared" si="7"/>
        <v>7.0603280000000268E-2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201315.80027328391</v>
      </c>
      <c r="D57" s="11">
        <v>3.5200000000000002E-2</v>
      </c>
      <c r="E57" s="10">
        <f t="shared" si="2"/>
        <v>6845.3595147020533</v>
      </c>
      <c r="F57" s="3"/>
      <c r="G57" s="26">
        <v>9.7799999999999994</v>
      </c>
      <c r="H57" s="10"/>
      <c r="I57" s="10">
        <f t="shared" si="8"/>
        <v>508.34837180677266</v>
      </c>
      <c r="J57" s="10">
        <f t="shared" si="6"/>
        <v>102338559.28790131</v>
      </c>
      <c r="K57" s="11">
        <f t="shared" si="7"/>
        <v>0.13644255999999966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194470.44075858186</v>
      </c>
      <c r="D58" s="11">
        <v>3.5099999999999999E-2</v>
      </c>
      <c r="E58" s="10">
        <f t="shared" si="2"/>
        <v>6594.4473680090741</v>
      </c>
      <c r="F58" s="3"/>
      <c r="G58" s="26">
        <v>13.23</v>
      </c>
      <c r="H58" s="10"/>
      <c r="I58" s="10">
        <f t="shared" si="8"/>
        <v>463.06100547164579</v>
      </c>
      <c r="J58" s="10">
        <f t="shared" si="6"/>
        <v>90051677.832183033</v>
      </c>
      <c r="K58" s="11">
        <f t="shared" si="7"/>
        <v>0.17204372999999995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187875.99339057278</v>
      </c>
      <c r="D59" s="11">
        <v>3.6900000000000002E-2</v>
      </c>
      <c r="E59" s="10">
        <f t="shared" si="2"/>
        <v>6685.9139320205722</v>
      </c>
      <c r="F59" s="3"/>
      <c r="G59" s="26">
        <v>10.38</v>
      </c>
      <c r="H59" s="10"/>
      <c r="I59" s="10">
        <f t="shared" si="8"/>
        <v>408.95611187109932</v>
      </c>
      <c r="J59" s="10">
        <f t="shared" si="6"/>
        <v>76833035.770928994</v>
      </c>
      <c r="K59" s="11">
        <f t="shared" si="7"/>
        <v>0.14453022000000004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181190.07945855221</v>
      </c>
      <c r="D60" s="11">
        <v>3.6400000000000002E-2</v>
      </c>
      <c r="E60" s="10">
        <f t="shared" si="2"/>
        <v>6363.6809072667966</v>
      </c>
      <c r="F60" s="3"/>
      <c r="G60" s="26">
        <v>-7.61</v>
      </c>
      <c r="H60" s="10"/>
      <c r="I60" s="10">
        <f t="shared" si="8"/>
        <v>370.4983800245509</v>
      </c>
      <c r="J60" s="10">
        <f t="shared" si="6"/>
        <v>67130630.915913254</v>
      </c>
      <c r="K60" s="11">
        <f t="shared" si="7"/>
        <v>-4.2470039999999987E-2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174826.39855128541</v>
      </c>
      <c r="D61" s="11">
        <v>3.6600000000000001E-2</v>
      </c>
      <c r="E61" s="10">
        <f t="shared" si="2"/>
        <v>6172.7244713264809</v>
      </c>
      <c r="F61" s="3"/>
      <c r="G61" s="26">
        <v>-8.82</v>
      </c>
      <c r="H61" s="10"/>
      <c r="I61" s="10">
        <f t="shared" si="8"/>
        <v>401.01567271842288</v>
      </c>
      <c r="J61" s="10">
        <f t="shared" si="6"/>
        <v>70108125.823982835</v>
      </c>
      <c r="K61" s="11">
        <f t="shared" si="7"/>
        <v>-5.4828119999999925E-2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168653.67407995893</v>
      </c>
      <c r="D62" s="11">
        <v>4.0099999999999997E-2</v>
      </c>
      <c r="E62" s="10">
        <f t="shared" si="2"/>
        <v>6502.2712533471349</v>
      </c>
      <c r="F62" s="3"/>
      <c r="G62" s="26">
        <v>-11.1</v>
      </c>
      <c r="H62" s="10"/>
      <c r="I62" s="10">
        <f t="shared" si="8"/>
        <v>439.80661627376935</v>
      </c>
      <c r="J62" s="10">
        <f t="shared" si="6"/>
        <v>74175001.719245851</v>
      </c>
      <c r="K62" s="11">
        <f t="shared" si="7"/>
        <v>-7.5351100000000004E-2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162151.4028266118</v>
      </c>
      <c r="D63" s="11">
        <v>3.6200000000000003E-2</v>
      </c>
      <c r="E63" s="10">
        <f t="shared" si="2"/>
        <v>5664.8144975133764</v>
      </c>
      <c r="F63" s="3"/>
      <c r="G63" s="26">
        <v>25.83</v>
      </c>
      <c r="H63" s="10"/>
      <c r="I63" s="10">
        <f t="shared" si="8"/>
        <v>494.72060323258643</v>
      </c>
      <c r="J63" s="10">
        <f t="shared" si="6"/>
        <v>80219639.821391508</v>
      </c>
      <c r="K63" s="11">
        <f t="shared" si="7"/>
        <v>0.30385046000000027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156486.58832909842</v>
      </c>
      <c r="D64" s="11">
        <v>3.7900000000000003E-2</v>
      </c>
      <c r="E64" s="10">
        <f t="shared" si="2"/>
        <v>5714.2708330984169</v>
      </c>
      <c r="F64" s="3"/>
      <c r="G64" s="26">
        <v>2.97</v>
      </c>
      <c r="H64" s="10"/>
      <c r="I64" s="10">
        <f t="shared" si="8"/>
        <v>393.16586126725457</v>
      </c>
      <c r="J64" s="10">
        <f t="shared" si="6"/>
        <v>61525184.277184285</v>
      </c>
      <c r="K64" s="11">
        <f t="shared" si="7"/>
        <v>6.8725630000000093E-2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150772.317496</v>
      </c>
      <c r="D65" s="11">
        <v>3.5700000000000003E-2</v>
      </c>
      <c r="E65" s="10">
        <f t="shared" si="2"/>
        <v>5197.0374960000045</v>
      </c>
      <c r="F65" s="3"/>
      <c r="G65" s="26">
        <v>10.75</v>
      </c>
      <c r="H65" s="10"/>
      <c r="I65" s="10">
        <f t="shared" si="8"/>
        <v>381.82563976619844</v>
      </c>
      <c r="J65" s="10">
        <f t="shared" si="6"/>
        <v>57568736.586942598</v>
      </c>
      <c r="K65" s="11">
        <f t="shared" si="7"/>
        <v>0.14703774999999997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145575.28</v>
      </c>
      <c r="D66" s="11">
        <v>3.7600000000000001E-2</v>
      </c>
      <c r="E66" s="10">
        <f t="shared" si="2"/>
        <v>5275.2799999999988</v>
      </c>
      <c r="F66" s="3"/>
      <c r="G66" s="26">
        <v>2.86</v>
      </c>
      <c r="H66" s="10"/>
      <c r="I66" s="10">
        <f t="shared" si="8"/>
        <v>344.76355735096928</v>
      </c>
      <c r="J66" s="10">
        <f t="shared" ref="J66:J67" si="9">IF(I66="","",I66*C66)</f>
        <v>50189051.395163409</v>
      </c>
      <c r="K66" s="11">
        <f t="shared" ref="K66" si="10">IFERROR(J66/J67-1,"")</f>
        <v>6.7275360000000006E-2</v>
      </c>
    </row>
    <row r="67" spans="1:11" ht="22.5" customHeight="1">
      <c r="A67" s="3">
        <f t="shared" si="0"/>
        <v>1950</v>
      </c>
      <c r="B67" s="3">
        <v>1700</v>
      </c>
      <c r="C67" s="10">
        <v>140300</v>
      </c>
      <c r="D67" s="11">
        <v>3.7600000000000001E-2</v>
      </c>
      <c r="E67" s="3" t="s">
        <v>72</v>
      </c>
      <c r="F67" s="3"/>
      <c r="G67" s="26">
        <v>4.1500000000000004</v>
      </c>
      <c r="H67" s="10"/>
      <c r="I67" s="10">
        <f t="shared" ref="I67" si="11">IF(H67&lt;&gt;"",H67,I66/(1+IF(G66="",0,G66)/100))</f>
        <v>335.17748138340392</v>
      </c>
      <c r="J67" s="10">
        <f t="shared" si="9"/>
        <v>47025400.638091572</v>
      </c>
      <c r="K67" s="11"/>
    </row>
  </sheetData>
  <dataValidations count="1">
    <dataValidation type="custom" allowBlank="1" showDropDown="1" sqref="D2:D67" xr:uid="{00000000-0002-0000-2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M67"/>
  <sheetViews>
    <sheetView workbookViewId="0">
      <selection activeCell="I1" sqref="I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90792000.595898971</v>
      </c>
      <c r="D2" s="11">
        <v>1.12E-2</v>
      </c>
      <c r="E2" s="10">
        <f t="shared" ref="E2:E66" si="2">SUM(C2-C3)</f>
        <v>1005607.60153687</v>
      </c>
      <c r="F2" s="14">
        <v>90861040</v>
      </c>
      <c r="G2" s="27">
        <v>1.07</v>
      </c>
      <c r="H2" s="10"/>
      <c r="I2" s="10">
        <f>IF(H2&lt;&gt;"",H2,185712)</f>
        <v>23214</v>
      </c>
      <c r="J2" s="10">
        <f t="shared" ref="J2:J33" si="3">IF(I2="","",I2*C2)</f>
        <v>2107645501833.1987</v>
      </c>
      <c r="K2" s="11">
        <f t="shared" ref="K2:K33" si="4">IFERROR(J2/J3-1,"")</f>
        <v>2.2019840000000013E-2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89786392.994362101</v>
      </c>
      <c r="D3" s="11">
        <v>7.7999999999999996E-3</v>
      </c>
      <c r="E3" s="10">
        <f t="shared" si="2"/>
        <v>694913.53974600136</v>
      </c>
      <c r="F3" s="3"/>
      <c r="G3" s="27">
        <v>1</v>
      </c>
      <c r="H3" s="10"/>
      <c r="I3" s="10">
        <f t="shared" ref="I3:I34" si="5">IF(H3&lt;&gt;"",H3,I2/(1+IF(G2="",0,G2)/100))</f>
        <v>22968.239833778571</v>
      </c>
      <c r="J3" s="10">
        <f t="shared" si="3"/>
        <v>2062235408104.4048</v>
      </c>
      <c r="K3" s="11">
        <f t="shared" si="4"/>
        <v>1.7878000000000061E-2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89091479.4546161</v>
      </c>
      <c r="D4" s="11">
        <v>5.8999999999999999E-3</v>
      </c>
      <c r="E4" s="10">
        <f t="shared" si="2"/>
        <v>522556.64457921684</v>
      </c>
      <c r="F4" s="3"/>
      <c r="G4" s="27">
        <v>0.78</v>
      </c>
      <c r="H4" s="10"/>
      <c r="I4" s="10">
        <f t="shared" si="5"/>
        <v>22740.831518592644</v>
      </c>
      <c r="J4" s="10">
        <f t="shared" si="3"/>
        <v>2026014324019.5828</v>
      </c>
      <c r="K4" s="11">
        <f t="shared" si="4"/>
        <v>1.3746019999999914E-2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88568922.810036883</v>
      </c>
      <c r="D5" s="11">
        <v>4.5999999999999999E-3</v>
      </c>
      <c r="E5" s="10">
        <f t="shared" si="2"/>
        <v>405551.50798940659</v>
      </c>
      <c r="F5" s="3"/>
      <c r="G5" s="27">
        <v>0.18</v>
      </c>
      <c r="H5" s="10"/>
      <c r="I5" s="10">
        <f t="shared" si="5"/>
        <v>22564.825876753963</v>
      </c>
      <c r="J5" s="10">
        <f t="shared" si="3"/>
        <v>1998542321300.1445</v>
      </c>
      <c r="K5" s="11">
        <f t="shared" si="4"/>
        <v>6.4082799999998219E-3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88163371.302047476</v>
      </c>
      <c r="D6" s="11">
        <v>3.3999999999999998E-3</v>
      </c>
      <c r="E6" s="10">
        <f t="shared" si="2"/>
        <v>298739.74728620052</v>
      </c>
      <c r="F6" s="3"/>
      <c r="G6" s="27">
        <v>2.44</v>
      </c>
      <c r="H6" s="10"/>
      <c r="I6" s="10">
        <f t="shared" si="5"/>
        <v>22524.282168850033</v>
      </c>
      <c r="J6" s="10">
        <f t="shared" si="3"/>
        <v>1985816652164.4128</v>
      </c>
      <c r="K6" s="11">
        <f t="shared" si="4"/>
        <v>2.7882960000000345E-2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87864631.554761276</v>
      </c>
      <c r="D7" s="11">
        <v>2.3999999999999998E-3</v>
      </c>
      <c r="E7" s="10">
        <f t="shared" si="2"/>
        <v>210370.2271861732</v>
      </c>
      <c r="F7" s="3"/>
      <c r="G7" s="27">
        <v>2</v>
      </c>
      <c r="H7" s="10"/>
      <c r="I7" s="10">
        <f t="shared" si="5"/>
        <v>21987.780328826662</v>
      </c>
      <c r="J7" s="10">
        <f t="shared" si="3"/>
        <v>1931948217299.3823</v>
      </c>
      <c r="K7" s="11">
        <f t="shared" si="4"/>
        <v>2.2447999999999801E-2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87654261.327575102</v>
      </c>
      <c r="D8" s="11">
        <v>2.5999999999999999E-3</v>
      </c>
      <c r="E8" s="10">
        <f t="shared" si="2"/>
        <v>227310.07326121628</v>
      </c>
      <c r="F8" s="3"/>
      <c r="G8" s="27">
        <v>3.1</v>
      </c>
      <c r="H8" s="10"/>
      <c r="I8" s="10">
        <f t="shared" si="5"/>
        <v>21556.647381202609</v>
      </c>
      <c r="J8" s="10">
        <f t="shared" si="3"/>
        <v>1889532002898.321</v>
      </c>
      <c r="K8" s="11">
        <f t="shared" si="4"/>
        <v>3.368060000000006E-2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87426951.254313886</v>
      </c>
      <c r="D9" s="11">
        <v>3.0999999999999999E-3</v>
      </c>
      <c r="E9" s="10">
        <f t="shared" si="2"/>
        <v>270185.97237402201</v>
      </c>
      <c r="F9" s="3"/>
      <c r="G9" s="27">
        <v>3.2</v>
      </c>
      <c r="H9" s="10"/>
      <c r="I9" s="10">
        <f t="shared" si="5"/>
        <v>20908.484365860921</v>
      </c>
      <c r="J9" s="10">
        <f t="shared" si="3"/>
        <v>1827965043455.7068</v>
      </c>
      <c r="K9" s="11">
        <f t="shared" si="4"/>
        <v>3.5199200000000319E-2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87156765.281939864</v>
      </c>
      <c r="D10" s="11">
        <v>3.2000000000000002E-3</v>
      </c>
      <c r="E10" s="10">
        <f t="shared" si="2"/>
        <v>278012.01046872139</v>
      </c>
      <c r="F10" s="3"/>
      <c r="G10" s="27">
        <v>2.5299999999999998</v>
      </c>
      <c r="H10" s="10"/>
      <c r="I10" s="10">
        <f t="shared" si="5"/>
        <v>20260.159269245076</v>
      </c>
      <c r="J10" s="10">
        <f t="shared" si="3"/>
        <v>1765809946004.3113</v>
      </c>
      <c r="K10" s="11">
        <f t="shared" si="4"/>
        <v>2.8580960000000211E-2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86878753.271471143</v>
      </c>
      <c r="D11" s="11">
        <v>4.8999999999999998E-3</v>
      </c>
      <c r="E11" s="10">
        <f t="shared" si="2"/>
        <v>423630.10352294147</v>
      </c>
      <c r="F11" s="3"/>
      <c r="G11" s="27">
        <v>2.71</v>
      </c>
      <c r="H11" s="10"/>
      <c r="I11" s="10">
        <f t="shared" si="5"/>
        <v>19760.225562513482</v>
      </c>
      <c r="J11" s="10">
        <f t="shared" si="3"/>
        <v>1716743761234.2258</v>
      </c>
      <c r="K11" s="11">
        <f t="shared" si="4"/>
        <v>3.2132789999999911E-2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86455123.167948201</v>
      </c>
      <c r="D12" s="11">
        <v>6.7999999999999996E-3</v>
      </c>
      <c r="E12" s="10">
        <f t="shared" si="2"/>
        <v>583924.15329959989</v>
      </c>
      <c r="F12" s="3"/>
      <c r="G12" s="27">
        <v>1.89</v>
      </c>
      <c r="H12" s="10"/>
      <c r="I12" s="10">
        <f t="shared" si="5"/>
        <v>19238.852655548129</v>
      </c>
      <c r="J12" s="10">
        <f t="shared" si="3"/>
        <v>1663297375945.4209</v>
      </c>
      <c r="K12" s="11">
        <f t="shared" si="4"/>
        <v>2.582851999999991E-2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85871199.014648601</v>
      </c>
      <c r="D13" s="11">
        <v>6.1999999999999998E-3</v>
      </c>
      <c r="E13" s="10">
        <f t="shared" si="2"/>
        <v>529120.88440749049</v>
      </c>
      <c r="F13" s="3"/>
      <c r="G13" s="27">
        <v>2.87</v>
      </c>
      <c r="H13" s="10"/>
      <c r="I13" s="10">
        <f t="shared" si="5"/>
        <v>18881.9831735677</v>
      </c>
      <c r="J13" s="10">
        <f t="shared" si="3"/>
        <v>1621418534888.6782</v>
      </c>
      <c r="K13" s="11">
        <f t="shared" si="4"/>
        <v>3.5077939999999863E-2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85342078.130241111</v>
      </c>
      <c r="D14" s="11">
        <v>4.8999999999999998E-3</v>
      </c>
      <c r="E14" s="10">
        <f t="shared" si="2"/>
        <v>416137.11099429429</v>
      </c>
      <c r="F14" s="3"/>
      <c r="G14" s="27">
        <v>0.97</v>
      </c>
      <c r="H14" s="10"/>
      <c r="I14" s="10">
        <f t="shared" si="5"/>
        <v>18355.18924231331</v>
      </c>
      <c r="J14" s="10">
        <f t="shared" si="3"/>
        <v>1566469994412.8638</v>
      </c>
      <c r="K14" s="11">
        <f t="shared" si="4"/>
        <v>1.4647529999999964E-2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84925941.019246817</v>
      </c>
      <c r="D15" s="11">
        <v>4.8999999999999998E-3</v>
      </c>
      <c r="E15" s="10">
        <f t="shared" si="2"/>
        <v>414107.98188307881</v>
      </c>
      <c r="F15" s="3"/>
      <c r="G15" s="27">
        <v>1.07</v>
      </c>
      <c r="H15" s="10"/>
      <c r="I15" s="10">
        <f t="shared" si="5"/>
        <v>18178.854355069139</v>
      </c>
      <c r="J15" s="10">
        <f t="shared" si="3"/>
        <v>1543856312756.0798</v>
      </c>
      <c r="K15" s="11">
        <f t="shared" si="4"/>
        <v>1.565243000000005E-2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84511833.037363738</v>
      </c>
      <c r="D16" s="11">
        <v>3.8E-3</v>
      </c>
      <c r="E16" s="10">
        <f t="shared" si="2"/>
        <v>319929.23445107043</v>
      </c>
      <c r="F16" s="3"/>
      <c r="G16" s="27">
        <v>1.9</v>
      </c>
      <c r="H16" s="10"/>
      <c r="I16" s="10">
        <f t="shared" si="5"/>
        <v>17986.399876391748</v>
      </c>
      <c r="J16" s="10">
        <f t="shared" si="3"/>
        <v>1520063623296.8792</v>
      </c>
      <c r="K16" s="11">
        <f t="shared" si="4"/>
        <v>2.2872199999999898E-2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84191903.802912667</v>
      </c>
      <c r="D17" s="11">
        <v>2.3999999999999998E-3</v>
      </c>
      <c r="E17" s="10">
        <f t="shared" si="2"/>
        <v>201576.78484335542</v>
      </c>
      <c r="F17" s="3"/>
      <c r="G17" s="27">
        <v>4.1399999999999997</v>
      </c>
      <c r="H17" s="10"/>
      <c r="I17" s="10">
        <f t="shared" si="5"/>
        <v>17651.030300678853</v>
      </c>
      <c r="J17" s="10">
        <f t="shared" si="3"/>
        <v>1486073845097.0505</v>
      </c>
      <c r="K17" s="11">
        <f t="shared" si="4"/>
        <v>4.3899359999999943E-2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83990327.018069312</v>
      </c>
      <c r="D18" s="11">
        <v>1.9E-3</v>
      </c>
      <c r="E18" s="10">
        <f t="shared" si="2"/>
        <v>159278.99125096202</v>
      </c>
      <c r="F18" s="3"/>
      <c r="G18" s="27">
        <v>3.4</v>
      </c>
      <c r="H18" s="10"/>
      <c r="I18" s="10">
        <f t="shared" si="5"/>
        <v>16949.328116649558</v>
      </c>
      <c r="J18" s="10">
        <f t="shared" si="3"/>
        <v>1423579611253.9531</v>
      </c>
      <c r="K18" s="11">
        <f t="shared" si="4"/>
        <v>3.5964599999999791E-2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83831048.02681835</v>
      </c>
      <c r="D19" s="11">
        <v>1.1000000000000001E-3</v>
      </c>
      <c r="E19" s="10">
        <f t="shared" si="2"/>
        <v>92112.828717917204</v>
      </c>
      <c r="F19" s="3"/>
      <c r="G19" s="27">
        <v>3.45</v>
      </c>
      <c r="H19" s="10"/>
      <c r="I19" s="10">
        <f t="shared" si="5"/>
        <v>16392.000112813887</v>
      </c>
      <c r="J19" s="10">
        <f t="shared" si="3"/>
        <v>1374158548712.9128</v>
      </c>
      <c r="K19" s="11">
        <f t="shared" si="4"/>
        <v>3.563795000000014E-2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83738935.198100433</v>
      </c>
      <c r="D20" s="11">
        <v>1.1000000000000001E-3</v>
      </c>
      <c r="E20" s="10">
        <f t="shared" si="2"/>
        <v>92011.615940377116</v>
      </c>
      <c r="F20" s="3"/>
      <c r="G20" s="27">
        <v>2.5299999999999998</v>
      </c>
      <c r="H20" s="10"/>
      <c r="I20" s="10">
        <f t="shared" si="5"/>
        <v>15845.336020119756</v>
      </c>
      <c r="J20" s="10">
        <f t="shared" si="3"/>
        <v>1326871566180.9348</v>
      </c>
      <c r="K20" s="11">
        <f t="shared" si="4"/>
        <v>2.6427830000000041E-2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83646923.582160056</v>
      </c>
      <c r="D21" s="11">
        <v>1.4E-3</v>
      </c>
      <c r="E21" s="10">
        <f t="shared" si="2"/>
        <v>116941.97425107658</v>
      </c>
      <c r="F21" s="3"/>
      <c r="G21" s="27">
        <v>1.4</v>
      </c>
      <c r="H21" s="10"/>
      <c r="I21" s="10">
        <f t="shared" si="5"/>
        <v>15454.341188061791</v>
      </c>
      <c r="J21" s="10">
        <f t="shared" si="3"/>
        <v>1292708096370.4333</v>
      </c>
      <c r="K21" s="11">
        <f t="shared" si="4"/>
        <v>1.5419599999999978E-2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83529981.607908979</v>
      </c>
      <c r="D22" s="11">
        <v>1.5E-3</v>
      </c>
      <c r="E22" s="10">
        <f t="shared" si="2"/>
        <v>125107.31144469976</v>
      </c>
      <c r="F22" s="3"/>
      <c r="G22" s="27">
        <v>2.2999999999999998</v>
      </c>
      <c r="H22" s="10"/>
      <c r="I22" s="10">
        <f t="shared" si="5"/>
        <v>15240.96764108658</v>
      </c>
      <c r="J22" s="10">
        <f t="shared" si="3"/>
        <v>1273077746746.698</v>
      </c>
      <c r="K22" s="11">
        <f t="shared" si="4"/>
        <v>2.4534499999999904E-2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83404874.296464279</v>
      </c>
      <c r="D23" s="11">
        <v>3.8E-3</v>
      </c>
      <c r="E23" s="10">
        <f t="shared" si="2"/>
        <v>315738.71520876884</v>
      </c>
      <c r="F23" s="3"/>
      <c r="G23" s="27">
        <v>2.38</v>
      </c>
      <c r="H23" s="10"/>
      <c r="I23" s="10">
        <f t="shared" si="5"/>
        <v>14898.30658952745</v>
      </c>
      <c r="J23" s="10">
        <f t="shared" si="3"/>
        <v>1242591388329.7224</v>
      </c>
      <c r="K23" s="11">
        <f t="shared" si="4"/>
        <v>2.7690439999999983E-2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83089135.58125551</v>
      </c>
      <c r="D24" s="11">
        <v>8.2000000000000007E-3</v>
      </c>
      <c r="E24" s="10">
        <f t="shared" si="2"/>
        <v>675789.43837164342</v>
      </c>
      <c r="F24" s="3"/>
      <c r="G24" s="27">
        <v>-0.36</v>
      </c>
      <c r="H24" s="10"/>
      <c r="I24" s="10">
        <f t="shared" si="5"/>
        <v>14551.969710419466</v>
      </c>
      <c r="J24" s="10">
        <f t="shared" si="3"/>
        <v>1209110584243.3665</v>
      </c>
      <c r="K24" s="11">
        <f t="shared" si="4"/>
        <v>4.5704799999999324E-3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82413346.142883867</v>
      </c>
      <c r="D25" s="11">
        <v>1.0999999999999999E-2</v>
      </c>
      <c r="E25" s="10">
        <f t="shared" si="2"/>
        <v>896683.29136668146</v>
      </c>
      <c r="F25" s="3"/>
      <c r="G25" s="27">
        <v>1.52</v>
      </c>
      <c r="H25" s="10"/>
      <c r="I25" s="10">
        <f t="shared" si="5"/>
        <v>14604.546076294126</v>
      </c>
      <c r="J25" s="10">
        <f t="shared" si="3"/>
        <v>1203609511045.3242</v>
      </c>
      <c r="K25" s="11">
        <f t="shared" si="4"/>
        <v>2.6367199999999924E-2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81516662.851517186</v>
      </c>
      <c r="D26" s="11">
        <v>0.01</v>
      </c>
      <c r="E26" s="10">
        <f t="shared" si="2"/>
        <v>807095.67179720104</v>
      </c>
      <c r="F26" s="3"/>
      <c r="G26" s="27">
        <v>1.24</v>
      </c>
      <c r="H26" s="10"/>
      <c r="I26" s="10">
        <f t="shared" si="5"/>
        <v>14385.880689809026</v>
      </c>
      <c r="J26" s="10">
        <f t="shared" si="3"/>
        <v>1172688986013.314</v>
      </c>
      <c r="K26" s="11">
        <f t="shared" si="4"/>
        <v>2.2523999999999988E-2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80709567.179719985</v>
      </c>
      <c r="D27" s="11">
        <v>7.6E-3</v>
      </c>
      <c r="E27" s="10">
        <f t="shared" si="2"/>
        <v>608766.0882948339</v>
      </c>
      <c r="F27" s="3"/>
      <c r="G27" s="27">
        <v>-4.32</v>
      </c>
      <c r="H27" s="10"/>
      <c r="I27" s="10">
        <f t="shared" si="5"/>
        <v>14209.680649752101</v>
      </c>
      <c r="J27" s="10">
        <f t="shared" si="3"/>
        <v>1146857175003.5344</v>
      </c>
      <c r="K27" s="11">
        <f t="shared" si="4"/>
        <v>-3.5928319999999903E-2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80100801.091425151</v>
      </c>
      <c r="D28" s="11">
        <v>4.4999999999999997E-3</v>
      </c>
      <c r="E28" s="10">
        <f t="shared" si="2"/>
        <v>358838.8301756233</v>
      </c>
      <c r="F28" s="3"/>
      <c r="G28" s="27">
        <v>4.41</v>
      </c>
      <c r="H28" s="10"/>
      <c r="I28" s="10">
        <f t="shared" si="5"/>
        <v>14851.254859690742</v>
      </c>
      <c r="J28" s="10">
        <f t="shared" si="3"/>
        <v>1189597411474.1492</v>
      </c>
      <c r="K28" s="11">
        <f t="shared" si="4"/>
        <v>4.8798450000000049E-2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79741962.261249527</v>
      </c>
      <c r="D29" s="11">
        <v>1.4E-3</v>
      </c>
      <c r="E29" s="10">
        <f t="shared" si="2"/>
        <v>111482.67142575979</v>
      </c>
      <c r="F29" s="3"/>
      <c r="G29" s="27">
        <v>4.8099999999999996</v>
      </c>
      <c r="H29" s="10"/>
      <c r="I29" s="10">
        <f t="shared" si="5"/>
        <v>14223.977453970636</v>
      </c>
      <c r="J29" s="10">
        <f t="shared" si="3"/>
        <v>1134247873339.3906</v>
      </c>
      <c r="K29" s="11">
        <f t="shared" si="4"/>
        <v>4.9567340000000071E-2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79630479.589823768</v>
      </c>
      <c r="D30" s="12">
        <v>5.9999999999999995E-4</v>
      </c>
      <c r="E30" s="10">
        <f t="shared" si="2"/>
        <v>47749.637971103191</v>
      </c>
      <c r="F30" s="3"/>
      <c r="G30" s="27">
        <v>2.5499999999999998</v>
      </c>
      <c r="H30" s="10"/>
      <c r="I30" s="10">
        <f t="shared" si="5"/>
        <v>13571.202608501704</v>
      </c>
      <c r="J30" s="10">
        <f t="shared" si="3"/>
        <v>1080681372325.6581</v>
      </c>
      <c r="K30" s="11">
        <f t="shared" si="4"/>
        <v>2.6115300000000063E-2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79582729.951852664</v>
      </c>
      <c r="D31" s="13">
        <v>5.9999999999999995E-4</v>
      </c>
      <c r="E31" s="10">
        <f t="shared" si="2"/>
        <v>47721.00536789</v>
      </c>
      <c r="F31" s="3"/>
      <c r="G31" s="27">
        <v>2.39</v>
      </c>
      <c r="H31" s="10"/>
      <c r="I31" s="10">
        <f t="shared" si="5"/>
        <v>13233.742182839302</v>
      </c>
      <c r="J31" s="10">
        <f t="shared" si="3"/>
        <v>1053177330389.3413</v>
      </c>
      <c r="K31" s="11">
        <f t="shared" si="4"/>
        <v>2.4514339999999857E-2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79535008.946484774</v>
      </c>
      <c r="D32" s="12">
        <v>5.0000000000000001E-4</v>
      </c>
      <c r="E32" s="10">
        <f t="shared" si="2"/>
        <v>39747.630657911301</v>
      </c>
      <c r="F32" s="3"/>
      <c r="G32" s="27">
        <v>1.57</v>
      </c>
      <c r="H32" s="10"/>
      <c r="I32" s="10">
        <f t="shared" si="5"/>
        <v>12924.838541692843</v>
      </c>
      <c r="J32" s="10">
        <f t="shared" si="3"/>
        <v>1027977149045.4115</v>
      </c>
      <c r="K32" s="11">
        <f t="shared" si="4"/>
        <v>1.6207850000000024E-2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79495261.315826863</v>
      </c>
      <c r="D33" s="13">
        <v>-1E-4</v>
      </c>
      <c r="E33" s="10">
        <f t="shared" si="2"/>
        <v>-7950.3211636990309</v>
      </c>
      <c r="F33" s="3"/>
      <c r="G33" s="27">
        <v>1.61</v>
      </c>
      <c r="H33" s="10"/>
      <c r="I33" s="10">
        <f t="shared" si="5"/>
        <v>12725.05517543846</v>
      </c>
      <c r="J33" s="10">
        <f t="shared" si="3"/>
        <v>1011581586429.7954</v>
      </c>
      <c r="K33" s="11">
        <f t="shared" si="4"/>
        <v>1.5998390000000029E-2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79503211.636990562</v>
      </c>
      <c r="D34" s="12">
        <v>-1.6000000000000001E-3</v>
      </c>
      <c r="E34" s="10">
        <f t="shared" si="2"/>
        <v>-127408.99300800264</v>
      </c>
      <c r="F34" s="3"/>
      <c r="G34" s="27">
        <v>-0.04</v>
      </c>
      <c r="H34" s="10"/>
      <c r="I34" s="10">
        <f t="shared" si="5"/>
        <v>12523.427984881862</v>
      </c>
      <c r="J34" s="10">
        <f t="shared" ref="J34:J65" si="6">IF(I34="","",I34*C34)</f>
        <v>995652745502.67297</v>
      </c>
      <c r="K34" s="11">
        <f t="shared" ref="K34:K65" si="7">IFERROR(J34/J35-1,"")</f>
        <v>1.0979839999999852E-2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79630620.629998565</v>
      </c>
      <c r="D35" s="11">
        <v>6.9999999999999999E-4</v>
      </c>
      <c r="E35" s="10">
        <f t="shared" si="2"/>
        <v>55702.442731082439</v>
      </c>
      <c r="F35" s="3"/>
      <c r="G35" s="27">
        <v>-0.26</v>
      </c>
      <c r="H35" s="10"/>
      <c r="I35" s="10">
        <f t="shared" ref="I35:I66" si="8">IF(H35&lt;&gt;"",H35,I34/(1+IF(G34="",0,G34)/100))</f>
        <v>12367.596271856472</v>
      </c>
      <c r="J35" s="10">
        <f t="shared" si="6"/>
        <v>984839366829.18726</v>
      </c>
      <c r="K35" s="11">
        <f t="shared" si="7"/>
        <v>2.5117080000000014E-2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79574918.187267482</v>
      </c>
      <c r="D36" s="11">
        <v>2.5999999999999999E-3</v>
      </c>
      <c r="E36" s="10">
        <f t="shared" si="2"/>
        <v>206358.25582174957</v>
      </c>
      <c r="F36" s="3"/>
      <c r="G36" s="27">
        <v>-3.61</v>
      </c>
      <c r="H36" s="10"/>
      <c r="I36" s="10">
        <f t="shared" si="8"/>
        <v>12073.014712862623</v>
      </c>
      <c r="J36" s="10">
        <f t="shared" si="6"/>
        <v>960709158049.71985</v>
      </c>
      <c r="K36" s="11">
        <f t="shared" si="7"/>
        <v>1.4530939999999992E-2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79368559.931445733</v>
      </c>
      <c r="D37" s="11">
        <v>0</v>
      </c>
      <c r="E37" s="10">
        <f t="shared" si="2"/>
        <v>0</v>
      </c>
      <c r="F37" s="3"/>
      <c r="G37" s="27">
        <v>-5.6</v>
      </c>
      <c r="H37" s="10"/>
      <c r="I37" s="10">
        <f t="shared" si="8"/>
        <v>11931.035391701376</v>
      </c>
      <c r="J37" s="10">
        <f t="shared" si="6"/>
        <v>946949097530.45081</v>
      </c>
      <c r="K37" s="11">
        <f t="shared" si="7"/>
        <v>-3.0000000000000027E-3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79368559.931445733</v>
      </c>
      <c r="D38" s="11">
        <v>-1.6999999999999999E-3</v>
      </c>
      <c r="E38" s="10">
        <f t="shared" si="2"/>
        <v>-135156.31762342155</v>
      </c>
      <c r="F38" s="3"/>
      <c r="G38" s="27">
        <v>-3</v>
      </c>
      <c r="H38" s="10"/>
      <c r="I38" s="10">
        <f t="shared" si="8"/>
        <v>11966.936200302283</v>
      </c>
      <c r="J38" s="10">
        <f t="shared" si="6"/>
        <v>949798493009.47925</v>
      </c>
      <c r="K38" s="11">
        <f t="shared" si="7"/>
        <v>5.2880999999997957E-3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79503716.249069154</v>
      </c>
      <c r="D39" s="11">
        <v>-8.0000000000000004E-4</v>
      </c>
      <c r="E39" s="10">
        <f t="shared" si="2"/>
        <v>-63653.896116152406</v>
      </c>
      <c r="F39" s="3"/>
      <c r="G39" s="27">
        <v>3.95</v>
      </c>
      <c r="H39" s="10"/>
      <c r="I39" s="10">
        <f t="shared" si="8"/>
        <v>11883.749950647751</v>
      </c>
      <c r="J39" s="10">
        <f t="shared" si="6"/>
        <v>944802284051.18835</v>
      </c>
      <c r="K39" s="11">
        <f t="shared" si="7"/>
        <v>3.8668399999999936E-2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79567370.145185307</v>
      </c>
      <c r="D40" s="11">
        <v>4.0000000000000002E-4</v>
      </c>
      <c r="E40" s="10">
        <f t="shared" si="2"/>
        <v>31814.222369119525</v>
      </c>
      <c r="F40" s="3"/>
      <c r="G40" s="27">
        <v>1.55</v>
      </c>
      <c r="H40" s="10"/>
      <c r="I40" s="10">
        <f t="shared" si="8"/>
        <v>11432.17888470202</v>
      </c>
      <c r="J40" s="10">
        <f t="shared" si="6"/>
        <v>909628408885.05737</v>
      </c>
      <c r="K40" s="11">
        <f t="shared" si="7"/>
        <v>1.5906200000000092E-2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79535555.922816187</v>
      </c>
      <c r="D41" s="11">
        <v>-1.8E-3</v>
      </c>
      <c r="E41" s="10">
        <f t="shared" si="2"/>
        <v>-143422.16055005789</v>
      </c>
      <c r="F41" s="3"/>
      <c r="G41" s="27">
        <v>1.34</v>
      </c>
      <c r="H41" s="10"/>
      <c r="I41" s="10">
        <f t="shared" si="8"/>
        <v>11257.684770755312</v>
      </c>
      <c r="J41" s="10">
        <f t="shared" si="6"/>
        <v>895386216645.84521</v>
      </c>
      <c r="K41" s="11">
        <f t="shared" si="7"/>
        <v>1.1575880000000094E-2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79678978.083366245</v>
      </c>
      <c r="D42" s="11">
        <v>-2.7000000000000001E-3</v>
      </c>
      <c r="E42" s="10">
        <f t="shared" si="2"/>
        <v>-215715.67314258218</v>
      </c>
      <c r="F42" s="3"/>
      <c r="G42" s="27">
        <v>-0.95</v>
      </c>
      <c r="H42" s="10"/>
      <c r="I42" s="10">
        <f t="shared" si="8"/>
        <v>11108.826495712759</v>
      </c>
      <c r="J42" s="10">
        <f t="shared" si="6"/>
        <v>885139942883.81519</v>
      </c>
      <c r="K42" s="11">
        <f t="shared" si="7"/>
        <v>-1.2174350000000111E-2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79894693.756508827</v>
      </c>
      <c r="D43" s="11">
        <v>1.6999999999999999E-3</v>
      </c>
      <c r="E43" s="10">
        <f t="shared" si="2"/>
        <v>135590.47557759285</v>
      </c>
      <c r="F43" s="3"/>
      <c r="G43" s="27">
        <v>4.41</v>
      </c>
      <c r="H43" s="10"/>
      <c r="I43" s="10">
        <f t="shared" si="8"/>
        <v>11215.372534793296</v>
      </c>
      <c r="J43" s="10">
        <f t="shared" si="6"/>
        <v>896048754032.47046</v>
      </c>
      <c r="K43" s="11">
        <f t="shared" si="7"/>
        <v>4.587497000000007E-2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79759103.280931234</v>
      </c>
      <c r="D44" s="11">
        <v>5.4999999999999997E-3</v>
      </c>
      <c r="E44" s="10">
        <f t="shared" si="2"/>
        <v>436275.55250634253</v>
      </c>
      <c r="F44" s="3"/>
      <c r="G44" s="27">
        <v>6.19</v>
      </c>
      <c r="H44" s="10"/>
      <c r="I44" s="10">
        <f t="shared" si="8"/>
        <v>10741.665103719275</v>
      </c>
      <c r="J44" s="10">
        <f t="shared" si="6"/>
        <v>856745576416.72058</v>
      </c>
      <c r="K44" s="11">
        <f t="shared" si="7"/>
        <v>6.7740450000000285E-2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79322827.728424892</v>
      </c>
      <c r="D45" s="11">
        <v>5.7999999999999996E-3</v>
      </c>
      <c r="E45" s="10">
        <f t="shared" si="2"/>
        <v>457419.36848764122</v>
      </c>
      <c r="F45" s="3"/>
      <c r="G45" s="27">
        <v>4.51</v>
      </c>
      <c r="H45" s="10"/>
      <c r="I45" s="10">
        <f t="shared" si="8"/>
        <v>10115.514741236721</v>
      </c>
      <c r="J45" s="10">
        <f t="shared" si="6"/>
        <v>802391233203.46289</v>
      </c>
      <c r="K45" s="11">
        <f t="shared" si="7"/>
        <v>5.116158000000004E-2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78865408.359937251</v>
      </c>
      <c r="D46" s="11">
        <v>4.4999999999999997E-3</v>
      </c>
      <c r="E46" s="10">
        <f t="shared" si="2"/>
        <v>353304.46751588583</v>
      </c>
      <c r="F46" s="3"/>
      <c r="G46" s="27">
        <v>5.29</v>
      </c>
      <c r="H46" s="10"/>
      <c r="I46" s="10">
        <f t="shared" si="8"/>
        <v>9678.9921933180758</v>
      </c>
      <c r="J46" s="10">
        <f t="shared" si="6"/>
        <v>763337671838.6748</v>
      </c>
      <c r="K46" s="11">
        <f t="shared" si="7"/>
        <v>5.7638049999999774E-2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78512103.892421365</v>
      </c>
      <c r="D47" s="11">
        <v>3.5000000000000001E-3</v>
      </c>
      <c r="E47" s="10">
        <f t="shared" si="2"/>
        <v>273833.94481661916</v>
      </c>
      <c r="F47" s="3"/>
      <c r="G47" s="27">
        <v>6.2</v>
      </c>
      <c r="H47" s="10"/>
      <c r="I47" s="10">
        <f t="shared" si="8"/>
        <v>9192.6984455485581</v>
      </c>
      <c r="J47" s="10">
        <f t="shared" si="6"/>
        <v>721738095408.60876</v>
      </c>
      <c r="K47" s="11">
        <f t="shared" si="7"/>
        <v>6.5717000000000025E-2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78238269.947604746</v>
      </c>
      <c r="D48" s="11">
        <v>3.5000000000000001E-3</v>
      </c>
      <c r="E48" s="10">
        <f t="shared" si="2"/>
        <v>272878.86877590418</v>
      </c>
      <c r="F48" s="3"/>
      <c r="G48" s="27">
        <v>3.09</v>
      </c>
      <c r="H48" s="10"/>
      <c r="I48" s="10">
        <f t="shared" si="8"/>
        <v>8656.0249016464768</v>
      </c>
      <c r="J48" s="10">
        <f t="shared" si="6"/>
        <v>677232412928.20581</v>
      </c>
      <c r="K48" s="11">
        <f t="shared" si="7"/>
        <v>3.4508149999999738E-2</v>
      </c>
      <c r="L48" t="s">
        <v>118</v>
      </c>
      <c r="M48" t="s">
        <v>119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77965391.078828841</v>
      </c>
      <c r="D49" s="11">
        <v>5.1999999999999998E-3</v>
      </c>
      <c r="E49" s="10">
        <f t="shared" si="2"/>
        <v>403322.75528244674</v>
      </c>
      <c r="F49" s="3"/>
      <c r="G49" s="27">
        <v>2.54</v>
      </c>
      <c r="H49" s="10"/>
      <c r="I49" s="10">
        <f t="shared" si="8"/>
        <v>8396.5708620103578</v>
      </c>
      <c r="J49" s="10">
        <f t="shared" si="6"/>
        <v>654641930977.73657</v>
      </c>
      <c r="K49" s="11">
        <f t="shared" si="7"/>
        <v>3.0732080000000384E-2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77562068.323546395</v>
      </c>
      <c r="D50" s="11">
        <v>7.4999999999999997E-3</v>
      </c>
      <c r="E50" s="10">
        <f t="shared" si="2"/>
        <v>577385.12399663031</v>
      </c>
      <c r="F50" s="3"/>
      <c r="G50" s="27">
        <v>2.8</v>
      </c>
      <c r="H50" s="10"/>
      <c r="I50" s="10">
        <f t="shared" si="8"/>
        <v>8188.5809069732368</v>
      </c>
      <c r="J50" s="10">
        <f t="shared" si="6"/>
        <v>635123271779.54565</v>
      </c>
      <c r="K50" s="11">
        <f t="shared" si="7"/>
        <v>3.5710000000000131E-2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76984683.199549764</v>
      </c>
      <c r="D51" s="11">
        <v>7.0000000000000001E-3</v>
      </c>
      <c r="E51" s="10">
        <f t="shared" si="2"/>
        <v>535146.75511106849</v>
      </c>
      <c r="F51" s="3"/>
      <c r="G51" s="27">
        <v>5.16</v>
      </c>
      <c r="H51" s="10"/>
      <c r="I51" s="10">
        <f t="shared" si="8"/>
        <v>7965.5456293513971</v>
      </c>
      <c r="J51" s="10">
        <f t="shared" si="6"/>
        <v>613225006787.17554</v>
      </c>
      <c r="K51" s="11">
        <f t="shared" si="7"/>
        <v>5.8961199999999936E-2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76449536.444438696</v>
      </c>
      <c r="D52" s="11">
        <v>6.4999999999999997E-3</v>
      </c>
      <c r="E52" s="10">
        <f t="shared" si="2"/>
        <v>493712.85334213078</v>
      </c>
      <c r="F52" s="3"/>
      <c r="G52" s="27">
        <v>4.84</v>
      </c>
      <c r="H52" s="10"/>
      <c r="I52" s="10">
        <f t="shared" si="8"/>
        <v>7574.6915455985136</v>
      </c>
      <c r="J52" s="10">
        <f t="shared" si="6"/>
        <v>579081657370.61523</v>
      </c>
      <c r="K52" s="11">
        <f t="shared" si="7"/>
        <v>5.5214600000000003E-2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75955823.591096565</v>
      </c>
      <c r="D53" s="11">
        <v>6.7000000000000002E-3</v>
      </c>
      <c r="E53" s="10">
        <f t="shared" si="2"/>
        <v>505517.05379988253</v>
      </c>
      <c r="F53" s="3"/>
      <c r="G53" s="27">
        <v>6.58</v>
      </c>
      <c r="H53" s="10"/>
      <c r="I53" s="10">
        <f t="shared" si="8"/>
        <v>7225.001474245053</v>
      </c>
      <c r="J53" s="10">
        <f t="shared" si="6"/>
        <v>548780937423.16986</v>
      </c>
      <c r="K53" s="11">
        <f t="shared" si="7"/>
        <v>7.2940860000000107E-2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75450306.537296683</v>
      </c>
      <c r="D54" s="11">
        <v>6.4000000000000003E-3</v>
      </c>
      <c r="E54" s="10">
        <f t="shared" si="2"/>
        <v>479811.17034846544</v>
      </c>
      <c r="F54" s="3"/>
      <c r="G54" s="27">
        <v>6.1</v>
      </c>
      <c r="H54" s="10"/>
      <c r="I54" s="10">
        <f t="shared" si="8"/>
        <v>6778.9467763605298</v>
      </c>
      <c r="J54" s="10">
        <f t="shared" si="6"/>
        <v>511473612276.42114</v>
      </c>
      <c r="K54" s="11">
        <f t="shared" si="7"/>
        <v>6.7790399999999806E-2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74970495.366948217</v>
      </c>
      <c r="D55" s="11">
        <v>6.1000000000000004E-3</v>
      </c>
      <c r="E55" s="10">
        <f t="shared" si="2"/>
        <v>454547.28331018984</v>
      </c>
      <c r="F55" s="3"/>
      <c r="G55" s="27">
        <v>2.86</v>
      </c>
      <c r="H55" s="10"/>
      <c r="I55" s="10">
        <f t="shared" si="8"/>
        <v>6389.2052557592178</v>
      </c>
      <c r="J55" s="10">
        <f t="shared" si="6"/>
        <v>479001883025.37762</v>
      </c>
      <c r="K55" s="11">
        <f t="shared" si="7"/>
        <v>3.4874459999999941E-2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74515948.083638027</v>
      </c>
      <c r="D56" s="11">
        <v>5.4999999999999997E-3</v>
      </c>
      <c r="E56" s="10">
        <f t="shared" si="2"/>
        <v>407595.93680757284</v>
      </c>
      <c r="F56" s="3"/>
      <c r="G56" s="27">
        <v>-2.1</v>
      </c>
      <c r="H56" s="10"/>
      <c r="I56" s="10">
        <f t="shared" si="8"/>
        <v>6211.5547887995508</v>
      </c>
      <c r="J56" s="10">
        <f t="shared" si="6"/>
        <v>462859894160.86047</v>
      </c>
      <c r="K56" s="11">
        <f t="shared" si="7"/>
        <v>-1.5615500000000115E-2</v>
      </c>
      <c r="L56" t="s">
        <v>120</v>
      </c>
      <c r="M56" t="s">
        <v>121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74108352.146830454</v>
      </c>
      <c r="D57" s="11">
        <v>5.0000000000000001E-3</v>
      </c>
      <c r="E57" s="10">
        <f t="shared" si="2"/>
        <v>368698.26938721538</v>
      </c>
      <c r="F57" s="3"/>
      <c r="G57" s="28">
        <v>7.05</v>
      </c>
      <c r="H57" s="10"/>
      <c r="I57" s="10">
        <f t="shared" si="8"/>
        <v>6344.7954941772741</v>
      </c>
      <c r="J57" s="10">
        <f t="shared" si="6"/>
        <v>470202338782.11261</v>
      </c>
      <c r="K57" s="11">
        <f t="shared" si="7"/>
        <v>7.58525000000001E-2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73739653.877443239</v>
      </c>
      <c r="D58" s="11">
        <v>4.0000000000000001E-3</v>
      </c>
      <c r="E58" s="10">
        <f t="shared" si="2"/>
        <v>293783.48158344626</v>
      </c>
      <c r="F58" s="3"/>
      <c r="G58" s="28">
        <v>2.86</v>
      </c>
      <c r="H58" s="10"/>
      <c r="I58" s="10">
        <f t="shared" si="8"/>
        <v>5926.9458142711574</v>
      </c>
      <c r="J58" s="10">
        <f t="shared" si="6"/>
        <v>437050932894.71613</v>
      </c>
      <c r="K58" s="11">
        <f t="shared" si="7"/>
        <v>3.2714399999999921E-2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73445870.395859793</v>
      </c>
      <c r="D59" s="11">
        <v>4.0000000000000001E-3</v>
      </c>
      <c r="E59" s="10">
        <f t="shared" si="2"/>
        <v>292613.02946557105</v>
      </c>
      <c r="F59" s="3"/>
      <c r="G59" s="28">
        <v>2.5</v>
      </c>
      <c r="H59" s="10"/>
      <c r="I59" s="10">
        <f t="shared" si="8"/>
        <v>5762.1483708644346</v>
      </c>
      <c r="J59" s="10">
        <f t="shared" si="6"/>
        <v>423206002448.22394</v>
      </c>
      <c r="K59" s="11">
        <f t="shared" si="7"/>
        <v>2.9099999999999904E-2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73153257.366394222</v>
      </c>
      <c r="D60" s="11">
        <v>3.0000000000000001E-3</v>
      </c>
      <c r="E60" s="10">
        <f t="shared" si="2"/>
        <v>218803.36201313138</v>
      </c>
      <c r="F60" s="3"/>
      <c r="G60" s="28">
        <v>6.04</v>
      </c>
      <c r="H60" s="10"/>
      <c r="I60" s="10">
        <f t="shared" si="8"/>
        <v>5621.6081666970094</v>
      </c>
      <c r="J60" s="10">
        <f t="shared" si="6"/>
        <v>411238949031.40991</v>
      </c>
      <c r="K60" s="11">
        <f t="shared" si="7"/>
        <v>6.3581199999999782E-2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72934454.00438109</v>
      </c>
      <c r="D61" s="11">
        <v>3.0000000000000001E-3</v>
      </c>
      <c r="E61" s="10">
        <f t="shared" si="2"/>
        <v>218148.91526733339</v>
      </c>
      <c r="F61" s="3"/>
      <c r="G61" s="28">
        <v>5.05</v>
      </c>
      <c r="H61" s="10"/>
      <c r="I61" s="10">
        <f t="shared" si="8"/>
        <v>5301.4034012608536</v>
      </c>
      <c r="J61" s="10">
        <f t="shared" si="6"/>
        <v>386654962527.9292</v>
      </c>
      <c r="K61" s="11">
        <f t="shared" si="7"/>
        <v>5.3651499999999963E-2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72716305.089113757</v>
      </c>
      <c r="D62" s="11">
        <v>2E-3</v>
      </c>
      <c r="E62" s="10">
        <f t="shared" si="2"/>
        <v>145142.32552717626</v>
      </c>
      <c r="F62" s="3"/>
      <c r="G62" s="28">
        <v>5.75</v>
      </c>
      <c r="H62" s="10"/>
      <c r="I62" s="10">
        <f t="shared" si="8"/>
        <v>5046.5525000103316</v>
      </c>
      <c r="J62" s="10">
        <f t="shared" si="6"/>
        <v>366966651238.98102</v>
      </c>
      <c r="K62" s="11">
        <f t="shared" si="7"/>
        <v>5.9615000000000196E-2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72571162.763586581</v>
      </c>
      <c r="D63" s="11">
        <v>2E-3</v>
      </c>
      <c r="E63" s="10">
        <f t="shared" si="2"/>
        <v>144852.6202865988</v>
      </c>
      <c r="F63" s="3"/>
      <c r="G63" s="28">
        <v>4.84</v>
      </c>
      <c r="H63" s="10"/>
      <c r="I63" s="10">
        <f t="shared" si="8"/>
        <v>4772.15366431237</v>
      </c>
      <c r="J63" s="10">
        <f t="shared" si="6"/>
        <v>346320740305.65912</v>
      </c>
      <c r="K63" s="11">
        <f t="shared" si="7"/>
        <v>5.0496799999999897E-2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72426310.143299982</v>
      </c>
      <c r="D64" s="11">
        <v>2E-3</v>
      </c>
      <c r="E64" s="10">
        <f t="shared" si="2"/>
        <v>144563.49330000579</v>
      </c>
      <c r="F64" s="3"/>
      <c r="G64" s="28">
        <v>2.89</v>
      </c>
      <c r="H64" s="10"/>
      <c r="I64" s="10">
        <f t="shared" si="8"/>
        <v>4551.8443955669309</v>
      </c>
      <c r="J64" s="10">
        <f t="shared" si="6"/>
        <v>329673293917.37238</v>
      </c>
      <c r="K64" s="11">
        <f t="shared" si="7"/>
        <v>3.0957800000000146E-2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72281746.649999976</v>
      </c>
      <c r="D65" s="11">
        <v>3.0000000000000001E-3</v>
      </c>
      <c r="E65" s="10">
        <f t="shared" si="2"/>
        <v>216196.64999999106</v>
      </c>
      <c r="F65" s="3"/>
      <c r="G65" s="28">
        <v>2.65</v>
      </c>
      <c r="H65" s="10"/>
      <c r="I65" s="10">
        <f t="shared" si="8"/>
        <v>4423.9910541033441</v>
      </c>
      <c r="J65" s="10">
        <f t="shared" si="6"/>
        <v>319773800554.56427</v>
      </c>
      <c r="K65" s="11">
        <f t="shared" si="7"/>
        <v>2.957949999999987E-2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72065549.999999985</v>
      </c>
      <c r="D66" s="11">
        <v>3.0000000000000001E-3</v>
      </c>
      <c r="E66" s="10">
        <f t="shared" si="2"/>
        <v>215549.9999999851</v>
      </c>
      <c r="F66" s="3"/>
      <c r="G66" s="28">
        <v>6.16</v>
      </c>
      <c r="H66" s="10"/>
      <c r="I66" s="10">
        <f t="shared" si="8"/>
        <v>4309.7818354635601</v>
      </c>
      <c r="J66" s="10">
        <f t="shared" ref="J66:J67" si="9">IF(I66="","",I66*C66)</f>
        <v>310586798352.69092</v>
      </c>
      <c r="K66" s="11">
        <f t="shared" ref="K66" si="10">IFERROR(J66/J67-1,"")</f>
        <v>6.4784799999999976E-2</v>
      </c>
    </row>
    <row r="67" spans="1:11" ht="22.5" customHeight="1">
      <c r="A67" s="3">
        <f t="shared" si="0"/>
        <v>1950</v>
      </c>
      <c r="B67" s="3">
        <v>1700</v>
      </c>
      <c r="C67" s="10">
        <v>71850000</v>
      </c>
      <c r="D67" s="11">
        <v>4.0000000000000001E-3</v>
      </c>
      <c r="E67" s="3" t="s">
        <v>72</v>
      </c>
      <c r="F67" s="3"/>
      <c r="G67" s="28">
        <v>7.47</v>
      </c>
      <c r="H67" s="10"/>
      <c r="I67" s="10">
        <f t="shared" ref="I67" si="11">IF(H67&lt;&gt;"",H67,I66/(1+IF(G66="",0,G66)/100))</f>
        <v>4059.7040650561039</v>
      </c>
      <c r="J67" s="10">
        <f t="shared" si="9"/>
        <v>291689737074.28107</v>
      </c>
      <c r="K67" s="11"/>
    </row>
  </sheetData>
  <dataValidations count="1">
    <dataValidation type="custom" allowBlank="1" showDropDown="1" sqref="D2:D67" xr:uid="{00000000-0002-0000-2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67"/>
  <sheetViews>
    <sheetView topLeftCell="A39" workbookViewId="0">
      <selection activeCell="L65" sqref="L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51674.313193890892</v>
      </c>
      <c r="D2" s="11">
        <v>-8.0000000000000002E-3</v>
      </c>
      <c r="E2" s="10">
        <f t="shared" ref="E2:E66" si="2">SUM(C2-C3)</f>
        <v>-416.72833220879693</v>
      </c>
      <c r="F2" s="14">
        <v>51690</v>
      </c>
      <c r="G2" s="26">
        <v>0.92</v>
      </c>
      <c r="H2" s="10"/>
      <c r="I2" s="10">
        <f>IF(H2&lt;&gt;"",H2,39048)</f>
        <v>4881</v>
      </c>
      <c r="J2" s="10">
        <f t="shared" ref="J2:J33" si="3">IF(I2="","",I2*C2)</f>
        <v>252222322.69938144</v>
      </c>
      <c r="K2" s="11">
        <f t="shared" ref="K2:K33" si="4">IFERROR(J2/J3-1,"")</f>
        <v>1.1264000000001939E-3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52091.041526099689</v>
      </c>
      <c r="D3" s="11">
        <v>-5.3E-3</v>
      </c>
      <c r="E3" s="10">
        <f t="shared" si="2"/>
        <v>-277.55355392412457</v>
      </c>
      <c r="F3" s="3"/>
      <c r="G3" s="26">
        <v>0.69</v>
      </c>
      <c r="H3" s="10"/>
      <c r="I3" s="10">
        <f t="shared" ref="I3:I34" si="5">IF(H3&lt;&gt;"",H3,I2/(1+IF(G2="",0,G2)/100))</f>
        <v>4836.504161712247</v>
      </c>
      <c r="J3" s="10">
        <f t="shared" si="3"/>
        <v>251938539.12890661</v>
      </c>
      <c r="K3" s="11">
        <f t="shared" si="4"/>
        <v>1.5634299999998102E-3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52368.595080023813</v>
      </c>
      <c r="D4" s="11">
        <v>-3.2000000000000002E-3</v>
      </c>
      <c r="E4" s="10">
        <f t="shared" si="2"/>
        <v>-168.11748019268998</v>
      </c>
      <c r="F4" s="3"/>
      <c r="G4" s="26">
        <v>0.52</v>
      </c>
      <c r="H4" s="10"/>
      <c r="I4" s="10">
        <f t="shared" si="5"/>
        <v>4803.3609710122628</v>
      </c>
      <c r="J4" s="10">
        <f t="shared" si="3"/>
        <v>251545265.71413121</v>
      </c>
      <c r="K4" s="11">
        <f t="shared" si="4"/>
        <v>1.9833600000003226E-3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52536.712560216503</v>
      </c>
      <c r="D5" s="11">
        <v>-6.9999999999999999E-4</v>
      </c>
      <c r="E5" s="10">
        <f t="shared" si="2"/>
        <v>-36.801459814021655</v>
      </c>
      <c r="F5" s="3"/>
      <c r="G5" s="26">
        <v>-0.61</v>
      </c>
      <c r="H5" s="10"/>
      <c r="I5" s="10">
        <f t="shared" si="5"/>
        <v>4778.51270494654</v>
      </c>
      <c r="J5" s="10">
        <f t="shared" si="3"/>
        <v>251047348.44511902</v>
      </c>
      <c r="K5" s="11">
        <f t="shared" si="4"/>
        <v>-6.7957299999999998E-3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52573.514020030525</v>
      </c>
      <c r="D6" s="11">
        <v>1.1999999999999999E-3</v>
      </c>
      <c r="E6" s="10">
        <f t="shared" si="2"/>
        <v>63.01260170200112</v>
      </c>
      <c r="F6" s="3"/>
      <c r="G6" s="26">
        <v>1.73</v>
      </c>
      <c r="H6" s="10"/>
      <c r="I6" s="10">
        <f t="shared" si="5"/>
        <v>4807.8405321929167</v>
      </c>
      <c r="J6" s="10">
        <f t="shared" si="3"/>
        <v>252765071.62531534</v>
      </c>
      <c r="K6" s="11">
        <f t="shared" si="4"/>
        <v>1.8520760000000136E-2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52510.501418328524</v>
      </c>
      <c r="D7" s="11">
        <v>0</v>
      </c>
      <c r="E7" s="10">
        <f t="shared" si="2"/>
        <v>0</v>
      </c>
      <c r="F7" s="3"/>
      <c r="G7" s="26">
        <v>-1.46</v>
      </c>
      <c r="H7" s="10"/>
      <c r="I7" s="10">
        <f t="shared" si="5"/>
        <v>4726.0793592774171</v>
      </c>
      <c r="J7" s="10">
        <f t="shared" si="3"/>
        <v>248168796.89846998</v>
      </c>
      <c r="K7" s="11">
        <f t="shared" si="4"/>
        <v>-1.4599999999999835E-2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52510.501418328524</v>
      </c>
      <c r="D8" s="11">
        <v>-8.9999999999999998E-4</v>
      </c>
      <c r="E8" s="10">
        <f t="shared" si="2"/>
        <v>-47.302023097283382</v>
      </c>
      <c r="F8" s="3"/>
      <c r="G8" s="26">
        <v>3.35</v>
      </c>
      <c r="H8" s="10"/>
      <c r="I8" s="10">
        <f t="shared" si="5"/>
        <v>4796.1024551222008</v>
      </c>
      <c r="J8" s="10">
        <f t="shared" si="3"/>
        <v>251845744.77214324</v>
      </c>
      <c r="K8" s="11">
        <f t="shared" si="4"/>
        <v>3.2569850000000011E-2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52557.803441425807</v>
      </c>
      <c r="D9" s="11">
        <v>8.9999999999999998E-4</v>
      </c>
      <c r="E9" s="10">
        <f t="shared" si="2"/>
        <v>47.25948955667991</v>
      </c>
      <c r="F9" s="3"/>
      <c r="G9" s="26">
        <v>0.81</v>
      </c>
      <c r="H9" s="10"/>
      <c r="I9" s="10">
        <f t="shared" si="5"/>
        <v>4640.6409822179012</v>
      </c>
      <c r="J9" s="10">
        <f t="shared" si="3"/>
        <v>243901896.58563364</v>
      </c>
      <c r="K9" s="11">
        <f t="shared" si="4"/>
        <v>9.0072900000000011E-3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52510.543951869127</v>
      </c>
      <c r="D10" s="11">
        <v>2.3999999999999998E-3</v>
      </c>
      <c r="E10" s="10">
        <f t="shared" si="2"/>
        <v>125.72356891907839</v>
      </c>
      <c r="F10" s="3"/>
      <c r="G10" s="26">
        <v>1.43</v>
      </c>
      <c r="H10" s="10"/>
      <c r="I10" s="10">
        <f t="shared" si="5"/>
        <v>4603.3538163058238</v>
      </c>
      <c r="J10" s="10">
        <f t="shared" si="3"/>
        <v>241724612.89713144</v>
      </c>
      <c r="K10" s="11">
        <f t="shared" si="4"/>
        <v>1.6734319999999858E-2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52384.820382950049</v>
      </c>
      <c r="D11" s="11">
        <v>2.8999999999999998E-3</v>
      </c>
      <c r="E11" s="10">
        <f t="shared" si="2"/>
        <v>151.47669669015158</v>
      </c>
      <c r="F11" s="3"/>
      <c r="G11" s="26">
        <v>2.9</v>
      </c>
      <c r="H11" s="10"/>
      <c r="I11" s="10">
        <f t="shared" si="5"/>
        <v>4538.4539251758097</v>
      </c>
      <c r="J11" s="10">
        <f t="shared" si="3"/>
        <v>237746093.68662941</v>
      </c>
      <c r="K11" s="11">
        <f t="shared" si="4"/>
        <v>3.1984100000000071E-2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52233.343686259897</v>
      </c>
      <c r="D12" s="11">
        <v>-7.1000000000000004E-3</v>
      </c>
      <c r="E12" s="10">
        <f t="shared" si="2"/>
        <v>-373.50865159879322</v>
      </c>
      <c r="F12" s="3"/>
      <c r="G12" s="26">
        <v>0.89</v>
      </c>
      <c r="H12" s="10"/>
      <c r="I12" s="10">
        <f t="shared" si="5"/>
        <v>4410.5480322408257</v>
      </c>
      <c r="J12" s="10">
        <f t="shared" si="3"/>
        <v>230377671.21279234</v>
      </c>
      <c r="K12" s="11">
        <f t="shared" si="4"/>
        <v>1.736809999999922E-3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52606.852337858691</v>
      </c>
      <c r="D13" s="11">
        <v>-6.4999999999999997E-3</v>
      </c>
      <c r="E13" s="10">
        <f t="shared" si="2"/>
        <v>-344.18172138508089</v>
      </c>
      <c r="F13" s="3"/>
      <c r="G13" s="26">
        <v>1.32</v>
      </c>
      <c r="H13" s="10"/>
      <c r="I13" s="10">
        <f t="shared" si="5"/>
        <v>4371.6404323925326</v>
      </c>
      <c r="J13" s="10">
        <f t="shared" si="3"/>
        <v>229978242.70108667</v>
      </c>
      <c r="K13" s="11">
        <f t="shared" si="4"/>
        <v>6.6142000000000145E-3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52951.034059243771</v>
      </c>
      <c r="D14" s="11">
        <v>-6.0000000000000001E-3</v>
      </c>
      <c r="E14" s="10">
        <f t="shared" si="2"/>
        <v>-319.62394804372889</v>
      </c>
      <c r="F14" s="3"/>
      <c r="G14" s="26">
        <v>3.67</v>
      </c>
      <c r="H14" s="10"/>
      <c r="I14" s="10">
        <f t="shared" si="5"/>
        <v>4314.686569672851</v>
      </c>
      <c r="J14" s="10">
        <f t="shared" si="3"/>
        <v>228467115.50570881</v>
      </c>
      <c r="K14" s="11">
        <f t="shared" si="4"/>
        <v>3.0479799999999946E-2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53270.6580072875</v>
      </c>
      <c r="D15" s="11">
        <v>-5.3E-3</v>
      </c>
      <c r="E15" s="10">
        <f t="shared" si="2"/>
        <v>-283.83883325487113</v>
      </c>
      <c r="F15" s="3"/>
      <c r="G15" s="26">
        <v>2</v>
      </c>
      <c r="H15" s="10"/>
      <c r="I15" s="10">
        <f t="shared" si="5"/>
        <v>4161.9432523129653</v>
      </c>
      <c r="J15" s="10">
        <f t="shared" si="3"/>
        <v>221709455.63970184</v>
      </c>
      <c r="K15" s="11">
        <f t="shared" si="4"/>
        <v>1.4593999999999996E-2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53554.496840542372</v>
      </c>
      <c r="D16" s="11">
        <v>-4.5999999999999999E-3</v>
      </c>
      <c r="E16" s="10">
        <f t="shared" si="2"/>
        <v>-247.48913548974815</v>
      </c>
      <c r="F16" s="3"/>
      <c r="G16" s="26">
        <v>1.34</v>
      </c>
      <c r="H16" s="10"/>
      <c r="I16" s="10">
        <f t="shared" si="5"/>
        <v>4080.3365218754561</v>
      </c>
      <c r="J16" s="10">
        <f t="shared" si="3"/>
        <v>218520369.36912876</v>
      </c>
      <c r="K16" s="11">
        <f t="shared" si="4"/>
        <v>8.7383600000001671E-3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53801.98597603212</v>
      </c>
      <c r="D17" s="11">
        <v>-3.7000000000000002E-3</v>
      </c>
      <c r="E17" s="10">
        <f t="shared" si="2"/>
        <v>-199.80663265213661</v>
      </c>
      <c r="F17" s="3"/>
      <c r="G17" s="26">
        <v>0.88</v>
      </c>
      <c r="H17" s="10"/>
      <c r="I17" s="10">
        <f t="shared" si="5"/>
        <v>4026.3829898119752</v>
      </c>
      <c r="J17" s="10">
        <f t="shared" si="3"/>
        <v>216627401.15199816</v>
      </c>
      <c r="K17" s="11">
        <f t="shared" si="4"/>
        <v>5.0674399999999231E-3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54001.792608684256</v>
      </c>
      <c r="D18" s="11">
        <v>-2.8999999999999998E-3</v>
      </c>
      <c r="E18" s="10">
        <f t="shared" si="2"/>
        <v>-157.06067452129355</v>
      </c>
      <c r="F18" s="3"/>
      <c r="G18" s="26">
        <v>1.05</v>
      </c>
      <c r="H18" s="10"/>
      <c r="I18" s="10">
        <f t="shared" si="5"/>
        <v>3991.2599026684929</v>
      </c>
      <c r="J18" s="10">
        <f t="shared" si="3"/>
        <v>215535189.51126125</v>
      </c>
      <c r="K18" s="11">
        <f t="shared" si="4"/>
        <v>7.5695499999999249E-3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54158.85328320555</v>
      </c>
      <c r="D19" s="11">
        <v>5.1000000000000004E-3</v>
      </c>
      <c r="E19" s="10">
        <f t="shared" si="2"/>
        <v>274.80862774286652</v>
      </c>
      <c r="F19" s="3"/>
      <c r="G19" s="26">
        <v>-2.33</v>
      </c>
      <c r="H19" s="10"/>
      <c r="I19" s="10">
        <f t="shared" si="5"/>
        <v>3949.7871377224078</v>
      </c>
      <c r="J19" s="10">
        <f t="shared" si="3"/>
        <v>213915942.09180027</v>
      </c>
      <c r="K19" s="11">
        <f t="shared" si="4"/>
        <v>-1.8318830000000008E-2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53884.044655462683</v>
      </c>
      <c r="D20" s="11">
        <v>8.6999999999999994E-3</v>
      </c>
      <c r="E20" s="10">
        <f t="shared" si="2"/>
        <v>464.7478819297321</v>
      </c>
      <c r="F20" s="3"/>
      <c r="G20" s="26">
        <v>-1.1399999999999999</v>
      </c>
      <c r="H20" s="10"/>
      <c r="I20" s="10">
        <f t="shared" si="5"/>
        <v>4044.0126320491531</v>
      </c>
      <c r="J20" s="10">
        <f t="shared" si="3"/>
        <v>217907757.25259176</v>
      </c>
      <c r="K20" s="11">
        <f t="shared" si="4"/>
        <v>-2.7991799999999012E-3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53419.296773532951</v>
      </c>
      <c r="D21" s="11">
        <v>8.8999999999999999E-3</v>
      </c>
      <c r="E21" s="10">
        <f t="shared" si="2"/>
        <v>471.23772552724404</v>
      </c>
      <c r="F21" s="3"/>
      <c r="G21" s="26">
        <v>-0.11</v>
      </c>
      <c r="H21" s="10"/>
      <c r="I21" s="10">
        <f t="shared" si="5"/>
        <v>4090.6459964082064</v>
      </c>
      <c r="J21" s="10">
        <f t="shared" si="3"/>
        <v>218519432.47759438</v>
      </c>
      <c r="K21" s="11">
        <f t="shared" si="4"/>
        <v>7.7902099999997976E-3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52948.059048005707</v>
      </c>
      <c r="D22" s="11">
        <v>9.1999999999999998E-3</v>
      </c>
      <c r="E22" s="10">
        <f t="shared" si="2"/>
        <v>482.68147368376958</v>
      </c>
      <c r="F22" s="3"/>
      <c r="G22" s="26">
        <v>2.35</v>
      </c>
      <c r="H22" s="10"/>
      <c r="I22" s="10">
        <f t="shared" si="5"/>
        <v>4095.1506621365565</v>
      </c>
      <c r="J22" s="10">
        <f t="shared" si="3"/>
        <v>216830279.06928608</v>
      </c>
      <c r="K22" s="11">
        <f t="shared" si="4"/>
        <v>3.2916200000000284E-2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52465.377574321938</v>
      </c>
      <c r="D23" s="11">
        <v>9.7000000000000003E-3</v>
      </c>
      <c r="E23" s="10">
        <f t="shared" si="2"/>
        <v>504.02511881839018</v>
      </c>
      <c r="F23" s="3"/>
      <c r="G23" s="26">
        <v>1.38</v>
      </c>
      <c r="H23" s="10"/>
      <c r="I23" s="10">
        <f t="shared" si="5"/>
        <v>4001.1242424392344</v>
      </c>
      <c r="J23" s="10">
        <f t="shared" si="3"/>
        <v>209920494.10134727</v>
      </c>
      <c r="K23" s="11">
        <f t="shared" si="4"/>
        <v>2.3633860000000118E-2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51961.352455503547</v>
      </c>
      <c r="D24" s="11">
        <v>1.01E-2</v>
      </c>
      <c r="E24" s="10">
        <f t="shared" si="2"/>
        <v>519.5620827646635</v>
      </c>
      <c r="F24" s="3"/>
      <c r="G24" s="26">
        <v>9.42</v>
      </c>
      <c r="H24" s="10"/>
      <c r="I24" s="10">
        <f t="shared" si="5"/>
        <v>3946.6603298867967</v>
      </c>
      <c r="J24" s="10">
        <f t="shared" si="3"/>
        <v>205073808.42340174</v>
      </c>
      <c r="K24" s="11">
        <f t="shared" si="4"/>
        <v>0.1052514200000001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51441.790372738884</v>
      </c>
      <c r="D25" s="11">
        <v>1.0699999999999999E-2</v>
      </c>
      <c r="E25" s="10">
        <f t="shared" si="2"/>
        <v>544.5999376553882</v>
      </c>
      <c r="F25" s="3"/>
      <c r="G25" s="26">
        <v>1.96</v>
      </c>
      <c r="H25" s="10"/>
      <c r="I25" s="10">
        <f t="shared" si="5"/>
        <v>3606.8911806678821</v>
      </c>
      <c r="J25" s="10">
        <f t="shared" si="3"/>
        <v>185544940.01319784</v>
      </c>
      <c r="K25" s="11">
        <f t="shared" si="4"/>
        <v>3.0509719999999962E-2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50897.190435083496</v>
      </c>
      <c r="D26" s="11">
        <v>1.14E-2</v>
      </c>
      <c r="E26" s="10">
        <f t="shared" si="2"/>
        <v>573.68792857421067</v>
      </c>
      <c r="F26" s="3"/>
      <c r="G26" s="26">
        <v>4.84</v>
      </c>
      <c r="H26" s="10"/>
      <c r="I26" s="10">
        <f t="shared" si="5"/>
        <v>3537.5551006942742</v>
      </c>
      <c r="J26" s="10">
        <f t="shared" si="3"/>
        <v>180051615.63463745</v>
      </c>
      <c r="K26" s="11">
        <f t="shared" si="4"/>
        <v>6.0351760000000088E-2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50323.502506509285</v>
      </c>
      <c r="D27" s="11">
        <v>1.4E-2</v>
      </c>
      <c r="E27" s="10">
        <f t="shared" si="2"/>
        <v>694.8018097545646</v>
      </c>
      <c r="F27" s="3"/>
      <c r="G27" s="26">
        <v>-3.2</v>
      </c>
      <c r="H27" s="10"/>
      <c r="I27" s="10">
        <f t="shared" si="5"/>
        <v>3374.2417976862594</v>
      </c>
      <c r="J27" s="10">
        <f t="shared" si="3"/>
        <v>169803665.56343287</v>
      </c>
      <c r="K27" s="11">
        <f t="shared" si="4"/>
        <v>-1.844800000000002E-2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49628.70069675472</v>
      </c>
      <c r="D28" s="11">
        <v>1.72E-2</v>
      </c>
      <c r="E28" s="10">
        <f t="shared" si="2"/>
        <v>839.17976011028804</v>
      </c>
      <c r="F28" s="3"/>
      <c r="G28" s="26">
        <v>7.17</v>
      </c>
      <c r="H28" s="10"/>
      <c r="I28" s="10">
        <f t="shared" si="5"/>
        <v>3485.7869810808465</v>
      </c>
      <c r="J28" s="10">
        <f t="shared" si="3"/>
        <v>172995078.77670553</v>
      </c>
      <c r="K28" s="11">
        <f t="shared" si="4"/>
        <v>9.0133240000000114E-2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48789.520936644432</v>
      </c>
      <c r="D29" s="11">
        <v>1.8700000000000001E-2</v>
      </c>
      <c r="E29" s="10">
        <f t="shared" si="2"/>
        <v>895.61602190561098</v>
      </c>
      <c r="F29" s="3"/>
      <c r="G29" s="26">
        <v>3.97</v>
      </c>
      <c r="H29" s="10"/>
      <c r="I29" s="10">
        <f t="shared" si="5"/>
        <v>3252.5771961191062</v>
      </c>
      <c r="J29" s="10">
        <f t="shared" si="3"/>
        <v>158691683.20810539</v>
      </c>
      <c r="K29" s="11">
        <f t="shared" si="4"/>
        <v>5.91423900000001E-2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47893.904914738821</v>
      </c>
      <c r="D30" s="12">
        <v>1.9099999999999999E-2</v>
      </c>
      <c r="E30" s="10">
        <f t="shared" si="2"/>
        <v>897.6288724085025</v>
      </c>
      <c r="F30" s="3"/>
      <c r="G30" s="26">
        <v>7.85</v>
      </c>
      <c r="H30" s="10"/>
      <c r="I30" s="10">
        <f t="shared" si="5"/>
        <v>3128.3804906406713</v>
      </c>
      <c r="J30" s="10">
        <f t="shared" si="3"/>
        <v>149830357.75586829</v>
      </c>
      <c r="K30" s="11">
        <f t="shared" si="4"/>
        <v>9.9099349999999919E-2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46996.276042330319</v>
      </c>
      <c r="D31" s="13">
        <v>1.95E-2</v>
      </c>
      <c r="E31" s="10">
        <f t="shared" si="2"/>
        <v>898.89885515002243</v>
      </c>
      <c r="F31" s="3"/>
      <c r="G31" s="26">
        <v>1.88</v>
      </c>
      <c r="H31" s="10"/>
      <c r="I31" s="10">
        <f t="shared" si="5"/>
        <v>2900.6773209463804</v>
      </c>
      <c r="J31" s="10">
        <f t="shared" si="3"/>
        <v>136321032.08492327</v>
      </c>
      <c r="K31" s="11">
        <f t="shared" si="4"/>
        <v>3.8666599999999995E-2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46097.377187180296</v>
      </c>
      <c r="D32" s="12">
        <v>1.9699999999999999E-2</v>
      </c>
      <c r="E32" s="10">
        <f t="shared" si="2"/>
        <v>890.57402234721667</v>
      </c>
      <c r="F32" s="3"/>
      <c r="G32" s="26">
        <v>-2.94</v>
      </c>
      <c r="H32" s="10"/>
      <c r="I32" s="10">
        <f t="shared" si="5"/>
        <v>2847.1508843211432</v>
      </c>
      <c r="J32" s="10">
        <f t="shared" si="3"/>
        <v>131246188.22336568</v>
      </c>
      <c r="K32" s="11">
        <f t="shared" si="4"/>
        <v>-1.0279179999999832E-2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45206.80316483308</v>
      </c>
      <c r="D33" s="13">
        <v>1.9599999999999999E-2</v>
      </c>
      <c r="E33" s="10">
        <f t="shared" si="2"/>
        <v>869.02053945736407</v>
      </c>
      <c r="F33" s="3"/>
      <c r="G33" s="26">
        <v>-1.54</v>
      </c>
      <c r="H33" s="10"/>
      <c r="I33" s="10">
        <f t="shared" si="5"/>
        <v>2933.3926275717527</v>
      </c>
      <c r="J33" s="10">
        <f t="shared" si="3"/>
        <v>132609303.11980873</v>
      </c>
      <c r="K33" s="11">
        <f t="shared" si="4"/>
        <v>3.8981600000000949E-3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44337.782625375716</v>
      </c>
      <c r="D34" s="12">
        <v>1.8800000000000001E-2</v>
      </c>
      <c r="E34" s="10">
        <f t="shared" si="2"/>
        <v>818.16874102577276</v>
      </c>
      <c r="F34" s="3"/>
      <c r="G34" s="26">
        <v>0.61</v>
      </c>
      <c r="H34" s="10"/>
      <c r="I34" s="10">
        <f t="shared" si="5"/>
        <v>2979.2734385250383</v>
      </c>
      <c r="J34" s="10">
        <f t="shared" ref="J34:J65" si="6">IF(I34="","",I34*C34)</f>
        <v>132094378.0988788</v>
      </c>
      <c r="K34" s="11">
        <f t="shared" ref="K34:K65" si="7">IFERROR(J34/J35-1,"")</f>
        <v>3.8259079999999557E-2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43519.613884349943</v>
      </c>
      <c r="D35" s="11">
        <v>1.41E-2</v>
      </c>
      <c r="E35" s="10">
        <f t="shared" si="2"/>
        <v>605.09472021431429</v>
      </c>
      <c r="F35" s="3"/>
      <c r="G35" s="26">
        <v>-0.63</v>
      </c>
      <c r="H35" s="10"/>
      <c r="I35" s="10">
        <f t="shared" ref="I35:I66" si="8">IF(H35&lt;&gt;"",H35,I34/(1+IF(G34="",0,G34)/100))</f>
        <v>2923.4358144686867</v>
      </c>
      <c r="J35" s="10">
        <f t="shared" si="6"/>
        <v>127226797.86135735</v>
      </c>
      <c r="K35" s="11">
        <f t="shared" si="7"/>
        <v>3.5091870000000025E-2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42914.519164135629</v>
      </c>
      <c r="D36" s="11">
        <v>5.7000000000000002E-3</v>
      </c>
      <c r="E36" s="10">
        <f t="shared" si="2"/>
        <v>243.22636893265735</v>
      </c>
      <c r="F36" s="3"/>
      <c r="G36" s="26">
        <v>-3.16</v>
      </c>
      <c r="H36" s="10"/>
      <c r="I36" s="10">
        <f t="shared" si="8"/>
        <v>2864.1479518650799</v>
      </c>
      <c r="J36" s="10">
        <f t="shared" si="6"/>
        <v>122913532.16923378</v>
      </c>
      <c r="K36" s="11">
        <f t="shared" si="7"/>
        <v>2.2193480000000099E-2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42671.292795202971</v>
      </c>
      <c r="D37" s="11">
        <v>2.0999999999999999E-3</v>
      </c>
      <c r="E37" s="10">
        <f t="shared" si="2"/>
        <v>89.421928819407185</v>
      </c>
      <c r="F37" s="3"/>
      <c r="G37" s="26">
        <v>-11.01</v>
      </c>
      <c r="H37" s="10"/>
      <c r="I37" s="10">
        <f t="shared" si="8"/>
        <v>2817.9338369392758</v>
      </c>
      <c r="J37" s="10">
        <f t="shared" si="6"/>
        <v>120244879.83354558</v>
      </c>
      <c r="K37" s="11">
        <f t="shared" si="7"/>
        <v>-5.511991000000005E-2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42581.870866383564</v>
      </c>
      <c r="D38" s="11">
        <v>2.8999999999999998E-3</v>
      </c>
      <c r="E38" s="10">
        <f t="shared" si="2"/>
        <v>123.13034750474617</v>
      </c>
      <c r="F38" s="3"/>
      <c r="G38" s="26">
        <v>-4.76</v>
      </c>
      <c r="H38" s="10"/>
      <c r="I38" s="10">
        <f t="shared" si="8"/>
        <v>2988.5818612146313</v>
      </c>
      <c r="J38" s="10">
        <f t="shared" si="6"/>
        <v>127259406.88785768</v>
      </c>
      <c r="K38" s="11">
        <f t="shared" si="7"/>
        <v>-7.7307400000000692E-3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42458.740518878818</v>
      </c>
      <c r="D39" s="11">
        <v>3.7000000000000002E-3</v>
      </c>
      <c r="E39" s="10">
        <f t="shared" si="2"/>
        <v>156.51822249661927</v>
      </c>
      <c r="F39" s="3"/>
      <c r="G39" s="26">
        <v>-0.05</v>
      </c>
      <c r="H39" s="10"/>
      <c r="I39" s="10">
        <f t="shared" si="8"/>
        <v>3020.6002235846286</v>
      </c>
      <c r="J39" s="10">
        <f t="shared" si="6"/>
        <v>128250881.10444708</v>
      </c>
      <c r="K39" s="11">
        <f t="shared" si="7"/>
        <v>3.1981500000000107E-3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42302.222296382199</v>
      </c>
      <c r="D40" s="11">
        <v>6.0000000000000001E-3</v>
      </c>
      <c r="E40" s="10">
        <f t="shared" si="2"/>
        <v>252.29953655893769</v>
      </c>
      <c r="F40" s="3"/>
      <c r="G40" s="26">
        <v>-2.6</v>
      </c>
      <c r="H40" s="10"/>
      <c r="I40" s="10">
        <f t="shared" si="8"/>
        <v>3022.1112792242407</v>
      </c>
      <c r="J40" s="10">
        <f t="shared" si="6"/>
        <v>127842023.1381478</v>
      </c>
      <c r="K40" s="11">
        <f t="shared" si="7"/>
        <v>-2.0156000000000063E-2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42049.922759823261</v>
      </c>
      <c r="D41" s="11">
        <v>8.6999999999999994E-3</v>
      </c>
      <c r="E41" s="10">
        <f t="shared" si="2"/>
        <v>362.67902053183207</v>
      </c>
      <c r="F41" s="3"/>
      <c r="G41" s="26">
        <v>-0.26</v>
      </c>
      <c r="H41" s="10"/>
      <c r="I41" s="10">
        <f t="shared" si="8"/>
        <v>3102.7836542343334</v>
      </c>
      <c r="J41" s="10">
        <f t="shared" si="6"/>
        <v>130471813.00099589</v>
      </c>
      <c r="K41" s="11">
        <f t="shared" si="7"/>
        <v>6.0773799999997991E-3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41687.243739291429</v>
      </c>
      <c r="D42" s="11">
        <v>8.8999999999999999E-3</v>
      </c>
      <c r="E42" s="10">
        <f t="shared" si="2"/>
        <v>367.7435516698315</v>
      </c>
      <c r="F42" s="3"/>
      <c r="G42" s="26">
        <v>-6.69</v>
      </c>
      <c r="H42" s="26"/>
      <c r="I42" s="10">
        <f t="shared" si="8"/>
        <v>3110.8719212295305</v>
      </c>
      <c r="J42" s="10">
        <f t="shared" si="6"/>
        <v>129683676.02201325</v>
      </c>
      <c r="K42" s="11">
        <f t="shared" si="7"/>
        <v>-5.8595409999999903E-2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41319.500187621597</v>
      </c>
      <c r="D43" s="11">
        <v>2.8999999999999998E-3</v>
      </c>
      <c r="E43" s="10">
        <f t="shared" si="2"/>
        <v>119.48005837481469</v>
      </c>
      <c r="F43" s="3"/>
      <c r="G43" s="26">
        <v>-4.2300000000000004</v>
      </c>
      <c r="H43" s="10"/>
      <c r="I43" s="10">
        <f t="shared" si="8"/>
        <v>3333.9105360942344</v>
      </c>
      <c r="J43" s="10">
        <f t="shared" si="6"/>
        <v>137755517.02165934</v>
      </c>
      <c r="K43" s="11">
        <f t="shared" si="7"/>
        <v>-3.9522669999999982E-2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41200.020129246783</v>
      </c>
      <c r="D44" s="11">
        <v>6.9999999999999999E-4</v>
      </c>
      <c r="E44" s="10">
        <f t="shared" si="2"/>
        <v>28.819840202326304</v>
      </c>
      <c r="F44" s="3"/>
      <c r="G44" s="26">
        <v>-5.49</v>
      </c>
      <c r="H44" s="10"/>
      <c r="I44" s="10">
        <f t="shared" si="8"/>
        <v>3481.1637632810216</v>
      </c>
      <c r="J44" s="10">
        <f t="shared" si="6"/>
        <v>143424017.12038258</v>
      </c>
      <c r="K44" s="11">
        <f t="shared" si="7"/>
        <v>-5.4238429999999949E-2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41171.200289044456</v>
      </c>
      <c r="D45" s="11">
        <v>1.2999999999999999E-3</v>
      </c>
      <c r="E45" s="10">
        <f t="shared" si="2"/>
        <v>53.4530713829663</v>
      </c>
      <c r="F45" s="3"/>
      <c r="G45" s="26">
        <v>18.010000000000002</v>
      </c>
      <c r="H45" s="10"/>
      <c r="I45" s="10">
        <f t="shared" si="8"/>
        <v>3683.3814022653914</v>
      </c>
      <c r="J45" s="10">
        <f t="shared" si="6"/>
        <v>151649233.45360985</v>
      </c>
      <c r="K45" s="11">
        <f t="shared" si="7"/>
        <v>0.18163413000000017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41117.74721766149</v>
      </c>
      <c r="D46" s="11">
        <v>2.3999999999999998E-3</v>
      </c>
      <c r="E46" s="10">
        <f t="shared" si="2"/>
        <v>98.446322149226035</v>
      </c>
      <c r="F46" s="3"/>
      <c r="G46" s="26">
        <v>2.46</v>
      </c>
      <c r="H46" s="10"/>
      <c r="I46" s="10">
        <f t="shared" si="8"/>
        <v>3121.2451506358711</v>
      </c>
      <c r="J46" s="10">
        <f t="shared" si="6"/>
        <v>128338569.10819751</v>
      </c>
      <c r="K46" s="11">
        <f t="shared" si="7"/>
        <v>2.7059039999999923E-2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41019.300895512264</v>
      </c>
      <c r="D47" s="11">
        <v>3.5999999999999999E-3</v>
      </c>
      <c r="E47" s="10">
        <f t="shared" si="2"/>
        <v>147.13978001578653</v>
      </c>
      <c r="F47" s="3"/>
      <c r="G47" s="26">
        <v>12.06</v>
      </c>
      <c r="H47" s="10"/>
      <c r="I47" s="10">
        <f t="shared" si="8"/>
        <v>3046.3060224827946</v>
      </c>
      <c r="J47" s="10">
        <f t="shared" si="6"/>
        <v>124957343.35603289</v>
      </c>
      <c r="K47" s="11">
        <f t="shared" si="7"/>
        <v>0.12463416000000005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40872.161115496478</v>
      </c>
      <c r="D48" s="11">
        <v>5.0000000000000001E-3</v>
      </c>
      <c r="E48" s="10">
        <f t="shared" si="2"/>
        <v>203.34408515172254</v>
      </c>
      <c r="F48" s="3"/>
      <c r="G48" s="26">
        <v>5.57</v>
      </c>
      <c r="H48" s="10"/>
      <c r="I48" s="10">
        <f t="shared" si="8"/>
        <v>2718.4597737665486</v>
      </c>
      <c r="J48" s="10">
        <f t="shared" si="6"/>
        <v>111109325.85938248</v>
      </c>
      <c r="K48" s="11">
        <f t="shared" si="7"/>
        <v>6.0978499999999825E-2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40668.817030344755</v>
      </c>
      <c r="D49" s="11">
        <v>6.7000000000000002E-3</v>
      </c>
      <c r="E49" s="10">
        <f t="shared" si="2"/>
        <v>270.66760117543163</v>
      </c>
      <c r="F49" s="3"/>
      <c r="G49" s="26">
        <v>5.74</v>
      </c>
      <c r="H49" s="10"/>
      <c r="I49" s="10">
        <f t="shared" si="8"/>
        <v>2575.0305709638615</v>
      </c>
      <c r="J49" s="10">
        <f t="shared" si="6"/>
        <v>104723447.13807347</v>
      </c>
      <c r="K49" s="11">
        <f t="shared" si="7"/>
        <v>6.4484579999999792E-2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40398.149429169323</v>
      </c>
      <c r="D50" s="11">
        <v>1.09E-2</v>
      </c>
      <c r="E50" s="10">
        <f t="shared" si="2"/>
        <v>435.59187731520797</v>
      </c>
      <c r="F50" s="3"/>
      <c r="G50" s="26">
        <v>1.81</v>
      </c>
      <c r="H50" s="10"/>
      <c r="I50" s="10">
        <f t="shared" si="8"/>
        <v>2435.2473718213182</v>
      </c>
      <c r="J50" s="10">
        <f t="shared" si="6"/>
        <v>98379487.223829478</v>
      </c>
      <c r="K50" s="11">
        <f t="shared" si="7"/>
        <v>2.9197289999999931E-2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39962.557551854115</v>
      </c>
      <c r="D51" s="11">
        <v>1.2699999999999999E-2</v>
      </c>
      <c r="E51" s="10">
        <f t="shared" si="2"/>
        <v>501.15975205741415</v>
      </c>
      <c r="F51" s="3"/>
      <c r="G51" s="29">
        <v>3.3</v>
      </c>
      <c r="H51" s="10"/>
      <c r="I51" s="10">
        <f t="shared" si="8"/>
        <v>2391.9530221209293</v>
      </c>
      <c r="J51" s="10">
        <f t="shared" si="6"/>
        <v>95588560.307839021</v>
      </c>
      <c r="K51" s="11">
        <f t="shared" si="7"/>
        <v>4.6119099999999857E-2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39461.397799796701</v>
      </c>
      <c r="D52" s="11">
        <v>1.2999999999999999E-2</v>
      </c>
      <c r="E52" s="10">
        <f t="shared" si="2"/>
        <v>506.41477926688094</v>
      </c>
      <c r="F52" s="3"/>
      <c r="G52" s="29">
        <v>1.35</v>
      </c>
      <c r="H52" s="10"/>
      <c r="I52" s="10">
        <f t="shared" si="8"/>
        <v>2315.5401956640171</v>
      </c>
      <c r="J52" s="10">
        <f t="shared" si="6"/>
        <v>91374452.782516867</v>
      </c>
      <c r="K52" s="11">
        <f t="shared" si="7"/>
        <v>2.6675499999999852E-2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38954.98302052982</v>
      </c>
      <c r="D53" s="11">
        <v>1.3100000000000001E-2</v>
      </c>
      <c r="E53" s="10">
        <f t="shared" si="2"/>
        <v>503.71165488988481</v>
      </c>
      <c r="F53" s="3"/>
      <c r="G53" s="29">
        <v>6.24</v>
      </c>
      <c r="H53" s="10"/>
      <c r="I53" s="10">
        <f t="shared" si="8"/>
        <v>2284.6967890123501</v>
      </c>
      <c r="J53" s="10">
        <f t="shared" si="6"/>
        <v>89000324.623035103</v>
      </c>
      <c r="K53" s="11">
        <f t="shared" si="7"/>
        <v>7.6317440000000181E-2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38451.271365639936</v>
      </c>
      <c r="D54" s="11">
        <v>1.43E-2</v>
      </c>
      <c r="E54" s="10">
        <f t="shared" si="2"/>
        <v>542.10113430804631</v>
      </c>
      <c r="F54" s="3"/>
      <c r="G54" s="29">
        <v>1.34</v>
      </c>
      <c r="H54" s="10"/>
      <c r="I54" s="10">
        <f t="shared" si="8"/>
        <v>2150.5052607420462</v>
      </c>
      <c r="J54" s="10">
        <f t="shared" si="6"/>
        <v>82689661.354028687</v>
      </c>
      <c r="K54" s="11">
        <f t="shared" si="7"/>
        <v>2.7891620000000117E-2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37909.170231331889</v>
      </c>
      <c r="D55" s="11">
        <v>1.6500000000000001E-2</v>
      </c>
      <c r="E55" s="10">
        <f t="shared" si="2"/>
        <v>615.34806573238893</v>
      </c>
      <c r="F55" s="3"/>
      <c r="G55" s="29">
        <v>6.97</v>
      </c>
      <c r="H55" s="10"/>
      <c r="I55" s="10">
        <f t="shared" si="8"/>
        <v>2122.0695290527392</v>
      </c>
      <c r="J55" s="10">
        <f t="shared" si="6"/>
        <v>80445895.019582585</v>
      </c>
      <c r="K55" s="11">
        <f t="shared" si="7"/>
        <v>8.7350049999999957E-2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37293.8221655995</v>
      </c>
      <c r="D56" s="11">
        <v>2.24E-2</v>
      </c>
      <c r="E56" s="10">
        <f t="shared" si="2"/>
        <v>817.0790458816773</v>
      </c>
      <c r="F56" s="3"/>
      <c r="G56" s="29">
        <v>1.35</v>
      </c>
      <c r="H56" s="10"/>
      <c r="I56" s="10">
        <f t="shared" si="8"/>
        <v>1983.7987557752072</v>
      </c>
      <c r="J56" s="10">
        <f t="shared" si="6"/>
        <v>73983438.010218129</v>
      </c>
      <c r="K56" s="11">
        <f t="shared" si="7"/>
        <v>3.6202400000000079E-2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36476.743119717823</v>
      </c>
      <c r="D57" s="11">
        <v>2.69E-2</v>
      </c>
      <c r="E57" s="10">
        <f t="shared" si="2"/>
        <v>955.52087829429365</v>
      </c>
      <c r="F57" s="3"/>
      <c r="G57" s="26">
        <v>6.58</v>
      </c>
      <c r="H57" s="10"/>
      <c r="I57" s="10">
        <f t="shared" si="8"/>
        <v>1957.3742040209245</v>
      </c>
      <c r="J57" s="10">
        <f t="shared" si="6"/>
        <v>71398636.029233411</v>
      </c>
      <c r="K57" s="11">
        <f t="shared" si="7"/>
        <v>9.4470020000000154E-2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35521.222241423529</v>
      </c>
      <c r="D58" s="11">
        <v>2.6800000000000001E-2</v>
      </c>
      <c r="E58" s="10">
        <f t="shared" si="2"/>
        <v>927.12188943333604</v>
      </c>
      <c r="F58" s="3"/>
      <c r="G58" s="26">
        <v>5.57</v>
      </c>
      <c r="H58" s="10"/>
      <c r="I58" s="10">
        <f t="shared" si="8"/>
        <v>1836.5304972986717</v>
      </c>
      <c r="J58" s="10">
        <f t="shared" si="6"/>
        <v>65235807.947698191</v>
      </c>
      <c r="K58" s="11">
        <f t="shared" si="7"/>
        <v>8.3992760000000111E-2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34594.100351990193</v>
      </c>
      <c r="D59" s="11">
        <v>2.6599999999999999E-2</v>
      </c>
      <c r="E59" s="10">
        <f t="shared" si="2"/>
        <v>896.35989612598496</v>
      </c>
      <c r="F59" s="3"/>
      <c r="G59" s="26">
        <v>1.58</v>
      </c>
      <c r="H59" s="10"/>
      <c r="I59" s="10">
        <f t="shared" si="8"/>
        <v>1739.6329424066225</v>
      </c>
      <c r="J59" s="10">
        <f t="shared" si="6"/>
        <v>60181036.585242674</v>
      </c>
      <c r="K59" s="11">
        <f t="shared" si="7"/>
        <v>4.2820279999999933E-2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33697.740455864208</v>
      </c>
      <c r="D60" s="11">
        <v>2.63E-2</v>
      </c>
      <c r="E60" s="10">
        <f t="shared" si="2"/>
        <v>863.53948552005022</v>
      </c>
      <c r="F60" s="3"/>
      <c r="G60" s="26">
        <v>14.56</v>
      </c>
      <c r="H60" s="10"/>
      <c r="I60" s="10">
        <f t="shared" si="8"/>
        <v>1712.5742689571002</v>
      </c>
      <c r="J60" s="10">
        <f t="shared" si="6"/>
        <v>57709883.226707749</v>
      </c>
      <c r="K60" s="11">
        <f t="shared" si="7"/>
        <v>0.17572927999999988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32834.200970344158</v>
      </c>
      <c r="D61" s="11">
        <v>2.6200000000000001E-2</v>
      </c>
      <c r="E61" s="10">
        <f t="shared" si="2"/>
        <v>838.29279421459432</v>
      </c>
      <c r="F61" s="3"/>
      <c r="G61" s="26">
        <v>9.9600000000000009</v>
      </c>
      <c r="H61" s="10"/>
      <c r="I61" s="10">
        <f t="shared" si="8"/>
        <v>1494.9146900812677</v>
      </c>
      <c r="J61" s="10">
        <f t="shared" si="6"/>
        <v>49084329.367648095</v>
      </c>
      <c r="K61" s="11">
        <f t="shared" si="7"/>
        <v>0.12840951999999994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31995.908176129564</v>
      </c>
      <c r="D62" s="11">
        <v>2.6100000000000002E-2</v>
      </c>
      <c r="E62" s="10">
        <f t="shared" si="2"/>
        <v>813.85167468763393</v>
      </c>
      <c r="F62" s="3"/>
      <c r="G62" s="26">
        <v>10.28</v>
      </c>
      <c r="H62" s="10"/>
      <c r="I62" s="10">
        <f t="shared" si="8"/>
        <v>1359.5077210633574</v>
      </c>
      <c r="J62" s="10">
        <f t="shared" si="6"/>
        <v>43498684.207882345</v>
      </c>
      <c r="K62" s="11">
        <f t="shared" si="7"/>
        <v>0.13158307999999996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31182.05650144193</v>
      </c>
      <c r="D63" s="11">
        <v>2.6800000000000001E-2</v>
      </c>
      <c r="E63" s="10">
        <f t="shared" si="2"/>
        <v>813.86746614592994</v>
      </c>
      <c r="F63" s="3"/>
      <c r="G63" s="26">
        <v>11.52</v>
      </c>
      <c r="H63" s="10"/>
      <c r="I63" s="10">
        <f t="shared" si="8"/>
        <v>1232.7781293646694</v>
      </c>
      <c r="J63" s="10">
        <f t="shared" si="6"/>
        <v>38440557.28359101</v>
      </c>
      <c r="K63" s="11">
        <f t="shared" si="7"/>
        <v>0.14508735999999978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30368.189035296</v>
      </c>
      <c r="D64" s="11">
        <v>2.7799999999999998E-2</v>
      </c>
      <c r="E64" s="10">
        <f t="shared" si="2"/>
        <v>821.40071529600027</v>
      </c>
      <c r="F64" s="3"/>
      <c r="G64" s="26">
        <v>14.04</v>
      </c>
      <c r="H64" s="10"/>
      <c r="I64" s="10">
        <f t="shared" si="8"/>
        <v>1105.4323254704711</v>
      </c>
      <c r="J64" s="10">
        <f t="shared" si="6"/>
        <v>33569977.825614125</v>
      </c>
      <c r="K64" s="11">
        <f t="shared" si="7"/>
        <v>0.17210312000000028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29546.78832</v>
      </c>
      <c r="D65" s="11">
        <v>2.76E-2</v>
      </c>
      <c r="E65" s="10">
        <f t="shared" si="2"/>
        <v>793.58832000000257</v>
      </c>
      <c r="F65" s="3"/>
      <c r="G65" s="26">
        <v>8.0399999999999991</v>
      </c>
      <c r="H65" s="10"/>
      <c r="I65" s="10">
        <f t="shared" si="8"/>
        <v>969.33736011090059</v>
      </c>
      <c r="J65" s="10">
        <f t="shared" si="6"/>
        <v>28640805.789864391</v>
      </c>
      <c r="K65" s="11">
        <f t="shared" si="7"/>
        <v>0.11021904000000005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28753.199999999997</v>
      </c>
      <c r="D66" s="11">
        <v>2.69E-2</v>
      </c>
      <c r="E66" s="10">
        <f t="shared" si="2"/>
        <v>753.19999999999709</v>
      </c>
      <c r="F66" s="3"/>
      <c r="G66" s="26">
        <v>8.0500000000000007</v>
      </c>
      <c r="H66" s="10"/>
      <c r="I66" s="10">
        <f t="shared" si="8"/>
        <v>897.20229554877881</v>
      </c>
      <c r="J66" s="10">
        <f t="shared" ref="J66:J67" si="9">IF(I66="","",I66*C66)</f>
        <v>25797437.044373143</v>
      </c>
      <c r="K66" s="11">
        <f t="shared" ref="K66" si="10">IFERROR(J66/J67-1,"")</f>
        <v>0.10956545000000006</v>
      </c>
    </row>
    <row r="67" spans="1:11" ht="22.5" customHeight="1">
      <c r="A67" s="3">
        <f t="shared" si="0"/>
        <v>1950</v>
      </c>
      <c r="B67" s="3">
        <v>1700</v>
      </c>
      <c r="C67" s="10">
        <v>28000</v>
      </c>
      <c r="D67" s="11">
        <v>1.0200000000000001E-2</v>
      </c>
      <c r="E67" s="3" t="s">
        <v>72</v>
      </c>
      <c r="F67" s="3"/>
      <c r="G67" s="29">
        <v>1.35</v>
      </c>
      <c r="H67" s="10"/>
      <c r="I67" s="10">
        <f t="shared" ref="I67" si="11">IF(H67&lt;&gt;"",H67,I66/(1+IF(G66="",0,G66)/100))</f>
        <v>830.35844104468185</v>
      </c>
      <c r="J67" s="10">
        <f t="shared" si="9"/>
        <v>23250036.349251091</v>
      </c>
      <c r="K67" s="11"/>
    </row>
  </sheetData>
  <dataValidations count="1">
    <dataValidation type="custom" allowBlank="1" showDropDown="1" sqref="D2:D67" xr:uid="{00000000-0002-0000-2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M67"/>
  <sheetViews>
    <sheetView topLeftCell="A38"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4071240.0298750438</v>
      </c>
      <c r="D2" s="11">
        <v>1.46E-2</v>
      </c>
      <c r="E2" s="10">
        <f t="shared" ref="E2:E66" si="2">SUM(C2-C3)</f>
        <v>58584.766840307042</v>
      </c>
      <c r="F2" s="14">
        <v>4070555</v>
      </c>
      <c r="G2" s="26">
        <v>4.34</v>
      </c>
      <c r="H2" s="10"/>
      <c r="I2" s="10">
        <f>IF(H2&lt;&gt;"",H2,16888)</f>
        <v>2111</v>
      </c>
      <c r="J2" s="10">
        <f t="shared" ref="J2:J33" si="3">IF(I2="","",I2*C2)</f>
        <v>8594387703.0662174</v>
      </c>
      <c r="K2" s="11">
        <f t="shared" ref="K2:K33" si="4">IFERROR(J2/J3-1,"")</f>
        <v>5.8633640000000042E-2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4012655.2630347367</v>
      </c>
      <c r="D3" s="11">
        <v>1.4800000000000001E-2</v>
      </c>
      <c r="E3" s="10">
        <f t="shared" si="2"/>
        <v>58521.184364321642</v>
      </c>
      <c r="F3" s="3"/>
      <c r="G3" s="26">
        <v>0.08</v>
      </c>
      <c r="H3" s="10"/>
      <c r="I3" s="10">
        <f t="shared" ref="I3:I34" si="5">IF(H3&lt;&gt;"",H3,I2/(1+IF(G2="",0,G2)/100))</f>
        <v>2023.1934061721295</v>
      </c>
      <c r="J3" s="10">
        <f t="shared" si="3"/>
        <v>8118377669.4137707</v>
      </c>
      <c r="K3" s="11">
        <f t="shared" si="4"/>
        <v>1.5611839999999821E-2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3954134.0786704151</v>
      </c>
      <c r="D4" s="11">
        <v>1.4999999999999999E-2</v>
      </c>
      <c r="E4" s="10">
        <f t="shared" si="2"/>
        <v>58435.478995129</v>
      </c>
      <c r="F4" s="3"/>
      <c r="G4" s="26">
        <v>6.39</v>
      </c>
      <c r="H4" s="10"/>
      <c r="I4" s="10">
        <f t="shared" si="5"/>
        <v>2021.576145255925</v>
      </c>
      <c r="J4" s="10">
        <f t="shared" si="3"/>
        <v>7993583128.5836258</v>
      </c>
      <c r="K4" s="11">
        <f t="shared" si="4"/>
        <v>7.9858500000000054E-2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3895698.5996752861</v>
      </c>
      <c r="D5" s="11">
        <v>1.4999999999999999E-2</v>
      </c>
      <c r="E5" s="10">
        <f t="shared" si="2"/>
        <v>57571.90048781177</v>
      </c>
      <c r="F5" s="3"/>
      <c r="G5" s="26">
        <v>5.05</v>
      </c>
      <c r="H5" s="10"/>
      <c r="I5" s="10">
        <f t="shared" si="5"/>
        <v>1900.156166233598</v>
      </c>
      <c r="J5" s="10">
        <f t="shared" si="3"/>
        <v>7402435715.9605875</v>
      </c>
      <c r="K5" s="11">
        <f t="shared" si="4"/>
        <v>6.6257499999999858E-2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3838126.6991874743</v>
      </c>
      <c r="D6" s="11">
        <v>1.52E-2</v>
      </c>
      <c r="E6" s="10">
        <f t="shared" si="2"/>
        <v>57466.041989410762</v>
      </c>
      <c r="F6" s="3"/>
      <c r="G6" s="26">
        <v>4.1900000000000004</v>
      </c>
      <c r="H6" s="10"/>
      <c r="I6" s="10">
        <f t="shared" si="5"/>
        <v>1808.8112006031395</v>
      </c>
      <c r="J6" s="10">
        <f t="shared" si="3"/>
        <v>6942446562.8242598</v>
      </c>
      <c r="K6" s="11">
        <f t="shared" si="4"/>
        <v>5.773687999999999E-2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3780660.6571980636</v>
      </c>
      <c r="D7" s="11">
        <v>1.5599999999999999E-2</v>
      </c>
      <c r="E7" s="10">
        <f t="shared" si="2"/>
        <v>58072.377168462146</v>
      </c>
      <c r="F7" s="3"/>
      <c r="G7" s="26">
        <v>4.63</v>
      </c>
      <c r="H7" s="10"/>
      <c r="I7" s="10">
        <f t="shared" si="5"/>
        <v>1736.0698729274779</v>
      </c>
      <c r="J7" s="10">
        <f t="shared" si="3"/>
        <v>6563491066.7237577</v>
      </c>
      <c r="K7" s="11">
        <f t="shared" si="4"/>
        <v>6.2622280000000252E-2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3722588.2800296014</v>
      </c>
      <c r="D8" s="11">
        <v>1.5800000000000002E-2</v>
      </c>
      <c r="E8" s="10">
        <f t="shared" si="2"/>
        <v>57902.042552143801</v>
      </c>
      <c r="F8" s="3"/>
      <c r="G8" s="26">
        <v>8.59</v>
      </c>
      <c r="H8" s="10"/>
      <c r="I8" s="10">
        <f t="shared" si="5"/>
        <v>1659.2467484731701</v>
      </c>
      <c r="J8" s="10">
        <f t="shared" si="3"/>
        <v>6176692499.5434465</v>
      </c>
      <c r="K8" s="11">
        <f t="shared" si="4"/>
        <v>0.10305721999999995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3664686.2374774576</v>
      </c>
      <c r="D9" s="11">
        <v>1.52E-2</v>
      </c>
      <c r="E9" s="10">
        <f t="shared" si="2"/>
        <v>54869.218685635831</v>
      </c>
      <c r="F9" s="3"/>
      <c r="G9" s="26">
        <v>2.0499999999999998</v>
      </c>
      <c r="H9" s="10"/>
      <c r="I9" s="10">
        <f t="shared" si="5"/>
        <v>1527.9922170302698</v>
      </c>
      <c r="J9" s="10">
        <f t="shared" si="3"/>
        <v>5599612048.7234983</v>
      </c>
      <c r="K9" s="11">
        <f t="shared" si="4"/>
        <v>3.6011600000000143E-2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3609817.0187918218</v>
      </c>
      <c r="D10" s="11">
        <v>1.4800000000000001E-2</v>
      </c>
      <c r="E10" s="10">
        <f t="shared" si="2"/>
        <v>52646.129166455008</v>
      </c>
      <c r="F10" s="3"/>
      <c r="G10" s="26">
        <v>4.6100000000000003</v>
      </c>
      <c r="H10" s="10"/>
      <c r="I10" s="10">
        <f t="shared" si="5"/>
        <v>1497.297615904233</v>
      </c>
      <c r="J10" s="10">
        <f t="shared" si="3"/>
        <v>5404970416.0875206</v>
      </c>
      <c r="K10" s="11">
        <f t="shared" si="4"/>
        <v>6.1582279999999878E-2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3557170.8896253668</v>
      </c>
      <c r="D11" s="11">
        <v>1.4800000000000001E-2</v>
      </c>
      <c r="E11" s="10">
        <f t="shared" si="2"/>
        <v>51878.329884169623</v>
      </c>
      <c r="F11" s="3"/>
      <c r="G11" s="26">
        <v>4.7699999999999996</v>
      </c>
      <c r="H11" s="10"/>
      <c r="I11" s="10">
        <f t="shared" si="5"/>
        <v>1431.3140387192743</v>
      </c>
      <c r="J11" s="10">
        <f t="shared" si="3"/>
        <v>5091428632.4443178</v>
      </c>
      <c r="K11" s="11">
        <f t="shared" si="4"/>
        <v>6.3205960000000116E-2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3505292.5597411972</v>
      </c>
      <c r="D12" s="11">
        <v>1.46E-2</v>
      </c>
      <c r="E12" s="10">
        <f t="shared" si="2"/>
        <v>50440.835178613663</v>
      </c>
      <c r="F12" s="3"/>
      <c r="G12" s="26">
        <v>0.91</v>
      </c>
      <c r="H12" s="10"/>
      <c r="I12" s="10">
        <f t="shared" si="5"/>
        <v>1366.148743647298</v>
      </c>
      <c r="J12" s="10">
        <f t="shared" si="3"/>
        <v>4788751026.606658</v>
      </c>
      <c r="K12" s="11">
        <f t="shared" si="4"/>
        <v>2.3832860000000178E-2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3454851.7245625835</v>
      </c>
      <c r="D13" s="11">
        <v>1.47E-2</v>
      </c>
      <c r="E13" s="10">
        <f t="shared" si="2"/>
        <v>50050.576871064957</v>
      </c>
      <c r="F13" s="3"/>
      <c r="G13" s="26">
        <v>5.99</v>
      </c>
      <c r="H13" s="10"/>
      <c r="I13" s="10">
        <f t="shared" si="5"/>
        <v>1353.8289006513703</v>
      </c>
      <c r="J13" s="10">
        <f t="shared" si="3"/>
        <v>4677278112.1780529</v>
      </c>
      <c r="K13" s="11">
        <f t="shared" si="4"/>
        <v>7.5480529999999879E-2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3404801.1476915185</v>
      </c>
      <c r="D14" s="11">
        <v>1.5100000000000001E-2</v>
      </c>
      <c r="E14" s="10">
        <f t="shared" si="2"/>
        <v>50647.716806365643</v>
      </c>
      <c r="F14" s="3"/>
      <c r="G14" s="26">
        <v>5.4</v>
      </c>
      <c r="H14" s="10"/>
      <c r="I14" s="10">
        <f t="shared" si="5"/>
        <v>1277.317577744476</v>
      </c>
      <c r="J14" s="10">
        <f t="shared" si="3"/>
        <v>4349012354.6709423</v>
      </c>
      <c r="K14" s="11">
        <f t="shared" si="4"/>
        <v>6.9915399999999961E-2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3354153.4308851529</v>
      </c>
      <c r="D15" s="11">
        <v>1.54E-2</v>
      </c>
      <c r="E15" s="10">
        <f t="shared" si="2"/>
        <v>50870.556269087829</v>
      </c>
      <c r="F15" s="3"/>
      <c r="G15" s="26">
        <v>3.62</v>
      </c>
      <c r="H15" s="10"/>
      <c r="I15" s="10">
        <f t="shared" si="5"/>
        <v>1211.8762597196167</v>
      </c>
      <c r="J15" s="10">
        <f t="shared" si="3"/>
        <v>4064818914.3468189</v>
      </c>
      <c r="K15" s="11">
        <f t="shared" si="4"/>
        <v>5.21574800000002E-2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3303282.8746160651</v>
      </c>
      <c r="D16" s="11">
        <v>1.5599999999999999E-2</v>
      </c>
      <c r="E16" s="10">
        <f t="shared" si="2"/>
        <v>50739.673930692021</v>
      </c>
      <c r="F16" s="3"/>
      <c r="G16" s="26">
        <v>4.46</v>
      </c>
      <c r="H16" s="10"/>
      <c r="I16" s="10">
        <f t="shared" si="5"/>
        <v>1169.5389497390627</v>
      </c>
      <c r="J16" s="10">
        <f t="shared" si="3"/>
        <v>3863317983.8695045</v>
      </c>
      <c r="K16" s="11">
        <f t="shared" si="4"/>
        <v>6.0895759999999965E-2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3252543.200685373</v>
      </c>
      <c r="D17" s="11">
        <v>1.5900000000000001E-2</v>
      </c>
      <c r="E17" s="10">
        <f t="shared" si="2"/>
        <v>50906.030998028815</v>
      </c>
      <c r="F17" s="3"/>
      <c r="G17" s="26">
        <v>4.2</v>
      </c>
      <c r="H17" s="10"/>
      <c r="I17" s="10">
        <f t="shared" si="5"/>
        <v>1119.6045852374714</v>
      </c>
      <c r="J17" s="10">
        <f t="shared" si="3"/>
        <v>3641562281.1703048</v>
      </c>
      <c r="K17" s="11">
        <f t="shared" si="4"/>
        <v>5.8567800000000059E-2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3201637.1696873442</v>
      </c>
      <c r="D18" s="11">
        <v>1.7100000000000001E-2</v>
      </c>
      <c r="E18" s="10">
        <f t="shared" si="2"/>
        <v>53827.544589178171</v>
      </c>
      <c r="F18" s="3"/>
      <c r="G18" s="26">
        <v>2.2999999999999998</v>
      </c>
      <c r="H18" s="10"/>
      <c r="I18" s="10">
        <f t="shared" si="5"/>
        <v>1074.4765693257882</v>
      </c>
      <c r="J18" s="10">
        <f t="shared" si="3"/>
        <v>3440084122.311584</v>
      </c>
      <c r="K18" s="11">
        <f t="shared" si="4"/>
        <v>4.0493299999999843E-2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3147809.6250981661</v>
      </c>
      <c r="D19" s="11">
        <v>4.1200000000000001E-2</v>
      </c>
      <c r="E19" s="10">
        <f t="shared" si="2"/>
        <v>124557.9682616638</v>
      </c>
      <c r="F19" s="3"/>
      <c r="G19" s="26">
        <v>6.32</v>
      </c>
      <c r="H19" s="10"/>
      <c r="I19" s="10">
        <f t="shared" si="5"/>
        <v>1050.3192271024323</v>
      </c>
      <c r="J19" s="10">
        <f t="shared" si="3"/>
        <v>3306204972.498703</v>
      </c>
      <c r="K19" s="11">
        <f t="shared" si="4"/>
        <v>0.10700383999999996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3023251.6568365023</v>
      </c>
      <c r="D20" s="11">
        <v>6.88E-2</v>
      </c>
      <c r="E20" s="10">
        <f t="shared" si="2"/>
        <v>194610.51084426558</v>
      </c>
      <c r="F20" s="3"/>
      <c r="G20" s="26">
        <v>7.43</v>
      </c>
      <c r="H20" s="10"/>
      <c r="I20" s="10">
        <f t="shared" si="5"/>
        <v>987.88490133787843</v>
      </c>
      <c r="J20" s="10">
        <f t="shared" si="3"/>
        <v>2986624664.7335057</v>
      </c>
      <c r="K20" s="11">
        <f t="shared" si="4"/>
        <v>0.14821184000000009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2828641.1459922367</v>
      </c>
      <c r="D21" s="11">
        <v>7.5200000000000003E-2</v>
      </c>
      <c r="E21" s="10">
        <f t="shared" si="2"/>
        <v>197836.50872267131</v>
      </c>
      <c r="F21" s="3"/>
      <c r="G21" s="26">
        <v>12</v>
      </c>
      <c r="H21" s="10"/>
      <c r="I21" s="10">
        <f t="shared" si="5"/>
        <v>919.56148314053655</v>
      </c>
      <c r="J21" s="10">
        <f t="shared" si="3"/>
        <v>2601109447.480968</v>
      </c>
      <c r="K21" s="11">
        <f t="shared" si="4"/>
        <v>0.20422399999999996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2630804.6372695654</v>
      </c>
      <c r="D22" s="11">
        <v>8.1000000000000003E-2</v>
      </c>
      <c r="E22" s="10">
        <f t="shared" si="2"/>
        <v>197127.82203407446</v>
      </c>
      <c r="F22" s="3"/>
      <c r="G22" s="26">
        <v>7.2</v>
      </c>
      <c r="H22" s="10"/>
      <c r="I22" s="10">
        <f t="shared" si="5"/>
        <v>821.03703851833609</v>
      </c>
      <c r="J22" s="10">
        <f t="shared" si="3"/>
        <v>2159988048.3041096</v>
      </c>
      <c r="K22" s="11">
        <f t="shared" si="4"/>
        <v>0.15883200000000008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2433676.8152354909</v>
      </c>
      <c r="D23" s="11">
        <v>6.9800000000000001E-2</v>
      </c>
      <c r="E23" s="10">
        <f t="shared" si="2"/>
        <v>158787.28893572371</v>
      </c>
      <c r="F23" s="3"/>
      <c r="G23" s="26">
        <v>11</v>
      </c>
      <c r="H23" s="10"/>
      <c r="I23" s="10">
        <f t="shared" si="5"/>
        <v>765.89275981188064</v>
      </c>
      <c r="J23" s="10">
        <f t="shared" si="3"/>
        <v>1863935452.5108984</v>
      </c>
      <c r="K23" s="11">
        <f t="shared" si="4"/>
        <v>0.18747800000000003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2274889.5262997672</v>
      </c>
      <c r="D24" s="11">
        <v>6.0199999999999997E-2</v>
      </c>
      <c r="E24" s="10">
        <f t="shared" si="2"/>
        <v>129172.18400608003</v>
      </c>
      <c r="F24" s="3"/>
      <c r="G24" s="26">
        <v>8.34</v>
      </c>
      <c r="H24" s="10"/>
      <c r="I24" s="10">
        <f t="shared" si="5"/>
        <v>689.99347730800048</v>
      </c>
      <c r="J24" s="10">
        <f t="shared" si="3"/>
        <v>1569658934.7431264</v>
      </c>
      <c r="K24" s="11">
        <f t="shared" si="4"/>
        <v>0.14862067999999984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2145717.3422936872</v>
      </c>
      <c r="D25" s="11">
        <v>5.3999999999999999E-2</v>
      </c>
      <c r="E25" s="10">
        <f t="shared" si="2"/>
        <v>109932.38755584345</v>
      </c>
      <c r="F25" s="3"/>
      <c r="G25" s="26">
        <v>6.42</v>
      </c>
      <c r="H25" s="10"/>
      <c r="I25" s="10">
        <f t="shared" si="5"/>
        <v>636.87786349270868</v>
      </c>
      <c r="J25" s="10">
        <f t="shared" si="3"/>
        <v>1366559876.6192565</v>
      </c>
      <c r="K25" s="11">
        <f t="shared" si="4"/>
        <v>0.12166680000000007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2035784.9547378437</v>
      </c>
      <c r="D26" s="11">
        <v>4.1399999999999999E-2</v>
      </c>
      <c r="E26" s="10">
        <f t="shared" si="2"/>
        <v>80930.955565725919</v>
      </c>
      <c r="F26" s="3"/>
      <c r="G26" s="26">
        <v>3.55</v>
      </c>
      <c r="H26" s="10"/>
      <c r="I26" s="10">
        <f t="shared" si="5"/>
        <v>598.45692867196829</v>
      </c>
      <c r="J26" s="10">
        <f t="shared" si="3"/>
        <v>1218329611.4490118</v>
      </c>
      <c r="K26" s="11">
        <f t="shared" si="4"/>
        <v>7.8369700000000098E-2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1954853.9991721178</v>
      </c>
      <c r="D27" s="11">
        <v>4.1700000000000001E-2</v>
      </c>
      <c r="E27" s="10">
        <f t="shared" si="2"/>
        <v>78254.211160101229</v>
      </c>
      <c r="F27" s="3"/>
      <c r="G27" s="26">
        <v>4.1500000000000004</v>
      </c>
      <c r="H27" s="10"/>
      <c r="I27" s="10">
        <f t="shared" si="5"/>
        <v>577.94005666051976</v>
      </c>
      <c r="J27" s="10">
        <f t="shared" si="3"/>
        <v>1129788431.0445774</v>
      </c>
      <c r="K27" s="11">
        <f t="shared" si="4"/>
        <v>8.493055000000016E-2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1876599.7880120166</v>
      </c>
      <c r="D28" s="11">
        <v>3.7699999999999997E-2</v>
      </c>
      <c r="E28" s="10">
        <f t="shared" si="2"/>
        <v>68177.519522071118</v>
      </c>
      <c r="F28" s="3"/>
      <c r="G28" s="26">
        <v>1.98</v>
      </c>
      <c r="H28" s="10"/>
      <c r="I28" s="10">
        <f t="shared" si="5"/>
        <v>554.9112401925297</v>
      </c>
      <c r="J28" s="10">
        <f t="shared" si="3"/>
        <v>1041346315.7107865</v>
      </c>
      <c r="K28" s="11">
        <f t="shared" si="4"/>
        <v>5.8246460000000111E-2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1808422.2684899454</v>
      </c>
      <c r="D29" s="11">
        <v>3.7999999999999999E-2</v>
      </c>
      <c r="E29" s="10">
        <f t="shared" si="2"/>
        <v>66204.283432194497</v>
      </c>
      <c r="F29" s="3"/>
      <c r="G29" s="26">
        <v>1.71</v>
      </c>
      <c r="H29" s="10"/>
      <c r="I29" s="10">
        <f t="shared" si="5"/>
        <v>544.13732123213344</v>
      </c>
      <c r="J29" s="10">
        <f t="shared" si="3"/>
        <v>984030048.83265698</v>
      </c>
      <c r="K29" s="11">
        <f t="shared" si="4"/>
        <v>5.5749800000000072E-2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1742217.9850577509</v>
      </c>
      <c r="D30" s="12">
        <v>4.24E-2</v>
      </c>
      <c r="E30" s="10">
        <f t="shared" si="2"/>
        <v>70865.351656224811</v>
      </c>
      <c r="F30" s="3"/>
      <c r="G30" s="26">
        <v>-4.9400000000000004</v>
      </c>
      <c r="H30" s="10"/>
      <c r="I30" s="10">
        <f t="shared" si="5"/>
        <v>534.9890091752369</v>
      </c>
      <c r="J30" s="10">
        <f t="shared" si="3"/>
        <v>932067473.59332383</v>
      </c>
      <c r="K30" s="11">
        <f t="shared" si="4"/>
        <v>-9.0945599999999738E-3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1671352.6334015261</v>
      </c>
      <c r="D31" s="13">
        <v>3.9199999999999999E-2</v>
      </c>
      <c r="E31" s="10">
        <f t="shared" si="2"/>
        <v>63045.634362336015</v>
      </c>
      <c r="F31" s="3"/>
      <c r="G31" s="26">
        <v>3.58</v>
      </c>
      <c r="H31" s="10"/>
      <c r="I31" s="10">
        <f t="shared" si="5"/>
        <v>562.79087857693764</v>
      </c>
      <c r="J31" s="10">
        <f t="shared" si="3"/>
        <v>940622016.96392322</v>
      </c>
      <c r="K31" s="11">
        <f t="shared" si="4"/>
        <v>7.6403359999999809E-2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1608306.9990391901</v>
      </c>
      <c r="D32" s="12">
        <v>3.3399999999999999E-2</v>
      </c>
      <c r="E32" s="10">
        <f t="shared" si="2"/>
        <v>51981.279047715478</v>
      </c>
      <c r="F32" s="3"/>
      <c r="G32" s="26">
        <v>3.93</v>
      </c>
      <c r="H32" s="10"/>
      <c r="I32" s="10">
        <f t="shared" si="5"/>
        <v>543.33933054348097</v>
      </c>
      <c r="J32" s="10">
        <f t="shared" si="3"/>
        <v>873856448.16634846</v>
      </c>
      <c r="K32" s="11">
        <f t="shared" si="4"/>
        <v>7.4012619999999973E-2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1556325.7199914746</v>
      </c>
      <c r="D33" s="13">
        <v>3.6400000000000002E-2</v>
      </c>
      <c r="E33" s="10">
        <f t="shared" si="2"/>
        <v>54660.610003560083</v>
      </c>
      <c r="F33" s="3"/>
      <c r="G33" s="26">
        <v>9.48</v>
      </c>
      <c r="H33" s="10"/>
      <c r="I33" s="10">
        <f t="shared" si="5"/>
        <v>522.79354425428755</v>
      </c>
      <c r="J33" s="10">
        <f t="shared" si="3"/>
        <v>813637039.16844893</v>
      </c>
      <c r="K33" s="11">
        <f t="shared" si="4"/>
        <v>0.13465072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1501665.1099879146</v>
      </c>
      <c r="D34" s="11">
        <v>6.4000000000000003E-3</v>
      </c>
      <c r="E34" s="10">
        <f t="shared" si="2"/>
        <v>9549.5396501615178</v>
      </c>
      <c r="F34" s="3"/>
      <c r="G34" s="26">
        <v>-9.43</v>
      </c>
      <c r="H34" s="10"/>
      <c r="I34" s="10">
        <f t="shared" si="5"/>
        <v>477.52424575656516</v>
      </c>
      <c r="J34" s="10">
        <f t="shared" ref="J34:J65" si="6">IF(I34="","",I34*C34)</f>
        <v>717081499.02592838</v>
      </c>
      <c r="K34" s="11">
        <f t="shared" ref="K34:K65" si="7">IFERROR(J34/J35-1,"")</f>
        <v>-7.5420319999999985E-2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1492115.570337753</v>
      </c>
      <c r="D35" s="11">
        <v>9.7999999999999997E-3</v>
      </c>
      <c r="E35" s="10">
        <f t="shared" si="2"/>
        <v>14480.82054794021</v>
      </c>
      <c r="F35" s="3"/>
      <c r="G35" s="26">
        <v>5.02</v>
      </c>
      <c r="H35" s="10"/>
      <c r="I35" s="10">
        <f t="shared" ref="I35:I66" si="8">IF(H35&lt;&gt;"",H35,I34/(1+IF(G34="",0,G34)/100))</f>
        <v>519.78256858230668</v>
      </c>
      <c r="J35" s="10">
        <f t="shared" si="6"/>
        <v>775575663.77181077</v>
      </c>
      <c r="K35" s="11">
        <f t="shared" si="7"/>
        <v>8.7756560000000094E-2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1477634.7497898128</v>
      </c>
      <c r="D36" s="11">
        <v>8.0000000000000002E-3</v>
      </c>
      <c r="E36" s="10">
        <f t="shared" si="2"/>
        <v>11727.259918966796</v>
      </c>
      <c r="F36" s="3"/>
      <c r="G36" s="26">
        <v>-6.34</v>
      </c>
      <c r="H36" s="10"/>
      <c r="I36" s="10">
        <f t="shared" si="8"/>
        <v>482.53116281313288</v>
      </c>
      <c r="J36" s="10">
        <f t="shared" si="6"/>
        <v>713004814.02917099</v>
      </c>
      <c r="K36" s="11">
        <f t="shared" si="7"/>
        <v>-7.5232000000001742E-3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1465907.489870846</v>
      </c>
      <c r="D37" s="11">
        <v>-2.8E-3</v>
      </c>
      <c r="E37" s="10">
        <f t="shared" si="2"/>
        <v>-4116.0659563161898</v>
      </c>
      <c r="F37" s="3"/>
      <c r="G37" s="26">
        <v>-9.78</v>
      </c>
      <c r="H37" s="10"/>
      <c r="I37" s="10">
        <f t="shared" si="8"/>
        <v>490.07836970661475</v>
      </c>
      <c r="J37" s="10">
        <f t="shared" si="6"/>
        <v>718409552.77662015</v>
      </c>
      <c r="K37" s="11">
        <f t="shared" si="7"/>
        <v>-4.7474559999999943E-2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1470023.5558271622</v>
      </c>
      <c r="D38" s="11">
        <v>5.1999999999999998E-3</v>
      </c>
      <c r="E38" s="10">
        <f t="shared" si="2"/>
        <v>7604.5786811592989</v>
      </c>
      <c r="F38" s="3"/>
      <c r="G38" s="26">
        <v>-6.17</v>
      </c>
      <c r="H38" s="10"/>
      <c r="I38" s="10">
        <f t="shared" si="8"/>
        <v>513.0636198771092</v>
      </c>
      <c r="J38" s="10">
        <f t="shared" si="6"/>
        <v>754215606.85730362</v>
      </c>
      <c r="K38" s="11">
        <f t="shared" si="7"/>
        <v>-1.9628439999999969E-2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1462418.9771460029</v>
      </c>
      <c r="D39" s="11">
        <v>2.1000000000000001E-2</v>
      </c>
      <c r="E39" s="10">
        <f t="shared" si="2"/>
        <v>30079.136650407454</v>
      </c>
      <c r="F39" s="3"/>
      <c r="G39" s="26">
        <v>1.21</v>
      </c>
      <c r="H39" s="10"/>
      <c r="I39" s="10">
        <f t="shared" si="8"/>
        <v>526.05723354568772</v>
      </c>
      <c r="J39" s="10">
        <f t="shared" si="6"/>
        <v>769316081.40214062</v>
      </c>
      <c r="K39" s="11">
        <f t="shared" si="7"/>
        <v>3.3354099999999942E-2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1432339.8404955955</v>
      </c>
      <c r="D40" s="11">
        <v>2.1000000000000001E-2</v>
      </c>
      <c r="E40" s="10">
        <f t="shared" si="2"/>
        <v>29460.466846628115</v>
      </c>
      <c r="F40" s="3"/>
      <c r="G40" s="26">
        <v>3.81</v>
      </c>
      <c r="H40" s="10"/>
      <c r="I40" s="10">
        <f t="shared" si="8"/>
        <v>519.76804025855915</v>
      </c>
      <c r="J40" s="10">
        <f t="shared" si="6"/>
        <v>744484471.87865281</v>
      </c>
      <c r="K40" s="11">
        <f t="shared" si="7"/>
        <v>5.9900099999999901E-2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1402879.3736489674</v>
      </c>
      <c r="D41" s="11">
        <v>2.1000000000000001E-2</v>
      </c>
      <c r="E41" s="10">
        <f t="shared" si="2"/>
        <v>28854.521887001116</v>
      </c>
      <c r="F41" s="3"/>
      <c r="G41" s="26">
        <v>-2</v>
      </c>
      <c r="H41" s="10"/>
      <c r="I41" s="10">
        <f t="shared" si="8"/>
        <v>500.69168698445156</v>
      </c>
      <c r="J41" s="10">
        <f t="shared" si="6"/>
        <v>702410040.22799218</v>
      </c>
      <c r="K41" s="11">
        <f t="shared" si="7"/>
        <v>5.799999999998029E-4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1374024.8517619662</v>
      </c>
      <c r="D42" s="11">
        <v>2.1600000000000001E-2</v>
      </c>
      <c r="E42" s="10">
        <f t="shared" si="2"/>
        <v>29051.425996533362</v>
      </c>
      <c r="F42" s="3"/>
      <c r="G42" s="26">
        <v>-23.3</v>
      </c>
      <c r="H42" s="10"/>
      <c r="I42" s="10">
        <f t="shared" si="8"/>
        <v>510.90988467801179</v>
      </c>
      <c r="J42" s="10">
        <f t="shared" si="6"/>
        <v>702002878.55842841</v>
      </c>
      <c r="K42" s="11">
        <f t="shared" si="7"/>
        <v>-0.21643279999999998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1344973.4257654329</v>
      </c>
      <c r="D43" s="11">
        <v>-2.3900000000000001E-2</v>
      </c>
      <c r="E43" s="10">
        <f t="shared" si="2"/>
        <v>-32931.938198743854</v>
      </c>
      <c r="F43" s="3"/>
      <c r="G43" s="26">
        <v>-2.34</v>
      </c>
      <c r="H43" s="10"/>
      <c r="I43" s="10">
        <f t="shared" si="8"/>
        <v>666.1145823702891</v>
      </c>
      <c r="J43" s="10">
        <f t="shared" si="6"/>
        <v>895906411.80287838</v>
      </c>
      <c r="K43" s="11">
        <f t="shared" si="7"/>
        <v>-4.6740739999999947E-2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1377905.3639641767</v>
      </c>
      <c r="D44" s="11">
        <v>-8.4000000000000005E-2</v>
      </c>
      <c r="E44" s="10">
        <f t="shared" si="2"/>
        <v>-126358.13381330878</v>
      </c>
      <c r="F44" s="3"/>
      <c r="G44" s="26">
        <v>-23.4</v>
      </c>
      <c r="H44" s="10"/>
      <c r="I44" s="10">
        <f t="shared" si="8"/>
        <v>682.07514066177464</v>
      </c>
      <c r="J44" s="10">
        <f t="shared" si="6"/>
        <v>939834994.94447958</v>
      </c>
      <c r="K44" s="11">
        <f t="shared" si="7"/>
        <v>-0.29834399999999994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1504263.4977774855</v>
      </c>
      <c r="D45" s="11">
        <v>-7.9100000000000004E-2</v>
      </c>
      <c r="E45" s="10">
        <f t="shared" si="2"/>
        <v>-129207.56072776532</v>
      </c>
      <c r="F45" s="3"/>
      <c r="G45" s="26">
        <v>-4.3</v>
      </c>
      <c r="H45" s="10"/>
      <c r="I45" s="10">
        <f t="shared" si="8"/>
        <v>890.437520446181</v>
      </c>
      <c r="J45" s="10">
        <f t="shared" si="6"/>
        <v>1339452659.0586834</v>
      </c>
      <c r="K45" s="11">
        <f t="shared" si="7"/>
        <v>-0.11869870000000005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1633471.0585052508</v>
      </c>
      <c r="D46" s="11">
        <v>-7.0199999999999999E-2</v>
      </c>
      <c r="E46" s="10">
        <f t="shared" si="2"/>
        <v>-123327.24059697636</v>
      </c>
      <c r="F46" s="3"/>
      <c r="G46" s="26">
        <v>-5.3</v>
      </c>
      <c r="H46" s="10"/>
      <c r="I46" s="10">
        <f t="shared" si="8"/>
        <v>930.44672982882025</v>
      </c>
      <c r="J46" s="10">
        <f t="shared" si="6"/>
        <v>1519857804.6562321</v>
      </c>
      <c r="K46" s="11">
        <f t="shared" si="7"/>
        <v>-0.11947940000000012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1756798.2991022272</v>
      </c>
      <c r="D47" s="11">
        <v>-3.0200000000000001E-2</v>
      </c>
      <c r="E47" s="10">
        <f t="shared" si="2"/>
        <v>-54707.474358514417</v>
      </c>
      <c r="F47" s="3"/>
      <c r="G47" s="26">
        <v>-13</v>
      </c>
      <c r="H47" s="10"/>
      <c r="I47" s="10">
        <f t="shared" si="8"/>
        <v>982.52030604944071</v>
      </c>
      <c r="J47" s="10">
        <f t="shared" si="6"/>
        <v>1726090002.5010571</v>
      </c>
      <c r="K47" s="11">
        <f t="shared" si="7"/>
        <v>-0.15627400000000002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1811505.7734607416</v>
      </c>
      <c r="D48" s="11">
        <v>6.4000000000000003E-3</v>
      </c>
      <c r="E48" s="10">
        <f t="shared" si="2"/>
        <v>11519.909529162105</v>
      </c>
      <c r="F48" s="3"/>
      <c r="G48" s="26">
        <v>-1.0900000000000001</v>
      </c>
      <c r="H48" s="10"/>
      <c r="I48" s="10">
        <f t="shared" si="8"/>
        <v>1129.3336851142997</v>
      </c>
      <c r="J48" s="10">
        <f t="shared" si="6"/>
        <v>2045794490.7482491</v>
      </c>
      <c r="K48" s="11">
        <f t="shared" si="7"/>
        <v>-4.5697599999999783E-3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1799985.8639315795</v>
      </c>
      <c r="D49" s="11">
        <v>2.1000000000000001E-2</v>
      </c>
      <c r="E49" s="10">
        <f t="shared" si="2"/>
        <v>37022.236182725755</v>
      </c>
      <c r="F49" s="3"/>
      <c r="G49" s="26">
        <v>1.4</v>
      </c>
      <c r="H49" s="10"/>
      <c r="I49" s="10">
        <f t="shared" si="8"/>
        <v>1141.7790770541903</v>
      </c>
      <c r="J49" s="10">
        <f t="shared" si="6"/>
        <v>2055186198.4303882</v>
      </c>
      <c r="K49" s="11">
        <f t="shared" si="7"/>
        <v>3.5293999999999937E-2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1762963.6277488538</v>
      </c>
      <c r="D50" s="11">
        <v>2.1000000000000001E-2</v>
      </c>
      <c r="E50" s="10">
        <f t="shared" si="2"/>
        <v>36260.760218144627</v>
      </c>
      <c r="F50" s="3"/>
      <c r="G50" s="26">
        <v>4.68</v>
      </c>
      <c r="H50" s="10"/>
      <c r="I50" s="10">
        <f t="shared" si="8"/>
        <v>1126.0148688897341</v>
      </c>
      <c r="J50" s="10">
        <f t="shared" si="6"/>
        <v>1985123258.1569955</v>
      </c>
      <c r="K50" s="11">
        <f t="shared" si="7"/>
        <v>6.8782799999999922E-2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1726702.8675307091</v>
      </c>
      <c r="D51" s="11">
        <v>2.1000000000000001E-2</v>
      </c>
      <c r="E51" s="10">
        <f t="shared" si="2"/>
        <v>35514.946344901808</v>
      </c>
      <c r="F51" s="3"/>
      <c r="G51" s="26">
        <v>0.64</v>
      </c>
      <c r="H51" s="10"/>
      <c r="I51" s="10">
        <f t="shared" si="8"/>
        <v>1075.673355836582</v>
      </c>
      <c r="J51" s="10">
        <f t="shared" si="6"/>
        <v>1857368268.049407</v>
      </c>
      <c r="K51" s="11">
        <f t="shared" si="7"/>
        <v>2.7534399999999737E-2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1691187.9211858073</v>
      </c>
      <c r="D52" s="11">
        <v>2.1000000000000001E-2</v>
      </c>
      <c r="E52" s="10">
        <f t="shared" si="2"/>
        <v>34784.47242399794</v>
      </c>
      <c r="F52" s="3"/>
      <c r="G52" s="26">
        <v>0.95</v>
      </c>
      <c r="H52" s="10"/>
      <c r="I52" s="10">
        <f t="shared" si="8"/>
        <v>1068.8328257517708</v>
      </c>
      <c r="J52" s="10">
        <f t="shared" si="6"/>
        <v>1807597164.6782894</v>
      </c>
      <c r="K52" s="11">
        <f t="shared" si="7"/>
        <v>3.0699500000000102E-2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1656403.4487618094</v>
      </c>
      <c r="D53" s="11">
        <v>2.0899999999999998E-2</v>
      </c>
      <c r="E53" s="10">
        <f t="shared" si="2"/>
        <v>33910.110764150973</v>
      </c>
      <c r="F53" s="3"/>
      <c r="G53" s="26">
        <v>2.08</v>
      </c>
      <c r="H53" s="10"/>
      <c r="I53" s="10">
        <f t="shared" si="8"/>
        <v>1058.7744683028932</v>
      </c>
      <c r="J53" s="10">
        <f t="shared" si="6"/>
        <v>1753757680.7578633</v>
      </c>
      <c r="K53" s="11">
        <f t="shared" si="7"/>
        <v>4.2134719999999959E-2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1622493.3379976584</v>
      </c>
      <c r="D54" s="11">
        <v>2.18E-2</v>
      </c>
      <c r="E54" s="10">
        <f t="shared" si="2"/>
        <v>34615.731814786559</v>
      </c>
      <c r="F54" s="3"/>
      <c r="G54" s="26">
        <v>-0.71</v>
      </c>
      <c r="H54" s="10"/>
      <c r="I54" s="10">
        <f t="shared" si="8"/>
        <v>1037.2006938703892</v>
      </c>
      <c r="J54" s="10">
        <f t="shared" si="6"/>
        <v>1682851215.9712551</v>
      </c>
      <c r="K54" s="11">
        <f t="shared" si="7"/>
        <v>1.4545220000000025E-2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1587877.6061828719</v>
      </c>
      <c r="D55" s="11">
        <v>2.24E-2</v>
      </c>
      <c r="E55" s="10">
        <f t="shared" si="2"/>
        <v>34789.180730141234</v>
      </c>
      <c r="F55" s="3"/>
      <c r="G55" s="26">
        <v>-3.71</v>
      </c>
      <c r="H55" s="10"/>
      <c r="I55" s="10">
        <f t="shared" si="8"/>
        <v>1044.617477963933</v>
      </c>
      <c r="J55" s="10">
        <f t="shared" si="6"/>
        <v>1658724700.2861588</v>
      </c>
      <c r="K55" s="11">
        <f t="shared" si="7"/>
        <v>-1.553103999999994E-2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1553088.4254527306</v>
      </c>
      <c r="D56" s="11">
        <v>2.1999999999999999E-2</v>
      </c>
      <c r="E56" s="10">
        <f t="shared" si="2"/>
        <v>33432.431859060656</v>
      </c>
      <c r="F56" s="3"/>
      <c r="G56" s="26">
        <v>4.95</v>
      </c>
      <c r="H56" s="10"/>
      <c r="I56" s="10">
        <f t="shared" si="8"/>
        <v>1084.8660068168376</v>
      </c>
      <c r="J56" s="10">
        <f t="shared" si="6"/>
        <v>1684892838.3543537</v>
      </c>
      <c r="K56" s="11">
        <f t="shared" si="7"/>
        <v>7.2589000000000015E-2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1519655.99359367</v>
      </c>
      <c r="D57" s="11">
        <v>2.3E-2</v>
      </c>
      <c r="E57" s="10">
        <f t="shared" si="2"/>
        <v>34166.263785585761</v>
      </c>
      <c r="F57" s="3"/>
      <c r="G57" s="26">
        <v>0.9</v>
      </c>
      <c r="H57" s="10"/>
      <c r="I57" s="10">
        <f t="shared" si="8"/>
        <v>1033.6979579007505</v>
      </c>
      <c r="J57" s="10">
        <f t="shared" si="6"/>
        <v>1570865297.2894125</v>
      </c>
      <c r="K57" s="11">
        <f t="shared" si="7"/>
        <v>3.2206999999999653E-2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1485489.7298080842</v>
      </c>
      <c r="D58" s="11">
        <v>2.4E-2</v>
      </c>
      <c r="E58" s="10">
        <f t="shared" si="2"/>
        <v>34816.165542376926</v>
      </c>
      <c r="F58" s="3"/>
      <c r="G58" s="26">
        <v>3.6</v>
      </c>
      <c r="H58" s="10"/>
      <c r="I58" s="10">
        <f t="shared" si="8"/>
        <v>1024.4776589700205</v>
      </c>
      <c r="J58" s="10">
        <f t="shared" si="6"/>
        <v>1521851040.8177943</v>
      </c>
      <c r="K58" s="11">
        <f t="shared" si="7"/>
        <v>6.0864000000000029E-2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1450673.5642657073</v>
      </c>
      <c r="D59" s="11">
        <v>2.5000000000000001E-2</v>
      </c>
      <c r="E59" s="10">
        <f t="shared" si="2"/>
        <v>35382.282055261079</v>
      </c>
      <c r="F59" s="3"/>
      <c r="G59" s="26">
        <v>3.8</v>
      </c>
      <c r="H59" s="10"/>
      <c r="I59" s="10">
        <f t="shared" si="8"/>
        <v>988.87804919886139</v>
      </c>
      <c r="J59" s="10">
        <f t="shared" si="6"/>
        <v>1434539244.2554317</v>
      </c>
      <c r="K59" s="11">
        <f t="shared" si="7"/>
        <v>6.3949999999999729E-2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1415291.2822104462</v>
      </c>
      <c r="D60" s="11">
        <v>2.5499999999999998E-2</v>
      </c>
      <c r="E60" s="10">
        <f t="shared" si="2"/>
        <v>35192.51847524778</v>
      </c>
      <c r="F60" s="3"/>
      <c r="G60" s="26">
        <v>3.65</v>
      </c>
      <c r="H60" s="10"/>
      <c r="I60" s="10">
        <f t="shared" si="8"/>
        <v>952.67634797578171</v>
      </c>
      <c r="J60" s="10">
        <f t="shared" si="6"/>
        <v>1348314530.0582094</v>
      </c>
      <c r="K60" s="11">
        <f t="shared" si="7"/>
        <v>6.2930750000000257E-2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1380098.7637351984</v>
      </c>
      <c r="D61" s="11">
        <v>2.5999999999999999E-2</v>
      </c>
      <c r="E61" s="10">
        <f t="shared" si="2"/>
        <v>34973.263018630678</v>
      </c>
      <c r="F61" s="3"/>
      <c r="G61" s="26">
        <v>3.72</v>
      </c>
      <c r="H61" s="10"/>
      <c r="I61" s="10">
        <f t="shared" si="8"/>
        <v>919.12816977885359</v>
      </c>
      <c r="J61" s="10">
        <f t="shared" si="6"/>
        <v>1268487650.8259914</v>
      </c>
      <c r="K61" s="11">
        <f t="shared" si="7"/>
        <v>6.4167199999999758E-2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1345125.5007165677</v>
      </c>
      <c r="D62" s="11">
        <v>2.5999999999999999E-2</v>
      </c>
      <c r="E62" s="10">
        <f t="shared" si="2"/>
        <v>34087.000992817571</v>
      </c>
      <c r="F62" s="3"/>
      <c r="G62" s="26">
        <v>3.7</v>
      </c>
      <c r="H62" s="10"/>
      <c r="I62" s="10">
        <f t="shared" si="8"/>
        <v>886.1629095438235</v>
      </c>
      <c r="J62" s="10">
        <f t="shared" si="6"/>
        <v>1192000327.4165862</v>
      </c>
      <c r="K62" s="11">
        <f t="shared" si="7"/>
        <v>6.3962000000000074E-2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1311038.4997237502</v>
      </c>
      <c r="D63" s="11">
        <v>2.5999999999999999E-2</v>
      </c>
      <c r="E63" s="10">
        <f t="shared" si="2"/>
        <v>33223.197848750046</v>
      </c>
      <c r="F63" s="3"/>
      <c r="G63" s="26">
        <v>3.7</v>
      </c>
      <c r="H63" s="10"/>
      <c r="I63" s="10">
        <f t="shared" si="8"/>
        <v>854.54475365846054</v>
      </c>
      <c r="J63" s="10">
        <f t="shared" si="6"/>
        <v>1120341071.7831898</v>
      </c>
      <c r="K63" s="11">
        <f t="shared" si="7"/>
        <v>6.3961999999999852E-2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1277815.3018750001</v>
      </c>
      <c r="D64" s="11">
        <v>2.5499999999999998E-2</v>
      </c>
      <c r="E64" s="10">
        <f t="shared" si="2"/>
        <v>31774.051875000121</v>
      </c>
      <c r="F64" s="3"/>
      <c r="G64" s="26">
        <v>3.61</v>
      </c>
      <c r="H64" s="10"/>
      <c r="I64" s="10">
        <f t="shared" si="8"/>
        <v>824.05472869668336</v>
      </c>
      <c r="J64" s="10">
        <f t="shared" si="6"/>
        <v>1052989741.9110738</v>
      </c>
      <c r="K64" s="11">
        <f t="shared" si="7"/>
        <v>6.2520550000000341E-2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1246041.25</v>
      </c>
      <c r="D65" s="11">
        <v>2.5000000000000001E-2</v>
      </c>
      <c r="E65" s="10">
        <f t="shared" si="2"/>
        <v>30391.25</v>
      </c>
      <c r="F65" s="3"/>
      <c r="G65" s="26">
        <v>3.6</v>
      </c>
      <c r="H65" s="10"/>
      <c r="I65" s="10">
        <f t="shared" si="8"/>
        <v>795.34285174856029</v>
      </c>
      <c r="J65" s="10">
        <f t="shared" si="6"/>
        <v>991030001.1713407</v>
      </c>
      <c r="K65" s="11">
        <f t="shared" si="7"/>
        <v>6.1899999999999844E-2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1215650</v>
      </c>
      <c r="D66" s="11">
        <v>2.5000000000000001E-2</v>
      </c>
      <c r="E66" s="10">
        <f t="shared" si="2"/>
        <v>29650</v>
      </c>
      <c r="F66" s="3"/>
      <c r="G66" s="26">
        <v>3.67</v>
      </c>
      <c r="H66" s="10"/>
      <c r="I66" s="10">
        <f t="shared" si="8"/>
        <v>767.7054553557532</v>
      </c>
      <c r="J66" s="10">
        <f t="shared" ref="J66:J67" si="9">IF(I66="","",I66*C66)</f>
        <v>933261136.80322134</v>
      </c>
      <c r="K66" s="11">
        <f t="shared" ref="K66" si="10">IFERROR(J66/J67-1,"")</f>
        <v>6.2617499999999993E-2</v>
      </c>
    </row>
    <row r="67" spans="1:11" ht="22.5" customHeight="1">
      <c r="A67" s="3">
        <f t="shared" si="0"/>
        <v>1950</v>
      </c>
      <c r="B67" s="3">
        <v>1700</v>
      </c>
      <c r="C67" s="10">
        <v>1186000</v>
      </c>
      <c r="D67" s="11">
        <v>2.5000000000000001E-2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740.52807500313804</v>
      </c>
      <c r="J67" s="10">
        <f t="shared" si="9"/>
        <v>878266296.95372176</v>
      </c>
      <c r="K67" s="11"/>
    </row>
  </sheetData>
  <dataValidations count="1">
    <dataValidation type="custom" allowBlank="1" showDropDown="1" sqref="D2:D67" xr:uid="{00000000-0002-0000-2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M67"/>
  <sheetViews>
    <sheetView workbookViewId="0">
      <selection activeCell="L15" sqref="L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90943580.102137834</v>
      </c>
      <c r="D2" s="11">
        <v>1.1900000000000001E-2</v>
      </c>
      <c r="E2" s="10">
        <f t="shared" ref="E2:E66" si="2">SUM(C2-C3)</f>
        <v>1069501.5349495411</v>
      </c>
      <c r="F2" s="14">
        <v>90945636</v>
      </c>
      <c r="G2" s="26">
        <v>6.55</v>
      </c>
      <c r="H2" s="10"/>
      <c r="I2" s="10">
        <f>IF(H2&lt;&gt;"",H2,14536)</f>
        <v>1817</v>
      </c>
      <c r="J2" s="10">
        <f t="shared" ref="J2:J33" si="3">IF(I2="","",I2*C2)</f>
        <v>165244485045.58444</v>
      </c>
      <c r="K2" s="11">
        <f t="shared" ref="K2:K33" si="4">IFERROR(J2/J3-1,"")</f>
        <v>7.8179449999999928E-2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89874078.567188293</v>
      </c>
      <c r="D3" s="11">
        <v>1.26E-2</v>
      </c>
      <c r="E3" s="10">
        <f t="shared" si="2"/>
        <v>1118322.5261174887</v>
      </c>
      <c r="F3" s="3"/>
      <c r="G3" s="26">
        <v>6.06</v>
      </c>
      <c r="H3" s="10"/>
      <c r="I3" s="10">
        <f t="shared" ref="I3:I34" si="5">IF(H3&lt;&gt;"",H3,I2/(1+IF(G2="",0,G2)/100))</f>
        <v>1705.302674800563</v>
      </c>
      <c r="J3" s="10">
        <f t="shared" si="3"/>
        <v>153262506575.86215</v>
      </c>
      <c r="K3" s="11">
        <f t="shared" si="4"/>
        <v>7.396356000000015E-2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88755756.041070804</v>
      </c>
      <c r="D4" s="11">
        <v>1.3299999999999999E-2</v>
      </c>
      <c r="E4" s="10">
        <f t="shared" si="2"/>
        <v>1164957.6190133691</v>
      </c>
      <c r="F4" s="3"/>
      <c r="G4" s="26">
        <v>6.01</v>
      </c>
      <c r="H4" s="10"/>
      <c r="I4" s="10">
        <f t="shared" si="5"/>
        <v>1607.8659954747907</v>
      </c>
      <c r="J4" s="10">
        <f t="shared" si="3"/>
        <v>142707362041.09396</v>
      </c>
      <c r="K4" s="11">
        <f t="shared" si="4"/>
        <v>7.4199329999999897E-2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87590798.422057435</v>
      </c>
      <c r="D5" s="11">
        <v>1.37E-2</v>
      </c>
      <c r="E5" s="10">
        <f t="shared" si="2"/>
        <v>1183776.2043821514</v>
      </c>
      <c r="F5" s="3"/>
      <c r="G5" s="26">
        <v>6.52</v>
      </c>
      <c r="H5" s="10"/>
      <c r="I5" s="10">
        <f t="shared" si="5"/>
        <v>1516.7116267095469</v>
      </c>
      <c r="J5" s="10">
        <f t="shared" si="3"/>
        <v>132849982359.50674</v>
      </c>
      <c r="K5" s="11">
        <f t="shared" si="4"/>
        <v>7.9793239999999876E-2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86407022.217675284</v>
      </c>
      <c r="D6" s="11">
        <v>1.4200000000000001E-2</v>
      </c>
      <c r="E6" s="10">
        <f t="shared" si="2"/>
        <v>1209800.5477134585</v>
      </c>
      <c r="F6" s="3"/>
      <c r="G6" s="26">
        <v>6.46</v>
      </c>
      <c r="H6" s="10"/>
      <c r="I6" s="10">
        <f t="shared" si="5"/>
        <v>1423.8749781351362</v>
      </c>
      <c r="J6" s="10">
        <f t="shared" si="3"/>
        <v>123032796870.91463</v>
      </c>
      <c r="K6" s="11">
        <f t="shared" si="4"/>
        <v>7.9717319999999869E-2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85197221.669961825</v>
      </c>
      <c r="D7" s="11">
        <v>1.4500000000000001E-2</v>
      </c>
      <c r="E7" s="10">
        <f t="shared" si="2"/>
        <v>1217703.0204183757</v>
      </c>
      <c r="F7" s="3"/>
      <c r="G7" s="26">
        <v>5.57</v>
      </c>
      <c r="H7" s="10"/>
      <c r="I7" s="10">
        <f t="shared" si="5"/>
        <v>1337.4741481637575</v>
      </c>
      <c r="J7" s="10">
        <f t="shared" si="3"/>
        <v>113949081478.95102</v>
      </c>
      <c r="K7" s="11">
        <f t="shared" si="4"/>
        <v>7.1007650000000089E-2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83979518.649543449</v>
      </c>
      <c r="D8" s="11">
        <v>1.4500000000000001E-2</v>
      </c>
      <c r="E8" s="10">
        <f t="shared" si="2"/>
        <v>1200298.6894217581</v>
      </c>
      <c r="F8" s="3"/>
      <c r="G8" s="26">
        <v>5.05</v>
      </c>
      <c r="H8" s="10"/>
      <c r="I8" s="10">
        <f t="shared" si="5"/>
        <v>1266.9074056680472</v>
      </c>
      <c r="J8" s="10">
        <f t="shared" si="3"/>
        <v>106394274101.54448</v>
      </c>
      <c r="K8" s="11">
        <f t="shared" si="4"/>
        <v>6.5732249999999937E-2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82779219.960121691</v>
      </c>
      <c r="D9" s="11">
        <v>1.44E-2</v>
      </c>
      <c r="E9" s="10">
        <f t="shared" si="2"/>
        <v>1175099.3369733393</v>
      </c>
      <c r="F9" s="3"/>
      <c r="G9" s="26">
        <v>6.01</v>
      </c>
      <c r="H9" s="10"/>
      <c r="I9" s="10">
        <f t="shared" si="5"/>
        <v>1206.0041938772463</v>
      </c>
      <c r="J9" s="10">
        <f t="shared" si="3"/>
        <v>99832086437.793808</v>
      </c>
      <c r="K9" s="11">
        <f t="shared" si="4"/>
        <v>7.5365439999999895E-2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81604120.623148352</v>
      </c>
      <c r="D10" s="11">
        <v>1.5100000000000001E-2</v>
      </c>
      <c r="E10" s="10">
        <f t="shared" si="2"/>
        <v>1213892.4454827458</v>
      </c>
      <c r="F10" s="3"/>
      <c r="G10" s="26">
        <v>7.06</v>
      </c>
      <c r="H10" s="10"/>
      <c r="I10" s="10">
        <f t="shared" si="5"/>
        <v>1137.6324817255413</v>
      </c>
      <c r="J10" s="10">
        <f t="shared" si="3"/>
        <v>92835498263.542679</v>
      </c>
      <c r="K10" s="11">
        <f t="shared" si="4"/>
        <v>8.6766059999999756E-2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80390228.177665606</v>
      </c>
      <c r="D11" s="11">
        <v>1.5599999999999999E-2</v>
      </c>
      <c r="E11" s="10">
        <f t="shared" si="2"/>
        <v>1234824.3004840314</v>
      </c>
      <c r="F11" s="3"/>
      <c r="G11" s="26">
        <v>6.67</v>
      </c>
      <c r="H11" s="10"/>
      <c r="I11" s="10">
        <f t="shared" si="5"/>
        <v>1062.6120696110045</v>
      </c>
      <c r="J11" s="10">
        <f t="shared" si="3"/>
        <v>85423626740.370132</v>
      </c>
      <c r="K11" s="11">
        <f t="shared" si="4"/>
        <v>8.3340519999999918E-2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79155403.877181575</v>
      </c>
      <c r="D12" s="11">
        <v>1.6299999999999999E-2</v>
      </c>
      <c r="E12" s="10">
        <f t="shared" si="2"/>
        <v>1269539.587915048</v>
      </c>
      <c r="F12" s="3"/>
      <c r="G12" s="26">
        <v>6.54</v>
      </c>
      <c r="H12" s="10"/>
      <c r="I12" s="10">
        <f t="shared" si="5"/>
        <v>996.16768502015987</v>
      </c>
      <c r="J12" s="10">
        <f t="shared" si="3"/>
        <v>78852055437.167755</v>
      </c>
      <c r="K12" s="11">
        <f t="shared" si="4"/>
        <v>8.2766019999999996E-2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77885864.289266527</v>
      </c>
      <c r="D13" s="11">
        <v>1.7000000000000001E-2</v>
      </c>
      <c r="E13" s="10">
        <f t="shared" si="2"/>
        <v>1301926.9350221455</v>
      </c>
      <c r="F13" s="3"/>
      <c r="G13" s="26">
        <v>5.24</v>
      </c>
      <c r="H13" s="10"/>
      <c r="I13" s="10">
        <f t="shared" si="5"/>
        <v>935.01753803281395</v>
      </c>
      <c r="J13" s="10">
        <f t="shared" si="3"/>
        <v>72824649075.307846</v>
      </c>
      <c r="K13" s="11">
        <f t="shared" si="4"/>
        <v>7.0290799999999987E-2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76583937.354244381</v>
      </c>
      <c r="D14" s="11">
        <v>1.7299999999999999E-2</v>
      </c>
      <c r="E14" s="10">
        <f t="shared" si="2"/>
        <v>1302371.0962630808</v>
      </c>
      <c r="F14" s="3"/>
      <c r="G14" s="26">
        <v>4.74</v>
      </c>
      <c r="H14" s="10"/>
      <c r="I14" s="10">
        <f t="shared" si="5"/>
        <v>888.46212279818883</v>
      </c>
      <c r="J14" s="10">
        <f t="shared" si="3"/>
        <v>68041927553.995468</v>
      </c>
      <c r="K14" s="11">
        <f t="shared" si="4"/>
        <v>6.5520020000000123E-2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75281566.2579813</v>
      </c>
      <c r="D15" s="11">
        <v>1.8100000000000002E-2</v>
      </c>
      <c r="E15" s="10">
        <f t="shared" si="2"/>
        <v>1338371.8193394244</v>
      </c>
      <c r="F15" s="3"/>
      <c r="G15" s="26">
        <v>3.83</v>
      </c>
      <c r="H15" s="10"/>
      <c r="I15" s="10">
        <f t="shared" si="5"/>
        <v>848.25484322912803</v>
      </c>
      <c r="J15" s="10">
        <f t="shared" si="3"/>
        <v>63857953184.207146</v>
      </c>
      <c r="K15" s="11">
        <f t="shared" si="4"/>
        <v>5.7093230000000217E-2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73943194.438641876</v>
      </c>
      <c r="D16" s="11">
        <v>1.8700000000000001E-2</v>
      </c>
      <c r="E16" s="10">
        <f t="shared" si="2"/>
        <v>1357355.1938771009</v>
      </c>
      <c r="F16" s="3"/>
      <c r="G16" s="26">
        <v>5.08</v>
      </c>
      <c r="H16" s="10"/>
      <c r="I16" s="10">
        <f t="shared" si="5"/>
        <v>816.96508064059333</v>
      </c>
      <c r="J16" s="10">
        <f t="shared" si="3"/>
        <v>60409007807.38813</v>
      </c>
      <c r="K16" s="11">
        <f t="shared" si="4"/>
        <v>7.0449959999999923E-2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72585839.244764775</v>
      </c>
      <c r="D17" s="11">
        <v>1.8800000000000001E-2</v>
      </c>
      <c r="E17" s="10">
        <f t="shared" si="2"/>
        <v>1339432.4477832466</v>
      </c>
      <c r="F17" s="3"/>
      <c r="G17" s="26">
        <v>5.29</v>
      </c>
      <c r="H17" s="10"/>
      <c r="I17" s="10">
        <f t="shared" si="5"/>
        <v>777.46962375389546</v>
      </c>
      <c r="J17" s="10">
        <f t="shared" si="3"/>
        <v>56433285127.488007</v>
      </c>
      <c r="K17" s="11">
        <f t="shared" si="4"/>
        <v>7.2694519999999763E-2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71246406.796981528</v>
      </c>
      <c r="D18" s="11">
        <v>1.9E-2</v>
      </c>
      <c r="E18" s="10">
        <f t="shared" si="2"/>
        <v>1328441.3436139822</v>
      </c>
      <c r="F18" s="3"/>
      <c r="G18" s="26">
        <v>4.67</v>
      </c>
      <c r="H18" s="10"/>
      <c r="I18" s="10">
        <f t="shared" si="5"/>
        <v>738.40784856481673</v>
      </c>
      <c r="J18" s="10">
        <f t="shared" si="3"/>
        <v>52608905960.932869</v>
      </c>
      <c r="K18" s="11">
        <f t="shared" si="4"/>
        <v>6.6587300000000127E-2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69917965.453367546</v>
      </c>
      <c r="D19" s="11">
        <v>1.9400000000000001E-2</v>
      </c>
      <c r="E19" s="10">
        <f t="shared" si="2"/>
        <v>1330594.9870466292</v>
      </c>
      <c r="F19" s="3"/>
      <c r="G19" s="26">
        <v>5.18</v>
      </c>
      <c r="H19" s="10"/>
      <c r="I19" s="10">
        <f t="shared" si="5"/>
        <v>705.46273866897559</v>
      </c>
      <c r="J19" s="10">
        <f t="shared" si="3"/>
        <v>49324519390.895493</v>
      </c>
      <c r="K19" s="11">
        <f t="shared" si="4"/>
        <v>7.2204920000000117E-2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68587370.466320917</v>
      </c>
      <c r="D20" s="11">
        <v>1.9699999999999999E-2</v>
      </c>
      <c r="E20" s="10">
        <f t="shared" si="2"/>
        <v>1325067.3709782511</v>
      </c>
      <c r="F20" s="3"/>
      <c r="G20" s="26">
        <v>4.49</v>
      </c>
      <c r="H20" s="10"/>
      <c r="I20" s="10">
        <f t="shared" si="5"/>
        <v>670.71947011691918</v>
      </c>
      <c r="J20" s="10">
        <f t="shared" si="3"/>
        <v>46002884775.883598</v>
      </c>
      <c r="K20" s="11">
        <f t="shared" si="4"/>
        <v>6.5484529999999985E-2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67262303.095342666</v>
      </c>
      <c r="D21" s="11">
        <v>0.02</v>
      </c>
      <c r="E21" s="10">
        <f t="shared" si="2"/>
        <v>1318868.688143976</v>
      </c>
      <c r="F21" s="3"/>
      <c r="G21" s="26">
        <v>4.5199999999999996</v>
      </c>
      <c r="H21" s="10"/>
      <c r="I21" s="10">
        <f t="shared" si="5"/>
        <v>641.8982391778344</v>
      </c>
      <c r="J21" s="10">
        <f t="shared" si="3"/>
        <v>43175553919.946259</v>
      </c>
      <c r="K21" s="11">
        <f t="shared" si="4"/>
        <v>6.6104000000000163E-2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65943434.40719869</v>
      </c>
      <c r="D22" s="11">
        <v>2.01E-2</v>
      </c>
      <c r="E22" s="10">
        <f t="shared" si="2"/>
        <v>1299346.1734973937</v>
      </c>
      <c r="F22" s="3"/>
      <c r="G22" s="26">
        <v>5.12</v>
      </c>
      <c r="H22" s="10"/>
      <c r="I22" s="10">
        <f t="shared" si="5"/>
        <v>614.13914961522619</v>
      </c>
      <c r="J22" s="10">
        <f t="shared" si="3"/>
        <v>40498444729.544449</v>
      </c>
      <c r="K22" s="11">
        <f t="shared" si="4"/>
        <v>7.2329119999999802E-2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64644088.233701296</v>
      </c>
      <c r="D23" s="11">
        <v>2.0400000000000001E-2</v>
      </c>
      <c r="E23" s="10">
        <f t="shared" si="2"/>
        <v>1292374.9509677589</v>
      </c>
      <c r="F23" s="3"/>
      <c r="G23" s="26">
        <v>3.89</v>
      </c>
      <c r="H23" s="10"/>
      <c r="I23" s="10">
        <f t="shared" si="5"/>
        <v>584.22674050154706</v>
      </c>
      <c r="J23" s="10">
        <f t="shared" si="3"/>
        <v>37766804961.469719</v>
      </c>
      <c r="K23" s="11">
        <f t="shared" si="4"/>
        <v>6.0093559999999879E-2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63351713.282733537</v>
      </c>
      <c r="D24" s="11">
        <v>2.1000000000000001E-2</v>
      </c>
      <c r="E24" s="10">
        <f t="shared" si="2"/>
        <v>1303022.5063049942</v>
      </c>
      <c r="F24" s="3"/>
      <c r="G24" s="26">
        <v>4.71</v>
      </c>
      <c r="H24" s="10"/>
      <c r="I24" s="10">
        <f t="shared" si="5"/>
        <v>562.35127587019645</v>
      </c>
      <c r="J24" s="10">
        <f t="shared" si="3"/>
        <v>35625916793.108078</v>
      </c>
      <c r="K24" s="11">
        <f t="shared" si="4"/>
        <v>6.9089100000000014E-2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62048690.776428543</v>
      </c>
      <c r="D25" s="11">
        <v>2.1299999999999999E-2</v>
      </c>
      <c r="E25" s="10">
        <f t="shared" si="2"/>
        <v>1294073.3511582613</v>
      </c>
      <c r="F25" s="3"/>
      <c r="G25" s="26">
        <v>5.44</v>
      </c>
      <c r="H25" s="10"/>
      <c r="I25" s="10">
        <f t="shared" si="5"/>
        <v>537.05594104688805</v>
      </c>
      <c r="J25" s="10">
        <f t="shared" si="3"/>
        <v>33323618015.662193</v>
      </c>
      <c r="K25" s="11">
        <f t="shared" si="4"/>
        <v>7.6858720000000158E-2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60754617.425270282</v>
      </c>
      <c r="D26" s="11">
        <v>2.1700000000000001E-2</v>
      </c>
      <c r="E26" s="10">
        <f t="shared" si="2"/>
        <v>1290374.0805797875</v>
      </c>
      <c r="F26" s="3"/>
      <c r="G26" s="26">
        <v>3.49</v>
      </c>
      <c r="H26" s="10"/>
      <c r="I26" s="10">
        <f t="shared" si="5"/>
        <v>509.3474402948483</v>
      </c>
      <c r="J26" s="10">
        <f t="shared" si="3"/>
        <v>30945208871.654205</v>
      </c>
      <c r="K26" s="11">
        <f t="shared" si="4"/>
        <v>5.7357329999999873E-2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59464243.344690494</v>
      </c>
      <c r="D27" s="11">
        <v>2.2100000000000002E-2</v>
      </c>
      <c r="E27" s="10">
        <f t="shared" si="2"/>
        <v>1285744.8174519688</v>
      </c>
      <c r="F27" s="3"/>
      <c r="G27" s="26">
        <v>-5.62</v>
      </c>
      <c r="H27" s="10"/>
      <c r="I27" s="10">
        <f t="shared" si="5"/>
        <v>492.17068344269819</v>
      </c>
      <c r="J27" s="10">
        <f t="shared" si="3"/>
        <v>29266557287.359238</v>
      </c>
      <c r="K27" s="11">
        <f t="shared" si="4"/>
        <v>-3.5342019999999974E-2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58178498.527238525</v>
      </c>
      <c r="D28" s="11">
        <v>2.23E-2</v>
      </c>
      <c r="E28" s="10">
        <f t="shared" si="2"/>
        <v>1269080.0324341357</v>
      </c>
      <c r="F28" s="3"/>
      <c r="G28" s="26">
        <v>2.84</v>
      </c>
      <c r="H28" s="10"/>
      <c r="I28" s="10">
        <f t="shared" si="5"/>
        <v>521.47773197997265</v>
      </c>
      <c r="J28" s="10">
        <f t="shared" si="3"/>
        <v>30338791461.984524</v>
      </c>
      <c r="K28" s="11">
        <f t="shared" si="4"/>
        <v>5.1333319999999905E-2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56909418.49480439</v>
      </c>
      <c r="D29" s="11">
        <v>2.2499999999999999E-2</v>
      </c>
      <c r="E29" s="10">
        <f t="shared" si="2"/>
        <v>1252285.4925507084</v>
      </c>
      <c r="F29" s="3"/>
      <c r="G29" s="26">
        <v>2.42</v>
      </c>
      <c r="H29" s="10"/>
      <c r="I29" s="10">
        <f t="shared" si="5"/>
        <v>507.07675221700958</v>
      </c>
      <c r="J29" s="10">
        <f t="shared" si="3"/>
        <v>28857443100.90403</v>
      </c>
      <c r="K29" s="11">
        <f t="shared" si="4"/>
        <v>4.7244500000000134E-2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55657133.002253681</v>
      </c>
      <c r="D30" s="12">
        <v>2.2800000000000001E-2</v>
      </c>
      <c r="E30" s="10">
        <f t="shared" si="2"/>
        <v>1240694.7912117541</v>
      </c>
      <c r="F30" s="3"/>
      <c r="G30" s="26">
        <v>3.77</v>
      </c>
      <c r="H30" s="10"/>
      <c r="I30" s="10">
        <f t="shared" si="5"/>
        <v>495.09544250830851</v>
      </c>
      <c r="J30" s="10">
        <f t="shared" si="3"/>
        <v>27555592892.494568</v>
      </c>
      <c r="K30" s="11">
        <f t="shared" si="4"/>
        <v>6.1359560000000091E-2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54416438.211041927</v>
      </c>
      <c r="D31" s="13">
        <v>2.3099999999999999E-2</v>
      </c>
      <c r="E31" s="10">
        <f t="shared" si="2"/>
        <v>1228638.1807008758</v>
      </c>
      <c r="F31" s="3"/>
      <c r="G31" s="26">
        <v>4.17</v>
      </c>
      <c r="H31" s="10"/>
      <c r="I31" s="10">
        <f t="shared" si="5"/>
        <v>477.10845380004673</v>
      </c>
      <c r="J31" s="10">
        <f t="shared" si="3"/>
        <v>25962542696.175995</v>
      </c>
      <c r="K31" s="11">
        <f t="shared" si="4"/>
        <v>6.5763269999999929E-2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53187800.030341052</v>
      </c>
      <c r="D32" s="12">
        <v>2.3300000000000001E-2</v>
      </c>
      <c r="E32" s="10">
        <f t="shared" si="2"/>
        <v>1211058.0872734785</v>
      </c>
      <c r="F32" s="3"/>
      <c r="G32" s="26">
        <v>3.34</v>
      </c>
      <c r="H32" s="10"/>
      <c r="I32" s="10">
        <f t="shared" si="5"/>
        <v>458.00945934534576</v>
      </c>
      <c r="J32" s="10">
        <f t="shared" si="3"/>
        <v>24360515535.664871</v>
      </c>
      <c r="K32" s="11">
        <f t="shared" si="4"/>
        <v>5.7478220000000135E-2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51976741.943067573</v>
      </c>
      <c r="D33" s="13">
        <v>2.35E-2</v>
      </c>
      <c r="E33" s="10">
        <f t="shared" si="2"/>
        <v>1193408.3396796212</v>
      </c>
      <c r="F33" s="3"/>
      <c r="G33" s="26">
        <v>4.8</v>
      </c>
      <c r="H33" s="10"/>
      <c r="I33" s="10">
        <f t="shared" si="5"/>
        <v>443.2063666976444</v>
      </c>
      <c r="J33" s="10">
        <f t="shared" si="3"/>
        <v>23036422949.368042</v>
      </c>
      <c r="K33" s="11">
        <f t="shared" si="4"/>
        <v>7.2628000000000137E-2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50783333.603387952</v>
      </c>
      <c r="D34" s="11">
        <v>2.3400000000000001E-2</v>
      </c>
      <c r="E34" s="10">
        <f t="shared" si="2"/>
        <v>1161158.8883323073</v>
      </c>
      <c r="F34" s="3"/>
      <c r="G34" s="26">
        <v>2.58</v>
      </c>
      <c r="H34" s="10"/>
      <c r="I34" s="10">
        <f t="shared" si="5"/>
        <v>422.90683845195076</v>
      </c>
      <c r="J34" s="10">
        <f t="shared" ref="J34:J65" si="6">IF(I34="","",I34*C34)</f>
        <v>21476619060.25951</v>
      </c>
      <c r="K34" s="11">
        <f t="shared" ref="K34:K65" si="7">IFERROR(J34/J35-1,"")</f>
        <v>6.3107919999999984E-2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49622174.715055645</v>
      </c>
      <c r="D35" s="11">
        <v>2.3300000000000001E-2</v>
      </c>
      <c r="E35" s="10">
        <f t="shared" si="2"/>
        <v>1129870.6839253381</v>
      </c>
      <c r="F35" s="3"/>
      <c r="G35" s="26">
        <v>-0.57</v>
      </c>
      <c r="H35" s="10"/>
      <c r="I35" s="10">
        <f t="shared" ref="I35:I66" si="8">IF(H35&lt;&gt;"",H35,I34/(1+IF(G34="",0,G34)/100))</f>
        <v>407.11093420480438</v>
      </c>
      <c r="J35" s="10">
        <f t="shared" si="6"/>
        <v>20201729905.520325</v>
      </c>
      <c r="K35" s="11">
        <f t="shared" si="7"/>
        <v>4.5096290000000261E-2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48492304.031130306</v>
      </c>
      <c r="D36" s="11">
        <v>2.35E-2</v>
      </c>
      <c r="E36" s="10">
        <f t="shared" si="2"/>
        <v>1113404.1472707018</v>
      </c>
      <c r="F36" s="3"/>
      <c r="G36" s="26">
        <v>2.43</v>
      </c>
      <c r="H36" s="10"/>
      <c r="I36" s="10">
        <f t="shared" si="8"/>
        <v>398.62032135983975</v>
      </c>
      <c r="J36" s="10">
        <f t="shared" si="6"/>
        <v>19330017816.368214</v>
      </c>
      <c r="K36" s="11">
        <f t="shared" si="7"/>
        <v>9.7499049999999921E-2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47378899.883859605</v>
      </c>
      <c r="D37" s="11">
        <v>2.3800000000000002E-2</v>
      </c>
      <c r="E37" s="10">
        <f t="shared" si="2"/>
        <v>1101404.392689839</v>
      </c>
      <c r="F37" s="3"/>
      <c r="G37" s="26">
        <v>-4.48</v>
      </c>
      <c r="H37" s="10"/>
      <c r="I37" s="10">
        <f t="shared" si="8"/>
        <v>371.74328206643639</v>
      </c>
      <c r="J37" s="10">
        <f t="shared" si="6"/>
        <v>17612787743.523071</v>
      </c>
      <c r="K37" s="11">
        <f t="shared" si="7"/>
        <v>3.2195159999999889E-2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46277495.491169766</v>
      </c>
      <c r="D38" s="11">
        <v>2.3300000000000001E-2</v>
      </c>
      <c r="E38" s="10">
        <f t="shared" si="2"/>
        <v>1053714.1062682122</v>
      </c>
      <c r="F38" s="3"/>
      <c r="G38" s="26">
        <v>1.1</v>
      </c>
      <c r="H38" s="10"/>
      <c r="I38" s="10">
        <f t="shared" si="8"/>
        <v>368.71977987149018</v>
      </c>
      <c r="J38" s="10">
        <f t="shared" si="6"/>
        <v>17063427950.507996</v>
      </c>
      <c r="K38" s="11">
        <f t="shared" si="7"/>
        <v>7.2418400000000105E-2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45223781.384901553</v>
      </c>
      <c r="D39" s="11">
        <v>2.3E-2</v>
      </c>
      <c r="E39" s="10">
        <f t="shared" si="2"/>
        <v>1016761.4583115652</v>
      </c>
      <c r="F39" s="3"/>
      <c r="G39" s="26">
        <v>7.07</v>
      </c>
      <c r="H39" s="10"/>
      <c r="I39" s="10">
        <f t="shared" si="8"/>
        <v>351.8318510224143</v>
      </c>
      <c r="J39" s="10">
        <f t="shared" si="6"/>
        <v>15911166714.882915</v>
      </c>
      <c r="K39" s="11">
        <f t="shared" si="7"/>
        <v>9.5326099999999858E-2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44207019.926589988</v>
      </c>
      <c r="D40" s="11">
        <v>2.3599999999999999E-2</v>
      </c>
      <c r="E40" s="10">
        <f t="shared" si="2"/>
        <v>1019231.7997924238</v>
      </c>
      <c r="F40" s="3"/>
      <c r="G40" s="26">
        <v>2.67</v>
      </c>
      <c r="H40" s="10"/>
      <c r="I40" s="10">
        <f t="shared" si="8"/>
        <v>328.59984218026926</v>
      </c>
      <c r="J40" s="10">
        <f t="shared" si="6"/>
        <v>14526419771.137489</v>
      </c>
      <c r="K40" s="11">
        <f t="shared" si="7"/>
        <v>5.0930120000000079E-2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43187788.126797564</v>
      </c>
      <c r="D41" s="11">
        <v>2.35E-2</v>
      </c>
      <c r="E41" s="10">
        <f t="shared" si="2"/>
        <v>991610.18170957267</v>
      </c>
      <c r="F41" s="3"/>
      <c r="G41" s="26">
        <v>5.66</v>
      </c>
      <c r="H41" s="10"/>
      <c r="I41" s="10">
        <f t="shared" si="8"/>
        <v>320.05438996812046</v>
      </c>
      <c r="J41" s="10">
        <f t="shared" si="6"/>
        <v>13822441182.994631</v>
      </c>
      <c r="K41" s="11">
        <f t="shared" si="7"/>
        <v>8.1430100000000172E-2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42196177.945087992</v>
      </c>
      <c r="D42" s="11">
        <v>2.3599999999999999E-2</v>
      </c>
      <c r="E42" s="10">
        <f t="shared" si="2"/>
        <v>972870.06594771147</v>
      </c>
      <c r="F42" s="3"/>
      <c r="G42" s="26">
        <v>-4.09</v>
      </c>
      <c r="H42" s="10"/>
      <c r="I42" s="10">
        <f t="shared" si="8"/>
        <v>302.9097008973315</v>
      </c>
      <c r="J42" s="10">
        <f t="shared" si="6"/>
        <v>12781631640.35718</v>
      </c>
      <c r="K42" s="11">
        <f t="shared" si="7"/>
        <v>-1.8265240000000071E-2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41223307.87914028</v>
      </c>
      <c r="D43" s="11">
        <v>2.3E-2</v>
      </c>
      <c r="E43" s="10">
        <f t="shared" si="2"/>
        <v>926819.23872944713</v>
      </c>
      <c r="F43" s="11"/>
      <c r="G43" s="26">
        <v>9.59</v>
      </c>
      <c r="H43" s="10"/>
      <c r="I43" s="10">
        <f t="shared" si="8"/>
        <v>315.82702627185017</v>
      </c>
      <c r="J43" s="10">
        <f t="shared" si="6"/>
        <v>13019434740.557806</v>
      </c>
      <c r="K43" s="11">
        <f t="shared" si="7"/>
        <v>0.12110569999999998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40296488.640410833</v>
      </c>
      <c r="D44" s="11">
        <v>2.2499999999999999E-2</v>
      </c>
      <c r="E44" s="10">
        <f t="shared" si="2"/>
        <v>886719.79893324524</v>
      </c>
      <c r="F44" s="11"/>
      <c r="G44" s="26">
        <v>3.33</v>
      </c>
      <c r="H44" s="10"/>
      <c r="I44" s="10">
        <f t="shared" si="8"/>
        <v>288.1896398137149</v>
      </c>
      <c r="J44" s="10">
        <f t="shared" si="6"/>
        <v>11613030547.037453</v>
      </c>
      <c r="K44" s="11">
        <f t="shared" si="7"/>
        <v>5.6549250000000217E-2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39409768.841477588</v>
      </c>
      <c r="D45" s="11">
        <v>2.1999999999999999E-2</v>
      </c>
      <c r="E45" s="10">
        <f t="shared" si="2"/>
        <v>848351.18836840242</v>
      </c>
      <c r="F45" s="11"/>
      <c r="G45" s="26">
        <v>-13.97</v>
      </c>
      <c r="H45" s="10"/>
      <c r="I45" s="10">
        <f t="shared" si="8"/>
        <v>278.90219666477776</v>
      </c>
      <c r="J45" s="10">
        <f t="shared" si="6"/>
        <v>10991471099.939213</v>
      </c>
      <c r="K45" s="11">
        <f t="shared" si="7"/>
        <v>-0.12077339999999992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38561417.653109185</v>
      </c>
      <c r="D46" s="11">
        <v>2.2200000000000001E-2</v>
      </c>
      <c r="E46" s="10">
        <f t="shared" si="2"/>
        <v>837471.60232735425</v>
      </c>
      <c r="F46" s="11"/>
      <c r="G46" s="26">
        <v>-5.48</v>
      </c>
      <c r="H46" s="10"/>
      <c r="I46" s="10">
        <f t="shared" si="8"/>
        <v>324.19178968357289</v>
      </c>
      <c r="J46" s="10">
        <f t="shared" si="6"/>
        <v>12501295001.697187</v>
      </c>
      <c r="K46" s="11">
        <f t="shared" si="7"/>
        <v>-3.3816559999999996E-2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37723946.050781831</v>
      </c>
      <c r="D47" s="11">
        <v>2.2200000000000001E-2</v>
      </c>
      <c r="E47" s="10">
        <f t="shared" si="2"/>
        <v>819283.5084399879</v>
      </c>
      <c r="F47" s="11"/>
      <c r="G47" s="26">
        <v>5.62</v>
      </c>
      <c r="H47" s="10"/>
      <c r="I47" s="10">
        <f t="shared" si="8"/>
        <v>342.98750495511308</v>
      </c>
      <c r="J47" s="10">
        <f t="shared" si="6"/>
        <v>12938842133.018951</v>
      </c>
      <c r="K47" s="11">
        <f t="shared" si="7"/>
        <v>7.9647639999999909E-2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36904662.542341843</v>
      </c>
      <c r="D48" s="11">
        <v>2.1100000000000001E-2</v>
      </c>
      <c r="E48" s="10">
        <f t="shared" si="2"/>
        <v>762597.57089747488</v>
      </c>
      <c r="F48" s="11"/>
      <c r="G48" s="26">
        <v>1.22</v>
      </c>
      <c r="H48" s="10"/>
      <c r="I48" s="10">
        <f t="shared" si="8"/>
        <v>324.7372703608342</v>
      </c>
      <c r="J48" s="10">
        <f t="shared" si="6"/>
        <v>11984319377.587814</v>
      </c>
      <c r="K48" s="11">
        <f t="shared" si="7"/>
        <v>3.3557419999999949E-2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36142064.971444368</v>
      </c>
      <c r="D49" s="11">
        <v>2.1499999999999998E-2</v>
      </c>
      <c r="E49" s="10">
        <f t="shared" si="2"/>
        <v>760699.36063245684</v>
      </c>
      <c r="F49" s="11"/>
      <c r="G49" s="26">
        <v>9.49</v>
      </c>
      <c r="H49" s="10"/>
      <c r="I49" s="10">
        <f t="shared" si="8"/>
        <v>320.82322699153747</v>
      </c>
      <c r="J49" s="10">
        <f t="shared" si="6"/>
        <v>11595213914.276592</v>
      </c>
      <c r="K49" s="11">
        <f t="shared" si="7"/>
        <v>0.11844034999999997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35381365.610811912</v>
      </c>
      <c r="D50" s="11">
        <v>2.1499999999999998E-2</v>
      </c>
      <c r="E50" s="10">
        <f t="shared" si="2"/>
        <v>744688.55666417629</v>
      </c>
      <c r="F50" s="11"/>
      <c r="G50" s="26">
        <v>-1.88</v>
      </c>
      <c r="H50" s="10"/>
      <c r="I50" s="10">
        <f t="shared" si="8"/>
        <v>293.01600784686957</v>
      </c>
      <c r="J50" s="10">
        <f t="shared" si="6"/>
        <v>10367306503.450624</v>
      </c>
      <c r="K50" s="11">
        <f t="shared" si="7"/>
        <v>2.295799999999959E-3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34636677.054147735</v>
      </c>
      <c r="D51" s="11">
        <v>2.1399999999999999E-2</v>
      </c>
      <c r="E51" s="10">
        <f t="shared" si="2"/>
        <v>725695.01562440395</v>
      </c>
      <c r="F51" s="3"/>
      <c r="G51" s="26">
        <v>2.57</v>
      </c>
      <c r="H51" s="10"/>
      <c r="I51" s="10">
        <f t="shared" si="8"/>
        <v>298.63025667230897</v>
      </c>
      <c r="J51" s="10">
        <f t="shared" si="6"/>
        <v>10343559758.956013</v>
      </c>
      <c r="K51" s="11">
        <f t="shared" si="7"/>
        <v>4.7649980000000092E-2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33910982.038523331</v>
      </c>
      <c r="D52" s="11">
        <v>2.2499999999999999E-2</v>
      </c>
      <c r="E52" s="10">
        <f t="shared" si="2"/>
        <v>746207.42872056365</v>
      </c>
      <c r="F52" s="3"/>
      <c r="G52" s="26">
        <v>1.61</v>
      </c>
      <c r="H52" s="10"/>
      <c r="I52" s="10">
        <f t="shared" si="8"/>
        <v>291.14775925934384</v>
      </c>
      <c r="J52" s="10">
        <f t="shared" si="6"/>
        <v>9873106434.7999249</v>
      </c>
      <c r="K52" s="11">
        <f t="shared" si="7"/>
        <v>3.8962250000000198E-2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33164774.609802768</v>
      </c>
      <c r="D53" s="11">
        <v>2.3400000000000001E-2</v>
      </c>
      <c r="E53" s="10">
        <f t="shared" si="2"/>
        <v>758311.24278814346</v>
      </c>
      <c r="F53" s="3"/>
      <c r="G53" s="26">
        <v>10.95</v>
      </c>
      <c r="H53" s="10"/>
      <c r="I53" s="10">
        <f t="shared" si="8"/>
        <v>286.5345529567403</v>
      </c>
      <c r="J53" s="10">
        <f t="shared" si="6"/>
        <v>9502853866.7308865</v>
      </c>
      <c r="K53" s="11">
        <f t="shared" si="7"/>
        <v>0.13546229999999992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32406463.367014624</v>
      </c>
      <c r="D54" s="11">
        <v>2.35E-2</v>
      </c>
      <c r="E54" s="10">
        <f t="shared" si="2"/>
        <v>744066.3303613551</v>
      </c>
      <c r="F54" s="3"/>
      <c r="G54" s="26">
        <v>-0.46</v>
      </c>
      <c r="H54" s="10"/>
      <c r="I54" s="10">
        <f t="shared" si="8"/>
        <v>258.25556823500705</v>
      </c>
      <c r="J54" s="10">
        <f t="shared" si="6"/>
        <v>8369149611.3353014</v>
      </c>
      <c r="K54" s="11">
        <f t="shared" si="7"/>
        <v>1.8791900000000084E-2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31662397.036653269</v>
      </c>
      <c r="D55" s="11">
        <v>2.3699999999999999E-2</v>
      </c>
      <c r="E55" s="10">
        <f t="shared" si="2"/>
        <v>733026.09140244499</v>
      </c>
      <c r="F55" s="3"/>
      <c r="G55" s="26">
        <v>5.45</v>
      </c>
      <c r="H55" s="10"/>
      <c r="I55" s="10">
        <f t="shared" si="8"/>
        <v>259.44903379044308</v>
      </c>
      <c r="J55" s="10">
        <f t="shared" si="6"/>
        <v>8214778318.6490793</v>
      </c>
      <c r="K55" s="11">
        <f t="shared" si="7"/>
        <v>7.9491650000000025E-2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30929370.945250824</v>
      </c>
      <c r="D56" s="11">
        <v>2.4E-2</v>
      </c>
      <c r="E56" s="10">
        <f t="shared" si="2"/>
        <v>724907.13152931631</v>
      </c>
      <c r="F56" s="3"/>
      <c r="G56" s="26">
        <v>6.06</v>
      </c>
      <c r="H56" s="10"/>
      <c r="I56" s="10">
        <f t="shared" si="8"/>
        <v>246.03986134702996</v>
      </c>
      <c r="J56" s="10">
        <f t="shared" si="6"/>
        <v>7609858138.9203691</v>
      </c>
      <c r="K56" s="11">
        <f t="shared" si="7"/>
        <v>8.6054399999999864E-2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30204463.813721508</v>
      </c>
      <c r="D57" s="11">
        <v>2.3E-2</v>
      </c>
      <c r="E57" s="10">
        <f t="shared" si="2"/>
        <v>679083.74165746942</v>
      </c>
      <c r="F57" s="3"/>
      <c r="G57" s="26">
        <v>5.9</v>
      </c>
      <c r="H57" s="10"/>
      <c r="I57" s="10">
        <f t="shared" si="8"/>
        <v>231.98176630872143</v>
      </c>
      <c r="J57" s="10">
        <f t="shared" si="6"/>
        <v>7006884865.9149761</v>
      </c>
      <c r="K57" s="11">
        <f t="shared" si="7"/>
        <v>8.3356999999999903E-2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29525380.072064038</v>
      </c>
      <c r="D58" s="11">
        <v>2.1999999999999999E-2</v>
      </c>
      <c r="E58" s="10">
        <f t="shared" si="2"/>
        <v>635575.69626752287</v>
      </c>
      <c r="F58" s="3"/>
      <c r="G58" s="26">
        <v>5.2</v>
      </c>
      <c r="H58" s="10"/>
      <c r="I58" s="10">
        <f t="shared" si="8"/>
        <v>219.05738083920815</v>
      </c>
      <c r="J58" s="10">
        <f t="shared" si="6"/>
        <v>6467752426.8684988</v>
      </c>
      <c r="K58" s="11">
        <f t="shared" si="7"/>
        <v>7.51440000000001E-2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28889804.375796515</v>
      </c>
      <c r="D59" s="11">
        <v>2.1000000000000001E-2</v>
      </c>
      <c r="E59" s="10">
        <f t="shared" si="2"/>
        <v>594207.53368435428</v>
      </c>
      <c r="F59" s="3"/>
      <c r="G59" s="26">
        <v>-1.86</v>
      </c>
      <c r="H59" s="10"/>
      <c r="I59" s="10">
        <f t="shared" si="8"/>
        <v>208.22944946692789</v>
      </c>
      <c r="J59" s="10">
        <f t="shared" si="6"/>
        <v>6015708060.3793526</v>
      </c>
      <c r="K59" s="11">
        <f t="shared" si="7"/>
        <v>2.009399999999939E-3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28295596.842112161</v>
      </c>
      <c r="D60" s="11">
        <v>2.1000000000000001E-2</v>
      </c>
      <c r="E60" s="10">
        <f t="shared" si="2"/>
        <v>581985.83122855425</v>
      </c>
      <c r="F60" s="3"/>
      <c r="G60" s="26">
        <v>-2.0699999999999998</v>
      </c>
      <c r="H60" s="10"/>
      <c r="I60" s="10">
        <f t="shared" si="8"/>
        <v>212.17592160885255</v>
      </c>
      <c r="J60" s="10">
        <f t="shared" si="6"/>
        <v>6003644337.4476852</v>
      </c>
      <c r="K60" s="11">
        <f t="shared" si="7"/>
        <v>-1.3470000000015414E-4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27713611.010883607</v>
      </c>
      <c r="D61" s="11">
        <v>2.1000000000000001E-2</v>
      </c>
      <c r="E61" s="10">
        <f t="shared" si="2"/>
        <v>570015.50561072677</v>
      </c>
      <c r="F61" s="3"/>
      <c r="G61" s="26">
        <v>10.3</v>
      </c>
      <c r="H61" s="10"/>
      <c r="I61" s="10">
        <f t="shared" si="8"/>
        <v>216.66080017242169</v>
      </c>
      <c r="J61" s="10">
        <f t="shared" si="6"/>
        <v>6004453137.2852783</v>
      </c>
      <c r="K61" s="11">
        <f t="shared" si="7"/>
        <v>0.12616299999999958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27143595.50527288</v>
      </c>
      <c r="D62" s="11">
        <v>0.02</v>
      </c>
      <c r="E62" s="10">
        <f t="shared" si="2"/>
        <v>532227.36284848675</v>
      </c>
      <c r="F62" s="3"/>
      <c r="G62" s="26">
        <v>-5.21</v>
      </c>
      <c r="H62" s="10"/>
      <c r="I62" s="10">
        <f t="shared" si="8"/>
        <v>196.42864929503327</v>
      </c>
      <c r="J62" s="10">
        <f t="shared" si="6"/>
        <v>5331779802.1114883</v>
      </c>
      <c r="K62" s="11">
        <f t="shared" si="7"/>
        <v>-3.3142000000000005E-2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26611368.142424393</v>
      </c>
      <c r="D63" s="11">
        <v>0.02</v>
      </c>
      <c r="E63" s="10">
        <f t="shared" si="2"/>
        <v>521791.53220440075</v>
      </c>
      <c r="F63" s="3"/>
      <c r="G63" s="26">
        <v>1.97</v>
      </c>
      <c r="H63" s="10"/>
      <c r="I63" s="10">
        <f t="shared" si="8"/>
        <v>207.22507574114704</v>
      </c>
      <c r="J63" s="10">
        <f t="shared" si="6"/>
        <v>5514542778.8894424</v>
      </c>
      <c r="K63" s="11">
        <f t="shared" si="7"/>
        <v>4.0094000000000296E-2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26089576.610219993</v>
      </c>
      <c r="D64" s="11">
        <v>1.9E-2</v>
      </c>
      <c r="E64" s="10">
        <f t="shared" si="2"/>
        <v>486459.23021999747</v>
      </c>
      <c r="F64" s="3"/>
      <c r="G64" s="26">
        <v>1.41</v>
      </c>
      <c r="H64" s="10"/>
      <c r="I64" s="10">
        <f t="shared" si="8"/>
        <v>203.22161002368051</v>
      </c>
      <c r="J64" s="10">
        <f t="shared" si="6"/>
        <v>5301965763.5650635</v>
      </c>
      <c r="K64" s="11">
        <f t="shared" si="7"/>
        <v>3.3367899999999784E-2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25603117.379999995</v>
      </c>
      <c r="D65" s="11">
        <v>1.7999999999999999E-2</v>
      </c>
      <c r="E65" s="10">
        <f t="shared" si="2"/>
        <v>452707.37999999896</v>
      </c>
      <c r="F65" s="3"/>
      <c r="G65" s="26">
        <v>3</v>
      </c>
      <c r="H65" s="10"/>
      <c r="I65" s="10">
        <f t="shared" si="8"/>
        <v>200.39602605628687</v>
      </c>
      <c r="J65" s="10">
        <f t="shared" si="6"/>
        <v>5130762977.6046505</v>
      </c>
      <c r="K65" s="11">
        <f t="shared" si="7"/>
        <v>4.854000000000025E-2</v>
      </c>
      <c r="L65" t="s">
        <v>122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25150409.999999996</v>
      </c>
      <c r="D66" s="11">
        <v>1.7000000000000001E-2</v>
      </c>
      <c r="E66" s="10">
        <f t="shared" si="2"/>
        <v>420409.99999999627</v>
      </c>
      <c r="F66" s="3"/>
      <c r="G66" s="26">
        <v>1.22</v>
      </c>
      <c r="H66" s="10"/>
      <c r="I66" s="10">
        <f t="shared" si="8"/>
        <v>194.55924859833675</v>
      </c>
      <c r="J66" s="10">
        <f t="shared" ref="J66:J67" si="9">IF(I66="","",I66*C66)</f>
        <v>4893244871.5400934</v>
      </c>
      <c r="K66" s="11">
        <f t="shared" ref="K66" si="10">IFERROR(J66/J67-1,"")</f>
        <v>2.940739999999975E-2</v>
      </c>
    </row>
    <row r="67" spans="1:13" ht="22.5" customHeight="1">
      <c r="A67" s="3">
        <f t="shared" si="0"/>
        <v>1950</v>
      </c>
      <c r="B67" s="3">
        <v>1700</v>
      </c>
      <c r="C67" s="10">
        <v>24730000</v>
      </c>
      <c r="D67" s="11">
        <v>1.6E-2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192.21423493216435</v>
      </c>
      <c r="J67" s="10">
        <f t="shared" si="9"/>
        <v>4753458029.8724241</v>
      </c>
      <c r="K67" s="11"/>
    </row>
  </sheetData>
  <dataValidations count="1">
    <dataValidation type="custom" allowBlank="1" showDropDown="1" sqref="D2:D67" xr:uid="{00000000-0002-0000-2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M67"/>
  <sheetViews>
    <sheetView topLeftCell="A18" workbookViewId="0">
      <selection activeCell="J48" sqref="J4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260856406.4317582</v>
      </c>
      <c r="D2" s="11">
        <v>1.06E-2</v>
      </c>
      <c r="E2" s="10">
        <f t="shared" ref="E2:E66" si="2">SUM(C2-C3)</f>
        <v>2736075.5077939928</v>
      </c>
      <c r="F2" s="14">
        <v>260844816</v>
      </c>
      <c r="G2" s="26">
        <v>2.6</v>
      </c>
      <c r="H2" s="10"/>
      <c r="I2" s="10">
        <f>IF(H2&lt;&gt;"",H2,86032)</f>
        <v>10754</v>
      </c>
      <c r="J2" s="10">
        <f t="shared" ref="J2:J33" si="3">IF(I2="","",I2*C2)</f>
        <v>2805249794767.1274</v>
      </c>
      <c r="K2" s="11">
        <f t="shared" ref="K2:K33" si="4">IFERROR(J2/J3-1,"")</f>
        <v>3.6875599999999675E-2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258120330.9239642</v>
      </c>
      <c r="D3" s="11">
        <v>1.0699999999999999E-2</v>
      </c>
      <c r="E3" s="10">
        <f t="shared" si="2"/>
        <v>2732648.2050919235</v>
      </c>
      <c r="F3" s="3"/>
      <c r="G3" s="26">
        <v>1.2</v>
      </c>
      <c r="H3" s="10"/>
      <c r="I3" s="10">
        <f t="shared" ref="I3:I34" si="5">IF(H3&lt;&gt;"",H3,I2/(1+IF(G2="",0,G2)/100))</f>
        <v>10481.481481481482</v>
      </c>
      <c r="J3" s="10">
        <f t="shared" si="3"/>
        <v>2705483468573.4028</v>
      </c>
      <c r="K3" s="11">
        <f t="shared" si="4"/>
        <v>2.2828400000000082E-2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255387682.71887228</v>
      </c>
      <c r="D4" s="11">
        <v>1.04E-2</v>
      </c>
      <c r="E4" s="10">
        <f t="shared" si="2"/>
        <v>2628693.4880010486</v>
      </c>
      <c r="F4" s="3"/>
      <c r="G4" s="26">
        <v>1.62</v>
      </c>
      <c r="H4" s="10"/>
      <c r="I4" s="10">
        <f t="shared" si="5"/>
        <v>10357.195139803836</v>
      </c>
      <c r="J4" s="10">
        <f t="shared" si="3"/>
        <v>2645100066221.668</v>
      </c>
      <c r="K4" s="11">
        <f t="shared" si="4"/>
        <v>2.6768479999999872E-2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252758989.23087123</v>
      </c>
      <c r="D5" s="11">
        <v>1.11E-2</v>
      </c>
      <c r="E5" s="10">
        <f t="shared" si="2"/>
        <v>2774824.2314931154</v>
      </c>
      <c r="F5" s="3"/>
      <c r="G5" s="26">
        <v>0.62</v>
      </c>
      <c r="H5" s="10"/>
      <c r="I5" s="10">
        <f t="shared" si="5"/>
        <v>10192.083388903598</v>
      </c>
      <c r="J5" s="10">
        <f t="shared" si="3"/>
        <v>2576140695536.0264</v>
      </c>
      <c r="K5" s="11">
        <f t="shared" si="4"/>
        <v>1.7368820000000174E-2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249984164.99937811</v>
      </c>
      <c r="D6" s="11">
        <v>1.1299999999999999E-2</v>
      </c>
      <c r="E6" s="10">
        <f t="shared" si="2"/>
        <v>2793257.2574834228</v>
      </c>
      <c r="F6" s="3"/>
      <c r="G6" s="26">
        <v>1.52</v>
      </c>
      <c r="H6" s="10"/>
      <c r="I6" s="10">
        <f t="shared" si="5"/>
        <v>10129.281841486383</v>
      </c>
      <c r="J6" s="10">
        <f t="shared" si="3"/>
        <v>2532160063187.3364</v>
      </c>
      <c r="K6" s="11">
        <f t="shared" si="4"/>
        <v>2.6671760000000155E-2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247190907.74189469</v>
      </c>
      <c r="D7" s="11">
        <v>1.14E-2</v>
      </c>
      <c r="E7" s="10">
        <f t="shared" si="2"/>
        <v>2786213.5141957998</v>
      </c>
      <c r="F7" s="3"/>
      <c r="G7" s="26">
        <v>1.78</v>
      </c>
      <c r="H7" s="10"/>
      <c r="I7" s="10">
        <f t="shared" si="5"/>
        <v>9977.6219872797301</v>
      </c>
      <c r="J7" s="10">
        <f t="shared" si="3"/>
        <v>2466377436141.1636</v>
      </c>
      <c r="K7" s="11">
        <f t="shared" si="4"/>
        <v>2.940292000000011E-2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244404694.22769889</v>
      </c>
      <c r="D8" s="11">
        <v>1.23E-2</v>
      </c>
      <c r="E8" s="10">
        <f t="shared" si="2"/>
        <v>2969651.0313155055</v>
      </c>
      <c r="F8" s="3"/>
      <c r="G8" s="26">
        <v>2.81</v>
      </c>
      <c r="H8" s="10"/>
      <c r="I8" s="10">
        <f t="shared" si="5"/>
        <v>9803.1263384552258</v>
      </c>
      <c r="J8" s="10">
        <f t="shared" si="3"/>
        <v>2395930095225.6509</v>
      </c>
      <c r="K8" s="11">
        <f t="shared" si="4"/>
        <v>4.0745629999999755E-2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241435043.19638339</v>
      </c>
      <c r="D9" s="11">
        <v>1.24E-2</v>
      </c>
      <c r="E9" s="10">
        <f t="shared" si="2"/>
        <v>2957126.171113342</v>
      </c>
      <c r="F9" s="3"/>
      <c r="G9" s="26">
        <v>3.92</v>
      </c>
      <c r="H9" s="10"/>
      <c r="I9" s="10">
        <f t="shared" si="5"/>
        <v>9535.1875678000451</v>
      </c>
      <c r="J9" s="10">
        <f t="shared" si="3"/>
        <v>2302128422317.4219</v>
      </c>
      <c r="K9" s="11">
        <f t="shared" si="4"/>
        <v>5.2086080000000035E-2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238477917.02527004</v>
      </c>
      <c r="D10" s="11">
        <v>1.24E-2</v>
      </c>
      <c r="E10" s="10">
        <f t="shared" si="2"/>
        <v>2920906.9252403677</v>
      </c>
      <c r="F10" s="3"/>
      <c r="G10" s="26">
        <v>-0.34</v>
      </c>
      <c r="H10" s="10"/>
      <c r="I10" s="10">
        <f t="shared" si="5"/>
        <v>9175.5076672440773</v>
      </c>
      <c r="J10" s="10">
        <f t="shared" si="3"/>
        <v>2188155956133.7622</v>
      </c>
      <c r="K10" s="11">
        <f t="shared" si="4"/>
        <v>8.9578400000001057E-3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235557010.10002968</v>
      </c>
      <c r="D11" s="11">
        <v>1.3599999999999999E-2</v>
      </c>
      <c r="E11" s="10">
        <f t="shared" si="2"/>
        <v>3160591.2957383692</v>
      </c>
      <c r="F11" s="3"/>
      <c r="G11" s="26">
        <v>-1.93</v>
      </c>
      <c r="H11" s="10"/>
      <c r="I11" s="10">
        <f t="shared" si="5"/>
        <v>9206.8108240458332</v>
      </c>
      <c r="J11" s="10">
        <f t="shared" si="3"/>
        <v>2168728830268.8269</v>
      </c>
      <c r="K11" s="11">
        <f t="shared" si="4"/>
        <v>-5.9624799999999922E-3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232396418.80429131</v>
      </c>
      <c r="D12" s="11">
        <v>1.26E-2</v>
      </c>
      <c r="E12" s="10">
        <f t="shared" si="2"/>
        <v>2891758.7170986235</v>
      </c>
      <c r="F12" s="3"/>
      <c r="G12" s="26">
        <v>-0.79</v>
      </c>
      <c r="H12" s="10"/>
      <c r="I12" s="10">
        <f t="shared" si="5"/>
        <v>9387.9992087751943</v>
      </c>
      <c r="J12" s="10">
        <f t="shared" si="3"/>
        <v>2181737395856.8755</v>
      </c>
      <c r="K12" s="11">
        <f t="shared" si="4"/>
        <v>4.6004600000000284E-3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229504660.08719268</v>
      </c>
      <c r="D13" s="11">
        <v>1.17E-2</v>
      </c>
      <c r="E13" s="10">
        <f t="shared" si="2"/>
        <v>2654150.956825316</v>
      </c>
      <c r="F13" s="3"/>
      <c r="G13" s="26">
        <v>-1.57</v>
      </c>
      <c r="H13" s="10"/>
      <c r="I13" s="10">
        <f t="shared" si="5"/>
        <v>9462.7549730623869</v>
      </c>
      <c r="J13" s="10">
        <f t="shared" si="3"/>
        <v>2171746363581.0752</v>
      </c>
      <c r="K13" s="11">
        <f t="shared" si="4"/>
        <v>-4.1836899999999622E-3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226850509.13036737</v>
      </c>
      <c r="D14" s="11">
        <v>1.1299999999999999E-2</v>
      </c>
      <c r="E14" s="10">
        <f t="shared" si="2"/>
        <v>2534767.8761724234</v>
      </c>
      <c r="F14" s="3"/>
      <c r="G14" s="26">
        <v>3.6</v>
      </c>
      <c r="H14" s="10"/>
      <c r="I14" s="10">
        <f t="shared" si="5"/>
        <v>9613.6899045640421</v>
      </c>
      <c r="J14" s="10">
        <f t="shared" si="3"/>
        <v>2180870449471.8259</v>
      </c>
      <c r="K14" s="11">
        <f t="shared" si="4"/>
        <v>4.7706800000000271E-2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224315741.25419495</v>
      </c>
      <c r="D15" s="11">
        <v>1.11E-2</v>
      </c>
      <c r="E15" s="10">
        <f t="shared" si="2"/>
        <v>2462570.1987158358</v>
      </c>
      <c r="F15" s="3"/>
      <c r="G15" s="26">
        <v>2.99</v>
      </c>
      <c r="H15" s="10"/>
      <c r="I15" s="10">
        <f t="shared" si="5"/>
        <v>9279.6234600039006</v>
      </c>
      <c r="J15" s="10">
        <f t="shared" si="3"/>
        <v>2081565614990.5923</v>
      </c>
      <c r="K15" s="11">
        <f t="shared" si="4"/>
        <v>4.1331890000000149E-2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221853171.05547911</v>
      </c>
      <c r="D16" s="11">
        <v>1.09E-2</v>
      </c>
      <c r="E16" s="10">
        <f t="shared" si="2"/>
        <v>2392125.3976700902</v>
      </c>
      <c r="F16" s="3"/>
      <c r="G16" s="26">
        <v>3.72</v>
      </c>
      <c r="H16" s="10"/>
      <c r="I16" s="10">
        <f t="shared" si="5"/>
        <v>9010.217943493446</v>
      </c>
      <c r="J16" s="10">
        <f t="shared" si="3"/>
        <v>1998945422664.9988</v>
      </c>
      <c r="K16" s="11">
        <f t="shared" si="4"/>
        <v>4.8505479999999768E-2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219461045.65780902</v>
      </c>
      <c r="D17" s="11">
        <v>1.09E-2</v>
      </c>
      <c r="E17" s="10">
        <f t="shared" si="2"/>
        <v>2366332.3747849464</v>
      </c>
      <c r="F17" s="3"/>
      <c r="G17" s="29">
        <v>0</v>
      </c>
      <c r="H17" s="10"/>
      <c r="I17" s="10">
        <f t="shared" si="5"/>
        <v>8687.0593361872798</v>
      </c>
      <c r="J17" s="10">
        <f t="shared" si="3"/>
        <v>1906471125611.0928</v>
      </c>
      <c r="K17" s="11">
        <f t="shared" si="4"/>
        <v>1.089999999999991E-2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217094713.28302407</v>
      </c>
      <c r="D18" s="11">
        <v>1.0800000000000001E-2</v>
      </c>
      <c r="E18" s="10">
        <f t="shared" si="2"/>
        <v>2319571.5309226811</v>
      </c>
      <c r="F18" s="3"/>
      <c r="G18" s="29">
        <v>-3.2</v>
      </c>
      <c r="H18" s="10"/>
      <c r="I18" s="10">
        <f t="shared" si="5"/>
        <v>8687.0593361872798</v>
      </c>
      <c r="J18" s="10">
        <f t="shared" si="3"/>
        <v>1885914655862.1948</v>
      </c>
      <c r="K18" s="11">
        <f t="shared" si="4"/>
        <v>-2.1545600000000165E-2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214775141.75210139</v>
      </c>
      <c r="D19" s="11">
        <v>9.2999999999999992E-3</v>
      </c>
      <c r="E19" s="10">
        <f t="shared" si="2"/>
        <v>1979004.0803473294</v>
      </c>
      <c r="F19" s="3"/>
      <c r="G19" s="29">
        <v>2.4</v>
      </c>
      <c r="H19" s="10"/>
      <c r="I19" s="10">
        <f t="shared" si="5"/>
        <v>8974.2348514331406</v>
      </c>
      <c r="J19" s="10">
        <f t="shared" si="3"/>
        <v>1927442562333.2014</v>
      </c>
      <c r="K19" s="11">
        <f t="shared" si="4"/>
        <v>3.3523200000000086E-2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212796137.67175406</v>
      </c>
      <c r="D20" s="11">
        <v>8.3999999999999995E-3</v>
      </c>
      <c r="E20" s="10">
        <f t="shared" si="2"/>
        <v>1772597.7354648113</v>
      </c>
      <c r="F20" s="3"/>
      <c r="G20" s="29">
        <v>-1.3</v>
      </c>
      <c r="H20" s="10"/>
      <c r="I20" s="10">
        <f t="shared" si="5"/>
        <v>8763.9012221026769</v>
      </c>
      <c r="J20" s="10">
        <f t="shared" si="3"/>
        <v>1864924331000.2148</v>
      </c>
      <c r="K20" s="11">
        <f t="shared" si="4"/>
        <v>-4.709200000000191E-3</v>
      </c>
      <c r="L20" t="s">
        <v>124</v>
      </c>
      <c r="M20" t="s">
        <v>125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211023539.93628925</v>
      </c>
      <c r="D21" s="11">
        <v>6.8999999999999999E-3</v>
      </c>
      <c r="E21" s="10">
        <f t="shared" si="2"/>
        <v>1446084.4429043233</v>
      </c>
      <c r="F21" s="3"/>
      <c r="G21" s="29">
        <v>-0.4</v>
      </c>
      <c r="H21" s="10"/>
      <c r="I21" s="10">
        <f>IF(H21&lt;&gt;"",H21,I20/(1+IF(G20="",0,G20)/100))</f>
        <v>8879.3325451901492</v>
      </c>
      <c r="J21" s="10">
        <f t="shared" si="3"/>
        <v>1873748185957.5264</v>
      </c>
      <c r="K21" s="11">
        <f t="shared" si="4"/>
        <v>2.8723999999999972E-3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209577455.49338493</v>
      </c>
      <c r="D22" s="11">
        <v>5.3E-3</v>
      </c>
      <c r="E22" s="10">
        <f t="shared" si="2"/>
        <v>1104904.520158112</v>
      </c>
      <c r="F22" s="3"/>
      <c r="G22" s="29">
        <v>3.76</v>
      </c>
      <c r="H22" s="10"/>
      <c r="I22" s="10">
        <f t="shared" si="5"/>
        <v>8914.9925152511532</v>
      </c>
      <c r="J22" s="10">
        <f t="shared" si="3"/>
        <v>1868381447088.9082</v>
      </c>
      <c r="K22" s="11">
        <f t="shared" si="4"/>
        <v>4.3099280000000073E-2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208472550.97322682</v>
      </c>
      <c r="D23" s="11">
        <v>2.8999999999999998E-3</v>
      </c>
      <c r="E23" s="10">
        <f t="shared" si="2"/>
        <v>602822.21340346336</v>
      </c>
      <c r="F23" s="3"/>
      <c r="G23" s="29">
        <v>4.1399999999999997</v>
      </c>
      <c r="H23" s="10"/>
      <c r="I23" s="10">
        <f t="shared" si="5"/>
        <v>8591.9357317378108</v>
      </c>
      <c r="J23" s="10">
        <f t="shared" si="3"/>
        <v>1791182759793.3997</v>
      </c>
      <c r="K23" s="11">
        <f t="shared" si="4"/>
        <v>4.4420059999999983E-2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207869728.75982335</v>
      </c>
      <c r="D24" s="11">
        <v>-1.6000000000000001E-3</v>
      </c>
      <c r="E24" s="10">
        <f t="shared" si="2"/>
        <v>-333124.56532025337</v>
      </c>
      <c r="F24" s="3"/>
      <c r="G24" s="29">
        <v>-2.57</v>
      </c>
      <c r="H24" s="10"/>
      <c r="I24" s="10">
        <f>IF(H24&lt;&gt;"",H24,I23/(1+IF(G23="",0,G23)/100))</f>
        <v>8250.3703972900039</v>
      </c>
      <c r="J24" s="10">
        <f t="shared" si="3"/>
        <v>1715002256652.749</v>
      </c>
      <c r="K24" s="11">
        <f t="shared" si="4"/>
        <v>-2.7258880000000096E-2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208202853.32514361</v>
      </c>
      <c r="D25" s="11">
        <v>-1.1000000000000001E-3</v>
      </c>
      <c r="E25" s="10">
        <f t="shared" si="2"/>
        <v>-229275.34153333306</v>
      </c>
      <c r="F25" s="3"/>
      <c r="G25" s="29">
        <v>-8.67</v>
      </c>
      <c r="H25" s="10"/>
      <c r="I25" s="10">
        <f>IF(H25&lt;&gt;"",H25,I24/(1+IF(G24="",0,G24)/100))</f>
        <v>8467.9979444626952</v>
      </c>
      <c r="J25" s="10">
        <f t="shared" si="3"/>
        <v>1763061333988.584</v>
      </c>
      <c r="K25" s="11">
        <f t="shared" si="4"/>
        <v>-8.770462999999995E-2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208432128.66667694</v>
      </c>
      <c r="D26" s="11">
        <v>2.3E-3</v>
      </c>
      <c r="E26" s="10">
        <f t="shared" si="2"/>
        <v>478293.8201470077</v>
      </c>
      <c r="F26" s="3"/>
      <c r="G26" s="29">
        <v>-14.53</v>
      </c>
      <c r="H26" s="10"/>
      <c r="I26" s="10">
        <f t="shared" si="5"/>
        <v>9271.8689855060711</v>
      </c>
      <c r="J26" s="10">
        <f t="shared" si="3"/>
        <v>1932555389367.5728</v>
      </c>
      <c r="K26" s="11">
        <f t="shared" si="4"/>
        <v>-0.14333419000000003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207953834.84652993</v>
      </c>
      <c r="D27" s="11">
        <v>6.0000000000000001E-3</v>
      </c>
      <c r="E27" s="10">
        <f t="shared" si="2"/>
        <v>1240281.3211522698</v>
      </c>
      <c r="F27" s="3"/>
      <c r="G27" s="29">
        <v>-15.05</v>
      </c>
      <c r="H27" s="10"/>
      <c r="I27" s="10">
        <f t="shared" si="5"/>
        <v>10848.097561139664</v>
      </c>
      <c r="J27" s="10">
        <f t="shared" si="3"/>
        <v>2255903488628.2817</v>
      </c>
      <c r="K27" s="11">
        <f t="shared" si="4"/>
        <v>-0.14540300000000006</v>
      </c>
      <c r="L27" t="s">
        <v>126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206713553.52537766</v>
      </c>
      <c r="D28" s="11">
        <v>1.11E-2</v>
      </c>
      <c r="E28" s="10">
        <f t="shared" si="2"/>
        <v>2269330.8714585304</v>
      </c>
      <c r="F28" s="3"/>
      <c r="G28" s="29">
        <v>2.2999999999999998</v>
      </c>
      <c r="H28" s="10"/>
      <c r="I28" s="10">
        <f t="shared" si="5"/>
        <v>12769.979471618204</v>
      </c>
      <c r="J28" s="10">
        <f t="shared" si="3"/>
        <v>2639727835024.3237</v>
      </c>
      <c r="K28" s="11">
        <f t="shared" si="4"/>
        <v>3.4355300000000311E-2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204444222.65391913</v>
      </c>
      <c r="D29" s="11">
        <v>1.2E-2</v>
      </c>
      <c r="E29" s="10">
        <f t="shared" si="2"/>
        <v>2424239.7943152487</v>
      </c>
      <c r="F29" s="3"/>
      <c r="G29" s="26">
        <v>1.1399999999999999</v>
      </c>
      <c r="H29" s="10"/>
      <c r="I29" s="10">
        <f t="shared" si="5"/>
        <v>12482.873383791011</v>
      </c>
      <c r="J29" s="10">
        <f t="shared" si="3"/>
        <v>2552051345436.4502</v>
      </c>
      <c r="K29" s="11">
        <f t="shared" si="4"/>
        <v>2.3536799999999802E-2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202019982.85960388</v>
      </c>
      <c r="D30" s="12">
        <v>1.21E-2</v>
      </c>
      <c r="E30" s="10">
        <f t="shared" si="2"/>
        <v>2415217.6589281857</v>
      </c>
      <c r="F30" s="3"/>
      <c r="G30" s="26">
        <v>-0.3</v>
      </c>
      <c r="H30" s="10"/>
      <c r="I30" s="10">
        <f t="shared" si="5"/>
        <v>12342.172615968964</v>
      </c>
      <c r="J30" s="10">
        <f t="shared" si="3"/>
        <v>2493365500328.3228</v>
      </c>
      <c r="K30" s="11">
        <f t="shared" si="4"/>
        <v>9.0637000000002299E-3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199604765.2006757</v>
      </c>
      <c r="D31" s="13">
        <v>1.38E-2</v>
      </c>
      <c r="E31" s="10">
        <f t="shared" si="2"/>
        <v>2717050.4633747637</v>
      </c>
      <c r="F31" s="3"/>
      <c r="G31" s="26">
        <v>3.51</v>
      </c>
      <c r="H31" s="10"/>
      <c r="I31" s="10">
        <f t="shared" si="5"/>
        <v>12379.3105476118</v>
      </c>
      <c r="J31" s="10">
        <f t="shared" si="3"/>
        <v>2470969375202.3013</v>
      </c>
      <c r="K31" s="11">
        <f t="shared" si="4"/>
        <v>4.9384379999999783E-2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196887714.73730093</v>
      </c>
      <c r="D32" s="12">
        <v>1.2399999999999998E-2</v>
      </c>
      <c r="E32" s="10">
        <f t="shared" si="2"/>
        <v>2411505.0007334352</v>
      </c>
      <c r="F32" s="3"/>
      <c r="G32" s="26">
        <v>3.92</v>
      </c>
      <c r="H32" s="10"/>
      <c r="I32" s="10">
        <f t="shared" si="5"/>
        <v>11959.531009189259</v>
      </c>
      <c r="J32" s="10">
        <f t="shared" si="3"/>
        <v>2354684729729.1597</v>
      </c>
      <c r="K32" s="11">
        <f t="shared" si="4"/>
        <v>5.2086080000000035E-2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194476209.7365675</v>
      </c>
      <c r="D33" s="13">
        <v>1.21E-2</v>
      </c>
      <c r="E33" s="10">
        <f t="shared" si="2"/>
        <v>2325029.283482343</v>
      </c>
      <c r="F33" s="3"/>
      <c r="G33" s="26">
        <v>5.42</v>
      </c>
      <c r="H33" s="10"/>
      <c r="I33" s="10">
        <f t="shared" si="5"/>
        <v>11508.401663961951</v>
      </c>
      <c r="J33" s="10">
        <f t="shared" si="3"/>
        <v>2238110335733.3267</v>
      </c>
      <c r="K33" s="11">
        <f t="shared" si="4"/>
        <v>6.6955819999999999E-2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192151180.45308515</v>
      </c>
      <c r="D34" s="12">
        <v>1.21E-2</v>
      </c>
      <c r="E34" s="10">
        <f t="shared" si="2"/>
        <v>2297232.7670015991</v>
      </c>
      <c r="F34" s="3"/>
      <c r="G34" s="26">
        <v>1.84</v>
      </c>
      <c r="H34" s="10"/>
      <c r="I34" s="10">
        <f t="shared" si="5"/>
        <v>10916.715674408984</v>
      </c>
      <c r="J34" s="10">
        <f t="shared" ref="J34:J65" si="6">IF(I34="","",I34*C34)</f>
        <v>2097659803508.384</v>
      </c>
      <c r="K34" s="11">
        <f t="shared" ref="K34:K65" si="7">IFERROR(J34/J35-1,"")</f>
        <v>4.3879940000000062E-2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189853947.68608356</v>
      </c>
      <c r="D35" s="11">
        <v>1.1299999999999998E-2</v>
      </c>
      <c r="E35" s="10">
        <f t="shared" si="2"/>
        <v>2121378.0370342731</v>
      </c>
      <c r="F35" s="3"/>
      <c r="G35" s="26">
        <v>2.58</v>
      </c>
      <c r="H35" s="10"/>
      <c r="I35" s="10">
        <f t="shared" ref="I35:I66" si="8">IF(H35&lt;&gt;"",H35,I34/(1+IF(G34="",0,G34)/100))</f>
        <v>10584.366564290269</v>
      </c>
      <c r="J35" s="10">
        <f t="shared" si="6"/>
        <v>2009483775987.0967</v>
      </c>
      <c r="K35" s="11">
        <f t="shared" si="7"/>
        <v>6.4696639999999972E-2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187732569.64904928</v>
      </c>
      <c r="D36" s="11">
        <v>1.0699999999999998E-2</v>
      </c>
      <c r="E36" s="10">
        <f t="shared" si="2"/>
        <v>1987472.5390766859</v>
      </c>
      <c r="F36" s="3"/>
      <c r="G36" s="26">
        <v>-1.06</v>
      </c>
      <c r="H36" s="10"/>
      <c r="I36" s="10">
        <f t="shared" si="8"/>
        <v>10053.5396697286</v>
      </c>
      <c r="J36" s="10">
        <f t="shared" si="6"/>
        <v>1887376836266.8042</v>
      </c>
      <c r="K36" s="11">
        <f t="shared" si="7"/>
        <v>4.8500180000000004E-2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185745097.1099726</v>
      </c>
      <c r="D37" s="11">
        <v>1.03E-2</v>
      </c>
      <c r="E37" s="10">
        <f t="shared" si="2"/>
        <v>1893669.7022990286</v>
      </c>
      <c r="F37" s="3"/>
      <c r="G37" s="26">
        <v>1.86</v>
      </c>
      <c r="H37" s="10"/>
      <c r="I37" s="10">
        <f t="shared" si="8"/>
        <v>9691.0927990443397</v>
      </c>
      <c r="J37" s="10">
        <f t="shared" si="6"/>
        <v>1800072973060.2471</v>
      </c>
      <c r="K37" s="11">
        <f t="shared" si="7"/>
        <v>8.2637480000000041E-2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183851427.40767357</v>
      </c>
      <c r="D38" s="11">
        <v>9.9999999999999985E-3</v>
      </c>
      <c r="E38" s="10">
        <f t="shared" si="2"/>
        <v>1820311.1624522209</v>
      </c>
      <c r="F38" s="3"/>
      <c r="G38" s="26">
        <v>2.92</v>
      </c>
      <c r="H38" s="10"/>
      <c r="I38" s="10">
        <f t="shared" si="8"/>
        <v>9043.5729740988609</v>
      </c>
      <c r="J38" s="10">
        <f t="shared" si="6"/>
        <v>1662673800153.5352</v>
      </c>
      <c r="K38" s="11">
        <f t="shared" si="7"/>
        <v>7.6861999999999986E-2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182031116.24522135</v>
      </c>
      <c r="D39" s="11">
        <v>1.0200000000000001E-2</v>
      </c>
      <c r="E39" s="10">
        <f t="shared" si="2"/>
        <v>1837970.0907753408</v>
      </c>
      <c r="F39" s="3"/>
      <c r="G39" s="26">
        <v>2.1800000000000002</v>
      </c>
      <c r="H39" s="10"/>
      <c r="I39" s="10">
        <f t="shared" si="8"/>
        <v>8482.060564714744</v>
      </c>
      <c r="J39" s="10">
        <f t="shared" si="6"/>
        <v>1543998952654.5974</v>
      </c>
      <c r="K39" s="11">
        <f t="shared" si="7"/>
        <v>3.2222360000000005E-2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180193146.15444601</v>
      </c>
      <c r="D40" s="11">
        <v>9.7000000000000003E-3</v>
      </c>
      <c r="E40" s="10">
        <f t="shared" si="2"/>
        <v>1731082.0220839083</v>
      </c>
      <c r="F40" s="3"/>
      <c r="G40" s="26">
        <v>4.0599999999999996</v>
      </c>
      <c r="H40" s="10"/>
      <c r="I40" s="10">
        <f t="shared" si="8"/>
        <v>8301.0966575795101</v>
      </c>
      <c r="J40" s="10">
        <f t="shared" si="6"/>
        <v>1495800723261.408</v>
      </c>
      <c r="K40" s="11">
        <f t="shared" si="7"/>
        <v>5.0693820000000001E-2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178462064.1323621</v>
      </c>
      <c r="D41" s="11">
        <v>9.1000000000000004E-3</v>
      </c>
      <c r="E41" s="10">
        <f t="shared" si="2"/>
        <v>1609359.6111431122</v>
      </c>
      <c r="F41" s="3"/>
      <c r="G41" s="26">
        <v>5.2</v>
      </c>
      <c r="H41" s="10"/>
      <c r="I41" s="10">
        <f t="shared" si="8"/>
        <v>7977.2214660575728</v>
      </c>
      <c r="J41" s="10">
        <f t="shared" si="6"/>
        <v>1423631408873.6221</v>
      </c>
      <c r="K41" s="11">
        <f t="shared" si="7"/>
        <v>6.1573200000000217E-2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176852704.52121899</v>
      </c>
      <c r="D42" s="11">
        <v>9.2999999999999992E-3</v>
      </c>
      <c r="E42" s="10">
        <f t="shared" si="2"/>
        <v>1629575.1035840213</v>
      </c>
      <c r="F42" s="3"/>
      <c r="G42" s="26">
        <v>-4.3</v>
      </c>
      <c r="H42" s="10"/>
      <c r="I42" s="10">
        <f t="shared" si="8"/>
        <v>7582.9101388379968</v>
      </c>
      <c r="J42" s="10">
        <f t="shared" si="6"/>
        <v>1341058166194.8718</v>
      </c>
      <c r="K42" s="11">
        <f t="shared" si="7"/>
        <v>-3.4099899999999961E-2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175223129.41763496</v>
      </c>
      <c r="D43" s="11">
        <v>9.1999999999999998E-3</v>
      </c>
      <c r="E43" s="10">
        <f t="shared" si="2"/>
        <v>1597357.1052737534</v>
      </c>
      <c r="F43" s="3"/>
      <c r="G43" s="26">
        <v>5.03</v>
      </c>
      <c r="H43" s="10"/>
      <c r="I43" s="10">
        <f t="shared" si="8"/>
        <v>7923.6260593918469</v>
      </c>
      <c r="J43" s="10">
        <f t="shared" si="6"/>
        <v>1388402554461.7625</v>
      </c>
      <c r="K43" s="11">
        <f t="shared" si="7"/>
        <v>5.9962760000000115E-2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173625772.31236121</v>
      </c>
      <c r="D44" s="11">
        <v>9.0000000000000011E-3</v>
      </c>
      <c r="E44" s="10">
        <f t="shared" si="2"/>
        <v>1548693.7074442208</v>
      </c>
      <c r="F44" s="3"/>
      <c r="G44" s="26">
        <v>2.2400000000000002</v>
      </c>
      <c r="H44" s="10"/>
      <c r="I44" s="10">
        <f t="shared" si="8"/>
        <v>7544.1550598798885</v>
      </c>
      <c r="J44" s="10">
        <f t="shared" si="6"/>
        <v>1309859748715.8533</v>
      </c>
      <c r="K44" s="11">
        <f t="shared" si="7"/>
        <v>3.1601599999999674E-2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172077078.60491699</v>
      </c>
      <c r="D45" s="11">
        <v>8.4000000000000012E-3</v>
      </c>
      <c r="E45" s="10">
        <f t="shared" si="2"/>
        <v>1433406.8428017497</v>
      </c>
      <c r="F45" s="3"/>
      <c r="G45" s="26">
        <v>3.34</v>
      </c>
      <c r="H45" s="10"/>
      <c r="I45" s="10">
        <f t="shared" si="8"/>
        <v>7378.8684075507517</v>
      </c>
      <c r="J45" s="10">
        <f t="shared" si="6"/>
        <v>1269734118981.4495</v>
      </c>
      <c r="K45" s="11">
        <f t="shared" si="7"/>
        <v>4.2080560000000045E-2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170643671.76211524</v>
      </c>
      <c r="D46" s="11">
        <v>9.5000000000000015E-3</v>
      </c>
      <c r="E46" s="10">
        <f t="shared" si="2"/>
        <v>1605859.219158113</v>
      </c>
      <c r="F46" s="3"/>
      <c r="G46" s="26">
        <v>-1.07</v>
      </c>
      <c r="H46" s="10"/>
      <c r="I46" s="10">
        <f t="shared" si="8"/>
        <v>7140.3797247442917</v>
      </c>
      <c r="J46" s="10">
        <f t="shared" si="6"/>
        <v>1218460614006.1277</v>
      </c>
      <c r="K46" s="11">
        <f t="shared" si="7"/>
        <v>-1.301649999999821E-3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169037812.54295713</v>
      </c>
      <c r="D47" s="11">
        <v>1.3299999999999999E-2</v>
      </c>
      <c r="E47" s="10">
        <f t="shared" si="2"/>
        <v>2218694.2729905844</v>
      </c>
      <c r="F47" s="3"/>
      <c r="G47" s="26">
        <v>0.47</v>
      </c>
      <c r="H47" s="10"/>
      <c r="I47" s="10">
        <f t="shared" si="8"/>
        <v>7217.6081317540602</v>
      </c>
      <c r="J47" s="10">
        <f t="shared" si="6"/>
        <v>1220048690383.9658</v>
      </c>
      <c r="K47" s="11">
        <f t="shared" si="7"/>
        <v>1.8062510000000032E-2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166819118.26996654</v>
      </c>
      <c r="D48" s="11">
        <v>1.2200000000000001E-2</v>
      </c>
      <c r="E48" s="10">
        <f t="shared" si="2"/>
        <v>2010663.152433902</v>
      </c>
      <c r="F48" s="3"/>
      <c r="G48" s="26">
        <v>1.0900000000000001</v>
      </c>
      <c r="H48" s="10"/>
      <c r="I48" s="10">
        <f t="shared" si="8"/>
        <v>7183.8440646502049</v>
      </c>
      <c r="J48" s="10">
        <f t="shared" si="6"/>
        <v>1198402532653.8796</v>
      </c>
      <c r="K48" s="11">
        <f t="shared" si="7"/>
        <v>2.3232979999999959E-2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164808455.11753264</v>
      </c>
      <c r="D49" s="11">
        <v>1.46E-2</v>
      </c>
      <c r="E49" s="10">
        <f t="shared" si="2"/>
        <v>2371578.4000748694</v>
      </c>
      <c r="F49" s="3"/>
      <c r="G49" s="26">
        <v>6.36</v>
      </c>
      <c r="H49" s="10"/>
      <c r="I49" s="10">
        <f t="shared" si="8"/>
        <v>7106.3844738848602</v>
      </c>
      <c r="J49" s="10">
        <f t="shared" si="6"/>
        <v>1171192246612.1838</v>
      </c>
      <c r="K49" s="11">
        <f t="shared" si="7"/>
        <v>7.9128560000000014E-2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162436876.71745777</v>
      </c>
      <c r="D50" s="11">
        <v>1.5899999999999997E-2</v>
      </c>
      <c r="E50" s="10">
        <f t="shared" si="2"/>
        <v>2542323.3977828324</v>
      </c>
      <c r="F50" s="3"/>
      <c r="G50" s="26">
        <v>-1.24</v>
      </c>
      <c r="H50" s="10"/>
      <c r="I50" s="10">
        <f t="shared" si="8"/>
        <v>6681.444597484825</v>
      </c>
      <c r="J50" s="10">
        <f t="shared" si="6"/>
        <v>1085312992376.1667</v>
      </c>
      <c r="K50" s="11">
        <f t="shared" si="7"/>
        <v>3.3028400000001401E-3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159894553.31967494</v>
      </c>
      <c r="D51" s="11">
        <v>1.7099999999999997E-2</v>
      </c>
      <c r="E51" s="10">
        <f t="shared" si="2"/>
        <v>2688228.1602265537</v>
      </c>
      <c r="F51" s="3"/>
      <c r="G51" s="26">
        <v>2.39</v>
      </c>
      <c r="H51" s="10"/>
      <c r="I51" s="10">
        <f t="shared" si="8"/>
        <v>6765.3347483645448</v>
      </c>
      <c r="J51" s="10">
        <f t="shared" si="6"/>
        <v>1081740177647.8243</v>
      </c>
      <c r="K51" s="11">
        <f t="shared" si="7"/>
        <v>4.1408689999999915E-2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157206325.15944839</v>
      </c>
      <c r="D52" s="11">
        <v>1.8500000000000003E-2</v>
      </c>
      <c r="E52" s="10">
        <f t="shared" si="2"/>
        <v>2855490.4422678351</v>
      </c>
      <c r="F52" s="3"/>
      <c r="G52" s="26">
        <v>6.66</v>
      </c>
      <c r="H52" s="10"/>
      <c r="I52" s="10">
        <f t="shared" si="8"/>
        <v>6607.4174708121345</v>
      </c>
      <c r="J52" s="10">
        <f t="shared" si="6"/>
        <v>1038727819380.7125</v>
      </c>
      <c r="K52" s="11">
        <f t="shared" si="7"/>
        <v>8.6332099999999912E-2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154350834.71718055</v>
      </c>
      <c r="D53" s="11">
        <v>1.9999999999999997E-2</v>
      </c>
      <c r="E53" s="10">
        <f t="shared" si="2"/>
        <v>3026486.9552388489</v>
      </c>
      <c r="F53" s="3"/>
      <c r="G53" s="26">
        <v>4.75</v>
      </c>
      <c r="H53" s="10"/>
      <c r="I53" s="10">
        <f t="shared" si="8"/>
        <v>6194.8410564524047</v>
      </c>
      <c r="J53" s="10">
        <f t="shared" si="6"/>
        <v>956178888003.68921</v>
      </c>
      <c r="K53" s="11">
        <f t="shared" si="7"/>
        <v>6.8450000000000122E-2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151324347.7619417</v>
      </c>
      <c r="D54" s="11">
        <v>2.1499999999999998E-2</v>
      </c>
      <c r="E54" s="10">
        <f t="shared" si="2"/>
        <v>3184996.0615582466</v>
      </c>
      <c r="F54" s="3"/>
      <c r="G54" s="26">
        <v>5.48</v>
      </c>
      <c r="H54" s="10"/>
      <c r="I54" s="10">
        <f t="shared" si="8"/>
        <v>5913.9294095011019</v>
      </c>
      <c r="J54" s="10">
        <f t="shared" si="6"/>
        <v>894921510602.91931</v>
      </c>
      <c r="K54" s="11">
        <f t="shared" si="7"/>
        <v>7.7478200000000053E-2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148139351.70038345</v>
      </c>
      <c r="D55" s="11">
        <v>2.2699999999999998E-2</v>
      </c>
      <c r="E55" s="10">
        <f t="shared" si="2"/>
        <v>3288122.8939070106</v>
      </c>
      <c r="F55" s="3"/>
      <c r="G55" s="26">
        <v>1.06</v>
      </c>
      <c r="H55" s="10"/>
      <c r="I55" s="10">
        <f t="shared" si="8"/>
        <v>5606.6831716923607</v>
      </c>
      <c r="J55" s="10">
        <f t="shared" si="6"/>
        <v>830570410243.95605</v>
      </c>
      <c r="K55" s="11">
        <f t="shared" si="7"/>
        <v>3.354061999999991E-2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144851228.80647644</v>
      </c>
      <c r="D56" s="11">
        <v>2.3799999999999995E-2</v>
      </c>
      <c r="E56" s="10">
        <f t="shared" si="2"/>
        <v>3367317.0986463726</v>
      </c>
      <c r="F56" s="3"/>
      <c r="G56" s="26">
        <v>5.53</v>
      </c>
      <c r="H56" s="10"/>
      <c r="I56" s="10">
        <f t="shared" si="8"/>
        <v>5547.8756893848813</v>
      </c>
      <c r="J56" s="10">
        <f t="shared" si="6"/>
        <v>803616610872.97766</v>
      </c>
      <c r="K56" s="11">
        <f t="shared" si="7"/>
        <v>8.041614000000008E-2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141483911.70783007</v>
      </c>
      <c r="D57" s="11">
        <v>2.5000000000000001E-2</v>
      </c>
      <c r="E57" s="10">
        <f t="shared" si="2"/>
        <v>3450827.1148250997</v>
      </c>
      <c r="F57" s="3"/>
      <c r="G57" s="26">
        <v>5.95</v>
      </c>
      <c r="H57" s="10"/>
      <c r="I57" s="10">
        <f t="shared" si="8"/>
        <v>5257.155016947675</v>
      </c>
      <c r="J57" s="10">
        <f t="shared" si="6"/>
        <v>743802856252.20081</v>
      </c>
      <c r="K57" s="11">
        <f t="shared" si="7"/>
        <v>8.5987499999999883E-2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138033084.59300497</v>
      </c>
      <c r="D58" s="11">
        <v>2.5999999999999995E-2</v>
      </c>
      <c r="E58" s="10">
        <f t="shared" si="2"/>
        <v>3497914.4243841469</v>
      </c>
      <c r="F58" s="3"/>
      <c r="G58" s="26">
        <v>9.6300000000000008</v>
      </c>
      <c r="H58" s="10"/>
      <c r="I58" s="10">
        <f t="shared" si="8"/>
        <v>4961.9207333154081</v>
      </c>
      <c r="J58" s="10">
        <f t="shared" si="6"/>
        <v>684909224325.51099</v>
      </c>
      <c r="K58" s="11">
        <f t="shared" si="7"/>
        <v>0.12480380000000002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134535170.16862082</v>
      </c>
      <c r="D59" s="11">
        <v>2.7999999999999997E-2</v>
      </c>
      <c r="E59" s="10">
        <f t="shared" si="2"/>
        <v>3664382.0668495893</v>
      </c>
      <c r="F59" s="3"/>
      <c r="G59" s="26">
        <v>3.97</v>
      </c>
      <c r="H59" s="10"/>
      <c r="I59" s="10">
        <f t="shared" si="8"/>
        <v>4526.0610538314404</v>
      </c>
      <c r="J59" s="10">
        <f t="shared" si="6"/>
        <v>608914394070.78015</v>
      </c>
      <c r="K59" s="11">
        <f t="shared" si="7"/>
        <v>6.8811600000000084E-2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130870788.10177124</v>
      </c>
      <c r="D60" s="11">
        <v>0.03</v>
      </c>
      <c r="E60" s="10">
        <f t="shared" si="2"/>
        <v>3811770.5272360593</v>
      </c>
      <c r="F60" s="3"/>
      <c r="G60" s="26">
        <v>4.78</v>
      </c>
      <c r="H60" s="10"/>
      <c r="I60" s="10">
        <f t="shared" si="8"/>
        <v>4353.2375241237278</v>
      </c>
      <c r="J60" s="10">
        <f t="shared" si="6"/>
        <v>569711625576.27563</v>
      </c>
      <c r="K60" s="11">
        <f t="shared" si="7"/>
        <v>7.9234000000000027E-2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127059017.57453518</v>
      </c>
      <c r="D61" s="11">
        <v>3.2000000000000001E-2</v>
      </c>
      <c r="E61" s="10">
        <f t="shared" si="2"/>
        <v>3939814.4984351993</v>
      </c>
      <c r="F61" s="3"/>
      <c r="G61" s="26">
        <v>7.17</v>
      </c>
      <c r="H61" s="10"/>
      <c r="I61" s="10">
        <f t="shared" si="8"/>
        <v>4154.6454706277227</v>
      </c>
      <c r="J61" s="10">
        <f t="shared" si="6"/>
        <v>527885171868.45081</v>
      </c>
      <c r="K61" s="11">
        <f t="shared" si="7"/>
        <v>0.10599440000000016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123119203.07609998</v>
      </c>
      <c r="D62" s="11">
        <v>0.03</v>
      </c>
      <c r="E62" s="10">
        <f t="shared" si="2"/>
        <v>3585996.2061000019</v>
      </c>
      <c r="F62" s="3"/>
      <c r="G62" s="26">
        <v>12.13</v>
      </c>
      <c r="H62" s="10"/>
      <c r="I62" s="10">
        <f t="shared" si="8"/>
        <v>3876.687011876199</v>
      </c>
      <c r="J62" s="10">
        <f t="shared" si="6"/>
        <v>477294615477.66492</v>
      </c>
      <c r="K62" s="11">
        <f t="shared" si="7"/>
        <v>0.15493899999999994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119533206.86999997</v>
      </c>
      <c r="D63" s="11">
        <v>2.5000000000000001E-2</v>
      </c>
      <c r="E63" s="10">
        <f t="shared" si="2"/>
        <v>2915444.0699999928</v>
      </c>
      <c r="F63" s="3"/>
      <c r="G63" s="26">
        <v>6.5</v>
      </c>
      <c r="H63" s="10"/>
      <c r="I63" s="10">
        <f t="shared" si="8"/>
        <v>3457.3147345725488</v>
      </c>
      <c r="J63" s="10">
        <f t="shared" si="6"/>
        <v>413263917382.35956</v>
      </c>
      <c r="K63" s="11">
        <f t="shared" si="7"/>
        <v>9.1625000000000068E-2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116617762.79999998</v>
      </c>
      <c r="D64" s="11">
        <v>2.1999999999999999E-2</v>
      </c>
      <c r="E64" s="10">
        <f t="shared" si="2"/>
        <v>2510362.799999997</v>
      </c>
      <c r="F64" s="3"/>
      <c r="G64" s="26">
        <v>6.4</v>
      </c>
      <c r="H64" s="10"/>
      <c r="I64" s="10">
        <f t="shared" si="8"/>
        <v>3246.3049150915954</v>
      </c>
      <c r="J64" s="10">
        <f t="shared" si="6"/>
        <v>378576816564.62573</v>
      </c>
      <c r="K64" s="11">
        <f t="shared" si="7"/>
        <v>8.740799999999993E-2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114107399.99999999</v>
      </c>
      <c r="D65" s="11">
        <v>1.9999999999999997E-2</v>
      </c>
      <c r="E65" s="10">
        <f t="shared" si="2"/>
        <v>2237400</v>
      </c>
      <c r="F65" s="3"/>
      <c r="G65" s="26">
        <v>5.8</v>
      </c>
      <c r="H65" s="10"/>
      <c r="I65" s="10">
        <f t="shared" si="8"/>
        <v>3051.0384540334539</v>
      </c>
      <c r="J65" s="10">
        <f t="shared" si="6"/>
        <v>348146065289.77692</v>
      </c>
      <c r="K65" s="11">
        <f t="shared" si="7"/>
        <v>7.9160000000000119E-2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111869999.99999999</v>
      </c>
      <c r="D66" s="11">
        <v>1.7000000000000001E-2</v>
      </c>
      <c r="E66" s="10">
        <f t="shared" si="2"/>
        <v>1869999.9999999851</v>
      </c>
      <c r="F66" s="3"/>
      <c r="G66" s="26">
        <v>4.4000000000000004</v>
      </c>
      <c r="H66" s="10"/>
      <c r="I66" s="10">
        <f t="shared" si="8"/>
        <v>2883.7792571204668</v>
      </c>
      <c r="J66" s="10">
        <f t="shared" ref="J66:J67" si="9">IF(I66="","",I66*C66)</f>
        <v>322608385494.06659</v>
      </c>
      <c r="K66" s="11">
        <f t="shared" ref="K66" si="10">IFERROR(J66/J67-1,"")</f>
        <v>6.1747999999999914E-2</v>
      </c>
    </row>
    <row r="67" spans="1:11" ht="22.5" customHeight="1">
      <c r="A67" s="3">
        <f t="shared" si="0"/>
        <v>1950</v>
      </c>
      <c r="B67" s="3">
        <v>1700</v>
      </c>
      <c r="C67" s="10">
        <v>110000000</v>
      </c>
      <c r="D67" s="11">
        <v>1.5000000000000001E-2</v>
      </c>
      <c r="E67" s="3" t="s">
        <v>72</v>
      </c>
      <c r="F67" s="3"/>
      <c r="G67" s="26">
        <v>6.1</v>
      </c>
      <c r="H67" s="10"/>
      <c r="I67" s="10">
        <f t="shared" ref="I67" si="11">IF(H67&lt;&gt;"",H67,I66/(1+IF(G66="",0,G66)/100))</f>
        <v>2762.2406677399108</v>
      </c>
      <c r="J67" s="10">
        <f t="shared" si="9"/>
        <v>303846473451.3902</v>
      </c>
      <c r="K67" s="11"/>
    </row>
  </sheetData>
  <dataValidations count="1">
    <dataValidation type="custom" allowBlank="1" showDropDown="1" sqref="D2:D67" xr:uid="{00000000-0002-0000-2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67"/>
  <sheetViews>
    <sheetView workbookViewId="0">
      <selection activeCell="H62" sqref="H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74668534.21618323</v>
      </c>
      <c r="D2" s="11">
        <v>1.2999999999999999E-3</v>
      </c>
      <c r="E2" s="10">
        <f t="shared" ref="E2:E66" si="2">SUM(C2-C3)</f>
        <v>96943.068492010236</v>
      </c>
      <c r="F2" s="14">
        <v>74667447</v>
      </c>
      <c r="G2" s="29">
        <v>2.16</v>
      </c>
      <c r="H2" s="10"/>
      <c r="I2" s="10">
        <f>IF(H2&lt;&gt;"",H2,283176)</f>
        <v>35397</v>
      </c>
      <c r="J2" s="10">
        <f t="shared" ref="J2:J33" si="3">IF(I2="","",I2*C2)</f>
        <v>2643042105650.2378</v>
      </c>
      <c r="K2" s="11">
        <f t="shared" ref="K2:K33" si="4">IFERROR(J2/J3-1,"")</f>
        <v>2.2928080000000239E-2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74571591.14769122</v>
      </c>
      <c r="D3" s="11">
        <v>1.8E-3</v>
      </c>
      <c r="E3" s="10">
        <f t="shared" si="2"/>
        <v>133987.68623062968</v>
      </c>
      <c r="F3" s="3"/>
      <c r="G3" s="29">
        <v>2.6</v>
      </c>
      <c r="H3" s="10"/>
      <c r="I3" s="10">
        <f t="shared" ref="I3:I34" si="5">IF(H3&lt;&gt;"",H3,I2/(1+IF(G2="",0,G2)/100))</f>
        <v>34648.590446358648</v>
      </c>
      <c r="J3" s="10">
        <f t="shared" si="3"/>
        <v>2583800520609.6572</v>
      </c>
      <c r="K3" s="11">
        <f t="shared" si="4"/>
        <v>2.7846799999999838E-2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74437603.46146059</v>
      </c>
      <c r="D4" s="11">
        <v>2.3999999999999998E-3</v>
      </c>
      <c r="E4" s="10">
        <f t="shared" si="2"/>
        <v>178222.51427324116</v>
      </c>
      <c r="F4" s="3"/>
      <c r="G4" s="29">
        <v>2.65</v>
      </c>
      <c r="H4" s="10"/>
      <c r="I4" s="10">
        <f t="shared" si="5"/>
        <v>33770.555990602974</v>
      </c>
      <c r="J4" s="10">
        <f t="shared" si="3"/>
        <v>2513799255501.5566</v>
      </c>
      <c r="K4" s="11">
        <f t="shared" si="4"/>
        <v>2.8963599999999756E-2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74259380.947187349</v>
      </c>
      <c r="D5" s="11">
        <v>2.8E-3</v>
      </c>
      <c r="E5" s="10">
        <f t="shared" si="2"/>
        <v>207345.69869576395</v>
      </c>
      <c r="F5" s="3"/>
      <c r="G5" s="29">
        <v>3.95</v>
      </c>
      <c r="H5" s="10"/>
      <c r="I5" s="10">
        <f t="shared" si="5"/>
        <v>32898.739396593257</v>
      </c>
      <c r="J5" s="10">
        <f t="shared" si="3"/>
        <v>2443040021533.8594</v>
      </c>
      <c r="K5" s="11">
        <f t="shared" si="4"/>
        <v>4.2410599999999965E-2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74052035.248491585</v>
      </c>
      <c r="D6" s="11">
        <v>1.6000000000000001E-3</v>
      </c>
      <c r="E6" s="10">
        <f t="shared" si="2"/>
        <v>118293.98601995409</v>
      </c>
      <c r="F6" s="3"/>
      <c r="G6" s="29">
        <v>2.39</v>
      </c>
      <c r="H6" s="10"/>
      <c r="I6" s="10">
        <f t="shared" si="5"/>
        <v>31648.618948141659</v>
      </c>
      <c r="J6" s="10">
        <f t="shared" si="3"/>
        <v>2343644645913.8647</v>
      </c>
      <c r="K6" s="11">
        <f t="shared" si="4"/>
        <v>2.5538240000000156E-2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73933741.262471631</v>
      </c>
      <c r="D7" s="11">
        <v>2.3999999999999998E-3</v>
      </c>
      <c r="E7" s="10">
        <f t="shared" si="2"/>
        <v>177016.14029322565</v>
      </c>
      <c r="F7" s="3"/>
      <c r="G7" s="29">
        <v>2.21</v>
      </c>
      <c r="H7" s="10"/>
      <c r="I7" s="10">
        <f t="shared" si="5"/>
        <v>30909.872983828165</v>
      </c>
      <c r="J7" s="10">
        <f t="shared" si="3"/>
        <v>2285282551642.2134</v>
      </c>
      <c r="K7" s="11">
        <f t="shared" si="4"/>
        <v>2.4553040000000026E-2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73756725.122178406</v>
      </c>
      <c r="D8" s="11">
        <v>2.7000000000000001E-3</v>
      </c>
      <c r="E8" s="10">
        <f t="shared" si="2"/>
        <v>198606.91914817691</v>
      </c>
      <c r="F8" s="3"/>
      <c r="G8" s="29">
        <v>1.95</v>
      </c>
      <c r="H8" s="10"/>
      <c r="I8" s="10">
        <f t="shared" si="5"/>
        <v>30241.535059023739</v>
      </c>
      <c r="J8" s="10">
        <f t="shared" si="3"/>
        <v>2230516588621.1353</v>
      </c>
      <c r="K8" s="11">
        <f t="shared" si="4"/>
        <v>2.2252649999999985E-2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73558118.203030229</v>
      </c>
      <c r="D9" s="11">
        <v>3.5999999999999999E-3</v>
      </c>
      <c r="E9" s="10">
        <f t="shared" si="2"/>
        <v>263859.33193594217</v>
      </c>
      <c r="F9" s="3"/>
      <c r="G9" s="29">
        <v>3.62</v>
      </c>
      <c r="H9" s="10"/>
      <c r="I9" s="10">
        <f t="shared" si="5"/>
        <v>29663.104520866833</v>
      </c>
      <c r="J9" s="10">
        <f t="shared" si="3"/>
        <v>2181962148614.7629</v>
      </c>
      <c r="K9" s="11">
        <f t="shared" si="4"/>
        <v>3.9930320000000075E-2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73294258.871094286</v>
      </c>
      <c r="D10" s="11">
        <v>4.5999999999999999E-3</v>
      </c>
      <c r="E10" s="10">
        <f t="shared" si="2"/>
        <v>335609.78579238057</v>
      </c>
      <c r="F10" s="3"/>
      <c r="G10" s="29">
        <v>3.79</v>
      </c>
      <c r="H10" s="10"/>
      <c r="I10" s="10">
        <f t="shared" si="5"/>
        <v>28626.813859165057</v>
      </c>
      <c r="J10" s="10">
        <f t="shared" si="3"/>
        <v>2098181105648.2734</v>
      </c>
      <c r="K10" s="11">
        <f t="shared" si="4"/>
        <v>4.2674340000000033E-2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72958649.085301906</v>
      </c>
      <c r="D11" s="11">
        <v>4.7000000000000002E-3</v>
      </c>
      <c r="E11" s="10">
        <f t="shared" si="2"/>
        <v>341301.53349348903</v>
      </c>
      <c r="F11" s="3"/>
      <c r="G11" s="29">
        <v>2.77</v>
      </c>
      <c r="H11" s="10"/>
      <c r="I11" s="10">
        <f t="shared" si="5"/>
        <v>27581.475921731435</v>
      </c>
      <c r="J11" s="10">
        <f t="shared" si="3"/>
        <v>2012307223028.3076</v>
      </c>
      <c r="K11" s="11">
        <f t="shared" si="4"/>
        <v>3.2530189999999903E-2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72617347.551808417</v>
      </c>
      <c r="D12" s="11">
        <v>5.8999999999999999E-3</v>
      </c>
      <c r="E12" s="10">
        <f t="shared" si="2"/>
        <v>425929.36728866398</v>
      </c>
      <c r="F12" s="3"/>
      <c r="G12" s="29">
        <v>3.16</v>
      </c>
      <c r="H12" s="10"/>
      <c r="I12" s="10">
        <f t="shared" si="5"/>
        <v>26838.061614996044</v>
      </c>
      <c r="J12" s="10">
        <f t="shared" si="3"/>
        <v>1948908847913.0164</v>
      </c>
      <c r="K12" s="11">
        <f t="shared" si="4"/>
        <v>3.7686440000000099E-2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72191418.184519753</v>
      </c>
      <c r="D13" s="11">
        <v>6.3E-3</v>
      </c>
      <c r="E13" s="10">
        <f t="shared" si="2"/>
        <v>451958.59541137516</v>
      </c>
      <c r="F13" s="3"/>
      <c r="G13" s="29">
        <v>4.22</v>
      </c>
      <c r="H13" s="10"/>
      <c r="I13" s="10">
        <f t="shared" si="5"/>
        <v>26015.957362345911</v>
      </c>
      <c r="J13" s="10">
        <f t="shared" si="3"/>
        <v>1878128857415.749</v>
      </c>
      <c r="K13" s="11">
        <f t="shared" si="4"/>
        <v>4.8765859999999828E-2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71739459.589108378</v>
      </c>
      <c r="D14" s="11">
        <v>7.1999999999999998E-3</v>
      </c>
      <c r="E14" s="10">
        <f t="shared" si="2"/>
        <v>512831.72065289319</v>
      </c>
      <c r="F14" s="3"/>
      <c r="G14" s="29">
        <v>3.09</v>
      </c>
      <c r="H14" s="10"/>
      <c r="I14" s="10">
        <f t="shared" si="5"/>
        <v>24962.53824826896</v>
      </c>
      <c r="J14" s="10">
        <f t="shared" si="3"/>
        <v>1790799003903.2632</v>
      </c>
      <c r="K14" s="11">
        <f t="shared" si="4"/>
        <v>3.8322480000000159E-2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71226627.868455485</v>
      </c>
      <c r="D15" s="11">
        <v>6.8999999999999999E-3</v>
      </c>
      <c r="E15" s="10">
        <f t="shared" si="2"/>
        <v>488095.87078392506</v>
      </c>
      <c r="F15" s="3"/>
      <c r="G15" s="29">
        <v>3.95</v>
      </c>
      <c r="H15" s="10"/>
      <c r="I15" s="10">
        <f t="shared" si="5"/>
        <v>24214.315887349851</v>
      </c>
      <c r="J15" s="10">
        <f t="shared" si="3"/>
        <v>1724704066797.4973</v>
      </c>
      <c r="K15" s="11">
        <f t="shared" si="4"/>
        <v>4.6672550000000035E-2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70738531.997671559</v>
      </c>
      <c r="D16" s="11">
        <v>7.9000000000000008E-3</v>
      </c>
      <c r="E16" s="10">
        <f t="shared" si="2"/>
        <v>554454.21448716521</v>
      </c>
      <c r="F16" s="3"/>
      <c r="G16" s="29">
        <v>2.0299999999999998</v>
      </c>
      <c r="H16" s="10"/>
      <c r="I16" s="10">
        <f t="shared" si="5"/>
        <v>23294.195177825732</v>
      </c>
      <c r="J16" s="10">
        <f t="shared" si="3"/>
        <v>1647797170946.6321</v>
      </c>
      <c r="K16" s="11">
        <f t="shared" si="4"/>
        <v>2.8360370000000135E-2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70184077.783184394</v>
      </c>
      <c r="D17" s="11">
        <v>9.7999999999999997E-3</v>
      </c>
      <c r="E17" s="10">
        <f t="shared" si="2"/>
        <v>681128.89906437695</v>
      </c>
      <c r="F17" s="3"/>
      <c r="G17" s="29">
        <v>3.92</v>
      </c>
      <c r="H17" s="10"/>
      <c r="I17" s="10">
        <f t="shared" si="5"/>
        <v>22830.731331790386</v>
      </c>
      <c r="J17" s="10">
        <f t="shared" si="3"/>
        <v>1602353823637.3616</v>
      </c>
      <c r="K17" s="11">
        <f t="shared" si="4"/>
        <v>4.9384159999999788E-2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69502948.884120017</v>
      </c>
      <c r="D18" s="11">
        <v>1.2699999999999999E-2</v>
      </c>
      <c r="E18" s="10">
        <f t="shared" si="2"/>
        <v>871617.90345445275</v>
      </c>
      <c r="F18" s="3"/>
      <c r="G18" s="29">
        <v>5.03</v>
      </c>
      <c r="H18" s="10"/>
      <c r="I18" s="10">
        <f t="shared" si="5"/>
        <v>21969.525915887596</v>
      </c>
      <c r="J18" s="10">
        <f t="shared" si="3"/>
        <v>1526946836740.2856</v>
      </c>
      <c r="K18" s="11">
        <f t="shared" si="4"/>
        <v>6.3638810000000046E-2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68631330.980665565</v>
      </c>
      <c r="D19" s="11">
        <v>1.0500000000000001E-2</v>
      </c>
      <c r="E19" s="10">
        <f t="shared" si="2"/>
        <v>713140.99485105276</v>
      </c>
      <c r="F19" s="3"/>
      <c r="G19" s="29">
        <v>4.68</v>
      </c>
      <c r="H19" s="10"/>
      <c r="I19" s="10">
        <f t="shared" si="5"/>
        <v>20917.381620382363</v>
      </c>
      <c r="J19" s="10">
        <f t="shared" si="3"/>
        <v>1435587741237.3525</v>
      </c>
      <c r="K19" s="11">
        <f t="shared" si="4"/>
        <v>5.7791400000000159E-2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67918189.985814512</v>
      </c>
      <c r="D20" s="11">
        <v>1.2500000000000001E-2</v>
      </c>
      <c r="E20" s="10">
        <f t="shared" si="2"/>
        <v>838496.17266436666</v>
      </c>
      <c r="F20" s="3"/>
      <c r="G20" s="29">
        <v>3.92</v>
      </c>
      <c r="H20" s="10"/>
      <c r="I20" s="10">
        <f t="shared" si="5"/>
        <v>19982.214004950671</v>
      </c>
      <c r="J20" s="10">
        <f t="shared" si="3"/>
        <v>1357155807125.4431</v>
      </c>
      <c r="K20" s="11">
        <f t="shared" si="4"/>
        <v>5.2189999999999959E-2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67079693.813150145</v>
      </c>
      <c r="D21" s="11">
        <v>1.0200000000000001E-2</v>
      </c>
      <c r="E21" s="10">
        <f t="shared" si="2"/>
        <v>677304.37229670584</v>
      </c>
      <c r="F21" s="3"/>
      <c r="G21" s="29">
        <v>3.87</v>
      </c>
      <c r="H21" s="10"/>
      <c r="I21" s="10">
        <f t="shared" si="5"/>
        <v>19228.458434325126</v>
      </c>
      <c r="J21" s="10">
        <f t="shared" si="3"/>
        <v>1289839104273.4138</v>
      </c>
      <c r="K21" s="11">
        <f t="shared" si="4"/>
        <v>4.9294739999999893E-2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66402389.440853439</v>
      </c>
      <c r="D22" s="11">
        <v>8.6E-3</v>
      </c>
      <c r="E22" s="10">
        <f t="shared" si="2"/>
        <v>566191.30397713184</v>
      </c>
      <c r="F22" s="3"/>
      <c r="G22" s="29">
        <v>3.89</v>
      </c>
      <c r="H22" s="10"/>
      <c r="I22" s="10">
        <f t="shared" si="5"/>
        <v>18512.042393689349</v>
      </c>
      <c r="J22" s="10">
        <f t="shared" si="3"/>
        <v>1229243848371.3489</v>
      </c>
      <c r="K22" s="11">
        <f t="shared" si="4"/>
        <v>4.7834539999999759E-2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65836198.136876307</v>
      </c>
      <c r="D23" s="11">
        <v>1.4E-2</v>
      </c>
      <c r="E23" s="10">
        <f t="shared" si="2"/>
        <v>908981.03936515749</v>
      </c>
      <c r="F23" s="3"/>
      <c r="G23" s="29">
        <v>3.98</v>
      </c>
      <c r="H23" s="10"/>
      <c r="I23" s="10">
        <f t="shared" si="5"/>
        <v>17818.887663576235</v>
      </c>
      <c r="J23" s="10">
        <f t="shared" si="3"/>
        <v>1173127818797.946</v>
      </c>
      <c r="K23" s="11">
        <f t="shared" si="4"/>
        <v>5.4357200000000105E-2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64927217.09751115</v>
      </c>
      <c r="D24" s="11">
        <v>1.1900000000000001E-2</v>
      </c>
      <c r="E24" s="10">
        <f t="shared" si="2"/>
        <v>763547.66623222083</v>
      </c>
      <c r="F24" s="3"/>
      <c r="G24" s="29">
        <v>4.05</v>
      </c>
      <c r="H24" s="10"/>
      <c r="I24" s="10">
        <f t="shared" si="5"/>
        <v>17136.841376780376</v>
      </c>
      <c r="J24" s="10">
        <f t="shared" si="3"/>
        <v>1112647420435.8313</v>
      </c>
      <c r="K24" s="11">
        <f t="shared" si="4"/>
        <v>5.2881949999999955E-2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64163669.431278929</v>
      </c>
      <c r="D25" s="11">
        <v>1.32E-2</v>
      </c>
      <c r="E25" s="10">
        <f t="shared" si="2"/>
        <v>835926.21051409841</v>
      </c>
      <c r="F25" s="3"/>
      <c r="G25" s="29">
        <v>0.43</v>
      </c>
      <c r="H25" s="10"/>
      <c r="I25" s="10">
        <f t="shared" si="5"/>
        <v>16469.813913292048</v>
      </c>
      <c r="J25" s="10">
        <f t="shared" si="3"/>
        <v>1056763695527.1494</v>
      </c>
      <c r="K25" s="11">
        <f t="shared" si="4"/>
        <v>1.7556759999999949E-2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63327743.220764831</v>
      </c>
      <c r="D26" s="11">
        <v>1.0800000000000001E-2</v>
      </c>
      <c r="E26" s="10">
        <f t="shared" si="2"/>
        <v>676632.0011716038</v>
      </c>
      <c r="F26" s="3"/>
      <c r="G26" s="29">
        <v>-0.38</v>
      </c>
      <c r="H26" s="10"/>
      <c r="I26" s="10">
        <f t="shared" si="5"/>
        <v>16399.296936465249</v>
      </c>
      <c r="J26" s="10">
        <f t="shared" si="3"/>
        <v>1038530465393.5466</v>
      </c>
      <c r="K26" s="11">
        <f t="shared" si="4"/>
        <v>6.9589599999999585E-3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62651111.219593227</v>
      </c>
      <c r="D27" s="11">
        <v>7.1000000000000004E-3</v>
      </c>
      <c r="E27" s="10">
        <f t="shared" si="2"/>
        <v>441686.91257980466</v>
      </c>
      <c r="F27" s="3"/>
      <c r="G27" s="29">
        <v>-5.3</v>
      </c>
      <c r="H27" s="10"/>
      <c r="I27" s="10">
        <f t="shared" si="5"/>
        <v>16461.851973966321</v>
      </c>
      <c r="J27" s="10">
        <f t="shared" si="3"/>
        <v>1031353318901.4442</v>
      </c>
      <c r="K27" s="11">
        <f t="shared" si="4"/>
        <v>-4.6276300000000048E-2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62209424.307013422</v>
      </c>
      <c r="D28" s="11">
        <v>7.7000000000000002E-3</v>
      </c>
      <c r="E28" s="10">
        <f t="shared" si="2"/>
        <v>475352.3540379107</v>
      </c>
      <c r="F28" s="3"/>
      <c r="G28" s="29">
        <v>3.88</v>
      </c>
      <c r="H28" s="10"/>
      <c r="I28" s="10">
        <f t="shared" si="5"/>
        <v>17383.159423406887</v>
      </c>
      <c r="J28" s="10">
        <f t="shared" si="3"/>
        <v>1081396340367.1779</v>
      </c>
      <c r="K28" s="11">
        <f t="shared" si="4"/>
        <v>4.6798759999999939E-2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61734071.952975512</v>
      </c>
      <c r="D29" s="11">
        <v>6.8999999999999999E-3</v>
      </c>
      <c r="E29" s="10">
        <f t="shared" si="2"/>
        <v>423046.07853364199</v>
      </c>
      <c r="F29" s="3"/>
      <c r="G29" s="29">
        <v>5.76</v>
      </c>
      <c r="H29" s="10"/>
      <c r="I29" s="10">
        <f t="shared" si="5"/>
        <v>16733.884697157187</v>
      </c>
      <c r="J29" s="10">
        <f t="shared" si="3"/>
        <v>1033050841947.0977</v>
      </c>
      <c r="K29" s="11">
        <f t="shared" si="4"/>
        <v>6.4897439999999973E-2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61311025.87444187</v>
      </c>
      <c r="D30" s="12">
        <v>7.4999999999999997E-3</v>
      </c>
      <c r="E30" s="10">
        <f t="shared" si="2"/>
        <v>456409.62189411372</v>
      </c>
      <c r="F30" s="3"/>
      <c r="G30" s="29">
        <v>2.56</v>
      </c>
      <c r="H30" s="10"/>
      <c r="I30" s="10">
        <f t="shared" si="5"/>
        <v>15822.508223484479</v>
      </c>
      <c r="J30" s="10">
        <f t="shared" si="3"/>
        <v>970094211088.62622</v>
      </c>
      <c r="K30" s="11">
        <f t="shared" si="4"/>
        <v>3.3292000000000099E-2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60854616.252547756</v>
      </c>
      <c r="D31" s="13">
        <v>7.6E-3</v>
      </c>
      <c r="E31" s="10">
        <f t="shared" si="2"/>
        <v>459006.63310774416</v>
      </c>
      <c r="F31" s="3"/>
      <c r="G31" s="29">
        <v>3.97</v>
      </c>
      <c r="H31" s="10"/>
      <c r="I31" s="10">
        <f t="shared" si="5"/>
        <v>15427.562620402183</v>
      </c>
      <c r="J31" s="10">
        <f t="shared" si="3"/>
        <v>938838402976.72498</v>
      </c>
      <c r="K31" s="11">
        <f t="shared" si="4"/>
        <v>4.760172000000007E-2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60395609.619440012</v>
      </c>
      <c r="D32" s="12">
        <v>8.2000000000000007E-3</v>
      </c>
      <c r="E32" s="10">
        <f t="shared" si="2"/>
        <v>491216.02745427936</v>
      </c>
      <c r="F32" s="3"/>
      <c r="G32" s="29">
        <v>5.28</v>
      </c>
      <c r="H32" s="10"/>
      <c r="I32" s="10">
        <f t="shared" si="5"/>
        <v>14838.47515668191</v>
      </c>
      <c r="J32" s="10">
        <f t="shared" si="3"/>
        <v>896178752910.7196</v>
      </c>
      <c r="K32" s="11">
        <f t="shared" si="4"/>
        <v>6.143295999999987E-2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59904393.591985732</v>
      </c>
      <c r="D33" s="13">
        <v>1.0500000000000001E-2</v>
      </c>
      <c r="E33" s="10">
        <f t="shared" si="2"/>
        <v>622460.29957035929</v>
      </c>
      <c r="F33" s="3"/>
      <c r="G33" s="29">
        <v>4.5599999999999996</v>
      </c>
      <c r="H33" s="10"/>
      <c r="I33" s="10">
        <f t="shared" si="5"/>
        <v>14094.296311437985</v>
      </c>
      <c r="J33" s="10">
        <f t="shared" si="3"/>
        <v>844310273642.45386</v>
      </c>
      <c r="K33" s="11">
        <f t="shared" si="4"/>
        <v>5.657880000000004E-2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59281933.292415373</v>
      </c>
      <c r="D34" s="12">
        <v>9.1999999999999998E-3</v>
      </c>
      <c r="E34" s="10">
        <f t="shared" si="2"/>
        <v>540421.90476637334</v>
      </c>
      <c r="F34" s="3"/>
      <c r="G34" s="29">
        <v>-3.53</v>
      </c>
      <c r="H34" s="10"/>
      <c r="I34" s="10">
        <f t="shared" si="5"/>
        <v>13479.625393494629</v>
      </c>
      <c r="J34" s="10">
        <f t="shared" ref="J34:J65" si="6">IF(I34="","",I34*C34)</f>
        <v>799098253383.89697</v>
      </c>
      <c r="K34" s="11">
        <f t="shared" ref="K34:K65" si="7">IFERROR(J34/J35-1,"")</f>
        <v>-1.3305159999999927E-2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58741511.387649</v>
      </c>
      <c r="D35" s="11">
        <v>1.2200000000000001E-2</v>
      </c>
      <c r="E35" s="10">
        <f t="shared" si="2"/>
        <v>708008.73239410669</v>
      </c>
      <c r="F35" s="3"/>
      <c r="G35" s="29">
        <v>0.63</v>
      </c>
      <c r="H35" s="10"/>
      <c r="I35" s="10">
        <f t="shared" ref="I35:I66" si="8">IF(H35&lt;&gt;"",H35,I34/(1+IF(G34="",0,G34)/100))</f>
        <v>13787.077215398005</v>
      </c>
      <c r="J35" s="10">
        <f t="shared" si="6"/>
        <v>809873753250.698</v>
      </c>
      <c r="K35" s="11">
        <f t="shared" si="7"/>
        <v>4.5906260000000199E-2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58033502.655254893</v>
      </c>
      <c r="D36" s="11">
        <v>1.4800000000000001E-2</v>
      </c>
      <c r="E36" s="10">
        <f t="shared" si="2"/>
        <v>846369.56966669858</v>
      </c>
      <c r="F36" s="3"/>
      <c r="G36" s="29">
        <v>-1.46</v>
      </c>
      <c r="H36" s="10"/>
      <c r="I36" s="10">
        <f t="shared" si="8"/>
        <v>13342.763200810998</v>
      </c>
      <c r="J36" s="10">
        <f t="shared" si="6"/>
        <v>774327283642.70227</v>
      </c>
      <c r="K36" s="11">
        <f t="shared" si="7"/>
        <v>4.8694319999999847E-2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57187133.085588194</v>
      </c>
      <c r="D37" s="11">
        <v>1.6899999999999998E-2</v>
      </c>
      <c r="E37" s="10">
        <f t="shared" si="2"/>
        <v>950400.77603150159</v>
      </c>
      <c r="F37" s="3"/>
      <c r="G37" s="29">
        <v>-5.6</v>
      </c>
      <c r="H37" s="10"/>
      <c r="I37" s="10">
        <f t="shared" si="8"/>
        <v>12911.518483463322</v>
      </c>
      <c r="J37" s="10">
        <f t="shared" si="6"/>
        <v>738372725850.84888</v>
      </c>
      <c r="K37" s="11">
        <f t="shared" si="7"/>
        <v>1.3849299999999953E-2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56236732.309556693</v>
      </c>
      <c r="D38" s="11">
        <v>1.7399999999999999E-2</v>
      </c>
      <c r="E38" s="10">
        <f t="shared" si="2"/>
        <v>961784.09886602312</v>
      </c>
      <c r="F38" s="3"/>
      <c r="G38" s="29">
        <v>-1.6</v>
      </c>
      <c r="H38" s="10"/>
      <c r="I38" s="10">
        <f t="shared" si="8"/>
        <v>12950.369592240042</v>
      </c>
      <c r="J38" s="10">
        <f t="shared" si="6"/>
        <v>728286468068.6261</v>
      </c>
      <c r="K38" s="11">
        <f t="shared" si="7"/>
        <v>3.876539999999995E-2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55274948.21069067</v>
      </c>
      <c r="D39" s="11">
        <v>1.3100000000000001E-2</v>
      </c>
      <c r="E39" s="10">
        <f t="shared" si="2"/>
        <v>714738.74401348084</v>
      </c>
      <c r="F39" s="3"/>
      <c r="G39" s="29">
        <v>0.9</v>
      </c>
      <c r="H39" s="10"/>
      <c r="I39" s="10">
        <f t="shared" si="8"/>
        <v>12684.005477218456</v>
      </c>
      <c r="J39" s="10">
        <f t="shared" si="6"/>
        <v>701107745857.36694</v>
      </c>
      <c r="K39" s="11">
        <f t="shared" si="7"/>
        <v>2.2217900000000013E-2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54560209.466677189</v>
      </c>
      <c r="D40" s="11">
        <v>1.6299999999999999E-2</v>
      </c>
      <c r="E40" s="10">
        <f t="shared" si="2"/>
        <v>875067.80901981145</v>
      </c>
      <c r="F40" s="3"/>
      <c r="G40" s="29">
        <v>3.59</v>
      </c>
      <c r="H40" s="10"/>
      <c r="I40" s="10">
        <f t="shared" si="8"/>
        <v>12570.867668204615</v>
      </c>
      <c r="J40" s="10">
        <f t="shared" si="6"/>
        <v>685869173155.12366</v>
      </c>
      <c r="K40" s="11">
        <f t="shared" si="7"/>
        <v>5.2785169999999937E-2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53685141.657657377</v>
      </c>
      <c r="D41" s="11">
        <v>1.61E-2</v>
      </c>
      <c r="E41" s="10">
        <f t="shared" si="2"/>
        <v>850635.5483596921</v>
      </c>
      <c r="F41" s="3"/>
      <c r="G41" s="29">
        <v>2.59</v>
      </c>
      <c r="H41" s="10"/>
      <c r="I41" s="10">
        <f t="shared" si="8"/>
        <v>12135.213503431427</v>
      </c>
      <c r="J41" s="10">
        <f t="shared" si="6"/>
        <v>651480655977.63281</v>
      </c>
      <c r="K41" s="11">
        <f t="shared" si="7"/>
        <v>4.2416989999999988E-2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52834506.109297685</v>
      </c>
      <c r="D42" s="11">
        <v>1.5800000000000002E-2</v>
      </c>
      <c r="E42" s="10">
        <f t="shared" si="2"/>
        <v>821800.74475970119</v>
      </c>
      <c r="F42" s="3"/>
      <c r="G42" s="29">
        <v>-3.2</v>
      </c>
      <c r="H42" s="10"/>
      <c r="I42" s="10">
        <f t="shared" si="8"/>
        <v>11828.846382134152</v>
      </c>
      <c r="J42" s="10">
        <f t="shared" si="6"/>
        <v>624971256442.81067</v>
      </c>
      <c r="K42" s="11">
        <f t="shared" si="7"/>
        <v>-1.6705600000000098E-2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52012705.364537984</v>
      </c>
      <c r="D43" s="11">
        <v>1.52E-2</v>
      </c>
      <c r="E43" s="10">
        <f t="shared" si="2"/>
        <v>778756.02988670766</v>
      </c>
      <c r="F43" s="3"/>
      <c r="G43" s="29">
        <v>4.1100000000000003</v>
      </c>
      <c r="H43" s="10"/>
      <c r="I43" s="10">
        <f t="shared" si="8"/>
        <v>12219.882626171646</v>
      </c>
      <c r="J43" s="10">
        <f t="shared" si="6"/>
        <v>635589154624.30249</v>
      </c>
      <c r="K43" s="11">
        <f t="shared" si="7"/>
        <v>5.6924720000000262E-2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51233949.334651276</v>
      </c>
      <c r="D44" s="11">
        <v>1.49E-2</v>
      </c>
      <c r="E44" s="10">
        <f t="shared" si="2"/>
        <v>752178.38711823523</v>
      </c>
      <c r="F44" s="3"/>
      <c r="G44" s="29">
        <v>2.62</v>
      </c>
      <c r="H44" s="10"/>
      <c r="I44" s="10">
        <f t="shared" si="8"/>
        <v>11737.472506168137</v>
      </c>
      <c r="J44" s="10">
        <f t="shared" si="6"/>
        <v>601357071697.88062</v>
      </c>
      <c r="K44" s="11">
        <f t="shared" si="7"/>
        <v>4.1490379999999716E-2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50481770.947533041</v>
      </c>
      <c r="D45" s="11">
        <v>1.52E-2</v>
      </c>
      <c r="E45" s="10">
        <f t="shared" si="2"/>
        <v>755834.23798513412</v>
      </c>
      <c r="F45" s="3"/>
      <c r="G45" s="29">
        <v>3.91</v>
      </c>
      <c r="H45" s="10"/>
      <c r="I45" s="10">
        <f t="shared" si="8"/>
        <v>11437.802091374135</v>
      </c>
      <c r="J45" s="10">
        <f t="shared" si="6"/>
        <v>577400505319.9635</v>
      </c>
      <c r="K45" s="11">
        <f t="shared" si="7"/>
        <v>5.4894320000000052E-2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49725936.709547907</v>
      </c>
      <c r="D46" s="11">
        <v>1.5900000000000001E-2</v>
      </c>
      <c r="E46" s="10">
        <f t="shared" si="2"/>
        <v>778267.93353854865</v>
      </c>
      <c r="F46" s="3"/>
      <c r="G46" s="29">
        <v>4</v>
      </c>
      <c r="H46" s="10"/>
      <c r="I46" s="10">
        <f t="shared" si="8"/>
        <v>11007.412271556284</v>
      </c>
      <c r="J46" s="10">
        <f t="shared" si="6"/>
        <v>547353885951.30878</v>
      </c>
      <c r="K46" s="11">
        <f t="shared" si="7"/>
        <v>5.6536000000000142E-2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48947668.776009358</v>
      </c>
      <c r="D47" s="11">
        <v>1.66E-2</v>
      </c>
      <c r="E47" s="10">
        <f t="shared" si="2"/>
        <v>799263.5271313712</v>
      </c>
      <c r="F47" s="3"/>
      <c r="G47" s="29">
        <v>7.17</v>
      </c>
      <c r="H47" s="10"/>
      <c r="I47" s="10">
        <f t="shared" si="8"/>
        <v>10584.050261111812</v>
      </c>
      <c r="J47" s="10">
        <f t="shared" si="6"/>
        <v>518064586489.53632</v>
      </c>
      <c r="K47" s="11">
        <f t="shared" si="7"/>
        <v>8.9490220000000065E-2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48148405.248877987</v>
      </c>
      <c r="D48" s="11">
        <v>1.7399999999999999E-2</v>
      </c>
      <c r="E48" s="10">
        <f t="shared" si="2"/>
        <v>823454.14913552254</v>
      </c>
      <c r="F48" s="3"/>
      <c r="G48" s="29">
        <v>7.05</v>
      </c>
      <c r="H48" s="10"/>
      <c r="I48" s="10">
        <f t="shared" si="8"/>
        <v>9875.9450043032666</v>
      </c>
      <c r="J48" s="10">
        <f t="shared" si="6"/>
        <v>475511002282.82574</v>
      </c>
      <c r="K48" s="11">
        <f t="shared" si="7"/>
        <v>8.9126700000000225E-2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47324951.099742465</v>
      </c>
      <c r="D49" s="11">
        <v>1.83E-2</v>
      </c>
      <c r="E49" s="10">
        <f t="shared" si="2"/>
        <v>850482.77042648196</v>
      </c>
      <c r="F49" s="3"/>
      <c r="G49" s="29">
        <v>5.0999999999999996</v>
      </c>
      <c r="H49" s="10"/>
      <c r="I49" s="10">
        <f t="shared" si="8"/>
        <v>9225.5441422730182</v>
      </c>
      <c r="J49" s="10">
        <f t="shared" si="6"/>
        <v>436598425401.58612</v>
      </c>
      <c r="K49" s="11">
        <f t="shared" si="7"/>
        <v>7.0233299999999943E-2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46474468.329315983</v>
      </c>
      <c r="D50" s="11">
        <v>1.95E-2</v>
      </c>
      <c r="E50" s="10">
        <f t="shared" si="2"/>
        <v>888918.22699525952</v>
      </c>
      <c r="F50" s="3"/>
      <c r="G50" s="29">
        <v>6.31</v>
      </c>
      <c r="H50" s="10"/>
      <c r="I50" s="10">
        <f t="shared" si="8"/>
        <v>8777.8726377478779</v>
      </c>
      <c r="J50" s="10">
        <f t="shared" si="6"/>
        <v>407946963901.78308</v>
      </c>
      <c r="K50" s="11">
        <f t="shared" si="7"/>
        <v>8.3830450000000001E-2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45585550.102320723</v>
      </c>
      <c r="D51" s="11">
        <v>2.0799999999999999E-2</v>
      </c>
      <c r="E51" s="10">
        <f t="shared" si="2"/>
        <v>928859.17136389762</v>
      </c>
      <c r="F51" s="3"/>
      <c r="G51" s="29">
        <v>2.38</v>
      </c>
      <c r="H51" s="10"/>
      <c r="I51" s="10">
        <f t="shared" si="8"/>
        <v>8256.8644885221311</v>
      </c>
      <c r="J51" s="10">
        <f t="shared" si="6"/>
        <v>376393709829.59839</v>
      </c>
      <c r="K51" s="11">
        <f t="shared" si="7"/>
        <v>4.5095040000000086E-2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44656690.930956826</v>
      </c>
      <c r="D52" s="11">
        <v>1.6299999999999999E-2</v>
      </c>
      <c r="E52" s="10">
        <f t="shared" si="2"/>
        <v>716229.5209825784</v>
      </c>
      <c r="F52" s="3"/>
      <c r="G52" s="29">
        <v>5.98</v>
      </c>
      <c r="H52" s="10"/>
      <c r="I52" s="10">
        <f t="shared" si="8"/>
        <v>8064.9194066440032</v>
      </c>
      <c r="J52" s="10">
        <f t="shared" si="6"/>
        <v>360152613325.57697</v>
      </c>
      <c r="K52" s="11">
        <f t="shared" si="7"/>
        <v>7.707474000000003E-2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43940461.409974247</v>
      </c>
      <c r="D53" s="11">
        <v>1.41E-2</v>
      </c>
      <c r="E53" s="10">
        <f t="shared" si="2"/>
        <v>610946.16495477408</v>
      </c>
      <c r="F53" s="3"/>
      <c r="G53" s="29">
        <v>6.98</v>
      </c>
      <c r="H53" s="10"/>
      <c r="I53" s="10">
        <f t="shared" si="8"/>
        <v>7609.8503553915862</v>
      </c>
      <c r="J53" s="10">
        <f t="shared" si="6"/>
        <v>334380335876.76282</v>
      </c>
      <c r="K53" s="11">
        <f t="shared" si="7"/>
        <v>8.4884180000000198E-2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43329515.245019473</v>
      </c>
      <c r="D54" s="11">
        <v>1.61E-2</v>
      </c>
      <c r="E54" s="10">
        <f t="shared" si="2"/>
        <v>686551.71286764741</v>
      </c>
      <c r="F54" s="3"/>
      <c r="G54" s="29">
        <v>6.21</v>
      </c>
      <c r="H54" s="10"/>
      <c r="I54" s="10">
        <f t="shared" si="8"/>
        <v>7113.3392740620538</v>
      </c>
      <c r="J54" s="10">
        <f t="shared" si="6"/>
        <v>308217542518.46753</v>
      </c>
      <c r="K54" s="11">
        <f t="shared" si="7"/>
        <v>7.9199809999999982E-2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42642963.532151826</v>
      </c>
      <c r="D55" s="11">
        <v>1.84E-2</v>
      </c>
      <c r="E55" s="10">
        <f t="shared" si="2"/>
        <v>770454.17222269624</v>
      </c>
      <c r="F55" s="3"/>
      <c r="G55" s="29">
        <v>1.3</v>
      </c>
      <c r="H55" s="10"/>
      <c r="I55" s="10">
        <f t="shared" si="8"/>
        <v>6697.4289370700062</v>
      </c>
      <c r="J55" s="10">
        <f t="shared" si="6"/>
        <v>285598217922.65466</v>
      </c>
      <c r="K55" s="11">
        <f t="shared" si="7"/>
        <v>3.1639199999999867E-2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41872509.359929129</v>
      </c>
      <c r="D56" s="11">
        <v>5.9999999999999995E-4</v>
      </c>
      <c r="E56" s="10">
        <f t="shared" si="2"/>
        <v>25108.440551623702</v>
      </c>
      <c r="F56" s="3"/>
      <c r="G56" s="29">
        <v>2.48</v>
      </c>
      <c r="H56" s="10"/>
      <c r="I56" s="10">
        <f t="shared" si="8"/>
        <v>6611.4797009575586</v>
      </c>
      <c r="J56" s="10">
        <f t="shared" si="6"/>
        <v>276839245661.32684</v>
      </c>
      <c r="K56" s="11">
        <f t="shared" si="7"/>
        <v>2.5414879999999807E-2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41847400.919377506</v>
      </c>
      <c r="D57" s="11">
        <v>2.5000000000000001E-2</v>
      </c>
      <c r="E57" s="10">
        <f t="shared" si="2"/>
        <v>1020668.3151067644</v>
      </c>
      <c r="F57" s="3"/>
      <c r="G57" s="30">
        <v>4.2</v>
      </c>
      <c r="H57" s="10"/>
      <c r="I57" s="10">
        <f t="shared" si="8"/>
        <v>6451.4829244316543</v>
      </c>
      <c r="J57" s="10">
        <f t="shared" si="6"/>
        <v>269977792463.2095</v>
      </c>
      <c r="K57" s="11">
        <f t="shared" si="7"/>
        <v>6.8049999999999944E-2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40826732.604270741</v>
      </c>
      <c r="D58" s="11">
        <v>1.9999999999999997E-2</v>
      </c>
      <c r="E58" s="10">
        <f t="shared" si="2"/>
        <v>800524.16871119291</v>
      </c>
      <c r="F58" s="3"/>
      <c r="G58" s="30">
        <v>6.16</v>
      </c>
      <c r="H58" s="10"/>
      <c r="I58" s="10">
        <f t="shared" si="8"/>
        <v>6191.4423459036989</v>
      </c>
      <c r="J58" s="10">
        <f t="shared" si="6"/>
        <v>252776361090.96906</v>
      </c>
      <c r="K58" s="11">
        <f t="shared" si="7"/>
        <v>8.2832000000000017E-2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40026208.435559548</v>
      </c>
      <c r="D59" s="11">
        <v>2.0999999999999998E-2</v>
      </c>
      <c r="E59" s="10">
        <f t="shared" si="2"/>
        <v>823261.87771473825</v>
      </c>
      <c r="F59" s="3"/>
      <c r="G59" s="30">
        <v>4.8</v>
      </c>
      <c r="H59" s="10"/>
      <c r="I59" s="10">
        <f t="shared" si="8"/>
        <v>5832.1800545438</v>
      </c>
      <c r="J59" s="10">
        <f t="shared" si="6"/>
        <v>233440054496.88321</v>
      </c>
      <c r="K59" s="11">
        <f t="shared" si="7"/>
        <v>7.0007999999999848E-2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39202946.55784481</v>
      </c>
      <c r="D60" s="11">
        <v>2.1999999999999999E-2</v>
      </c>
      <c r="E60" s="10">
        <f t="shared" si="2"/>
        <v>843899.04527650028</v>
      </c>
      <c r="F60" s="3"/>
      <c r="G60" s="30">
        <v>2</v>
      </c>
      <c r="H60" s="10"/>
      <c r="I60" s="10">
        <f t="shared" si="8"/>
        <v>5565.0573039540077</v>
      </c>
      <c r="J60" s="10">
        <f t="shared" si="6"/>
        <v>218166644078.2529</v>
      </c>
      <c r="K60" s="11">
        <f t="shared" si="7"/>
        <v>4.2440000000000033E-2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38359047.51256831</v>
      </c>
      <c r="D61" s="11">
        <v>2.3E-2</v>
      </c>
      <c r="E61" s="10">
        <f t="shared" si="2"/>
        <v>862422.37809292972</v>
      </c>
      <c r="F61" s="3"/>
      <c r="G61" s="30">
        <v>3.44</v>
      </c>
      <c r="H61" s="10"/>
      <c r="I61" s="10">
        <f t="shared" si="8"/>
        <v>5455.938533288243</v>
      </c>
      <c r="J61" s="10">
        <f t="shared" si="6"/>
        <v>209284605424.05597</v>
      </c>
      <c r="K61" s="11">
        <f t="shared" si="7"/>
        <v>5.8191199999999776E-2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37496625.13447538</v>
      </c>
      <c r="D62" s="11">
        <v>1.9999999999999997E-2</v>
      </c>
      <c r="E62" s="10">
        <f t="shared" si="2"/>
        <v>735227.94381324202</v>
      </c>
      <c r="F62" s="3"/>
      <c r="G62" s="30">
        <v>5.45</v>
      </c>
      <c r="H62" s="10"/>
      <c r="I62" s="10">
        <f t="shared" si="8"/>
        <v>5274.4958751819831</v>
      </c>
      <c r="J62" s="10">
        <f t="shared" si="6"/>
        <v>197775794605.03546</v>
      </c>
      <c r="K62" s="11">
        <f t="shared" si="7"/>
        <v>7.5590000000000046E-2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36761397.190662138</v>
      </c>
      <c r="D63" s="11">
        <v>2.0999999999999998E-2</v>
      </c>
      <c r="E63" s="10">
        <f t="shared" si="2"/>
        <v>756111.00979813933</v>
      </c>
      <c r="F63" s="3"/>
      <c r="G63" s="30">
        <v>6.23</v>
      </c>
      <c r="H63" s="10"/>
      <c r="I63" s="10">
        <f t="shared" si="8"/>
        <v>5001.8927218416147</v>
      </c>
      <c r="J63" s="10">
        <f t="shared" si="6"/>
        <v>183876565052.70172</v>
      </c>
      <c r="K63" s="11">
        <f t="shared" si="7"/>
        <v>8.4608299999999748E-2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36005286.180863999</v>
      </c>
      <c r="D64" s="11">
        <v>2.1999999999999999E-2</v>
      </c>
      <c r="E64" s="10">
        <f t="shared" si="2"/>
        <v>775064.86886399984</v>
      </c>
      <c r="F64" s="3"/>
      <c r="G64" s="30">
        <v>3.12</v>
      </c>
      <c r="H64" s="10"/>
      <c r="I64" s="10">
        <f t="shared" si="8"/>
        <v>4708.5500535080628</v>
      </c>
      <c r="J64" s="10">
        <f t="shared" si="6"/>
        <v>169532692173.48029</v>
      </c>
      <c r="K64" s="11">
        <f t="shared" si="7"/>
        <v>5.3886399999999668E-2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35230221.311999999</v>
      </c>
      <c r="D65" s="11">
        <v>2.3E-2</v>
      </c>
      <c r="E65" s="10">
        <f t="shared" si="2"/>
        <v>792077.31199999899</v>
      </c>
      <c r="F65" s="3"/>
      <c r="G65" s="30">
        <v>0.91</v>
      </c>
      <c r="H65" s="10"/>
      <c r="I65" s="10">
        <f t="shared" si="8"/>
        <v>4566.0881046431959</v>
      </c>
      <c r="J65" s="10">
        <f t="shared" si="6"/>
        <v>160864294456.67041</v>
      </c>
      <c r="K65" s="11">
        <f t="shared" si="7"/>
        <v>3.2309300000000318E-2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34438144</v>
      </c>
      <c r="D66" s="11">
        <v>2.4E-2</v>
      </c>
      <c r="E66" s="10">
        <f t="shared" si="2"/>
        <v>807144</v>
      </c>
      <c r="F66" s="3"/>
      <c r="G66" s="30">
        <v>4.26</v>
      </c>
      <c r="H66" s="10"/>
      <c r="I66" s="10">
        <f t="shared" si="8"/>
        <v>4524.9114108048707</v>
      </c>
      <c r="J66" s="10">
        <f t="shared" ref="J66:J67" si="9">IF(I66="","",I66*C66)</f>
        <v>155829550752.54129</v>
      </c>
      <c r="K66" s="11">
        <f t="shared" ref="K66" si="10">IFERROR(J66/J67-1,"")</f>
        <v>6.762239999999986E-2</v>
      </c>
    </row>
    <row r="67" spans="1:11" ht="22.5" customHeight="1">
      <c r="A67" s="3">
        <f t="shared" si="0"/>
        <v>1950</v>
      </c>
      <c r="B67" s="3">
        <v>1700</v>
      </c>
      <c r="C67" s="10">
        <v>33631000</v>
      </c>
      <c r="D67" s="11">
        <v>2.4E-2</v>
      </c>
      <c r="E67" s="3" t="s">
        <v>72</v>
      </c>
      <c r="F67" s="10"/>
      <c r="G67" s="30">
        <v>6.92</v>
      </c>
      <c r="H67" s="10"/>
      <c r="I67" s="10">
        <f t="shared" ref="I67" si="11">IF(H67&lt;&gt;"",H67,I66/(1+IF(G66="",0,G66)/100))</f>
        <v>4340.0262908161048</v>
      </c>
      <c r="J67" s="10">
        <f t="shared" si="9"/>
        <v>145959424186.43643</v>
      </c>
      <c r="K67" s="11"/>
    </row>
  </sheetData>
  <dataValidations count="1">
    <dataValidation type="custom" allowBlank="1" showDropDown="1" sqref="D2:D67" xr:uid="{00000000-0002-0000-2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67"/>
  <sheetViews>
    <sheetView topLeftCell="A16" workbookViewId="0">
      <selection activeCell="I7" sqref="I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21372715.598931681</v>
      </c>
      <c r="D2" s="11">
        <v>9.8000000000000014E-3</v>
      </c>
      <c r="E2" s="10">
        <f t="shared" ref="E2:E66" si="2">SUM(C2-C3)</f>
        <v>207419.89787040278</v>
      </c>
      <c r="F2" s="14">
        <v>21374692</v>
      </c>
      <c r="G2" s="26">
        <v>2.2400000000000002</v>
      </c>
      <c r="H2" s="10"/>
      <c r="I2" s="10">
        <f>IF(H2&lt;&gt;"",H2,183176)</f>
        <v>22897</v>
      </c>
      <c r="J2" s="10">
        <f t="shared" ref="J2:J33" si="3">IF(I2="","",I2*C2)</f>
        <v>489371069068.73871</v>
      </c>
      <c r="K2" s="11">
        <f t="shared" ref="K2:K33" si="4">IFERROR(J2/J3-1,"")</f>
        <v>3.2419520000000146E-2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21165295.701061279</v>
      </c>
      <c r="D3" s="11">
        <v>9.1999999999999981E-3</v>
      </c>
      <c r="E3" s="10">
        <f t="shared" si="2"/>
        <v>192945.62073896825</v>
      </c>
      <c r="F3" s="3"/>
      <c r="G3" s="26">
        <v>3.72</v>
      </c>
      <c r="H3" s="10"/>
      <c r="I3" s="10">
        <f t="shared" ref="I3:I34" si="5">IF(H3&lt;&gt;"",H3,I2/(1+IF(G2="",0,G2)/100))</f>
        <v>22395.344287949923</v>
      </c>
      <c r="J3" s="10">
        <f t="shared" si="3"/>
        <v>474004084181.53375</v>
      </c>
      <c r="K3" s="11">
        <f t="shared" si="4"/>
        <v>4.6742239999999935E-2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20972350.08032231</v>
      </c>
      <c r="D4" s="11">
        <v>8.7000000000000011E-3</v>
      </c>
      <c r="E4" s="10">
        <f t="shared" si="2"/>
        <v>180885.73976286501</v>
      </c>
      <c r="F4" s="3"/>
      <c r="G4" s="26">
        <v>4.09</v>
      </c>
      <c r="H4" s="10"/>
      <c r="I4" s="10">
        <f t="shared" si="5"/>
        <v>21592.117516342005</v>
      </c>
      <c r="J4" s="10">
        <f t="shared" si="3"/>
        <v>452837447528.18402</v>
      </c>
      <c r="K4" s="11">
        <f t="shared" si="4"/>
        <v>4.9955829999999812E-2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20791464.340559445</v>
      </c>
      <c r="D5" s="11">
        <v>8.4999999999999989E-3</v>
      </c>
      <c r="E5" s="10">
        <f t="shared" si="2"/>
        <v>175237.92453619838</v>
      </c>
      <c r="F5" s="3"/>
      <c r="G5" s="26">
        <v>2.41</v>
      </c>
      <c r="H5" s="10"/>
      <c r="I5" s="10">
        <f t="shared" si="5"/>
        <v>20743.700179020085</v>
      </c>
      <c r="J5" s="10">
        <f t="shared" si="3"/>
        <v>431291902563.35266</v>
      </c>
      <c r="K5" s="11">
        <f t="shared" si="4"/>
        <v>3.2804849999999997E-2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20616226.416023247</v>
      </c>
      <c r="D6" s="11">
        <v>8.4999999999999989E-3</v>
      </c>
      <c r="E6" s="10">
        <f t="shared" si="2"/>
        <v>173760.95640673861</v>
      </c>
      <c r="F6" s="3"/>
      <c r="G6" s="26">
        <v>5.51</v>
      </c>
      <c r="H6" s="10"/>
      <c r="I6" s="10">
        <f t="shared" si="5"/>
        <v>20255.541625837403</v>
      </c>
      <c r="J6" s="10">
        <f t="shared" si="3"/>
        <v>417592832337.44751</v>
      </c>
      <c r="K6" s="11">
        <f t="shared" si="4"/>
        <v>6.4068349999999885E-2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20442465.459616508</v>
      </c>
      <c r="D7" s="11">
        <v>8.3000000000000001E-3</v>
      </c>
      <c r="E7" s="10">
        <f t="shared" si="2"/>
        <v>168275.7743874006</v>
      </c>
      <c r="F7" s="3"/>
      <c r="G7" s="26">
        <v>5.54</v>
      </c>
      <c r="H7" s="10"/>
      <c r="I7" s="10">
        <f t="shared" si="5"/>
        <v>19197.74583057284</v>
      </c>
      <c r="J7" s="10">
        <f t="shared" si="3"/>
        <v>392449256043.98212</v>
      </c>
      <c r="K7" s="11">
        <f t="shared" si="4"/>
        <v>6.4159819999999756E-2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20274189.685229108</v>
      </c>
      <c r="D8" s="11">
        <v>1.3900000000000001E-2</v>
      </c>
      <c r="E8" s="10">
        <f t="shared" si="2"/>
        <v>277947.76272283867</v>
      </c>
      <c r="F8" s="3"/>
      <c r="G8" s="26">
        <v>3.21</v>
      </c>
      <c r="H8" s="10"/>
      <c r="I8" s="10">
        <f t="shared" si="5"/>
        <v>18190.01878962748</v>
      </c>
      <c r="J8" s="10">
        <f t="shared" si="3"/>
        <v>368787891318.78912</v>
      </c>
      <c r="K8" s="11">
        <f t="shared" si="4"/>
        <v>4.6446190000000165E-2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19996241.922506269</v>
      </c>
      <c r="D9" s="11">
        <v>7.7999999999999996E-3</v>
      </c>
      <c r="E9" s="10">
        <f t="shared" si="2"/>
        <v>154763.53145023808</v>
      </c>
      <c r="F9" s="3"/>
      <c r="G9" s="26">
        <v>3.22</v>
      </c>
      <c r="H9" s="10"/>
      <c r="I9" s="10">
        <f t="shared" si="5"/>
        <v>17624.279420237846</v>
      </c>
      <c r="J9" s="10">
        <f t="shared" si="3"/>
        <v>352419354996.9245</v>
      </c>
      <c r="K9" s="11">
        <f t="shared" si="4"/>
        <v>4.0251160000000175E-2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19841478.391056031</v>
      </c>
      <c r="D10" s="11">
        <v>7.7999999999999996E-3</v>
      </c>
      <c r="E10" s="10">
        <f t="shared" si="2"/>
        <v>153565.71884325892</v>
      </c>
      <c r="F10" s="3"/>
      <c r="G10" s="26">
        <v>6.31</v>
      </c>
      <c r="H10" s="10"/>
      <c r="I10" s="10">
        <f t="shared" si="5"/>
        <v>17074.481127918858</v>
      </c>
      <c r="J10" s="10">
        <f t="shared" si="3"/>
        <v>338782948338.09601</v>
      </c>
      <c r="K10" s="11">
        <f t="shared" si="4"/>
        <v>7.1392179999999916E-2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19687912.672212772</v>
      </c>
      <c r="D11" s="11">
        <v>7.7000000000000002E-3</v>
      </c>
      <c r="E11" s="10">
        <f t="shared" si="2"/>
        <v>150438.55073537678</v>
      </c>
      <c r="F11" s="3"/>
      <c r="G11" s="26">
        <v>5.59</v>
      </c>
      <c r="H11" s="10"/>
      <c r="I11" s="10">
        <f t="shared" si="5"/>
        <v>16061.030126910788</v>
      </c>
      <c r="J11" s="10">
        <f t="shared" si="3"/>
        <v>316208158564.39801</v>
      </c>
      <c r="K11" s="11">
        <f t="shared" si="4"/>
        <v>6.4030430000000083E-2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19537474.121477395</v>
      </c>
      <c r="D12" s="11">
        <v>7.6000000000000009E-3</v>
      </c>
      <c r="E12" s="10">
        <f t="shared" si="2"/>
        <v>147364.83061058819</v>
      </c>
      <c r="F12" s="3"/>
      <c r="G12" s="26">
        <v>4.3499999999999996</v>
      </c>
      <c r="H12" s="10"/>
      <c r="I12" s="10">
        <f t="shared" si="5"/>
        <v>15210.749244162123</v>
      </c>
      <c r="J12" s="10">
        <f t="shared" si="3"/>
        <v>297179619726.09937</v>
      </c>
      <c r="K12" s="11">
        <f t="shared" si="4"/>
        <v>5.1430600000000215E-2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19390109.290866807</v>
      </c>
      <c r="D13" s="11">
        <v>7.7000000000000002E-3</v>
      </c>
      <c r="E13" s="10">
        <f t="shared" si="2"/>
        <v>148162.98654329032</v>
      </c>
      <c r="F13" s="3"/>
      <c r="G13" s="26">
        <v>4.6500000000000004</v>
      </c>
      <c r="H13" s="10"/>
      <c r="I13" s="10">
        <f t="shared" si="5"/>
        <v>14576.664345148176</v>
      </c>
      <c r="J13" s="10">
        <f t="shared" si="3"/>
        <v>282643114748.70459</v>
      </c>
      <c r="K13" s="11">
        <f t="shared" si="4"/>
        <v>5.4558050000000025E-2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19241946.304323517</v>
      </c>
      <c r="D14" s="11">
        <v>8.1000000000000013E-3</v>
      </c>
      <c r="E14" s="10">
        <f t="shared" si="2"/>
        <v>154607.44476244599</v>
      </c>
      <c r="F14" s="3"/>
      <c r="G14" s="26">
        <v>1.43</v>
      </c>
      <c r="H14" s="10"/>
      <c r="I14" s="10">
        <f t="shared" si="5"/>
        <v>13928.967362778954</v>
      </c>
      <c r="J14" s="10">
        <f t="shared" si="3"/>
        <v>268020442069.2674</v>
      </c>
      <c r="K14" s="11">
        <f t="shared" si="4"/>
        <v>2.2515830000000125E-2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19087338.859561071</v>
      </c>
      <c r="D15" s="11">
        <v>1.01E-2</v>
      </c>
      <c r="E15" s="10">
        <f t="shared" si="2"/>
        <v>190854.49211124331</v>
      </c>
      <c r="F15" s="3"/>
      <c r="G15" s="26">
        <v>-0.15</v>
      </c>
      <c r="H15" s="10"/>
      <c r="I15" s="10">
        <f t="shared" si="5"/>
        <v>13732.591307087601</v>
      </c>
      <c r="J15" s="10">
        <f t="shared" si="3"/>
        <v>262118623698.24374</v>
      </c>
      <c r="K15" s="11">
        <f t="shared" si="4"/>
        <v>8.5848500000000882E-3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18896484.367449827</v>
      </c>
      <c r="D16" s="11">
        <v>1.3599999999999999E-2</v>
      </c>
      <c r="E16" s="10">
        <f t="shared" si="2"/>
        <v>253543.98914494738</v>
      </c>
      <c r="F16" s="3"/>
      <c r="G16" s="26">
        <v>0.27</v>
      </c>
      <c r="H16" s="10"/>
      <c r="I16" s="10">
        <f t="shared" si="5"/>
        <v>13753.221138795794</v>
      </c>
      <c r="J16" s="10">
        <f t="shared" si="3"/>
        <v>259887528251.33524</v>
      </c>
      <c r="K16" s="11">
        <f t="shared" si="4"/>
        <v>1.6336719999999971E-2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18642940.37830488</v>
      </c>
      <c r="D17" s="11">
        <v>1.6399999999999998E-2</v>
      </c>
      <c r="E17" s="10">
        <f t="shared" si="2"/>
        <v>300810.92306591943</v>
      </c>
      <c r="F17" s="3"/>
      <c r="G17" s="26">
        <v>8.59</v>
      </c>
      <c r="H17" s="10"/>
      <c r="I17" s="10">
        <f t="shared" si="5"/>
        <v>13716.187432727431</v>
      </c>
      <c r="J17" s="10">
        <f t="shared" si="3"/>
        <v>255710064525.99216</v>
      </c>
      <c r="K17" s="11">
        <f t="shared" si="4"/>
        <v>0.10370875999999996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18342129.455238961</v>
      </c>
      <c r="D18" s="11">
        <v>1.5499999999999998E-2</v>
      </c>
      <c r="E18" s="10">
        <f t="shared" si="2"/>
        <v>279963.57120256498</v>
      </c>
      <c r="F18" s="3"/>
      <c r="G18" s="26">
        <v>3.29</v>
      </c>
      <c r="H18" s="10"/>
      <c r="I18" s="10">
        <f t="shared" si="5"/>
        <v>12631.169935286334</v>
      </c>
      <c r="J18" s="10">
        <f t="shared" si="3"/>
        <v>231682554124.14426</v>
      </c>
      <c r="K18" s="11">
        <f t="shared" si="4"/>
        <v>4.8909949999999869E-2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18062165.884036396</v>
      </c>
      <c r="D19" s="11">
        <v>1.29E-2</v>
      </c>
      <c r="E19" s="10">
        <f t="shared" si="2"/>
        <v>230034.49491960555</v>
      </c>
      <c r="F19" s="3"/>
      <c r="G19" s="26">
        <v>4.0999999999999996</v>
      </c>
      <c r="H19" s="10"/>
      <c r="I19" s="10">
        <f t="shared" si="5"/>
        <v>12228.841064271794</v>
      </c>
      <c r="J19" s="10">
        <f t="shared" si="3"/>
        <v>220879355872.39331</v>
      </c>
      <c r="K19" s="11">
        <f t="shared" si="4"/>
        <v>5.442889999999978E-2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17832131.38911679</v>
      </c>
      <c r="D20" s="11">
        <v>1.5000000000000001E-2</v>
      </c>
      <c r="E20" s="10">
        <f t="shared" si="2"/>
        <v>263529.03530714288</v>
      </c>
      <c r="F20" s="3"/>
      <c r="G20" s="26">
        <v>3.61</v>
      </c>
      <c r="H20" s="10"/>
      <c r="I20" s="10">
        <f t="shared" si="5"/>
        <v>11747.205633306239</v>
      </c>
      <c r="J20" s="10">
        <f t="shared" si="3"/>
        <v>209477714308.08978</v>
      </c>
      <c r="K20" s="11">
        <f t="shared" si="4"/>
        <v>5.1641499999999896E-2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17568602.353809647</v>
      </c>
      <c r="D21" s="11">
        <v>1.6199999999999999E-2</v>
      </c>
      <c r="E21" s="10">
        <f t="shared" si="2"/>
        <v>280074.15679169074</v>
      </c>
      <c r="F21" s="3"/>
      <c r="G21" s="26">
        <v>5.84</v>
      </c>
      <c r="H21" s="10"/>
      <c r="I21" s="10">
        <f t="shared" si="5"/>
        <v>11337.907183965099</v>
      </c>
      <c r="J21" s="10">
        <f t="shared" si="3"/>
        <v>199191182839.48456</v>
      </c>
      <c r="K21" s="11">
        <f t="shared" si="4"/>
        <v>7.5546080000000071E-2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17288528.197017957</v>
      </c>
      <c r="D22" s="11">
        <v>1.67E-2</v>
      </c>
      <c r="E22" s="10">
        <f t="shared" si="2"/>
        <v>283976.0213339217</v>
      </c>
      <c r="F22" s="3"/>
      <c r="G22" s="26">
        <v>6.6</v>
      </c>
      <c r="H22" s="10"/>
      <c r="I22" s="10">
        <f t="shared" si="5"/>
        <v>10712.308374872542</v>
      </c>
      <c r="J22" s="10">
        <f t="shared" si="3"/>
        <v>185200045394.13556</v>
      </c>
      <c r="K22" s="11">
        <f t="shared" si="4"/>
        <v>8.3802200000000049E-2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17004552.175684035</v>
      </c>
      <c r="D23" s="11">
        <v>1.5899999999999997E-2</v>
      </c>
      <c r="E23" s="10">
        <f t="shared" si="2"/>
        <v>266140.74179877713</v>
      </c>
      <c r="F23" s="3"/>
      <c r="G23" s="26">
        <v>7.43</v>
      </c>
      <c r="H23" s="10"/>
      <c r="I23" s="10">
        <f t="shared" si="5"/>
        <v>10049.069770049289</v>
      </c>
      <c r="J23" s="10">
        <f t="shared" si="3"/>
        <v>170879931221.8923</v>
      </c>
      <c r="K23" s="11">
        <f t="shared" si="4"/>
        <v>9.1381370000000128E-2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16738411.433885258</v>
      </c>
      <c r="D24" s="11">
        <v>1.6599999999999997E-2</v>
      </c>
      <c r="E24" s="10">
        <f t="shared" si="2"/>
        <v>273320.50934732892</v>
      </c>
      <c r="F24" s="3"/>
      <c r="G24" s="26">
        <v>4.12</v>
      </c>
      <c r="H24" s="10"/>
      <c r="I24" s="10">
        <f t="shared" si="5"/>
        <v>9354.062896815869</v>
      </c>
      <c r="J24" s="10">
        <f t="shared" si="3"/>
        <v>156572153345.3446</v>
      </c>
      <c r="K24" s="11">
        <f t="shared" si="4"/>
        <v>5.8483920000000023E-2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16465090.924537929</v>
      </c>
      <c r="D25" s="11">
        <v>2.4599999999999997E-2</v>
      </c>
      <c r="E25" s="10">
        <f t="shared" si="2"/>
        <v>395316.45202384517</v>
      </c>
      <c r="F25" s="3"/>
      <c r="G25" s="26">
        <v>7.76</v>
      </c>
      <c r="H25" s="10"/>
      <c r="I25" s="10">
        <f t="shared" si="5"/>
        <v>8983.925179423617</v>
      </c>
      <c r="J25" s="10">
        <f t="shared" si="3"/>
        <v>147921144938.45557</v>
      </c>
      <c r="K25" s="11">
        <f t="shared" si="4"/>
        <v>0.10410895999999958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16069774.472514084</v>
      </c>
      <c r="D26" s="11">
        <v>5.0199999999999995E-2</v>
      </c>
      <c r="E26" s="10">
        <f t="shared" si="2"/>
        <v>768141.95250448212</v>
      </c>
      <c r="F26" s="3"/>
      <c r="G26" s="26">
        <v>7.73</v>
      </c>
      <c r="H26" s="10"/>
      <c r="I26" s="10">
        <f t="shared" si="5"/>
        <v>8336.9758532141968</v>
      </c>
      <c r="J26" s="10">
        <f t="shared" si="3"/>
        <v>133973321743.94781</v>
      </c>
      <c r="K26" s="11">
        <f t="shared" si="4"/>
        <v>0.13138045999999992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15301632.520009601</v>
      </c>
      <c r="D27" s="11">
        <v>2.0900000000000002E-2</v>
      </c>
      <c r="E27" s="10">
        <f t="shared" si="2"/>
        <v>313257.04737799987</v>
      </c>
      <c r="F27" s="3"/>
      <c r="G27" s="26">
        <v>-4.5199999999999996</v>
      </c>
      <c r="H27" s="10"/>
      <c r="I27" s="10">
        <f t="shared" si="5"/>
        <v>7738.7690088315212</v>
      </c>
      <c r="J27" s="10">
        <f t="shared" si="3"/>
        <v>118415799530.37888</v>
      </c>
      <c r="K27" s="11">
        <f t="shared" si="4"/>
        <v>-2.524468000000013E-2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14988375.472631602</v>
      </c>
      <c r="D28" s="11">
        <v>7.000000000000001E-3</v>
      </c>
      <c r="E28" s="10">
        <f t="shared" si="2"/>
        <v>104189.30318611674</v>
      </c>
      <c r="F28" s="3"/>
      <c r="G28" s="26">
        <v>0.56999999999999995</v>
      </c>
      <c r="H28" s="10"/>
      <c r="I28" s="10">
        <f t="shared" si="5"/>
        <v>8105.1204533216605</v>
      </c>
      <c r="J28" s="10">
        <f t="shared" si="3"/>
        <v>121482588605.29111</v>
      </c>
      <c r="K28" s="11">
        <f t="shared" si="4"/>
        <v>1.2739899999999915E-2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14884186.169445485</v>
      </c>
      <c r="D29" s="11">
        <v>6.6E-3</v>
      </c>
      <c r="E29" s="10">
        <f t="shared" si="2"/>
        <v>97591.524655612186</v>
      </c>
      <c r="F29" s="3"/>
      <c r="G29" s="26">
        <v>2.91</v>
      </c>
      <c r="H29" s="10"/>
      <c r="I29" s="10">
        <f t="shared" si="5"/>
        <v>8059.1831095969574</v>
      </c>
      <c r="J29" s="10">
        <f t="shared" si="3"/>
        <v>119954381776.89169</v>
      </c>
      <c r="K29" s="11">
        <f t="shared" si="4"/>
        <v>3.5892059999999892E-2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14786594.644789873</v>
      </c>
      <c r="D30" s="12">
        <v>6.1999999999999989E-3</v>
      </c>
      <c r="E30" s="10">
        <f t="shared" si="2"/>
        <v>91111.992444541305</v>
      </c>
      <c r="F30" s="3"/>
      <c r="G30" s="26">
        <v>7.14</v>
      </c>
      <c r="H30" s="10"/>
      <c r="I30" s="10">
        <f t="shared" si="5"/>
        <v>7831.2924979078398</v>
      </c>
      <c r="J30" s="10">
        <f t="shared" si="3"/>
        <v>115798147711.34717</v>
      </c>
      <c r="K30" s="11">
        <f t="shared" si="4"/>
        <v>7.8042679999999809E-2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14695482.652345331</v>
      </c>
      <c r="D31" s="13">
        <v>5.4999999999999997E-3</v>
      </c>
      <c r="E31" s="10">
        <f t="shared" si="2"/>
        <v>80383.047824863344</v>
      </c>
      <c r="F31" s="3"/>
      <c r="G31" s="26">
        <v>4.1900000000000004</v>
      </c>
      <c r="H31" s="10"/>
      <c r="I31" s="10">
        <f t="shared" si="5"/>
        <v>7309.4012487472846</v>
      </c>
      <c r="J31" s="10">
        <f t="shared" si="3"/>
        <v>107415179249.99702</v>
      </c>
      <c r="K31" s="11">
        <f t="shared" si="4"/>
        <v>4.7630450000000213E-2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14615099.604520468</v>
      </c>
      <c r="D32" s="12">
        <v>7.6000000000000009E-3</v>
      </c>
      <c r="E32" s="10">
        <f t="shared" si="2"/>
        <v>110236.95612778515</v>
      </c>
      <c r="F32" s="3"/>
      <c r="G32" s="26">
        <v>4.04</v>
      </c>
      <c r="H32" s="10"/>
      <c r="I32" s="10">
        <f t="shared" si="5"/>
        <v>7015.4537371602692</v>
      </c>
      <c r="J32" s="10">
        <f t="shared" si="3"/>
        <v>102531555139.50269</v>
      </c>
      <c r="K32" s="11">
        <f t="shared" si="4"/>
        <v>4.8307040000000079E-2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14504862.648392683</v>
      </c>
      <c r="D33" s="13">
        <v>3.1000000000000003E-3</v>
      </c>
      <c r="E33" s="10">
        <f t="shared" si="2"/>
        <v>44826.113258916885</v>
      </c>
      <c r="F33" s="3"/>
      <c r="G33" s="26">
        <v>0.93</v>
      </c>
      <c r="H33" s="10"/>
      <c r="I33" s="10">
        <f t="shared" si="5"/>
        <v>6743.0351183778057</v>
      </c>
      <c r="J33" s="10">
        <f t="shared" si="3"/>
        <v>97806798225.358368</v>
      </c>
      <c r="K33" s="11">
        <f t="shared" si="4"/>
        <v>1.242883000000039E-2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14460036.535133766</v>
      </c>
      <c r="D34" s="12">
        <v>8.2000000000000007E-3</v>
      </c>
      <c r="E34" s="10">
        <f t="shared" si="2"/>
        <v>117607.91468765773</v>
      </c>
      <c r="F34" s="3"/>
      <c r="G34" s="26">
        <v>2.06</v>
      </c>
      <c r="H34" s="10"/>
      <c r="I34" s="10">
        <f t="shared" si="5"/>
        <v>6680.9027230534084</v>
      </c>
      <c r="J34" s="10">
        <f t="shared" ref="J34:J65" si="6">IF(I34="","",I34*C34)</f>
        <v>96606097463.026947</v>
      </c>
      <c r="K34" s="11">
        <f t="shared" ref="K34:K65" si="7">IFERROR(J34/J35-1,"")</f>
        <v>4.2075519999999811E-2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14342428.620446108</v>
      </c>
      <c r="D35" s="11">
        <v>8.8000000000000005E-3</v>
      </c>
      <c r="E35" s="10">
        <f t="shared" si="2"/>
        <v>125112.38289048895</v>
      </c>
      <c r="F35" s="3"/>
      <c r="G35" s="26">
        <v>-0.62</v>
      </c>
      <c r="H35" s="10"/>
      <c r="I35" s="10">
        <f t="shared" ref="I35:I66" si="8">IF(H35&lt;&gt;"",H35,I34/(1+IF(G34="",0,G34)/100))</f>
        <v>6463.7216747807743</v>
      </c>
      <c r="J35" s="10">
        <f t="shared" si="6"/>
        <v>92705466742.973633</v>
      </c>
      <c r="K35" s="11">
        <f t="shared" si="7"/>
        <v>2.9783039999999872E-2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14217316.237555619</v>
      </c>
      <c r="D36" s="11">
        <v>9.9000000000000008E-3</v>
      </c>
      <c r="E36" s="10">
        <f t="shared" si="2"/>
        <v>139371.65140291117</v>
      </c>
      <c r="F36" s="3"/>
      <c r="G36" s="26">
        <v>0.54</v>
      </c>
      <c r="H36" s="10"/>
      <c r="I36" s="10">
        <f t="shared" si="8"/>
        <v>6332.0157472382198</v>
      </c>
      <c r="J36" s="10">
        <f t="shared" si="6"/>
        <v>90024270299.667816</v>
      </c>
      <c r="K36" s="11">
        <f t="shared" si="7"/>
        <v>6.3828659999999759E-2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14077944.586152708</v>
      </c>
      <c r="D37" s="11">
        <v>1.4E-2</v>
      </c>
      <c r="E37" s="10">
        <f t="shared" si="2"/>
        <v>194370.04359579645</v>
      </c>
      <c r="F37" s="3"/>
      <c r="G37" s="26">
        <v>-5.62</v>
      </c>
      <c r="H37" s="10"/>
      <c r="I37" s="10">
        <f t="shared" si="8"/>
        <v>6011.0269102318398</v>
      </c>
      <c r="J37" s="10">
        <f t="shared" si="6"/>
        <v>84622903748.116577</v>
      </c>
      <c r="K37" s="11">
        <f t="shared" si="7"/>
        <v>1.0755199999999965E-2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13883574.542556912</v>
      </c>
      <c r="D38" s="11">
        <v>1.5699999999999999E-2</v>
      </c>
      <c r="E38" s="10">
        <f t="shared" si="2"/>
        <v>214602.85548699833</v>
      </c>
      <c r="F38" s="3"/>
      <c r="G38" s="26">
        <v>-9</v>
      </c>
      <c r="H38" s="10"/>
      <c r="I38" s="10">
        <f t="shared" si="8"/>
        <v>6030.3239468617976</v>
      </c>
      <c r="J38" s="10">
        <f t="shared" si="6"/>
        <v>83722452032.021774</v>
      </c>
      <c r="K38" s="11">
        <f t="shared" si="7"/>
        <v>-3.8132099999999891E-2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13668971.687069913</v>
      </c>
      <c r="D39" s="11">
        <v>1.11E-2</v>
      </c>
      <c r="E39" s="10">
        <f t="shared" si="2"/>
        <v>150059.92060773261</v>
      </c>
      <c r="F39" s="3"/>
      <c r="G39" s="26">
        <v>2.2999999999999998</v>
      </c>
      <c r="H39" s="10"/>
      <c r="I39" s="10">
        <f t="shared" si="8"/>
        <v>6367.8183176998918</v>
      </c>
      <c r="J39" s="10">
        <f t="shared" si="6"/>
        <v>87041528293.044983</v>
      </c>
      <c r="K39" s="11">
        <f t="shared" si="7"/>
        <v>3.4355300000000089E-2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13518911.766462181</v>
      </c>
      <c r="D40" s="11">
        <v>1.24E-2</v>
      </c>
      <c r="E40" s="10">
        <f t="shared" si="2"/>
        <v>165581.29781127162</v>
      </c>
      <c r="F40" s="3"/>
      <c r="G40" s="26">
        <v>1.04</v>
      </c>
      <c r="H40" s="10"/>
      <c r="I40" s="10">
        <f t="shared" si="8"/>
        <v>6224.6513369500417</v>
      </c>
      <c r="J40" s="10">
        <f t="shared" si="6"/>
        <v>84150512201.21846</v>
      </c>
      <c r="K40" s="11">
        <f t="shared" si="7"/>
        <v>2.2928959999999776E-2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13353330.468650909</v>
      </c>
      <c r="D41" s="11">
        <v>1.23E-2</v>
      </c>
      <c r="E41" s="10">
        <f t="shared" si="2"/>
        <v>162250.28624361008</v>
      </c>
      <c r="F41" s="3"/>
      <c r="G41" s="26">
        <v>0.32</v>
      </c>
      <c r="H41" s="10"/>
      <c r="I41" s="10">
        <f t="shared" si="8"/>
        <v>6160.5812915182523</v>
      </c>
      <c r="J41" s="10">
        <f t="shared" si="6"/>
        <v>82264277864.631454</v>
      </c>
      <c r="K41" s="11">
        <f t="shared" si="7"/>
        <v>1.5539360000000224E-2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13191080.182407299</v>
      </c>
      <c r="D42" s="11">
        <v>1.2800000000000001E-2</v>
      </c>
      <c r="E42" s="10">
        <f t="shared" si="2"/>
        <v>166711.91383768991</v>
      </c>
      <c r="F42" s="3"/>
      <c r="G42" s="26">
        <v>-13.54</v>
      </c>
      <c r="H42" s="10"/>
      <c r="I42" s="10">
        <f t="shared" si="8"/>
        <v>6140.9303145118138</v>
      </c>
      <c r="J42" s="10">
        <f t="shared" si="6"/>
        <v>81005504173.30101</v>
      </c>
      <c r="K42" s="11">
        <f t="shared" si="7"/>
        <v>-0.12433312000000007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13024368.268569609</v>
      </c>
      <c r="D43" s="11">
        <v>1.9799999999999998E-2</v>
      </c>
      <c r="E43" s="10">
        <f t="shared" si="2"/>
        <v>252875.55571453087</v>
      </c>
      <c r="F43" s="3"/>
      <c r="G43" s="26">
        <v>6.48</v>
      </c>
      <c r="H43" s="10"/>
      <c r="I43" s="10">
        <f t="shared" si="8"/>
        <v>7102.625855322477</v>
      </c>
      <c r="J43" s="10">
        <f t="shared" si="6"/>
        <v>92507214813.584152</v>
      </c>
      <c r="K43" s="11">
        <f t="shared" si="7"/>
        <v>8.5883040000000133E-2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12771492.712855078</v>
      </c>
      <c r="D44" s="11">
        <v>3.0499999999999999E-2</v>
      </c>
      <c r="E44" s="10">
        <f t="shared" si="2"/>
        <v>378001.48252506554</v>
      </c>
      <c r="F44" s="3"/>
      <c r="G44" s="26">
        <v>5.59</v>
      </c>
      <c r="H44" s="10"/>
      <c r="I44" s="10">
        <f t="shared" si="8"/>
        <v>6670.3849129625069</v>
      </c>
      <c r="J44" s="10">
        <f t="shared" si="6"/>
        <v>85190772307.839111</v>
      </c>
      <c r="K44" s="11">
        <f t="shared" si="7"/>
        <v>8.810494999999996E-2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12393491.230330013</v>
      </c>
      <c r="D45" s="11">
        <v>1.5399999999999999E-2</v>
      </c>
      <c r="E45" s="10">
        <f t="shared" si="2"/>
        <v>187965.10237057693</v>
      </c>
      <c r="F45" s="3"/>
      <c r="G45" s="26">
        <v>12.15</v>
      </c>
      <c r="H45" s="10"/>
      <c r="I45" s="10">
        <f t="shared" si="8"/>
        <v>6317.2506041883762</v>
      </c>
      <c r="J45" s="10">
        <f t="shared" si="6"/>
        <v>78292789962.805618</v>
      </c>
      <c r="K45" s="11">
        <f t="shared" si="7"/>
        <v>0.13877110000000004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12205526.127959436</v>
      </c>
      <c r="D46" s="11">
        <v>2.1399999999999995E-2</v>
      </c>
      <c r="E46" s="10">
        <f t="shared" si="2"/>
        <v>255725.72854741849</v>
      </c>
      <c r="F46" s="3"/>
      <c r="G46" s="26">
        <v>10.95</v>
      </c>
      <c r="H46" s="10"/>
      <c r="I46" s="10">
        <f t="shared" si="8"/>
        <v>5632.8583184916424</v>
      </c>
      <c r="J46" s="10">
        <f t="shared" si="6"/>
        <v>68751999381.44339</v>
      </c>
      <c r="K46" s="11">
        <f t="shared" si="7"/>
        <v>0.13324329999999995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11949800.399412017</v>
      </c>
      <c r="D47" s="11">
        <v>2.3199999999999998E-2</v>
      </c>
      <c r="E47" s="10">
        <f t="shared" si="2"/>
        <v>270949.34447455034</v>
      </c>
      <c r="F47" s="3"/>
      <c r="G47" s="26">
        <v>7.31</v>
      </c>
      <c r="H47" s="10"/>
      <c r="I47" s="10">
        <f t="shared" si="8"/>
        <v>5076.9340410019313</v>
      </c>
      <c r="J47" s="10">
        <f t="shared" si="6"/>
        <v>60668348430.953346</v>
      </c>
      <c r="K47" s="11">
        <f t="shared" si="7"/>
        <v>9.7995920000000014E-2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11678851.054937467</v>
      </c>
      <c r="D48" s="11">
        <v>1.6100000000000003E-2</v>
      </c>
      <c r="E48" s="10">
        <f t="shared" si="2"/>
        <v>185050.19386329502</v>
      </c>
      <c r="F48" s="3"/>
      <c r="G48" s="26">
        <v>13.57</v>
      </c>
      <c r="H48" s="10"/>
      <c r="I48" s="10">
        <f t="shared" si="8"/>
        <v>4731.0912692218171</v>
      </c>
      <c r="J48" s="10">
        <f t="shared" si="6"/>
        <v>55253710260.556656</v>
      </c>
      <c r="K48" s="11">
        <f t="shared" si="7"/>
        <v>0.1539847700000001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11493800.861074172</v>
      </c>
      <c r="D49" s="11">
        <v>1.0899999999999998E-2</v>
      </c>
      <c r="E49" s="10">
        <f t="shared" si="2"/>
        <v>123931.57521585375</v>
      </c>
      <c r="F49" s="3"/>
      <c r="G49" s="26">
        <v>16.239999999999998</v>
      </c>
      <c r="H49" s="10"/>
      <c r="I49" s="10">
        <f t="shared" si="8"/>
        <v>4165.7931401090227</v>
      </c>
      <c r="J49" s="10">
        <f t="shared" si="6"/>
        <v>47880796780.841965</v>
      </c>
      <c r="K49" s="11">
        <f t="shared" si="7"/>
        <v>0.17507015999999975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11369869.285858318</v>
      </c>
      <c r="D50" s="11">
        <v>3.32E-2</v>
      </c>
      <c r="E50" s="10">
        <f t="shared" si="2"/>
        <v>365350.03899583407</v>
      </c>
      <c r="F50" s="3"/>
      <c r="G50" s="26">
        <v>3</v>
      </c>
      <c r="H50" s="10"/>
      <c r="I50" s="10">
        <f t="shared" si="8"/>
        <v>3583.7862526746585</v>
      </c>
      <c r="J50" s="10">
        <f t="shared" si="6"/>
        <v>40747181241.366875</v>
      </c>
      <c r="K50" s="11">
        <f t="shared" si="7"/>
        <v>6.419599999999992E-2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11004519.246862484</v>
      </c>
      <c r="D51" s="11">
        <v>1.5399999999999999E-2</v>
      </c>
      <c r="E51" s="10">
        <f t="shared" si="2"/>
        <v>166899.34646610543</v>
      </c>
      <c r="F51" s="3"/>
      <c r="G51" s="26">
        <v>-0.08</v>
      </c>
      <c r="H51" s="10"/>
      <c r="I51" s="10">
        <f t="shared" si="8"/>
        <v>3479.4041288103481</v>
      </c>
      <c r="J51" s="10">
        <f t="shared" si="6"/>
        <v>38289169703.10627</v>
      </c>
      <c r="K51" s="11">
        <f t="shared" si="7"/>
        <v>1.4587680000000214E-2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10837619.900396379</v>
      </c>
      <c r="D52" s="11">
        <v>2.4899999999999999E-2</v>
      </c>
      <c r="E52" s="10">
        <f t="shared" si="2"/>
        <v>263300.55178053305</v>
      </c>
      <c r="F52" s="3"/>
      <c r="G52" s="26">
        <v>9</v>
      </c>
      <c r="H52" s="10"/>
      <c r="I52" s="10">
        <f t="shared" si="8"/>
        <v>3482.18988071492</v>
      </c>
      <c r="J52" s="10">
        <f t="shared" si="6"/>
        <v>37738650348.194908</v>
      </c>
      <c r="K52" s="11">
        <f t="shared" si="7"/>
        <v>0.11714099999999972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10574319.348615846</v>
      </c>
      <c r="D53" s="11">
        <v>2.9600000000000001E-2</v>
      </c>
      <c r="E53" s="10">
        <f t="shared" si="2"/>
        <v>304001.41095476784</v>
      </c>
      <c r="F53" s="3"/>
      <c r="G53" s="26">
        <v>7.94</v>
      </c>
      <c r="H53" s="10"/>
      <c r="I53" s="10">
        <f t="shared" si="8"/>
        <v>3194.6696153347889</v>
      </c>
      <c r="J53" s="10">
        <f t="shared" si="6"/>
        <v>33781456725.869801</v>
      </c>
      <c r="K53" s="11">
        <f t="shared" si="7"/>
        <v>0.11135024000000016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10270317.937661078</v>
      </c>
      <c r="D54" s="11">
        <v>2.6799999999999997E-2</v>
      </c>
      <c r="E54" s="10">
        <f t="shared" si="2"/>
        <v>268060.49934682064</v>
      </c>
      <c r="F54" s="3"/>
      <c r="G54" s="26">
        <v>10.7</v>
      </c>
      <c r="H54" s="10"/>
      <c r="I54" s="10">
        <f t="shared" si="8"/>
        <v>2959.6716836527598</v>
      </c>
      <c r="J54" s="10">
        <f t="shared" si="6"/>
        <v>30396769182.206501</v>
      </c>
      <c r="K54" s="11">
        <f t="shared" si="7"/>
        <v>0.13666759999999978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10002257.438314257</v>
      </c>
      <c r="D55" s="11">
        <v>3.8199999999999998E-2</v>
      </c>
      <c r="E55" s="10">
        <f t="shared" si="2"/>
        <v>368027.58056598343</v>
      </c>
      <c r="F55" s="3"/>
      <c r="G55" s="26">
        <v>10.16</v>
      </c>
      <c r="H55" s="10"/>
      <c r="I55" s="10">
        <f t="shared" si="8"/>
        <v>2673.5968235345617</v>
      </c>
      <c r="J55" s="10">
        <f t="shared" si="6"/>
        <v>26742003715.251942</v>
      </c>
      <c r="K55" s="11">
        <f t="shared" si="7"/>
        <v>0.14368111999999966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9634229.8577482738</v>
      </c>
      <c r="D56" s="11">
        <v>2.3E-2</v>
      </c>
      <c r="E56" s="10">
        <f t="shared" si="2"/>
        <v>216605.36337068304</v>
      </c>
      <c r="F56" s="3"/>
      <c r="G56" s="26">
        <v>11.2</v>
      </c>
      <c r="H56" s="10"/>
      <c r="I56" s="10">
        <f t="shared" si="8"/>
        <v>2427.0123670429939</v>
      </c>
      <c r="J56" s="10">
        <f t="shared" si="6"/>
        <v>23382395011.689926</v>
      </c>
      <c r="K56" s="11">
        <f t="shared" si="7"/>
        <v>0.13757599999999992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9417624.4943775907</v>
      </c>
      <c r="D57" s="11">
        <v>2.5000000000000001E-2</v>
      </c>
      <c r="E57" s="10">
        <f t="shared" si="2"/>
        <v>229698.15839945339</v>
      </c>
      <c r="F57" s="3"/>
      <c r="G57" s="26">
        <v>6.58</v>
      </c>
      <c r="H57" s="10"/>
      <c r="I57" s="10">
        <f t="shared" si="8"/>
        <v>2182.5650782760736</v>
      </c>
      <c r="J57" s="10">
        <f t="shared" si="6"/>
        <v>20554578341.745895</v>
      </c>
      <c r="K57" s="11">
        <f t="shared" si="7"/>
        <v>9.244500000000011E-2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9187926.3359781373</v>
      </c>
      <c r="D58" s="11">
        <v>1.9999999999999997E-2</v>
      </c>
      <c r="E58" s="10">
        <f t="shared" si="2"/>
        <v>180155.41835251264</v>
      </c>
      <c r="F58" s="3"/>
      <c r="G58" s="26">
        <v>12.62</v>
      </c>
      <c r="H58" s="10"/>
      <c r="I58" s="10">
        <f t="shared" si="8"/>
        <v>2047.8186135072935</v>
      </c>
      <c r="J58" s="10">
        <f t="shared" si="6"/>
        <v>18815206570.349895</v>
      </c>
      <c r="K58" s="11">
        <f t="shared" si="7"/>
        <v>0.14872399999999986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9007770.9176256247</v>
      </c>
      <c r="D59" s="11">
        <v>2.5000000000000001E-2</v>
      </c>
      <c r="E59" s="10">
        <f t="shared" si="2"/>
        <v>219701.72969818488</v>
      </c>
      <c r="F59" s="3"/>
      <c r="G59" s="26">
        <v>7.19</v>
      </c>
      <c r="H59" s="10"/>
      <c r="I59" s="10">
        <f t="shared" si="8"/>
        <v>1818.3436454513353</v>
      </c>
      <c r="J59" s="10">
        <f t="shared" si="6"/>
        <v>16379223007.745897</v>
      </c>
      <c r="K59" s="11">
        <f t="shared" si="7"/>
        <v>9.8697499999999883E-2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8788069.1879274398</v>
      </c>
      <c r="D60" s="11">
        <v>4.8000000000000001E-2</v>
      </c>
      <c r="E60" s="10">
        <f t="shared" si="2"/>
        <v>402506.98570660129</v>
      </c>
      <c r="F60" s="3"/>
      <c r="G60" s="26">
        <v>8.69</v>
      </c>
      <c r="H60" s="10"/>
      <c r="I60" s="10">
        <f t="shared" si="8"/>
        <v>1696.3743310489181</v>
      </c>
      <c r="J60" s="10">
        <f t="shared" si="6"/>
        <v>14907854989.882019</v>
      </c>
      <c r="K60" s="11">
        <f t="shared" si="7"/>
        <v>0.13907120000000006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8385562.2022208385</v>
      </c>
      <c r="D61" s="11">
        <v>0.04</v>
      </c>
      <c r="E61" s="10">
        <f t="shared" si="2"/>
        <v>322521.62316234037</v>
      </c>
      <c r="F61" s="3"/>
      <c r="G61" s="26">
        <v>8.9</v>
      </c>
      <c r="H61" s="10"/>
      <c r="I61" s="10">
        <f t="shared" si="8"/>
        <v>1560.745543333258</v>
      </c>
      <c r="J61" s="10">
        <f t="shared" si="6"/>
        <v>13087728835.459993</v>
      </c>
      <c r="K61" s="11">
        <f t="shared" si="7"/>
        <v>0.13256000000000001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8063040.5790584981</v>
      </c>
      <c r="D62" s="11">
        <v>0.03</v>
      </c>
      <c r="E62" s="10">
        <f t="shared" si="2"/>
        <v>234845.84210850019</v>
      </c>
      <c r="F62" s="3"/>
      <c r="G62" s="26">
        <v>13.56</v>
      </c>
      <c r="H62" s="10"/>
      <c r="I62" s="10">
        <f t="shared" si="8"/>
        <v>1433.1914998468851</v>
      </c>
      <c r="J62" s="10">
        <f t="shared" si="6"/>
        <v>11555881220.827147</v>
      </c>
      <c r="K62" s="11">
        <f t="shared" si="7"/>
        <v>0.16966799999999993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7828194.736949998</v>
      </c>
      <c r="D63" s="11">
        <v>1.9999999999999997E-2</v>
      </c>
      <c r="E63" s="10">
        <f t="shared" si="2"/>
        <v>153494.01444999967</v>
      </c>
      <c r="F63" s="3"/>
      <c r="G63" s="26">
        <v>19.05</v>
      </c>
      <c r="H63" s="10"/>
      <c r="I63" s="10">
        <f t="shared" si="8"/>
        <v>1262.056621915186</v>
      </c>
      <c r="J63" s="10">
        <f t="shared" si="6"/>
        <v>9879625005.4093533</v>
      </c>
      <c r="K63" s="11">
        <f t="shared" si="7"/>
        <v>0.21431000000000022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7674700.7224999983</v>
      </c>
      <c r="D64" s="11">
        <v>1.5000000000000001E-2</v>
      </c>
      <c r="E64" s="10">
        <f t="shared" si="2"/>
        <v>113419.22249999922</v>
      </c>
      <c r="F64" s="3"/>
      <c r="G64" s="26">
        <v>-1.2</v>
      </c>
      <c r="H64" s="10"/>
      <c r="I64" s="10">
        <f t="shared" si="8"/>
        <v>1060.1063602815505</v>
      </c>
      <c r="J64" s="10">
        <f t="shared" si="6"/>
        <v>8135999049.1796589</v>
      </c>
      <c r="K64" s="11">
        <f t="shared" si="7"/>
        <v>2.8200000000000447E-3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7561281.4999999991</v>
      </c>
      <c r="D65" s="11">
        <v>2.5000000000000001E-2</v>
      </c>
      <c r="E65" s="10">
        <f t="shared" si="2"/>
        <v>184421.49999999907</v>
      </c>
      <c r="F65" s="3"/>
      <c r="G65" s="26">
        <v>4.3099999999999996</v>
      </c>
      <c r="H65" s="10"/>
      <c r="I65" s="10">
        <f t="shared" si="8"/>
        <v>1072.9821460339579</v>
      </c>
      <c r="J65" s="10">
        <f t="shared" si="6"/>
        <v>8113120050.6368628</v>
      </c>
      <c r="K65" s="11">
        <f t="shared" si="7"/>
        <v>6.9177499999999892E-2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7376860</v>
      </c>
      <c r="D66" s="11">
        <v>0.03</v>
      </c>
      <c r="E66" s="10">
        <f t="shared" si="2"/>
        <v>214860</v>
      </c>
      <c r="F66" s="3"/>
      <c r="G66" s="26">
        <v>3.2</v>
      </c>
      <c r="H66" s="10"/>
      <c r="I66" s="10">
        <f t="shared" si="8"/>
        <v>1028.6474413133524</v>
      </c>
      <c r="J66" s="10">
        <f t="shared" ref="J66:J67" si="9">IF(I66="","",I66*C66)</f>
        <v>7588188163.9268169</v>
      </c>
      <c r="K66" s="11">
        <f t="shared" ref="K66" si="10">IFERROR(J66/J67-1,"")</f>
        <v>6.2960000000000127E-2</v>
      </c>
    </row>
    <row r="67" spans="1:11" ht="22.5" customHeight="1">
      <c r="A67" s="3">
        <f t="shared" si="0"/>
        <v>1950</v>
      </c>
      <c r="B67" s="3">
        <v>1700</v>
      </c>
      <c r="C67" s="10">
        <v>7162000</v>
      </c>
      <c r="D67" s="11">
        <v>1.9999999999999997E-2</v>
      </c>
      <c r="E67" s="3" t="s">
        <v>72</v>
      </c>
      <c r="F67" s="3"/>
      <c r="G67" s="26">
        <v>3.3</v>
      </c>
      <c r="H67" s="10"/>
      <c r="I67" s="10">
        <f t="shared" ref="I67" si="11">IF(H67&lt;&gt;"",H67,I66/(1+IF(G66="",0,G66)/100))</f>
        <v>996.75139662146546</v>
      </c>
      <c r="J67" s="10">
        <f t="shared" si="9"/>
        <v>7138733502.6029358</v>
      </c>
      <c r="K67" s="11"/>
    </row>
  </sheetData>
  <dataValidations count="1">
    <dataValidation type="custom" allowBlank="1" showDropDown="1" sqref="D2:D67" xr:uid="{00000000-0002-0000-2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M67"/>
  <sheetViews>
    <sheetView topLeftCell="A31"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25083181.24625165</v>
      </c>
      <c r="D2" s="11">
        <v>1.17E-2</v>
      </c>
      <c r="E2" s="10">
        <f t="shared" ref="E2:E66" si="2">SUM(C2-C3)</f>
        <v>290079.29285474494</v>
      </c>
      <c r="F2" s="14">
        <v>25083674</v>
      </c>
      <c r="G2" s="26">
        <v>4.34</v>
      </c>
      <c r="H2" s="10"/>
      <c r="I2" s="10">
        <f>IF(H2&lt;&gt;"",H2,13936)</f>
        <v>1742</v>
      </c>
      <c r="J2" s="10">
        <f t="shared" ref="J2:J33" si="3">IF(I2="","",I2*C2)</f>
        <v>43694901730.970375</v>
      </c>
      <c r="K2" s="11">
        <f t="shared" ref="K2:K33" si="4">IFERROR(J2/J3-1,"")</f>
        <v>5.5607780000000107E-2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24793101.953396905</v>
      </c>
      <c r="D3" s="11">
        <v>1.2E-2</v>
      </c>
      <c r="E3" s="10">
        <f t="shared" si="2"/>
        <v>293989.35122605041</v>
      </c>
      <c r="F3" s="3"/>
      <c r="G3" s="26">
        <v>2.72</v>
      </c>
      <c r="H3" s="10"/>
      <c r="I3" s="10">
        <f t="shared" ref="I3:I34" si="5">IF(H3&lt;&gt;"",H3,I2/(1+IF(G2="",0,G2)/100))</f>
        <v>1669.5418823078396</v>
      </c>
      <c r="J3" s="10">
        <f t="shared" si="3"/>
        <v>41393122103.524445</v>
      </c>
      <c r="K3" s="11">
        <f t="shared" si="4"/>
        <v>3.9526400000000184E-2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24499112.602170855</v>
      </c>
      <c r="D4" s="11">
        <v>1.21E-2</v>
      </c>
      <c r="E4" s="10">
        <f t="shared" si="2"/>
        <v>292895.2302008383</v>
      </c>
      <c r="F4" s="3"/>
      <c r="G4" s="26">
        <v>4.12</v>
      </c>
      <c r="H4" s="10"/>
      <c r="I4" s="10">
        <f t="shared" si="5"/>
        <v>1625.3328293495322</v>
      </c>
      <c r="J4" s="10">
        <f t="shared" si="3"/>
        <v>39819212002.239136</v>
      </c>
      <c r="K4" s="11">
        <f t="shared" si="4"/>
        <v>5.3798519999999961E-2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24206217.371970017</v>
      </c>
      <c r="D5" s="11">
        <v>1.17E-2</v>
      </c>
      <c r="E5" s="10">
        <f t="shared" si="2"/>
        <v>279937.47479692474</v>
      </c>
      <c r="F5" s="3"/>
      <c r="G5" s="26">
        <v>3.06</v>
      </c>
      <c r="H5" s="10"/>
      <c r="I5" s="10">
        <f t="shared" si="5"/>
        <v>1561.0188526215254</v>
      </c>
      <c r="J5" s="10">
        <f t="shared" si="3"/>
        <v>37786361668.299873</v>
      </c>
      <c r="K5" s="11">
        <f t="shared" si="4"/>
        <v>4.2658019999999963E-2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23926279.897173092</v>
      </c>
      <c r="D6" s="11">
        <v>1.12E-2</v>
      </c>
      <c r="E6" s="10">
        <f t="shared" si="2"/>
        <v>265006.26468387991</v>
      </c>
      <c r="F6" s="3"/>
      <c r="G6" s="26">
        <v>5.52</v>
      </c>
      <c r="H6" s="10"/>
      <c r="I6" s="10">
        <f t="shared" si="5"/>
        <v>1514.6699520876437</v>
      </c>
      <c r="J6" s="10">
        <f t="shared" si="3"/>
        <v>36240417225.486717</v>
      </c>
      <c r="K6" s="11">
        <f t="shared" si="4"/>
        <v>6.7018239999999896E-2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23661273.632489212</v>
      </c>
      <c r="D7" s="11">
        <v>1.0500000000000001E-2</v>
      </c>
      <c r="E7" s="10">
        <f t="shared" si="2"/>
        <v>245861.82398924977</v>
      </c>
      <c r="F7" s="3"/>
      <c r="G7" s="26">
        <v>3.5</v>
      </c>
      <c r="H7" s="10"/>
      <c r="I7" s="10">
        <f t="shared" si="5"/>
        <v>1435.4339955341582</v>
      </c>
      <c r="J7" s="10">
        <f t="shared" si="3"/>
        <v>33964196549.711014</v>
      </c>
      <c r="K7" s="11">
        <f t="shared" si="4"/>
        <v>4.586749999999995E-2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23415411.808499962</v>
      </c>
      <c r="D8" s="11">
        <v>0.01</v>
      </c>
      <c r="E8" s="10">
        <f t="shared" si="2"/>
        <v>231835.76048019901</v>
      </c>
      <c r="F8" s="3"/>
      <c r="G8" s="26">
        <v>3.75</v>
      </c>
      <c r="H8" s="10"/>
      <c r="I8" s="10">
        <f t="shared" si="5"/>
        <v>1386.8927493083654</v>
      </c>
      <c r="J8" s="10">
        <f t="shared" si="3"/>
        <v>32474664859.278076</v>
      </c>
      <c r="K8" s="11">
        <f t="shared" si="4"/>
        <v>4.7875000000000112E-2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23183576.048019763</v>
      </c>
      <c r="D9" s="11">
        <v>9.9000000000000008E-3</v>
      </c>
      <c r="E9" s="10">
        <f t="shared" si="2"/>
        <v>227267.45507020131</v>
      </c>
      <c r="F9" s="3"/>
      <c r="G9" s="26">
        <v>5.68</v>
      </c>
      <c r="H9" s="10"/>
      <c r="I9" s="10">
        <f t="shared" si="5"/>
        <v>1336.7640957189062</v>
      </c>
      <c r="J9" s="10">
        <f t="shared" si="3"/>
        <v>30990972071.361633</v>
      </c>
      <c r="K9" s="11">
        <f t="shared" si="4"/>
        <v>6.7262319999999987E-2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22956308.592949562</v>
      </c>
      <c r="D10" s="11">
        <v>1.0500000000000001E-2</v>
      </c>
      <c r="E10" s="10">
        <f t="shared" si="2"/>
        <v>238536.60586439446</v>
      </c>
      <c r="F10" s="3"/>
      <c r="G10" s="26">
        <v>3.44</v>
      </c>
      <c r="H10" s="10"/>
      <c r="I10" s="10">
        <f t="shared" si="5"/>
        <v>1264.916820324476</v>
      </c>
      <c r="J10" s="10">
        <f t="shared" si="3"/>
        <v>29037820871.781204</v>
      </c>
      <c r="K10" s="11">
        <f t="shared" si="4"/>
        <v>4.526119999999989E-2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22717771.987085167</v>
      </c>
      <c r="D11" s="11">
        <v>9.2999999999999992E-3</v>
      </c>
      <c r="E11" s="10">
        <f t="shared" si="2"/>
        <v>209328.52420479059</v>
      </c>
      <c r="F11" s="3"/>
      <c r="G11" s="26">
        <v>7.79</v>
      </c>
      <c r="H11" s="10"/>
      <c r="I11" s="10">
        <f t="shared" si="5"/>
        <v>1222.8507543740102</v>
      </c>
      <c r="J11" s="10">
        <f t="shared" si="3"/>
        <v>27780444612.103855</v>
      </c>
      <c r="K11" s="11">
        <f t="shared" si="4"/>
        <v>8.7924470000000143E-2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22508443.462880377</v>
      </c>
      <c r="D12" s="11">
        <v>8.8999999999999999E-3</v>
      </c>
      <c r="E12" s="10">
        <f t="shared" si="2"/>
        <v>198557.98079059646</v>
      </c>
      <c r="F12" s="3"/>
      <c r="G12" s="26">
        <v>3.19</v>
      </c>
      <c r="H12" s="10"/>
      <c r="I12" s="10">
        <f t="shared" si="5"/>
        <v>1134.4751408980519</v>
      </c>
      <c r="J12" s="10">
        <f t="shared" si="3"/>
        <v>25535269568.947052</v>
      </c>
      <c r="K12" s="11">
        <f t="shared" si="4"/>
        <v>4.1083910000000001E-2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22309885.48208978</v>
      </c>
      <c r="D13" s="11">
        <v>9.4999999999999998E-3</v>
      </c>
      <c r="E13" s="10">
        <f t="shared" si="2"/>
        <v>209949.39284779876</v>
      </c>
      <c r="F13" s="3"/>
      <c r="G13" s="26">
        <v>4.57</v>
      </c>
      <c r="H13" s="10"/>
      <c r="I13" s="10">
        <f t="shared" si="5"/>
        <v>1099.4041485590192</v>
      </c>
      <c r="J13" s="10">
        <f t="shared" si="3"/>
        <v>24527580652.886139</v>
      </c>
      <c r="K13" s="11">
        <f t="shared" si="4"/>
        <v>5.563415000000016E-2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22099936.089241982</v>
      </c>
      <c r="D14" s="11">
        <v>9.7000000000000003E-3</v>
      </c>
      <c r="E14" s="10">
        <f t="shared" si="2"/>
        <v>212309.97332440317</v>
      </c>
      <c r="F14" s="3"/>
      <c r="G14" s="26">
        <v>6.17</v>
      </c>
      <c r="H14" s="10"/>
      <c r="I14" s="10">
        <f t="shared" si="5"/>
        <v>1051.3571278177481</v>
      </c>
      <c r="J14" s="10">
        <f t="shared" si="3"/>
        <v>23234925331.741245</v>
      </c>
      <c r="K14" s="11">
        <f t="shared" si="4"/>
        <v>7.1998490000000359E-2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21887626.115917578</v>
      </c>
      <c r="D15" s="11">
        <v>1.06E-2</v>
      </c>
      <c r="E15" s="10">
        <f t="shared" si="2"/>
        <v>229575.33824334666</v>
      </c>
      <c r="F15" s="3"/>
      <c r="G15" s="26">
        <v>3.73</v>
      </c>
      <c r="H15" s="10"/>
      <c r="I15" s="10">
        <f t="shared" si="5"/>
        <v>990.2581970591956</v>
      </c>
      <c r="J15" s="10">
        <f t="shared" si="3"/>
        <v>21674401175.454304</v>
      </c>
      <c r="K15" s="11">
        <f t="shared" si="4"/>
        <v>4.8295379999999888E-2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21658050.777674232</v>
      </c>
      <c r="D16" s="11">
        <v>1.3899999999999999E-2</v>
      </c>
      <c r="E16" s="10">
        <f t="shared" si="2"/>
        <v>296919.72167834267</v>
      </c>
      <c r="F16" s="3"/>
      <c r="G16" s="26">
        <v>-2.72</v>
      </c>
      <c r="H16" s="10"/>
      <c r="I16" s="10">
        <f t="shared" si="5"/>
        <v>954.64976097483418</v>
      </c>
      <c r="J16" s="10">
        <f t="shared" si="3"/>
        <v>20675852998.087528</v>
      </c>
      <c r="K16" s="11">
        <f t="shared" si="4"/>
        <v>-1.3678079999999926E-2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21361131.055995889</v>
      </c>
      <c r="D17" s="11">
        <v>1.7899999999999999E-2</v>
      </c>
      <c r="E17" s="10">
        <f t="shared" si="2"/>
        <v>375640.28480432928</v>
      </c>
      <c r="F17" s="3"/>
      <c r="G17" s="26">
        <v>-9.3000000000000007</v>
      </c>
      <c r="H17" s="10"/>
      <c r="I17" s="10">
        <f t="shared" si="5"/>
        <v>981.34227073893317</v>
      </c>
      <c r="J17" s="10">
        <f t="shared" si="3"/>
        <v>20962580856.04295</v>
      </c>
      <c r="K17" s="11">
        <f t="shared" si="4"/>
        <v>-7.6764700000000019E-2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20985490.77119156</v>
      </c>
      <c r="D18" s="11">
        <v>1.9699999999999999E-2</v>
      </c>
      <c r="E18" s="10">
        <f t="shared" si="2"/>
        <v>405427.25134105608</v>
      </c>
      <c r="F18" s="3"/>
      <c r="G18" s="26">
        <v>11.7</v>
      </c>
      <c r="H18" s="10"/>
      <c r="I18" s="10">
        <f t="shared" si="5"/>
        <v>1081.9650173527377</v>
      </c>
      <c r="J18" s="10">
        <f t="shared" si="3"/>
        <v>22705566886.407993</v>
      </c>
      <c r="K18" s="11">
        <f t="shared" si="4"/>
        <v>0.13900489999999999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20580063.519850504</v>
      </c>
      <c r="D19" s="11">
        <v>2.06E-2</v>
      </c>
      <c r="E19" s="10">
        <f t="shared" si="2"/>
        <v>415392.22859976441</v>
      </c>
      <c r="F19" s="3"/>
      <c r="G19" s="26">
        <v>7.24</v>
      </c>
      <c r="H19" s="10"/>
      <c r="I19" s="10">
        <f t="shared" si="5"/>
        <v>968.63475143485925</v>
      </c>
      <c r="J19" s="10">
        <f t="shared" si="3"/>
        <v>19934564712.064007</v>
      </c>
      <c r="K19" s="11">
        <f t="shared" si="4"/>
        <v>9.4491439999999871E-2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20164671.291250739</v>
      </c>
      <c r="D20" s="11">
        <v>2.1600000000000001E-2</v>
      </c>
      <c r="E20" s="10">
        <f t="shared" si="2"/>
        <v>426347.7876771912</v>
      </c>
      <c r="F20" s="3"/>
      <c r="G20" s="26">
        <v>3.2</v>
      </c>
      <c r="H20" s="10"/>
      <c r="I20" s="10">
        <f t="shared" si="5"/>
        <v>903.24016359087955</v>
      </c>
      <c r="J20" s="10">
        <f t="shared" si="3"/>
        <v>18213540995.865631</v>
      </c>
      <c r="K20" s="11">
        <f t="shared" si="4"/>
        <v>5.4291200000000206E-2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19738323.503573548</v>
      </c>
      <c r="D21" s="11">
        <v>2.2700000000000001E-2</v>
      </c>
      <c r="E21" s="10">
        <f t="shared" si="2"/>
        <v>438114.73895679787</v>
      </c>
      <c r="F21" s="3"/>
      <c r="G21" s="26">
        <v>12.37</v>
      </c>
      <c r="H21" s="10"/>
      <c r="I21" s="10">
        <f t="shared" si="5"/>
        <v>875.23271665782897</v>
      </c>
      <c r="J21" s="10">
        <f t="shared" si="3"/>
        <v>17275626502.303753</v>
      </c>
      <c r="K21" s="11">
        <f t="shared" si="4"/>
        <v>0.14920798999999985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19300208.76461675</v>
      </c>
      <c r="D22" s="11">
        <v>2.3900000000000001E-2</v>
      </c>
      <c r="E22" s="10">
        <f t="shared" si="2"/>
        <v>450507.85181593895</v>
      </c>
      <c r="F22" s="3"/>
      <c r="G22" s="26">
        <v>-5.41</v>
      </c>
      <c r="H22" s="10"/>
      <c r="I22" s="10">
        <f t="shared" si="5"/>
        <v>778.88468155008366</v>
      </c>
      <c r="J22" s="10">
        <f t="shared" si="3"/>
        <v>15032636957.478651</v>
      </c>
      <c r="K22" s="11">
        <f t="shared" si="4"/>
        <v>-3.1492990000000054E-2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18849700.912800811</v>
      </c>
      <c r="D23" s="11">
        <v>2.4E-2</v>
      </c>
      <c r="E23" s="10">
        <f t="shared" si="2"/>
        <v>441789.86514376849</v>
      </c>
      <c r="F23" s="3"/>
      <c r="G23" s="26">
        <v>10.59</v>
      </c>
      <c r="H23" s="10"/>
      <c r="I23" s="10">
        <f t="shared" si="5"/>
        <v>823.43237292534479</v>
      </c>
      <c r="J23" s="10">
        <f t="shared" si="3"/>
        <v>15521453951.56061</v>
      </c>
      <c r="K23" s="11">
        <f t="shared" si="4"/>
        <v>0.13244160000000016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18407911.047657043</v>
      </c>
      <c r="D24" s="11">
        <v>2.5899999999999999E-2</v>
      </c>
      <c r="E24" s="10">
        <f t="shared" si="2"/>
        <v>464728.42980243638</v>
      </c>
      <c r="F24" s="3"/>
      <c r="G24" s="26">
        <v>4.3</v>
      </c>
      <c r="H24" s="10"/>
      <c r="I24" s="10">
        <f t="shared" si="5"/>
        <v>744.58122156193576</v>
      </c>
      <c r="J24" s="10">
        <f t="shared" si="3"/>
        <v>13706184894.267933</v>
      </c>
      <c r="K24" s="11">
        <f t="shared" si="4"/>
        <v>7.0013700000000068E-2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17943182.617854606</v>
      </c>
      <c r="D25" s="11">
        <v>2.5499999999999998E-2</v>
      </c>
      <c r="E25" s="10">
        <f t="shared" si="2"/>
        <v>446173.72672383487</v>
      </c>
      <c r="F25" s="3"/>
      <c r="G25" s="26">
        <v>2.1</v>
      </c>
      <c r="H25" s="10"/>
      <c r="I25" s="10">
        <f t="shared" si="5"/>
        <v>713.88420092227784</v>
      </c>
      <c r="J25" s="10">
        <f t="shared" si="3"/>
        <v>12809354585.149641</v>
      </c>
      <c r="K25" s="11">
        <f t="shared" si="4"/>
        <v>4.7035500000000008E-2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17497008.891130771</v>
      </c>
      <c r="D26" s="11">
        <v>2.4500000000000001E-2</v>
      </c>
      <c r="E26" s="10">
        <f t="shared" si="2"/>
        <v>418425.2980309464</v>
      </c>
      <c r="F26" s="3"/>
      <c r="G26" s="26">
        <v>7.22</v>
      </c>
      <c r="H26" s="10"/>
      <c r="I26" s="10">
        <f t="shared" si="5"/>
        <v>699.20098033523789</v>
      </c>
      <c r="J26" s="10">
        <f t="shared" si="3"/>
        <v>12233925769.613008</v>
      </c>
      <c r="K26" s="11">
        <f t="shared" si="4"/>
        <v>9.8468900000000081E-2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17078583.593099825</v>
      </c>
      <c r="D27" s="11">
        <v>2.3900000000000001E-2</v>
      </c>
      <c r="E27" s="10">
        <f t="shared" si="2"/>
        <v>398650.40323770419</v>
      </c>
      <c r="F27" s="3"/>
      <c r="G27" s="26">
        <v>-3.41</v>
      </c>
      <c r="H27" s="10"/>
      <c r="I27" s="10">
        <f t="shared" si="5"/>
        <v>652.11805664543726</v>
      </c>
      <c r="J27" s="10">
        <f t="shared" si="3"/>
        <v>11137252742.988907</v>
      </c>
      <c r="K27" s="11">
        <f t="shared" si="4"/>
        <v>-1.1014989999999947E-2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16679933.189862121</v>
      </c>
      <c r="D28" s="11">
        <v>2.4199999999999999E-2</v>
      </c>
      <c r="E28" s="10">
        <f t="shared" si="2"/>
        <v>394116.75765930861</v>
      </c>
      <c r="F28" s="3"/>
      <c r="G28" s="26">
        <v>2.85</v>
      </c>
      <c r="H28" s="10"/>
      <c r="I28" s="10">
        <f t="shared" si="5"/>
        <v>675.14034231849803</v>
      </c>
      <c r="J28" s="10">
        <f t="shared" si="3"/>
        <v>11261295803.653189</v>
      </c>
      <c r="K28" s="11">
        <f t="shared" si="4"/>
        <v>5.3389699999999873E-2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16285816.432202812</v>
      </c>
      <c r="D29" s="11">
        <v>2.5100000000000001E-2</v>
      </c>
      <c r="E29" s="10">
        <f t="shared" si="2"/>
        <v>398764.99116992392</v>
      </c>
      <c r="F29" s="3"/>
      <c r="G29" s="26">
        <v>11.88</v>
      </c>
      <c r="H29" s="10"/>
      <c r="I29" s="10">
        <f t="shared" si="5"/>
        <v>656.43202947836471</v>
      </c>
      <c r="J29" s="10">
        <f t="shared" si="3"/>
        <v>10690531532.302994</v>
      </c>
      <c r="K29" s="11">
        <f t="shared" si="4"/>
        <v>0.14688188000000002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15887051.441032888</v>
      </c>
      <c r="D30" s="12">
        <v>2.4299999999999999E-2</v>
      </c>
      <c r="E30" s="10">
        <f t="shared" si="2"/>
        <v>376896.75877877511</v>
      </c>
      <c r="F30" s="3"/>
      <c r="G30" s="26">
        <v>-0.33</v>
      </c>
      <c r="H30" s="10"/>
      <c r="I30" s="10">
        <f t="shared" si="5"/>
        <v>586.72866417444106</v>
      </c>
      <c r="J30" s="10">
        <f t="shared" si="3"/>
        <v>9321388469.6678562</v>
      </c>
      <c r="K30" s="11">
        <f t="shared" si="4"/>
        <v>2.0919810000000094E-2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15510154.682254113</v>
      </c>
      <c r="D31" s="13">
        <v>2.4E-2</v>
      </c>
      <c r="E31" s="10">
        <f t="shared" si="2"/>
        <v>363519.25036533177</v>
      </c>
      <c r="F31" s="3"/>
      <c r="G31" s="26">
        <v>9.27</v>
      </c>
      <c r="H31" s="10"/>
      <c r="I31" s="10">
        <f t="shared" si="5"/>
        <v>588.67127939644934</v>
      </c>
      <c r="J31" s="10">
        <f t="shared" si="3"/>
        <v>9130382600.4393578</v>
      </c>
      <c r="K31" s="11">
        <f t="shared" si="4"/>
        <v>0.11892480000000005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15146635.431888781</v>
      </c>
      <c r="D32" s="12">
        <v>2.4299999999999999E-2</v>
      </c>
      <c r="E32" s="10">
        <f t="shared" si="2"/>
        <v>359331.48588782363</v>
      </c>
      <c r="F32" s="3"/>
      <c r="G32" s="26">
        <v>6.01</v>
      </c>
      <c r="H32" s="10"/>
      <c r="I32" s="10">
        <f t="shared" si="5"/>
        <v>538.73092284840243</v>
      </c>
      <c r="J32" s="10">
        <f t="shared" si="3"/>
        <v>8159960884.2697535</v>
      </c>
      <c r="K32" s="11">
        <f t="shared" si="4"/>
        <v>8.5860430000000099E-2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14787303.946000958</v>
      </c>
      <c r="D33" s="13">
        <v>2.3900000000000001E-2</v>
      </c>
      <c r="E33" s="10">
        <f t="shared" si="2"/>
        <v>345167.0713052284</v>
      </c>
      <c r="F33" s="3"/>
      <c r="G33" s="26">
        <v>6.42</v>
      </c>
      <c r="H33" s="10"/>
      <c r="I33" s="10">
        <f t="shared" si="5"/>
        <v>508.18877733082013</v>
      </c>
      <c r="J33" s="10">
        <f t="shared" si="3"/>
        <v>7514741912.3374386</v>
      </c>
      <c r="K33" s="11">
        <f t="shared" si="4"/>
        <v>8.9634380000000125E-2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14442136.874695729</v>
      </c>
      <c r="D34" s="12">
        <v>2.3599999999999999E-2</v>
      </c>
      <c r="E34" s="10">
        <f t="shared" si="2"/>
        <v>332976.1921090465</v>
      </c>
      <c r="F34" s="3"/>
      <c r="G34" s="26">
        <v>0.09</v>
      </c>
      <c r="H34" s="10"/>
      <c r="I34" s="10">
        <f t="shared" si="5"/>
        <v>477.53126980907734</v>
      </c>
      <c r="J34" s="10">
        <f t="shared" ref="J34:J65" si="6">IF(I34="","",I34*C34)</f>
        <v>6896571960.5299511</v>
      </c>
      <c r="K34" s="11">
        <f t="shared" ref="K34:K65" si="7">IFERROR(J34/J35-1,"")</f>
        <v>3.7828039999999952E-2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14109160.682586683</v>
      </c>
      <c r="D35" s="11">
        <v>2.3400000000000001E-2</v>
      </c>
      <c r="E35" s="10">
        <f t="shared" si="2"/>
        <v>322605.39375857823</v>
      </c>
      <c r="F35" s="3"/>
      <c r="G35" s="26">
        <v>6.26</v>
      </c>
      <c r="H35" s="10"/>
      <c r="I35" s="10">
        <f t="shared" ref="I35:I66" si="8">IF(H35&lt;&gt;"",H35,I34/(1+IF(G34="",0,G34)/100))</f>
        <v>470.98458409022322</v>
      </c>
      <c r="J35" s="10">
        <f t="shared" si="6"/>
        <v>6645197175.9502192</v>
      </c>
      <c r="K35" s="11">
        <f t="shared" si="7"/>
        <v>0.11509663999999997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13786555.288828105</v>
      </c>
      <c r="D36" s="11">
        <v>2.3599999999999999E-2</v>
      </c>
      <c r="E36" s="10">
        <f t="shared" si="2"/>
        <v>317861.18094601855</v>
      </c>
      <c r="F36" s="3"/>
      <c r="G36" s="26">
        <v>-6.54</v>
      </c>
      <c r="H36" s="10"/>
      <c r="I36" s="10">
        <f t="shared" si="8"/>
        <v>432.25457423845745</v>
      </c>
      <c r="J36" s="10">
        <f t="shared" si="6"/>
        <v>5959301586.5873461</v>
      </c>
      <c r="K36" s="11">
        <f t="shared" si="7"/>
        <v>5.7893600000000767E-3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13468694.107882086</v>
      </c>
      <c r="D37" s="11">
        <v>2.4299999999999999E-2</v>
      </c>
      <c r="E37" s="10">
        <f t="shared" si="2"/>
        <v>319524.81384509802</v>
      </c>
      <c r="F37" s="3"/>
      <c r="G37" s="26">
        <v>-3.66</v>
      </c>
      <c r="H37" s="10"/>
      <c r="I37" s="10">
        <f t="shared" si="8"/>
        <v>439.90899067622371</v>
      </c>
      <c r="J37" s="10">
        <f t="shared" si="6"/>
        <v>5924999630.7252102</v>
      </c>
      <c r="K37" s="11">
        <f t="shared" si="7"/>
        <v>4.1098519999999805E-2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13149169.294036988</v>
      </c>
      <c r="D38" s="11">
        <v>2.5000000000000001E-2</v>
      </c>
      <c r="E38" s="10">
        <f t="shared" si="2"/>
        <v>320711.44619602337</v>
      </c>
      <c r="F38" s="3"/>
      <c r="G38" s="26">
        <v>-0.91</v>
      </c>
      <c r="H38" s="10"/>
      <c r="I38" s="10">
        <f t="shared" si="8"/>
        <v>432.81089204665852</v>
      </c>
      <c r="J38" s="10">
        <f t="shared" si="6"/>
        <v>5691103691.8246803</v>
      </c>
      <c r="K38" s="11">
        <f t="shared" si="7"/>
        <v>5.3597499999999965E-2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12828457.847840965</v>
      </c>
      <c r="D39" s="11">
        <v>2.5100000000000001E-2</v>
      </c>
      <c r="E39" s="10">
        <f t="shared" si="2"/>
        <v>314110.12777368724</v>
      </c>
      <c r="F39" s="3"/>
      <c r="G39" s="26">
        <v>2.23</v>
      </c>
      <c r="H39" s="10"/>
      <c r="I39" s="10">
        <f t="shared" si="8"/>
        <v>421.06322798585319</v>
      </c>
      <c r="J39" s="10">
        <f t="shared" si="6"/>
        <v>5401591871.4923677</v>
      </c>
      <c r="K39" s="11">
        <f t="shared" si="7"/>
        <v>4.7959729999999867E-2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12514347.720067278</v>
      </c>
      <c r="D40" s="11">
        <v>2.5899999999999999E-2</v>
      </c>
      <c r="E40" s="10">
        <f t="shared" si="2"/>
        <v>315938.79125620797</v>
      </c>
      <c r="F40" s="3"/>
      <c r="G40" s="26">
        <v>6.06</v>
      </c>
      <c r="H40" s="10"/>
      <c r="I40" s="10">
        <f t="shared" si="8"/>
        <v>411.8783409819556</v>
      </c>
      <c r="J40" s="10">
        <f t="shared" si="6"/>
        <v>5154388777.4126291</v>
      </c>
      <c r="K40" s="11">
        <f t="shared" si="7"/>
        <v>8.8069540000000224E-2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12198408.92881107</v>
      </c>
      <c r="D41" s="11">
        <v>2.6499999999999999E-2</v>
      </c>
      <c r="E41" s="10">
        <f t="shared" si="2"/>
        <v>314912.65135264769</v>
      </c>
      <c r="F41" s="3"/>
      <c r="G41" s="26">
        <v>10.81</v>
      </c>
      <c r="H41" s="10"/>
      <c r="I41" s="10">
        <f t="shared" si="8"/>
        <v>388.34465489530038</v>
      </c>
      <c r="J41" s="10">
        <f t="shared" si="6"/>
        <v>4737186905.7308855</v>
      </c>
      <c r="K41" s="11">
        <f t="shared" si="7"/>
        <v>0.13746465000000008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11883496.277458422</v>
      </c>
      <c r="D42" s="11">
        <v>2.6200000000000001E-2</v>
      </c>
      <c r="E42" s="10">
        <f t="shared" si="2"/>
        <v>303398.56019237079</v>
      </c>
      <c r="F42" s="3"/>
      <c r="G42" s="26">
        <v>-7.56</v>
      </c>
      <c r="H42" s="10"/>
      <c r="I42" s="10">
        <f t="shared" si="8"/>
        <v>350.4599358318747</v>
      </c>
      <c r="J42" s="10">
        <f t="shared" si="6"/>
        <v>4164689342.8564005</v>
      </c>
      <c r="K42" s="11">
        <f t="shared" si="7"/>
        <v>-5.1380719999999935E-2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11580097.717266051</v>
      </c>
      <c r="D43" s="11">
        <v>2.6200000000000001E-2</v>
      </c>
      <c r="E43" s="10">
        <f t="shared" si="2"/>
        <v>295652.46559381299</v>
      </c>
      <c r="F43" s="3"/>
      <c r="G43" s="26">
        <v>5.6</v>
      </c>
      <c r="H43" s="10"/>
      <c r="I43" s="10">
        <f t="shared" si="8"/>
        <v>379.12152296827639</v>
      </c>
      <c r="J43" s="10">
        <f t="shared" si="6"/>
        <v>4390264282.6913662</v>
      </c>
      <c r="K43" s="11">
        <f t="shared" si="7"/>
        <v>8.3667200000000053E-2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11284445.251672238</v>
      </c>
      <c r="D44" s="11">
        <v>2.6100000000000002E-2</v>
      </c>
      <c r="E44" s="10">
        <f t="shared" si="2"/>
        <v>287032.47351003438</v>
      </c>
      <c r="F44" s="3"/>
      <c r="G44" s="26">
        <v>3.56</v>
      </c>
      <c r="H44" s="10"/>
      <c r="I44" s="10">
        <f t="shared" si="8"/>
        <v>359.01659371995868</v>
      </c>
      <c r="J44" s="10">
        <f t="shared" si="6"/>
        <v>4051303096.2747288</v>
      </c>
      <c r="K44" s="11">
        <f t="shared" si="7"/>
        <v>6.2629160000000184E-2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10997412.778162204</v>
      </c>
      <c r="D45" s="11">
        <v>2.5499999999999998E-2</v>
      </c>
      <c r="E45" s="10">
        <f t="shared" si="2"/>
        <v>273460.77605376579</v>
      </c>
      <c r="F45" s="3"/>
      <c r="G45" s="26">
        <v>2.44</v>
      </c>
      <c r="H45" s="10"/>
      <c r="I45" s="10">
        <f t="shared" si="8"/>
        <v>346.67496496712886</v>
      </c>
      <c r="J45" s="10">
        <f t="shared" si="6"/>
        <v>3812527689.5984373</v>
      </c>
      <c r="K45" s="11">
        <f t="shared" si="7"/>
        <v>5.0522200000000073E-2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10723952.002108438</v>
      </c>
      <c r="D46" s="11">
        <v>2.4199999999999999E-2</v>
      </c>
      <c r="E46" s="10">
        <f t="shared" si="2"/>
        <v>253387.65714804083</v>
      </c>
      <c r="F46" s="3"/>
      <c r="G46" s="26">
        <v>5.6</v>
      </c>
      <c r="H46" s="10"/>
      <c r="I46" s="10">
        <f t="shared" si="8"/>
        <v>338.4175761100438</v>
      </c>
      <c r="J46" s="10">
        <f t="shared" si="6"/>
        <v>3629173842.8739886</v>
      </c>
      <c r="K46" s="11">
        <f t="shared" si="7"/>
        <v>8.1555199999999939E-2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10470564.344960397</v>
      </c>
      <c r="D47" s="11">
        <v>2.3199999999999998E-2</v>
      </c>
      <c r="E47" s="10">
        <f t="shared" si="2"/>
        <v>237409.19937752374</v>
      </c>
      <c r="F47" s="3"/>
      <c r="G47" s="26">
        <v>4.71</v>
      </c>
      <c r="H47" s="10"/>
      <c r="I47" s="10">
        <f t="shared" si="8"/>
        <v>320.47118949814751</v>
      </c>
      <c r="J47" s="10">
        <f t="shared" si="6"/>
        <v>3355514210.3463502</v>
      </c>
      <c r="K47" s="11">
        <f t="shared" si="7"/>
        <v>7.1392719999999965E-2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10233155.145582873</v>
      </c>
      <c r="D48" s="11">
        <v>2.2700000000000001E-2</v>
      </c>
      <c r="E48" s="10">
        <f t="shared" si="2"/>
        <v>227136.62051895075</v>
      </c>
      <c r="F48" s="3"/>
      <c r="G48" s="26">
        <v>8.36</v>
      </c>
      <c r="H48" s="10"/>
      <c r="I48" s="10">
        <f t="shared" si="8"/>
        <v>306.05595406183511</v>
      </c>
      <c r="J48" s="10">
        <f t="shared" si="6"/>
        <v>3131918061.1441436</v>
      </c>
      <c r="K48" s="11">
        <f t="shared" si="7"/>
        <v>0.10819771999999994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10006018.525063923</v>
      </c>
      <c r="D49" s="11">
        <v>2.1999999999999999E-2</v>
      </c>
      <c r="E49" s="10">
        <f t="shared" si="2"/>
        <v>215393.74515793286</v>
      </c>
      <c r="F49" s="3"/>
      <c r="G49" s="26">
        <v>9.89</v>
      </c>
      <c r="H49" s="10"/>
      <c r="I49" s="10">
        <f t="shared" si="8"/>
        <v>282.44366377061198</v>
      </c>
      <c r="J49" s="10">
        <f t="shared" si="6"/>
        <v>2826136531.9756694</v>
      </c>
      <c r="K49" s="11">
        <f t="shared" si="7"/>
        <v>0.12307580000000029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9790624.7799059898</v>
      </c>
      <c r="D50" s="11">
        <v>2.1299999999999999E-2</v>
      </c>
      <c r="E50" s="10">
        <f t="shared" si="2"/>
        <v>204191.03868794441</v>
      </c>
      <c r="F50" s="3"/>
      <c r="G50" s="26">
        <v>10.029999999999999</v>
      </c>
      <c r="H50" s="10"/>
      <c r="I50" s="10">
        <f t="shared" si="8"/>
        <v>257.02399105524796</v>
      </c>
      <c r="J50" s="10">
        <f t="shared" si="6"/>
        <v>2516425455.8558459</v>
      </c>
      <c r="K50" s="11">
        <f t="shared" si="7"/>
        <v>0.12373638999999992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9586433.7412180454</v>
      </c>
      <c r="D51" s="11">
        <v>2.0400000000000001E-2</v>
      </c>
      <c r="E51" s="10">
        <f t="shared" si="2"/>
        <v>191653.51658256352</v>
      </c>
      <c r="F51" s="3"/>
      <c r="G51" s="29">
        <v>6.95</v>
      </c>
      <c r="H51" s="10"/>
      <c r="I51" s="10">
        <f t="shared" si="8"/>
        <v>233.59446610492407</v>
      </c>
      <c r="J51" s="10">
        <f t="shared" si="6"/>
        <v>2239337871.6300592</v>
      </c>
      <c r="K51" s="11">
        <f t="shared" si="7"/>
        <v>9.1317800000000116E-2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9394780.2246354818</v>
      </c>
      <c r="D52" s="11">
        <v>1.9699999999999999E-2</v>
      </c>
      <c r="E52" s="10">
        <f t="shared" si="2"/>
        <v>181501.5891196616</v>
      </c>
      <c r="F52" s="3"/>
      <c r="G52" s="29">
        <v>7.45</v>
      </c>
      <c r="H52" s="10"/>
      <c r="I52" s="10">
        <f t="shared" si="8"/>
        <v>218.41464806444512</v>
      </c>
      <c r="J52" s="10">
        <f t="shared" si="6"/>
        <v>2051957616.4065673</v>
      </c>
      <c r="K52" s="11">
        <f t="shared" si="7"/>
        <v>9.5667649999999993E-2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9213278.6355158202</v>
      </c>
      <c r="D53" s="11">
        <v>1.9199999999999998E-2</v>
      </c>
      <c r="E53" s="10">
        <f t="shared" si="2"/>
        <v>173562.54886372201</v>
      </c>
      <c r="F53" s="3"/>
      <c r="G53" s="29">
        <v>4.2300000000000004</v>
      </c>
      <c r="H53" s="10"/>
      <c r="I53" s="10">
        <f t="shared" si="8"/>
        <v>203.27096143736168</v>
      </c>
      <c r="J53" s="10">
        <f t="shared" si="6"/>
        <v>1872792006.2316046</v>
      </c>
      <c r="K53" s="11">
        <f t="shared" si="7"/>
        <v>6.2312160000000061E-2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9039716.0866520982</v>
      </c>
      <c r="D54" s="11">
        <v>1.8800000000000001E-2</v>
      </c>
      <c r="E54" s="10">
        <f t="shared" si="2"/>
        <v>166810.62272188812</v>
      </c>
      <c r="F54" s="3"/>
      <c r="G54" s="29">
        <v>3.97</v>
      </c>
      <c r="H54" s="10"/>
      <c r="I54" s="10">
        <f t="shared" si="8"/>
        <v>195.02154987754167</v>
      </c>
      <c r="J54" s="10">
        <f t="shared" si="6"/>
        <v>1762939441.671838</v>
      </c>
      <c r="K54" s="11">
        <f t="shared" si="7"/>
        <v>5.9246360000000164E-2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8872905.4639302101</v>
      </c>
      <c r="D55" s="11">
        <v>1.8599999999999998E-2</v>
      </c>
      <c r="E55" s="10">
        <f t="shared" si="2"/>
        <v>162022.4245327916</v>
      </c>
      <c r="F55" s="3"/>
      <c r="G55" s="29">
        <v>4.16</v>
      </c>
      <c r="H55" s="10"/>
      <c r="I55" s="10">
        <f t="shared" si="8"/>
        <v>187.57482915989388</v>
      </c>
      <c r="J55" s="10">
        <f t="shared" si="6"/>
        <v>1664333726.5485981</v>
      </c>
      <c r="K55" s="11">
        <f t="shared" si="7"/>
        <v>6.0973759999999988E-2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8710883.0393974185</v>
      </c>
      <c r="D56" s="11">
        <v>1.8499999999999999E-2</v>
      </c>
      <c r="E56" s="10">
        <f t="shared" si="2"/>
        <v>158224.18873721361</v>
      </c>
      <c r="F56" s="3"/>
      <c r="G56" s="29">
        <v>3.84</v>
      </c>
      <c r="H56" s="10"/>
      <c r="I56" s="10">
        <f t="shared" si="8"/>
        <v>180.08336132862314</v>
      </c>
      <c r="J56" s="10">
        <f t="shared" si="6"/>
        <v>1568685097.8751802</v>
      </c>
      <c r="K56" s="11">
        <f t="shared" si="7"/>
        <v>5.7610399999999951E-2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8552658.8506602049</v>
      </c>
      <c r="D57" s="11">
        <v>1.8499999999999999E-2</v>
      </c>
      <c r="E57" s="10">
        <f t="shared" si="2"/>
        <v>155350.20985489711</v>
      </c>
      <c r="F57" s="3"/>
      <c r="G57" s="26">
        <v>0.66</v>
      </c>
      <c r="H57" s="10"/>
      <c r="I57" s="10">
        <f t="shared" si="8"/>
        <v>173.42388417625494</v>
      </c>
      <c r="J57" s="10">
        <f t="shared" si="6"/>
        <v>1483235317.9159172</v>
      </c>
      <c r="K57" s="11">
        <f t="shared" si="7"/>
        <v>2.5222099999999692E-2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8397308.6408053078</v>
      </c>
      <c r="D58" s="11">
        <v>1.8499999999999999E-2</v>
      </c>
      <c r="E58" s="10">
        <f t="shared" si="2"/>
        <v>152528.43382905982</v>
      </c>
      <c r="F58" s="3"/>
      <c r="G58" s="26">
        <v>0.62</v>
      </c>
      <c r="H58" s="10"/>
      <c r="I58" s="10">
        <f t="shared" si="8"/>
        <v>172.28679135332303</v>
      </c>
      <c r="J58" s="10">
        <f t="shared" si="6"/>
        <v>1446745361.7278807</v>
      </c>
      <c r="K58" s="11">
        <f t="shared" si="7"/>
        <v>2.4814699999999856E-2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8244780.206976248</v>
      </c>
      <c r="D59" s="11">
        <v>1.8499999999999999E-2</v>
      </c>
      <c r="E59" s="10">
        <f t="shared" si="2"/>
        <v>149757.91244875826</v>
      </c>
      <c r="F59" s="3"/>
      <c r="G59" s="26">
        <v>0.65</v>
      </c>
      <c r="H59" s="10"/>
      <c r="I59" s="10">
        <f t="shared" si="8"/>
        <v>171.22519514343375</v>
      </c>
      <c r="J59" s="10">
        <f t="shared" si="6"/>
        <v>1411714099.8542283</v>
      </c>
      <c r="K59" s="11">
        <f t="shared" si="7"/>
        <v>2.5120249999999844E-2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8095022.2945274897</v>
      </c>
      <c r="D60" s="11">
        <v>1.8499999999999999E-2</v>
      </c>
      <c r="E60" s="10">
        <f t="shared" si="2"/>
        <v>147037.7147263214</v>
      </c>
      <c r="F60" s="3"/>
      <c r="G60" s="26">
        <v>0.64</v>
      </c>
      <c r="H60" s="10"/>
      <c r="I60" s="10">
        <f t="shared" si="8"/>
        <v>170.11941892045084</v>
      </c>
      <c r="J60" s="10">
        <f t="shared" si="6"/>
        <v>1377120488.8931112</v>
      </c>
      <c r="K60" s="11">
        <f t="shared" si="7"/>
        <v>2.5018399999999774E-2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7947984.5798011683</v>
      </c>
      <c r="D61" s="11">
        <v>1.8499999999999999E-2</v>
      </c>
      <c r="E61" s="10">
        <f t="shared" si="2"/>
        <v>144366.92658450827</v>
      </c>
      <c r="F61" s="3"/>
      <c r="G61" s="26">
        <v>0.63</v>
      </c>
      <c r="H61" s="10"/>
      <c r="I61" s="10">
        <f t="shared" si="8"/>
        <v>169.037578418572</v>
      </c>
      <c r="J61" s="10">
        <f t="shared" si="6"/>
        <v>1343508066.6777411</v>
      </c>
      <c r="K61" s="11">
        <f t="shared" si="7"/>
        <v>2.4916550000000148E-2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7803617.65321666</v>
      </c>
      <c r="D62" s="11">
        <v>1.8499999999999999E-2</v>
      </c>
      <c r="E62" s="10">
        <f t="shared" si="2"/>
        <v>141744.65054934472</v>
      </c>
      <c r="F62" s="3"/>
      <c r="G62" s="26">
        <v>3.3</v>
      </c>
      <c r="H62" s="10"/>
      <c r="I62" s="10">
        <f t="shared" si="8"/>
        <v>167.9793087733002</v>
      </c>
      <c r="J62" s="10">
        <f t="shared" si="6"/>
        <v>1310846299.3184576</v>
      </c>
      <c r="K62" s="11">
        <f t="shared" si="7"/>
        <v>5.2110499999999949E-2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7661873.0026673153</v>
      </c>
      <c r="D63" s="11">
        <v>1.8499999999999999E-2</v>
      </c>
      <c r="E63" s="10">
        <f t="shared" si="2"/>
        <v>139170.00544854719</v>
      </c>
      <c r="F63" s="3"/>
      <c r="G63" s="26">
        <v>3.32</v>
      </c>
      <c r="H63" s="10"/>
      <c r="I63" s="10">
        <f t="shared" si="8"/>
        <v>162.61307722487919</v>
      </c>
      <c r="J63" s="10">
        <f t="shared" si="6"/>
        <v>1245920746.2699571</v>
      </c>
      <c r="K63" s="11">
        <f t="shared" si="7"/>
        <v>5.2314199999999644E-2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7522702.9972187681</v>
      </c>
      <c r="D64" s="11">
        <v>1.7999999999999999E-2</v>
      </c>
      <c r="E64" s="10">
        <f t="shared" si="2"/>
        <v>133014.39484276809</v>
      </c>
      <c r="F64" s="3"/>
      <c r="G64" s="26">
        <v>3.26</v>
      </c>
      <c r="H64" s="10"/>
      <c r="I64" s="10">
        <f t="shared" si="8"/>
        <v>157.38780219210145</v>
      </c>
      <c r="J64" s="10">
        <f t="shared" si="6"/>
        <v>1183981691.2761962</v>
      </c>
      <c r="K64" s="11">
        <f t="shared" si="7"/>
        <v>5.1186799999999977E-2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7389688.602376</v>
      </c>
      <c r="D65" s="11">
        <v>1.7999999999999999E-2</v>
      </c>
      <c r="E65" s="10">
        <f t="shared" si="2"/>
        <v>130662.47037599981</v>
      </c>
      <c r="F65" s="3"/>
      <c r="G65" s="26">
        <v>3.31</v>
      </c>
      <c r="H65" s="10"/>
      <c r="I65" s="10">
        <f t="shared" si="8"/>
        <v>152.41894459820014</v>
      </c>
      <c r="J65" s="10">
        <f t="shared" si="6"/>
        <v>1126328537.6834986</v>
      </c>
      <c r="K65" s="11">
        <f t="shared" si="7"/>
        <v>5.1695799999999847E-2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7259026.1320000002</v>
      </c>
      <c r="D66" s="11">
        <v>1.7999999999999999E-2</v>
      </c>
      <c r="E66" s="10">
        <f t="shared" si="2"/>
        <v>128352.13200000022</v>
      </c>
      <c r="F66" s="3"/>
      <c r="G66" s="26">
        <v>3.33</v>
      </c>
      <c r="H66" s="10"/>
      <c r="I66" s="10">
        <f t="shared" si="8"/>
        <v>147.53551892188574</v>
      </c>
      <c r="J66" s="10">
        <f t="shared" ref="J66:J67" si="9">IF(I66="","",I66*C66)</f>
        <v>1070964187.2521491</v>
      </c>
      <c r="K66" s="11">
        <f t="shared" ref="K66" si="10">IFERROR(J66/J67-1,"")</f>
        <v>5.1899400000000151E-2</v>
      </c>
    </row>
    <row r="67" spans="1:11" ht="22.5" customHeight="1">
      <c r="A67" s="3">
        <f t="shared" si="0"/>
        <v>1950</v>
      </c>
      <c r="B67" s="3">
        <v>1700</v>
      </c>
      <c r="C67" s="10">
        <v>7130674</v>
      </c>
      <c r="D67" s="11">
        <v>1.7000000000000001E-2</v>
      </c>
      <c r="E67" s="3" t="s">
        <v>72</v>
      </c>
      <c r="F67" s="3"/>
      <c r="G67" s="26">
        <v>3.26</v>
      </c>
      <c r="H67" s="10"/>
      <c r="I67" s="10">
        <f t="shared" ref="I67" si="11">IF(H67&lt;&gt;"",H67,I66/(1+IF(G66="",0,G66)/100))</f>
        <v>142.78091447003359</v>
      </c>
      <c r="J67" s="10">
        <f t="shared" si="9"/>
        <v>1018124154.5076923</v>
      </c>
      <c r="K67" s="11"/>
    </row>
  </sheetData>
  <dataValidations count="1">
    <dataValidation type="custom" allowBlank="1" showDropDown="1" sqref="D2:D67" xr:uid="{00000000-0002-0000-2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M67"/>
  <sheetViews>
    <sheetView workbookViewId="0">
      <selection activeCell="L50" sqref="L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1440839.0172801921</v>
      </c>
      <c r="D2" s="11">
        <v>9.4000000000000004E-3</v>
      </c>
      <c r="E2" s="10">
        <f t="shared" ref="E2:E66" si="2">SUM(C2-C3)</f>
        <v>13417.759820124833</v>
      </c>
      <c r="F2" s="14">
        <v>1441954</v>
      </c>
      <c r="G2" s="26">
        <v>3.13</v>
      </c>
      <c r="H2" s="10"/>
      <c r="I2" s="10">
        <f>IF(H2&lt;&gt;"",H2,1240)</f>
        <v>155</v>
      </c>
      <c r="J2" s="10">
        <f t="shared" ref="J2:J33" si="3">IF(I2="","",I2*C2)</f>
        <v>223330047.67842978</v>
      </c>
      <c r="K2" s="11">
        <f t="shared" ref="K2:K33" si="4">IFERROR(J2/J3-1,"")</f>
        <v>4.0994220000000192E-2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1427421.2574600673</v>
      </c>
      <c r="D3" s="11">
        <v>7.3000000000000001E-3</v>
      </c>
      <c r="E3" s="10">
        <f t="shared" si="2"/>
        <v>10344.659167535603</v>
      </c>
      <c r="F3" s="3"/>
      <c r="G3" s="26">
        <v>3.34</v>
      </c>
      <c r="H3" s="10"/>
      <c r="I3" s="10">
        <f t="shared" ref="I3:I34" si="5">IF(H3&lt;&gt;"",H3,I2/(1+IF(G2="",0,G2)/100))</f>
        <v>150.29574323669155</v>
      </c>
      <c r="J3" s="10">
        <f t="shared" si="3"/>
        <v>214535338.80181366</v>
      </c>
      <c r="K3" s="11">
        <f t="shared" si="4"/>
        <v>4.0943820000000297E-2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1417076.5982925317</v>
      </c>
      <c r="D4" s="11">
        <v>5.3E-3</v>
      </c>
      <c r="E4" s="10">
        <f t="shared" si="2"/>
        <v>7470.9101471705362</v>
      </c>
      <c r="F4" s="3"/>
      <c r="G4" s="26">
        <v>2.2999999999999998</v>
      </c>
      <c r="H4" s="10"/>
      <c r="I4" s="10">
        <f t="shared" si="5"/>
        <v>145.43811035096917</v>
      </c>
      <c r="J4" s="10">
        <f t="shared" si="3"/>
        <v>206096942.67824522</v>
      </c>
      <c r="K4" s="11">
        <f t="shared" si="4"/>
        <v>2.8421899999999889E-2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1409605.6881453611</v>
      </c>
      <c r="D5" s="11">
        <v>4.1999999999999997E-3</v>
      </c>
      <c r="E5" s="10">
        <f t="shared" si="2"/>
        <v>5895.5824439458083</v>
      </c>
      <c r="F5" s="3"/>
      <c r="G5" s="26">
        <v>3.01</v>
      </c>
      <c r="H5" s="10"/>
      <c r="I5" s="10">
        <f t="shared" si="5"/>
        <v>142.1682408122866</v>
      </c>
      <c r="J5" s="10">
        <f t="shared" si="3"/>
        <v>200401160.92261866</v>
      </c>
      <c r="K5" s="11">
        <f t="shared" si="4"/>
        <v>3.4426419999999958E-2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1403710.1057014153</v>
      </c>
      <c r="D6" s="11">
        <v>4.4000000000000003E-3</v>
      </c>
      <c r="E6" s="10">
        <f t="shared" si="2"/>
        <v>6149.2676872622687</v>
      </c>
      <c r="F6" s="3"/>
      <c r="G6" s="26">
        <v>1.58</v>
      </c>
      <c r="H6" s="10"/>
      <c r="I6" s="10">
        <f t="shared" si="5"/>
        <v>138.01401884505057</v>
      </c>
      <c r="J6" s="10">
        <f t="shared" si="3"/>
        <v>193731672.98126307</v>
      </c>
      <c r="K6" s="11">
        <f t="shared" si="4"/>
        <v>2.0269520000000041E-2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1397560.8380141531</v>
      </c>
      <c r="D7" s="11">
        <v>5.4000000000000003E-3</v>
      </c>
      <c r="E7" s="10">
        <f t="shared" si="2"/>
        <v>7506.2945347886998</v>
      </c>
      <c r="F7" s="3"/>
      <c r="G7" s="26">
        <v>3.3250000000000002</v>
      </c>
      <c r="H7" s="10"/>
      <c r="I7" s="10">
        <f t="shared" si="5"/>
        <v>135.86731526388124</v>
      </c>
      <c r="J7" s="10">
        <f t="shared" si="3"/>
        <v>189882838.97892299</v>
      </c>
      <c r="K7" s="11">
        <f t="shared" si="4"/>
        <v>3.882954999999999E-2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1390054.5434793644</v>
      </c>
      <c r="D8" s="11">
        <v>1.0200000000000001E-2</v>
      </c>
      <c r="E8" s="10">
        <f t="shared" si="2"/>
        <v>14035.395311314147</v>
      </c>
      <c r="F8" s="3"/>
      <c r="G8" s="26">
        <v>3.98</v>
      </c>
      <c r="H8" s="10"/>
      <c r="I8" s="10">
        <f t="shared" si="5"/>
        <v>131.49510308626299</v>
      </c>
      <c r="J8" s="10">
        <f t="shared" si="3"/>
        <v>182785365.49034727</v>
      </c>
      <c r="K8" s="11">
        <f t="shared" si="4"/>
        <v>5.0405960000000194E-2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1376019.1481680502</v>
      </c>
      <c r="D9" s="11">
        <v>2.0400000000000001E-2</v>
      </c>
      <c r="E9" s="10">
        <f t="shared" si="2"/>
        <v>27509.594886934618</v>
      </c>
      <c r="F9" s="3"/>
      <c r="G9" s="26">
        <v>6.71</v>
      </c>
      <c r="H9" s="10"/>
      <c r="I9" s="10">
        <f>IF(H9&lt;&gt;"",H9,I8/(1+IF(G8="",0,G8)/100))</f>
        <v>126.46191872116079</v>
      </c>
      <c r="J9" s="10">
        <f t="shared" si="3"/>
        <v>174014021.67438886</v>
      </c>
      <c r="K9" s="11">
        <f t="shared" si="4"/>
        <v>8.8868839999999727E-2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1348509.5532811156</v>
      </c>
      <c r="D10" s="11">
        <v>2.8899999999999999E-2</v>
      </c>
      <c r="E10" s="10">
        <f t="shared" si="2"/>
        <v>37877.272902929457</v>
      </c>
      <c r="F10" s="3"/>
      <c r="G10" s="26">
        <v>5.71</v>
      </c>
      <c r="H10" s="10"/>
      <c r="I10" s="10">
        <f t="shared" si="5"/>
        <v>118.50990415252627</v>
      </c>
      <c r="J10" s="10">
        <f t="shared" si="3"/>
        <v>159811737.90811104</v>
      </c>
      <c r="K10" s="11">
        <f t="shared" si="4"/>
        <v>8.7650189999999961E-2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1310632.2803781861</v>
      </c>
      <c r="D11" s="11">
        <v>2.7E-2</v>
      </c>
      <c r="E11" s="10">
        <f t="shared" si="2"/>
        <v>34456.73960098438</v>
      </c>
      <c r="F11" s="3"/>
      <c r="G11" s="26">
        <v>5.4</v>
      </c>
      <c r="H11" s="10"/>
      <c r="I11" s="10">
        <f t="shared" si="5"/>
        <v>112.10850832705164</v>
      </c>
      <c r="J11" s="10">
        <f t="shared" si="3"/>
        <v>146933029.91848055</v>
      </c>
      <c r="K11" s="11">
        <f t="shared" si="4"/>
        <v>8.245799999999992E-2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1276175.5407772018</v>
      </c>
      <c r="D12" s="11">
        <v>2.18E-2</v>
      </c>
      <c r="E12" s="10">
        <f t="shared" si="2"/>
        <v>27227.07652078988</v>
      </c>
      <c r="F12" s="3"/>
      <c r="G12" s="26">
        <v>4.76</v>
      </c>
      <c r="H12" s="10"/>
      <c r="I12" s="10">
        <f t="shared" si="5"/>
        <v>106.36480865944178</v>
      </c>
      <c r="J12" s="10">
        <f t="shared" si="3"/>
        <v>135740167.21062669</v>
      </c>
      <c r="K12" s="11">
        <f t="shared" si="4"/>
        <v>7.0437680000000169E-2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1248948.4642564119</v>
      </c>
      <c r="D13" s="11">
        <v>1.83E-2</v>
      </c>
      <c r="E13" s="10">
        <f t="shared" si="2"/>
        <v>22445.013155153021</v>
      </c>
      <c r="F13" s="3"/>
      <c r="G13" s="26">
        <v>-3.98</v>
      </c>
      <c r="H13" s="10"/>
      <c r="I13" s="10">
        <f t="shared" si="5"/>
        <v>101.53189066384284</v>
      </c>
      <c r="J13" s="10">
        <f t="shared" si="3"/>
        <v>126808098.91765645</v>
      </c>
      <c r="K13" s="11">
        <f t="shared" si="4"/>
        <v>-2.2228339999999958E-2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1226503.4511012589</v>
      </c>
      <c r="D14" s="11">
        <v>1.6299999999999999E-2</v>
      </c>
      <c r="E14" s="10">
        <f t="shared" si="2"/>
        <v>19671.363035472343</v>
      </c>
      <c r="F14" s="3"/>
      <c r="G14" s="26">
        <v>9.7799999999999994</v>
      </c>
      <c r="H14" s="10"/>
      <c r="I14" s="10">
        <f>IF(H14&lt;&gt;"",H14,I13/(1+IF(G13="",0,G13)/100))</f>
        <v>105.74035686715564</v>
      </c>
      <c r="J14" s="10">
        <f t="shared" si="3"/>
        <v>129690912.6182451</v>
      </c>
      <c r="K14" s="11">
        <f t="shared" si="4"/>
        <v>0.11569414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1206832.0880657865</v>
      </c>
      <c r="D15" s="11">
        <v>1.6899999999999998E-2</v>
      </c>
      <c r="E15" s="10">
        <f t="shared" si="2"/>
        <v>20056.507314693416</v>
      </c>
      <c r="F15" s="3"/>
      <c r="G15" s="26">
        <v>-2.41</v>
      </c>
      <c r="H15" s="10"/>
      <c r="I15" s="10">
        <f t="shared" si="5"/>
        <v>96.320237627214112</v>
      </c>
      <c r="J15" s="10">
        <f t="shared" si="3"/>
        <v>116242353.49864355</v>
      </c>
      <c r="K15" s="11">
        <f t="shared" si="4"/>
        <v>-7.6072899999999333E-3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1186775.5807510931</v>
      </c>
      <c r="D16" s="11">
        <v>1.5900000000000001E-2</v>
      </c>
      <c r="E16" s="10">
        <f t="shared" si="2"/>
        <v>18574.398793131579</v>
      </c>
      <c r="F16" s="3"/>
      <c r="G16" s="26">
        <v>5.98</v>
      </c>
      <c r="H16" s="10"/>
      <c r="I16" s="10">
        <f t="shared" si="5"/>
        <v>98.698880650900819</v>
      </c>
      <c r="J16" s="10">
        <f t="shared" si="3"/>
        <v>117133421.40395564</v>
      </c>
      <c r="K16" s="11">
        <f t="shared" si="4"/>
        <v>7.6650820000000008E-2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1168201.1819579615</v>
      </c>
      <c r="D17" s="11">
        <v>1.3299999999999999E-2</v>
      </c>
      <c r="E17" s="10">
        <f t="shared" si="2"/>
        <v>15333.144892964512</v>
      </c>
      <c r="F17" s="3"/>
      <c r="G17" s="26">
        <v>4.46</v>
      </c>
      <c r="H17" s="10"/>
      <c r="I17" s="10">
        <f t="shared" si="5"/>
        <v>93.129723203341015</v>
      </c>
      <c r="J17" s="10">
        <f t="shared" si="3"/>
        <v>108794252.72156078</v>
      </c>
      <c r="K17" s="11">
        <f t="shared" si="4"/>
        <v>5.8493179999999922E-2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1152868.037064997</v>
      </c>
      <c r="D18" s="11">
        <v>1.1299999999999999E-2</v>
      </c>
      <c r="E18" s="10">
        <f t="shared" si="2"/>
        <v>12881.843981839716</v>
      </c>
      <c r="F18" s="3"/>
      <c r="G18" s="26">
        <v>4.7</v>
      </c>
      <c r="H18" s="10"/>
      <c r="I18" s="10">
        <f t="shared" si="5"/>
        <v>89.153478080931478</v>
      </c>
      <c r="J18" s="10">
        <f t="shared" si="3"/>
        <v>102782195.27268071</v>
      </c>
      <c r="K18" s="11">
        <f t="shared" si="4"/>
        <v>5.8831100000000136E-2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1139986.1930831573</v>
      </c>
      <c r="D19" s="11">
        <v>1.04E-2</v>
      </c>
      <c r="E19" s="10">
        <f t="shared" si="2"/>
        <v>11733.824631893076</v>
      </c>
      <c r="F19" s="3"/>
      <c r="G19" s="26">
        <v>3.92</v>
      </c>
      <c r="H19" s="10"/>
      <c r="I19" s="10">
        <f t="shared" si="5"/>
        <v>85.151363974146591</v>
      </c>
      <c r="J19" s="10">
        <f t="shared" si="3"/>
        <v>97071379.252725676</v>
      </c>
      <c r="K19" s="11">
        <f t="shared" si="4"/>
        <v>5.0007679999999777E-2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1128252.3684512642</v>
      </c>
      <c r="D20" s="11">
        <v>0.01</v>
      </c>
      <c r="E20" s="10">
        <f t="shared" si="2"/>
        <v>11170.815529220505</v>
      </c>
      <c r="F20" s="3"/>
      <c r="G20" s="26">
        <v>3.69</v>
      </c>
      <c r="H20" s="10"/>
      <c r="I20" s="10">
        <f t="shared" si="5"/>
        <v>81.939341776507504</v>
      </c>
      <c r="J20" s="10">
        <f t="shared" si="3"/>
        <v>92448256.428682208</v>
      </c>
      <c r="K20" s="11">
        <f t="shared" si="4"/>
        <v>4.7269000000000005E-2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1117081.5529220437</v>
      </c>
      <c r="D21" s="11">
        <v>7.9000000000000008E-3</v>
      </c>
      <c r="E21" s="10">
        <f t="shared" si="2"/>
        <v>8755.7736562001519</v>
      </c>
      <c r="F21" s="3"/>
      <c r="G21" s="26">
        <v>2.15</v>
      </c>
      <c r="H21" s="10"/>
      <c r="I21" s="10">
        <f t="shared" si="5"/>
        <v>79.023379088154599</v>
      </c>
      <c r="J21" s="10">
        <f t="shared" si="3"/>
        <v>88275559.028943092</v>
      </c>
      <c r="K21" s="11">
        <f t="shared" si="4"/>
        <v>2.9569849999999898E-2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1108325.7792658436</v>
      </c>
      <c r="D22" s="11">
        <v>5.1000000000000004E-3</v>
      </c>
      <c r="E22" s="10">
        <f t="shared" si="2"/>
        <v>5623.7801952601876</v>
      </c>
      <c r="F22" s="3"/>
      <c r="G22" s="26">
        <v>1.68</v>
      </c>
      <c r="H22" s="10"/>
      <c r="I22" s="10">
        <f t="shared" si="5"/>
        <v>77.360136160699554</v>
      </c>
      <c r="J22" s="10">
        <f t="shared" si="3"/>
        <v>85740233.194419101</v>
      </c>
      <c r="K22" s="11">
        <f t="shared" si="4"/>
        <v>2.1985680000000229E-2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1102701.9990705834</v>
      </c>
      <c r="D23" s="11">
        <v>3.8999999999999998E-3</v>
      </c>
      <c r="E23" s="10">
        <f t="shared" si="2"/>
        <v>4283.8308560368605</v>
      </c>
      <c r="F23" s="3"/>
      <c r="G23" s="26">
        <v>-0.04</v>
      </c>
      <c r="H23" s="10"/>
      <c r="I23" s="10">
        <f t="shared" si="5"/>
        <v>76.08195924537722</v>
      </c>
      <c r="J23" s="10">
        <f t="shared" si="3"/>
        <v>83895728.55308412</v>
      </c>
      <c r="K23" s="11">
        <f t="shared" si="4"/>
        <v>3.4984400000002136E-3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1098418.1682145465</v>
      </c>
      <c r="D24" s="11">
        <v>5.0000000000000001E-3</v>
      </c>
      <c r="E24" s="10">
        <f t="shared" si="2"/>
        <v>5464.7670060424134</v>
      </c>
      <c r="F24" s="3"/>
      <c r="G24" s="26">
        <v>2.1</v>
      </c>
      <c r="H24" s="10"/>
      <c r="I24" s="10">
        <f t="shared" si="5"/>
        <v>76.112404207060038</v>
      </c>
      <c r="J24" s="10">
        <f t="shared" si="3"/>
        <v>83603247.607524037</v>
      </c>
      <c r="K24" s="11">
        <f t="shared" si="4"/>
        <v>2.6104999999999823E-2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1092953.4012085041</v>
      </c>
      <c r="D25" s="11">
        <v>6.7999999999999996E-3</v>
      </c>
      <c r="E25" s="10">
        <f t="shared" si="2"/>
        <v>7381.886301368475</v>
      </c>
      <c r="F25" s="3"/>
      <c r="G25" s="26">
        <v>1.18</v>
      </c>
      <c r="H25" s="10"/>
      <c r="I25" s="10">
        <f t="shared" si="5"/>
        <v>74.546918909951074</v>
      </c>
      <c r="J25" s="10">
        <f t="shared" si="3"/>
        <v>81476308.572245583</v>
      </c>
      <c r="K25" s="11">
        <f t="shared" si="4"/>
        <v>1.8680239999999904E-2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1085571.5149071356</v>
      </c>
      <c r="D26" s="11">
        <v>5.7000000000000002E-3</v>
      </c>
      <c r="E26" s="10">
        <f t="shared" si="2"/>
        <v>6152.6873172624037</v>
      </c>
      <c r="F26" s="3"/>
      <c r="G26" s="26">
        <v>-6.31</v>
      </c>
      <c r="H26" s="10"/>
      <c r="I26" s="10">
        <f t="shared" si="5"/>
        <v>73.677524125272853</v>
      </c>
      <c r="J26" s="10">
        <f t="shared" si="3"/>
        <v>79982221.479279488</v>
      </c>
      <c r="K26" s="11">
        <f t="shared" si="4"/>
        <v>-5.775966999999993E-2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1079418.8275898732</v>
      </c>
      <c r="D27" s="11">
        <v>8.0000000000000004E-4</v>
      </c>
      <c r="E27" s="10">
        <f t="shared" si="2"/>
        <v>862.84478624281473</v>
      </c>
      <c r="F27" s="3"/>
      <c r="G27" s="26">
        <v>-3.13</v>
      </c>
      <c r="H27" s="10"/>
      <c r="I27" s="10">
        <f t="shared" si="5"/>
        <v>78.63968846757696</v>
      </c>
      <c r="J27" s="10">
        <f t="shared" si="3"/>
        <v>84885160.327704802</v>
      </c>
      <c r="K27" s="11">
        <f t="shared" si="4"/>
        <v>-3.0525040000000114E-2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1078555.9828036304</v>
      </c>
      <c r="D28" s="11">
        <v>-4.0000000000000001E-3</v>
      </c>
      <c r="E28" s="10">
        <f t="shared" si="2"/>
        <v>-4331.5501317414455</v>
      </c>
      <c r="F28" s="3"/>
      <c r="G28" s="26">
        <v>4.07</v>
      </c>
      <c r="H28" s="10"/>
      <c r="I28" s="10">
        <f t="shared" si="5"/>
        <v>81.180642580341654</v>
      </c>
      <c r="J28" s="10">
        <f t="shared" si="3"/>
        <v>87557867.742870644</v>
      </c>
      <c r="K28" s="11">
        <f t="shared" si="4"/>
        <v>3.6537200000000158E-2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1082887.5329353719</v>
      </c>
      <c r="D29" s="11">
        <v>-4.3E-3</v>
      </c>
      <c r="E29" s="10">
        <f t="shared" si="2"/>
        <v>-4676.5254510615487</v>
      </c>
      <c r="F29" s="3"/>
      <c r="G29" s="26">
        <v>3.41</v>
      </c>
      <c r="H29" s="10"/>
      <c r="I29" s="10">
        <f t="shared" si="5"/>
        <v>78.00580626534223</v>
      </c>
      <c r="J29" s="10">
        <f t="shared" si="3"/>
        <v>84471515.101311013</v>
      </c>
      <c r="K29" s="11">
        <f t="shared" si="4"/>
        <v>2.9653369999999901E-2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1087564.0583864334</v>
      </c>
      <c r="D30" s="12">
        <v>1E-4</v>
      </c>
      <c r="E30" s="10">
        <f t="shared" si="2"/>
        <v>108.74553128541447</v>
      </c>
      <c r="F30" s="3"/>
      <c r="G30" s="26">
        <v>1.17</v>
      </c>
      <c r="H30" s="10"/>
      <c r="I30" s="10">
        <f t="shared" si="5"/>
        <v>75.433523126721042</v>
      </c>
      <c r="J30" s="10">
        <f t="shared" si="3"/>
        <v>82038788.550083622</v>
      </c>
      <c r="K30" s="11">
        <f t="shared" si="4"/>
        <v>1.1801170000000027E-2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1087455.312855148</v>
      </c>
      <c r="D31" s="13">
        <v>5.0000000000000001E-4</v>
      </c>
      <c r="E31" s="10">
        <f t="shared" si="2"/>
        <v>543.45592846325599</v>
      </c>
      <c r="F31" s="3"/>
      <c r="G31" s="26">
        <v>1.96</v>
      </c>
      <c r="H31" s="10"/>
      <c r="I31" s="10">
        <f t="shared" si="5"/>
        <v>74.56115758299994</v>
      </c>
      <c r="J31" s="10">
        <f t="shared" si="3"/>
        <v>81081926.946263194</v>
      </c>
      <c r="K31" s="11">
        <f t="shared" si="4"/>
        <v>2.0109799999999955E-2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1086911.8569266847</v>
      </c>
      <c r="D32" s="12">
        <v>1.6000000000000001E-3</v>
      </c>
      <c r="E32" s="10">
        <f t="shared" si="2"/>
        <v>1736.2809216082096</v>
      </c>
      <c r="F32" s="3"/>
      <c r="G32" s="26">
        <v>1.1599999999999999</v>
      </c>
      <c r="H32" s="10"/>
      <c r="I32" s="10">
        <f t="shared" si="5"/>
        <v>73.127851689878327</v>
      </c>
      <c r="J32" s="10">
        <f t="shared" si="3"/>
        <v>79483529.073304847</v>
      </c>
      <c r="K32" s="11">
        <f t="shared" si="4"/>
        <v>1.3218560000000101E-2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1085175.5760050765</v>
      </c>
      <c r="D33" s="13">
        <v>6.1999999999999998E-3</v>
      </c>
      <c r="E33" s="10">
        <f t="shared" si="2"/>
        <v>6686.6314562030602</v>
      </c>
      <c r="F33" s="3"/>
      <c r="G33" s="26">
        <v>1.76</v>
      </c>
      <c r="H33" s="10"/>
      <c r="I33" s="10">
        <f t="shared" si="5"/>
        <v>72.289295857926376</v>
      </c>
      <c r="J33" s="10">
        <f t="shared" si="3"/>
        <v>78446578.271626651</v>
      </c>
      <c r="K33" s="11">
        <f t="shared" si="4"/>
        <v>2.3909120000000117E-2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1078488.9445488735</v>
      </c>
      <c r="D34" s="12">
        <v>7.1000000000000004E-3</v>
      </c>
      <c r="E34" s="10">
        <f t="shared" si="2"/>
        <v>7603.2881603585556</v>
      </c>
      <c r="F34" s="3"/>
      <c r="G34" s="26">
        <v>-0.4</v>
      </c>
      <c r="H34" s="10"/>
      <c r="I34" s="10">
        <f t="shared" si="5"/>
        <v>71.039009294345888</v>
      </c>
      <c r="J34" s="10">
        <f t="shared" ref="J34:J65" si="6">IF(I34="","",I34*C34)</f>
        <v>76614786.15565671</v>
      </c>
      <c r="K34" s="11">
        <f t="shared" ref="K34:K65" si="7">IFERROR(J34/J35-1,"")</f>
        <v>1.6163899999999787E-2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1070885.6563885149</v>
      </c>
      <c r="D35" s="11">
        <v>9.4999999999999998E-3</v>
      </c>
      <c r="E35" s="10">
        <f t="shared" si="2"/>
        <v>10077.675815444207</v>
      </c>
      <c r="F35" s="3"/>
      <c r="G35" s="26">
        <v>-4.6</v>
      </c>
      <c r="H35" s="10"/>
      <c r="I35" s="10">
        <f t="shared" ref="I35:I66" si="8">IF(H35&lt;&gt;"",H35,I34/(1+IF(G34="",0,G34)/100))</f>
        <v>70.405361044941429</v>
      </c>
      <c r="J35" s="10">
        <f t="shared" si="6"/>
        <v>75396091.275882483</v>
      </c>
      <c r="K35" s="11">
        <f t="shared" si="7"/>
        <v>-9.6804999999999808E-3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1060807.9805730707</v>
      </c>
      <c r="D36" s="11">
        <v>1.17E-2</v>
      </c>
      <c r="E36" s="10">
        <f t="shared" si="2"/>
        <v>12267.918723638519</v>
      </c>
      <c r="F36" s="3"/>
      <c r="G36" s="26">
        <v>-14.6</v>
      </c>
      <c r="H36" s="10"/>
      <c r="I36" s="10">
        <f t="shared" si="8"/>
        <v>71.768971503508084</v>
      </c>
      <c r="J36" s="10">
        <f t="shared" si="6"/>
        <v>76133097.728442669</v>
      </c>
      <c r="K36" s="11">
        <f t="shared" si="7"/>
        <v>-8.7446599999999819E-2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1048540.0618494322</v>
      </c>
      <c r="D37" s="11">
        <v>1.15E-2</v>
      </c>
      <c r="E37" s="10">
        <f t="shared" si="2"/>
        <v>11921.117855925346</v>
      </c>
      <c r="F37" s="3"/>
      <c r="G37" s="26">
        <v>-4.35</v>
      </c>
      <c r="H37" s="10"/>
      <c r="I37" s="10">
        <f t="shared" si="8"/>
        <v>79.566487254443544</v>
      </c>
      <c r="J37" s="10">
        <f t="shared" si="6"/>
        <v>83428649.466916293</v>
      </c>
      <c r="K37" s="11">
        <f t="shared" si="7"/>
        <v>2.1109250000000079E-2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1036618.9439935068</v>
      </c>
      <c r="D38" s="11">
        <v>1.3299999999999999E-2</v>
      </c>
      <c r="E38" s="10">
        <f t="shared" si="2"/>
        <v>13606.071208046749</v>
      </c>
      <c r="F38" s="3"/>
      <c r="G38" s="26">
        <v>6.15</v>
      </c>
      <c r="H38" s="10"/>
      <c r="I38" s="10">
        <f t="shared" si="8"/>
        <v>78.817718924659275</v>
      </c>
      <c r="J38" s="10">
        <f t="shared" si="6"/>
        <v>81703940.559657335</v>
      </c>
      <c r="K38" s="11">
        <f t="shared" si="7"/>
        <v>0.11311005000000018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1023012.8727854601</v>
      </c>
      <c r="D39" s="11">
        <v>1.4200000000000001E-2</v>
      </c>
      <c r="E39" s="10">
        <f t="shared" si="2"/>
        <v>14323.390646375017</v>
      </c>
      <c r="F39" s="3"/>
      <c r="G39" s="26">
        <v>-2.66</v>
      </c>
      <c r="H39" s="10"/>
      <c r="I39" s="10">
        <f t="shared" si="8"/>
        <v>71.750313085716229</v>
      </c>
      <c r="J39" s="10">
        <f t="shared" si="6"/>
        <v>73401493.913074747</v>
      </c>
      <c r="K39" s="11">
        <f t="shared" si="7"/>
        <v>-1.2777719999999992E-2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1008689.4821390851</v>
      </c>
      <c r="D40" s="11">
        <v>1.35E-2</v>
      </c>
      <c r="E40" s="10">
        <f t="shared" si="2"/>
        <v>13435.92304773326</v>
      </c>
      <c r="F40" s="3"/>
      <c r="G40" s="26">
        <v>7.36</v>
      </c>
      <c r="H40" s="10"/>
      <c r="I40" s="10">
        <f t="shared" si="8"/>
        <v>73.711026387627101</v>
      </c>
      <c r="J40" s="10">
        <f t="shared" si="6"/>
        <v>74351537.034876019</v>
      </c>
      <c r="K40" s="11">
        <f t="shared" si="7"/>
        <v>8.8093599999999883E-2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995253.55909135181</v>
      </c>
      <c r="D41" s="11">
        <v>1.5100000000000001E-2</v>
      </c>
      <c r="E41" s="10">
        <f t="shared" si="2"/>
        <v>14804.776615386945</v>
      </c>
      <c r="F41" s="3"/>
      <c r="G41" s="26">
        <v>18</v>
      </c>
      <c r="H41" s="10"/>
      <c r="I41" s="10">
        <f t="shared" si="8"/>
        <v>68.657811463885167</v>
      </c>
      <c r="J41" s="10">
        <f t="shared" si="6"/>
        <v>68331931.218854725</v>
      </c>
      <c r="K41" s="11">
        <f t="shared" si="7"/>
        <v>0.19781799999999961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980448.78247596486</v>
      </c>
      <c r="D42" s="11">
        <v>1.6500000000000001E-2</v>
      </c>
      <c r="E42" s="10">
        <f t="shared" si="2"/>
        <v>15914.810536992969</v>
      </c>
      <c r="F42" s="3"/>
      <c r="G42" s="26">
        <v>-32.26</v>
      </c>
      <c r="H42" s="10"/>
      <c r="I42" s="10">
        <f t="shared" si="8"/>
        <v>58.184585986343365</v>
      </c>
      <c r="J42" s="10">
        <f t="shared" si="6"/>
        <v>57047006.489178441</v>
      </c>
      <c r="K42" s="11">
        <f t="shared" si="7"/>
        <v>-0.31142290000000006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964533.9719389719</v>
      </c>
      <c r="D43" s="11">
        <v>1.66E-2</v>
      </c>
      <c r="E43" s="10">
        <f t="shared" si="2"/>
        <v>15749.8169724443</v>
      </c>
      <c r="F43" s="3"/>
      <c r="G43" s="26">
        <v>2.0099999999999998</v>
      </c>
      <c r="H43" s="10"/>
      <c r="I43" s="10">
        <f t="shared" si="8"/>
        <v>85.89398580800615</v>
      </c>
      <c r="J43" s="10">
        <f t="shared" si="6"/>
        <v>82847667.297065854</v>
      </c>
      <c r="K43" s="11">
        <f t="shared" si="7"/>
        <v>3.7033659999999857E-2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948784.1549665276</v>
      </c>
      <c r="D44" s="11">
        <v>1.6E-2</v>
      </c>
      <c r="E44" s="10">
        <f t="shared" si="2"/>
        <v>14941.482755378354</v>
      </c>
      <c r="F44" s="3"/>
      <c r="G44" s="26">
        <v>-2.62</v>
      </c>
      <c r="H44" s="10"/>
      <c r="I44" s="10">
        <f t="shared" si="8"/>
        <v>84.201534955402565</v>
      </c>
      <c r="J44" s="10">
        <f t="shared" si="6"/>
        <v>79889082.189546153</v>
      </c>
      <c r="K44" s="11">
        <f t="shared" si="7"/>
        <v>-1.0619200000000162E-2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933842.67221114924</v>
      </c>
      <c r="D45" s="11">
        <v>1.49E-2</v>
      </c>
      <c r="E45" s="10">
        <f t="shared" si="2"/>
        <v>13709.977156316978</v>
      </c>
      <c r="F45" s="3"/>
      <c r="G45" s="26">
        <v>-1.27</v>
      </c>
      <c r="H45" s="10"/>
      <c r="I45" s="10">
        <f t="shared" si="8"/>
        <v>86.466969557817379</v>
      </c>
      <c r="J45" s="10">
        <f t="shared" si="6"/>
        <v>80746545.909872279</v>
      </c>
      <c r="K45" s="11">
        <f t="shared" si="7"/>
        <v>2.0107700000000506E-3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920132.69505483226</v>
      </c>
      <c r="D46" s="11">
        <v>1.17E-2</v>
      </c>
      <c r="E46" s="10">
        <f t="shared" si="2"/>
        <v>10641.052221154096</v>
      </c>
      <c r="F46" s="3"/>
      <c r="G46" s="26">
        <v>3.93</v>
      </c>
      <c r="H46" s="10"/>
      <c r="I46" s="10">
        <f t="shared" si="8"/>
        <v>87.579225724518764</v>
      </c>
      <c r="J46" s="10">
        <f t="shared" si="6"/>
        <v>80584508.996716946</v>
      </c>
      <c r="K46" s="11">
        <f t="shared" si="7"/>
        <v>5.1459810000000106E-2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909491.64283367817</v>
      </c>
      <c r="D47" s="11">
        <v>8.3999999999999995E-3</v>
      </c>
      <c r="E47" s="10">
        <f t="shared" si="2"/>
        <v>7576.0906384399859</v>
      </c>
      <c r="F47" s="3"/>
      <c r="G47" s="26">
        <v>5.28</v>
      </c>
      <c r="H47" s="10"/>
      <c r="I47" s="10">
        <f t="shared" si="8"/>
        <v>84.267512483901442</v>
      </c>
      <c r="J47" s="10">
        <f t="shared" si="6"/>
        <v>76640598.366491005</v>
      </c>
      <c r="K47" s="11">
        <f t="shared" si="7"/>
        <v>6.1643519999999841E-2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901915.55219523818</v>
      </c>
      <c r="D48" s="11">
        <v>5.7999999999999996E-3</v>
      </c>
      <c r="E48" s="10">
        <f t="shared" si="2"/>
        <v>5200.9447233370738</v>
      </c>
      <c r="F48" s="3"/>
      <c r="G48" s="26">
        <v>3.72</v>
      </c>
      <c r="H48" s="10"/>
      <c r="I48" s="10">
        <f t="shared" si="8"/>
        <v>80.041330246866877</v>
      </c>
      <c r="J48" s="10">
        <f t="shared" si="6"/>
        <v>72190520.568044364</v>
      </c>
      <c r="K48" s="11">
        <f t="shared" si="7"/>
        <v>4.3215760000000047E-2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896714.60747190111</v>
      </c>
      <c r="D49" s="11">
        <v>4.4999999999999997E-3</v>
      </c>
      <c r="E49" s="10">
        <f t="shared" si="2"/>
        <v>4017.1386098790681</v>
      </c>
      <c r="F49" s="3"/>
      <c r="G49" s="26">
        <v>6.83</v>
      </c>
      <c r="H49" s="10"/>
      <c r="I49" s="10">
        <f t="shared" si="8"/>
        <v>77.170584503342539</v>
      </c>
      <c r="J49" s="10">
        <f t="shared" si="6"/>
        <v>69199990.391291976</v>
      </c>
      <c r="K49" s="11">
        <f t="shared" si="7"/>
        <v>7.3107349999999904E-2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892697.46886202204</v>
      </c>
      <c r="D50" s="11">
        <v>4.7000000000000002E-3</v>
      </c>
      <c r="E50" s="10">
        <f t="shared" si="2"/>
        <v>4176.0506655235076</v>
      </c>
      <c r="F50" s="3"/>
      <c r="G50" s="26">
        <v>5.53</v>
      </c>
      <c r="H50" s="10"/>
      <c r="I50" s="10">
        <f t="shared" si="8"/>
        <v>72.23681035602597</v>
      </c>
      <c r="J50" s="10">
        <f t="shared" si="6"/>
        <v>64485617.763490282</v>
      </c>
      <c r="K50" s="11">
        <f t="shared" si="7"/>
        <v>6.0259909999999861E-2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888521.41819649853</v>
      </c>
      <c r="D51" s="11">
        <v>4.0000000000000001E-3</v>
      </c>
      <c r="E51" s="10">
        <f t="shared" si="2"/>
        <v>3539.9259689103346</v>
      </c>
      <c r="F51" s="3"/>
      <c r="G51" s="26">
        <v>2.06</v>
      </c>
      <c r="H51" s="10"/>
      <c r="I51" s="10">
        <f t="shared" si="8"/>
        <v>68.451445424074649</v>
      </c>
      <c r="J51" s="10">
        <f t="shared" si="6"/>
        <v>60820575.365799025</v>
      </c>
      <c r="K51" s="11">
        <f t="shared" si="7"/>
        <v>2.4682400000000104E-2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884981.4922275882</v>
      </c>
      <c r="D52" s="11">
        <v>3.7000000000000002E-3</v>
      </c>
      <c r="E52" s="10">
        <f t="shared" si="2"/>
        <v>3262.3607863326324</v>
      </c>
      <c r="F52" s="3"/>
      <c r="G52" s="26">
        <v>-0.45</v>
      </c>
      <c r="H52" s="10"/>
      <c r="I52" s="10">
        <f t="shared" si="8"/>
        <v>67.069807391803494</v>
      </c>
      <c r="J52" s="10">
        <f t="shared" si="6"/>
        <v>59355538.229015179</v>
      </c>
      <c r="K52" s="11">
        <f t="shared" si="7"/>
        <v>-8.1665000000008536E-4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881719.13144125557</v>
      </c>
      <c r="D53" s="11">
        <v>4.8999999999999998E-3</v>
      </c>
      <c r="E53" s="10">
        <f t="shared" si="2"/>
        <v>4299.3568952751812</v>
      </c>
      <c r="F53" s="3"/>
      <c r="G53" s="26">
        <v>3.96</v>
      </c>
      <c r="H53" s="10"/>
      <c r="I53" s="10">
        <f t="shared" si="8"/>
        <v>67.372985828029627</v>
      </c>
      <c r="J53" s="10">
        <f t="shared" si="6"/>
        <v>59404050.546894304</v>
      </c>
      <c r="K53" s="11">
        <f t="shared" si="7"/>
        <v>4.469403999999999E-2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877419.77454598038</v>
      </c>
      <c r="D54" s="11">
        <v>5.7999999999999996E-3</v>
      </c>
      <c r="E54" s="10">
        <f t="shared" si="2"/>
        <v>5059.688499072101</v>
      </c>
      <c r="F54" s="3"/>
      <c r="G54" s="26">
        <v>-0.93</v>
      </c>
      <c r="H54" s="10"/>
      <c r="I54" s="10">
        <f t="shared" si="8"/>
        <v>64.806642774172388</v>
      </c>
      <c r="J54" s="10">
        <f t="shared" si="6"/>
        <v>56862629.891996227</v>
      </c>
      <c r="K54" s="11">
        <f t="shared" si="7"/>
        <v>-3.5539399999999777E-3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872360.08604690828</v>
      </c>
      <c r="D55" s="11">
        <v>4.1000000000000003E-3</v>
      </c>
      <c r="E55" s="10">
        <f t="shared" si="2"/>
        <v>3562.0718581738183</v>
      </c>
      <c r="F55" s="3"/>
      <c r="G55" s="26">
        <v>2.27</v>
      </c>
      <c r="H55" s="10"/>
      <c r="I55" s="10">
        <f t="shared" si="8"/>
        <v>65.415002295520736</v>
      </c>
      <c r="J55" s="10">
        <f t="shared" si="6"/>
        <v>57065437.031279169</v>
      </c>
      <c r="K55" s="11">
        <f t="shared" si="7"/>
        <v>2.6893069999999852E-2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868798.01418873447</v>
      </c>
      <c r="D56" s="11">
        <v>-1.5E-3</v>
      </c>
      <c r="E56" s="10">
        <f t="shared" si="2"/>
        <v>-1305.1547534131678</v>
      </c>
      <c r="F56" s="3"/>
      <c r="G56" s="26">
        <v>2.0499999999999998</v>
      </c>
      <c r="H56" s="10"/>
      <c r="I56" s="10">
        <f t="shared" si="8"/>
        <v>63.963041258942738</v>
      </c>
      <c r="J56" s="10">
        <f t="shared" si="6"/>
        <v>55570963.227241538</v>
      </c>
      <c r="K56" s="11">
        <f t="shared" si="7"/>
        <v>1.8969250000000049E-2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870103.16894214763</v>
      </c>
      <c r="D57" s="11">
        <v>-2E-3</v>
      </c>
      <c r="E57" s="10">
        <f t="shared" si="2"/>
        <v>-1743.6937253349461</v>
      </c>
      <c r="F57" s="3"/>
      <c r="G57" s="26">
        <v>1.31</v>
      </c>
      <c r="H57" s="10"/>
      <c r="I57" s="10">
        <f t="shared" si="8"/>
        <v>62.678139401217777</v>
      </c>
      <c r="J57" s="10">
        <f t="shared" si="6"/>
        <v>54536447.716397271</v>
      </c>
      <c r="K57" s="11">
        <f t="shared" si="7"/>
        <v>1.1073800000000134E-2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871846.86266748258</v>
      </c>
      <c r="D58" s="11">
        <v>-3.0000000000000001E-3</v>
      </c>
      <c r="E58" s="10">
        <f t="shared" si="2"/>
        <v>-2623.4108204637887</v>
      </c>
      <c r="F58" s="3"/>
      <c r="G58" s="26">
        <v>3.68</v>
      </c>
      <c r="H58" s="10"/>
      <c r="I58" s="10">
        <f t="shared" si="8"/>
        <v>61.867672886405856</v>
      </c>
      <c r="J58" s="10">
        <f t="shared" si="6"/>
        <v>53939136.50655102</v>
      </c>
      <c r="K58" s="11">
        <f t="shared" si="7"/>
        <v>3.3689599999999986E-2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874470.27348794637</v>
      </c>
      <c r="D59" s="11">
        <v>-5.0000000000000001E-3</v>
      </c>
      <c r="E59" s="10">
        <f t="shared" si="2"/>
        <v>-4394.3229823515285</v>
      </c>
      <c r="F59" s="3"/>
      <c r="G59" s="26">
        <v>3.72</v>
      </c>
      <c r="H59" s="10"/>
      <c r="I59" s="10">
        <f t="shared" si="8"/>
        <v>59.671752398153799</v>
      </c>
      <c r="J59" s="10">
        <f t="shared" si="6"/>
        <v>52181173.639118575</v>
      </c>
      <c r="K59" s="11">
        <f t="shared" si="7"/>
        <v>3.2013999999999765E-2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878864.5964702979</v>
      </c>
      <c r="D60" s="11">
        <v>-8.0000000000000002E-3</v>
      </c>
      <c r="E60" s="10">
        <f t="shared" si="2"/>
        <v>-7087.6177134701284</v>
      </c>
      <c r="F60" s="3"/>
      <c r="G60" s="26">
        <v>3.71</v>
      </c>
      <c r="H60" s="10"/>
      <c r="I60" s="10">
        <f t="shared" si="8"/>
        <v>57.531577707437144</v>
      </c>
      <c r="J60" s="10">
        <f t="shared" si="6"/>
        <v>50562466.826146334</v>
      </c>
      <c r="K60" s="11">
        <f t="shared" si="7"/>
        <v>2.8803200000000029E-2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885952.21418376802</v>
      </c>
      <c r="D61" s="11">
        <v>-7.0000000000000001E-3</v>
      </c>
      <c r="E61" s="10">
        <f t="shared" si="2"/>
        <v>-6245.3831815572921</v>
      </c>
      <c r="F61" s="3"/>
      <c r="G61" s="26">
        <v>3.69</v>
      </c>
      <c r="H61" s="10"/>
      <c r="I61" s="10">
        <f t="shared" si="8"/>
        <v>55.473510469035915</v>
      </c>
      <c r="J61" s="10">
        <f t="shared" si="6"/>
        <v>49146879.428588808</v>
      </c>
      <c r="K61" s="11">
        <f t="shared" si="7"/>
        <v>2.9641699999999993E-2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892197.59736532532</v>
      </c>
      <c r="D62" s="11">
        <v>-7.0000000000000001E-3</v>
      </c>
      <c r="E62" s="10">
        <f t="shared" si="2"/>
        <v>-6289.4090448713396</v>
      </c>
      <c r="F62" s="3"/>
      <c r="G62" s="26">
        <v>3.68</v>
      </c>
      <c r="H62" s="10"/>
      <c r="I62" s="10">
        <f t="shared" si="8"/>
        <v>53.49938322792547</v>
      </c>
      <c r="J62" s="10">
        <f t="shared" si="6"/>
        <v>47732021.176481888</v>
      </c>
      <c r="K62" s="11">
        <f t="shared" si="7"/>
        <v>2.9542399999999969E-2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898487.00641019666</v>
      </c>
      <c r="D63" s="11">
        <v>-7.0000000000000001E-3</v>
      </c>
      <c r="E63" s="10">
        <f t="shared" si="2"/>
        <v>-6333.7452617032686</v>
      </c>
      <c r="F63" s="3"/>
      <c r="G63" s="26">
        <v>3.67</v>
      </c>
      <c r="H63" s="10"/>
      <c r="I63" s="10">
        <f t="shared" si="8"/>
        <v>51.600485366440466</v>
      </c>
      <c r="J63" s="10">
        <f t="shared" si="6"/>
        <v>46362365.626206256</v>
      </c>
      <c r="K63" s="11">
        <f t="shared" si="7"/>
        <v>2.9443100000000166E-2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904820.75167189992</v>
      </c>
      <c r="D64" s="11">
        <v>-6.0000000000000001E-3</v>
      </c>
      <c r="E64" s="10">
        <f t="shared" si="2"/>
        <v>-5461.6946781000588</v>
      </c>
      <c r="F64" s="3"/>
      <c r="G64" s="26">
        <v>3.66</v>
      </c>
      <c r="H64" s="10"/>
      <c r="I64" s="10">
        <f t="shared" si="8"/>
        <v>49.773787369962832</v>
      </c>
      <c r="J64" s="10">
        <f t="shared" si="6"/>
        <v>45036355.701647088</v>
      </c>
      <c r="K64" s="11">
        <f t="shared" si="7"/>
        <v>3.0380399999999863E-2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910282.44634999998</v>
      </c>
      <c r="D65" s="11">
        <v>-5.0000000000000001E-3</v>
      </c>
      <c r="E65" s="10">
        <f t="shared" si="2"/>
        <v>-4574.2836499999976</v>
      </c>
      <c r="F65" s="3"/>
      <c r="G65" s="26">
        <v>3.65</v>
      </c>
      <c r="H65" s="10"/>
      <c r="I65" s="10">
        <f t="shared" si="8"/>
        <v>48.016387584374719</v>
      </c>
      <c r="J65" s="10">
        <f t="shared" si="6"/>
        <v>43708474.755194388</v>
      </c>
      <c r="K65" s="11">
        <f t="shared" si="7"/>
        <v>3.1317500000000109E-2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914856.73</v>
      </c>
      <c r="D66" s="11">
        <v>-5.0000000000000001E-3</v>
      </c>
      <c r="E66" s="10">
        <f t="shared" si="2"/>
        <v>-4597.2700000000186</v>
      </c>
      <c r="F66" s="3"/>
      <c r="G66" s="26">
        <v>3.72</v>
      </c>
      <c r="H66" s="10"/>
      <c r="I66" s="10">
        <f t="shared" si="8"/>
        <v>46.325506593704503</v>
      </c>
      <c r="J66" s="10">
        <f t="shared" ref="J66:J67" si="9">IF(I66="","",I66*C66)</f>
        <v>42381201.477909938</v>
      </c>
      <c r="K66" s="11">
        <f t="shared" ref="K66" si="10">IFERROR(J66/J67-1,"")</f>
        <v>3.2013999999999765E-2</v>
      </c>
    </row>
    <row r="67" spans="1:11" ht="22.5" customHeight="1">
      <c r="A67" s="3">
        <f t="shared" si="0"/>
        <v>1950</v>
      </c>
      <c r="B67" s="3">
        <v>1700</v>
      </c>
      <c r="C67" s="10">
        <v>919454</v>
      </c>
      <c r="D67" s="11">
        <v>-4.0000000000000001E-3</v>
      </c>
      <c r="E67" s="3" t="s">
        <v>72</v>
      </c>
      <c r="F67" s="3"/>
      <c r="G67" s="26">
        <v>3.67</v>
      </c>
      <c r="H67" s="10"/>
      <c r="I67" s="10">
        <f t="shared" ref="I67" si="11">IF(H67&lt;&gt;"",H67,I66/(1+IF(G66="",0,G66)/100))</f>
        <v>44.664005585908704</v>
      </c>
      <c r="J67" s="10">
        <f t="shared" si="9"/>
        <v>41066498.591986105</v>
      </c>
      <c r="K67" s="11"/>
    </row>
  </sheetData>
  <dataValidations count="1">
    <dataValidation type="custom" allowBlank="1" showDropDown="1" sqref="D2:D67" xr:uid="{00000000-0002-0000-2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M67"/>
  <sheetViews>
    <sheetView workbookViewId="0">
      <selection activeCell="J67" sqref="J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7849206.5948258359</v>
      </c>
      <c r="D2" s="11">
        <v>3.1099999999999999E-2</v>
      </c>
      <c r="E2" s="10">
        <f t="shared" ref="E2:E66" si="2">SUM(C2-C3)</f>
        <v>236747.478517198</v>
      </c>
      <c r="F2" s="14">
        <v>7849450</v>
      </c>
      <c r="G2" s="29">
        <v>2.23</v>
      </c>
      <c r="H2" s="10"/>
      <c r="I2" s="10">
        <f>IF(H2&lt;&gt;"",H2,44448)</f>
        <v>5556</v>
      </c>
      <c r="J2" s="10">
        <f t="shared" ref="J2:J33" si="3">IF(I2="","",I2*C2)</f>
        <v>43610191840.852341</v>
      </c>
      <c r="K2" s="11">
        <f t="shared" ref="K2:K33" si="4">IFERROR(J2/J3-1,"")</f>
        <v>5.4093529999999834E-2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7612459.1163086379</v>
      </c>
      <c r="D3" s="11">
        <v>3.3599999999999998E-2</v>
      </c>
      <c r="E3" s="10">
        <f t="shared" si="2"/>
        <v>247463.84124223143</v>
      </c>
      <c r="F3" s="3"/>
      <c r="G3" s="29">
        <v>2.2400000000000002</v>
      </c>
      <c r="H3" s="10"/>
      <c r="I3" s="10">
        <f t="shared" ref="I3:I34" si="5">IF(H3&lt;&gt;"",H3,I2/(1+IF(G2="",0,G2)/100))</f>
        <v>5434.8038736183116</v>
      </c>
      <c r="J3" s="10">
        <f t="shared" si="3"/>
        <v>41372222293.075218</v>
      </c>
      <c r="K3" s="11">
        <f t="shared" si="4"/>
        <v>5.6752640000000021E-2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7364995.2750664065</v>
      </c>
      <c r="D4" s="11">
        <v>3.5200000000000002E-2</v>
      </c>
      <c r="E4" s="10">
        <f t="shared" si="2"/>
        <v>250432.60595279839</v>
      </c>
      <c r="F4" s="3"/>
      <c r="G4" s="29">
        <v>1.71</v>
      </c>
      <c r="H4" s="10"/>
      <c r="I4" s="10">
        <f t="shared" si="5"/>
        <v>5315.7314882808214</v>
      </c>
      <c r="J4" s="10">
        <f t="shared" si="3"/>
        <v>39150337294.709969</v>
      </c>
      <c r="K4" s="11">
        <f t="shared" si="4"/>
        <v>5.2901919999999825E-2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7114562.6691136081</v>
      </c>
      <c r="D5" s="11">
        <v>3.5799999999999998E-2</v>
      </c>
      <c r="E5" s="10">
        <f t="shared" si="2"/>
        <v>245898.18840921763</v>
      </c>
      <c r="F5" s="3"/>
      <c r="G5" s="29">
        <v>0.98</v>
      </c>
      <c r="H5" s="10"/>
      <c r="I5" s="10">
        <f t="shared" si="5"/>
        <v>5226.3607199693461</v>
      </c>
      <c r="J5" s="10">
        <f t="shared" si="3"/>
        <v>37183270873.615631</v>
      </c>
      <c r="K5" s="11">
        <f t="shared" si="4"/>
        <v>4.5950840000000159E-2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6868664.4807043904</v>
      </c>
      <c r="D6" s="11">
        <v>3.5499999999999997E-2</v>
      </c>
      <c r="E6" s="10">
        <f t="shared" si="2"/>
        <v>235478.11594882328</v>
      </c>
      <c r="F6" s="3"/>
      <c r="G6" s="29">
        <v>2.46</v>
      </c>
      <c r="H6" s="10"/>
      <c r="I6" s="10">
        <f t="shared" si="5"/>
        <v>5175.6394533267439</v>
      </c>
      <c r="J6" s="10">
        <f t="shared" si="3"/>
        <v>35549730877.997696</v>
      </c>
      <c r="K6" s="11">
        <f t="shared" si="4"/>
        <v>6.0973300000000119E-2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6633186.3647555672</v>
      </c>
      <c r="D7" s="11">
        <v>3.4500000000000003E-2</v>
      </c>
      <c r="E7" s="10">
        <f t="shared" si="2"/>
        <v>221213.07837995794</v>
      </c>
      <c r="F7" s="3"/>
      <c r="G7" s="29">
        <v>2.97</v>
      </c>
      <c r="H7" s="10"/>
      <c r="I7" s="10">
        <f t="shared" si="5"/>
        <v>5051.3756132410153</v>
      </c>
      <c r="J7" s="10">
        <f t="shared" si="3"/>
        <v>33506715841.009094</v>
      </c>
      <c r="K7" s="11">
        <f t="shared" si="4"/>
        <v>6.5224649999999773E-2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6411973.2863756092</v>
      </c>
      <c r="D8" s="11">
        <v>3.3300000000000003E-2</v>
      </c>
      <c r="E8" s="10">
        <f t="shared" si="2"/>
        <v>206637.67583113164</v>
      </c>
      <c r="F8" s="3"/>
      <c r="G8" s="29">
        <v>2.69</v>
      </c>
      <c r="H8" s="10"/>
      <c r="I8" s="10">
        <f t="shared" si="5"/>
        <v>4905.6770061581192</v>
      </c>
      <c r="J8" s="10">
        <f t="shared" si="3"/>
        <v>31455069915.072937</v>
      </c>
      <c r="K8" s="11">
        <f t="shared" si="4"/>
        <v>6.1095770000000105E-2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6205335.6105444776</v>
      </c>
      <c r="D9" s="11">
        <v>3.2199999999999999E-2</v>
      </c>
      <c r="E9" s="10">
        <f t="shared" si="2"/>
        <v>193578.57649634965</v>
      </c>
      <c r="F9" s="3"/>
      <c r="G9" s="29">
        <v>6.91</v>
      </c>
      <c r="H9" s="10"/>
      <c r="I9" s="10">
        <f t="shared" si="5"/>
        <v>4777.1711034746513</v>
      </c>
      <c r="J9" s="10">
        <f t="shared" si="3"/>
        <v>29643949966.055309</v>
      </c>
      <c r="K9" s="11">
        <f t="shared" si="4"/>
        <v>0.10352501999999975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6011757.0340481279</v>
      </c>
      <c r="D10" s="11">
        <v>3.1300000000000001E-2</v>
      </c>
      <c r="E10" s="10">
        <f t="shared" si="2"/>
        <v>182457.08830185886</v>
      </c>
      <c r="F10" s="3"/>
      <c r="G10" s="29">
        <v>6.5</v>
      </c>
      <c r="H10" s="10"/>
      <c r="I10" s="10">
        <f t="shared" si="5"/>
        <v>4468.4043620565444</v>
      </c>
      <c r="J10" s="10">
        <f t="shared" si="3"/>
        <v>26862961354.56477</v>
      </c>
      <c r="K10" s="11">
        <f t="shared" si="4"/>
        <v>9.8334500000000213E-2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5829299.9457462691</v>
      </c>
      <c r="D11" s="11">
        <v>3.0200000000000001E-2</v>
      </c>
      <c r="E11" s="10">
        <f t="shared" si="2"/>
        <v>170884.1568254102</v>
      </c>
      <c r="F11" s="3"/>
      <c r="G11" s="29">
        <v>6.02</v>
      </c>
      <c r="H11" s="10"/>
      <c r="I11" s="10">
        <f t="shared" si="5"/>
        <v>4195.6848470014502</v>
      </c>
      <c r="J11" s="10">
        <f t="shared" si="3"/>
        <v>24457905450.993996</v>
      </c>
      <c r="K11" s="11">
        <f t="shared" si="4"/>
        <v>9.2218040000000112E-2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5658415.7889208589</v>
      </c>
      <c r="D12" s="11">
        <v>2.9000000000000001E-2</v>
      </c>
      <c r="E12" s="10">
        <f t="shared" si="2"/>
        <v>159469.44400262833</v>
      </c>
      <c r="F12" s="3"/>
      <c r="G12" s="29">
        <v>5.13</v>
      </c>
      <c r="H12" s="10"/>
      <c r="I12" s="10">
        <f t="shared" si="5"/>
        <v>3957.4465638572437</v>
      </c>
      <c r="J12" s="10">
        <f t="shared" si="3"/>
        <v>22392878120.740429</v>
      </c>
      <c r="K12" s="11">
        <f t="shared" si="4"/>
        <v>8.1787699999999797E-2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5498946.3449182305</v>
      </c>
      <c r="D13" s="11">
        <v>2.8000000000000001E-2</v>
      </c>
      <c r="E13" s="10">
        <f t="shared" si="2"/>
        <v>149776.74869427085</v>
      </c>
      <c r="F13" s="3"/>
      <c r="G13" s="29">
        <v>5.27</v>
      </c>
      <c r="H13" s="10"/>
      <c r="I13" s="10">
        <f t="shared" si="5"/>
        <v>3764.3361208572665</v>
      </c>
      <c r="J13" s="10">
        <f t="shared" si="3"/>
        <v>20699882352.831738</v>
      </c>
      <c r="K13" s="11">
        <f t="shared" si="4"/>
        <v>8.2175600000000015E-2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5349169.5962239597</v>
      </c>
      <c r="D14" s="11">
        <v>2.7300000000000001E-2</v>
      </c>
      <c r="E14" s="10">
        <f t="shared" si="2"/>
        <v>142151.59152819496</v>
      </c>
      <c r="F14" s="3"/>
      <c r="G14" s="29">
        <v>5.33</v>
      </c>
      <c r="H14" s="10"/>
      <c r="I14" s="10">
        <f t="shared" si="5"/>
        <v>3575.8868821670626</v>
      </c>
      <c r="J14" s="10">
        <f t="shared" si="3"/>
        <v>19128025389.624142</v>
      </c>
      <c r="K14" s="11">
        <f t="shared" si="4"/>
        <v>8.2055090000000108E-2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5207018.0046957647</v>
      </c>
      <c r="D15" s="11">
        <v>2.6800000000000001E-2</v>
      </c>
      <c r="E15" s="10">
        <f t="shared" si="2"/>
        <v>135905.80690090172</v>
      </c>
      <c r="F15" s="3"/>
      <c r="G15" s="29">
        <v>4.63</v>
      </c>
      <c r="H15" s="10"/>
      <c r="I15" s="10">
        <f t="shared" si="5"/>
        <v>3394.9367532204146</v>
      </c>
      <c r="J15" s="10">
        <f t="shared" si="3"/>
        <v>17677496798.822083</v>
      </c>
      <c r="K15" s="11">
        <f t="shared" si="4"/>
        <v>7.4340840000000075E-2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5071112.197794863</v>
      </c>
      <c r="D16" s="11">
        <v>2.63E-2</v>
      </c>
      <c r="E16" s="10">
        <f t="shared" si="2"/>
        <v>129952.50005067233</v>
      </c>
      <c r="F16" s="3"/>
      <c r="G16" s="29">
        <v>8.86</v>
      </c>
      <c r="H16" s="10"/>
      <c r="I16" s="10">
        <f t="shared" si="5"/>
        <v>3244.706827124548</v>
      </c>
      <c r="J16" s="10">
        <f t="shared" si="3"/>
        <v>16454272369.299562</v>
      </c>
      <c r="K16" s="11">
        <f t="shared" si="4"/>
        <v>0.11723017999999996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4941159.6977441907</v>
      </c>
      <c r="D17" s="11">
        <v>2.5899999999999999E-2</v>
      </c>
      <c r="E17" s="10">
        <f t="shared" si="2"/>
        <v>124745.13712016214</v>
      </c>
      <c r="F17" s="3"/>
      <c r="G17" s="29">
        <v>7.46</v>
      </c>
      <c r="H17" s="10"/>
      <c r="I17" s="10">
        <f t="shared" si="5"/>
        <v>2980.6235781044902</v>
      </c>
      <c r="J17" s="10">
        <f t="shared" si="3"/>
        <v>14727737098.275991</v>
      </c>
      <c r="K17" s="11">
        <f t="shared" si="4"/>
        <v>0.10243214000000012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4816414.5606240286</v>
      </c>
      <c r="D18" s="11">
        <v>2.5499999999999998E-2</v>
      </c>
      <c r="E18" s="10">
        <f t="shared" si="2"/>
        <v>119764.57464252878</v>
      </c>
      <c r="F18" s="3"/>
      <c r="G18" s="29">
        <v>12.25</v>
      </c>
      <c r="H18" s="10"/>
      <c r="I18" s="10">
        <f t="shared" si="5"/>
        <v>2773.7051722543179</v>
      </c>
      <c r="J18" s="10">
        <f t="shared" si="3"/>
        <v>13359313978.523876</v>
      </c>
      <c r="K18" s="11">
        <f t="shared" si="4"/>
        <v>0.15112375000000022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4696649.9859814998</v>
      </c>
      <c r="D19" s="11">
        <v>2.53E-2</v>
      </c>
      <c r="E19" s="10">
        <f t="shared" si="2"/>
        <v>115893.14800090902</v>
      </c>
      <c r="F19" s="3"/>
      <c r="G19" s="29">
        <v>8.31</v>
      </c>
      <c r="H19" s="10"/>
      <c r="I19" s="10">
        <f t="shared" si="5"/>
        <v>2471.0068349704388</v>
      </c>
      <c r="J19" s="10">
        <f t="shared" si="3"/>
        <v>11605454216.824102</v>
      </c>
      <c r="K19" s="11">
        <f t="shared" si="4"/>
        <v>0.11050242999999993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4580756.8379805908</v>
      </c>
      <c r="D20" s="11">
        <v>2.52E-2</v>
      </c>
      <c r="E20" s="10">
        <f t="shared" si="2"/>
        <v>112597.61248255055</v>
      </c>
      <c r="F20" s="3"/>
      <c r="G20" s="29">
        <v>-11.71</v>
      </c>
      <c r="H20" s="10"/>
      <c r="I20" s="10">
        <f t="shared" si="5"/>
        <v>2281.4207690614339</v>
      </c>
      <c r="J20" s="10">
        <f t="shared" si="3"/>
        <v>10450633788.189102</v>
      </c>
      <c r="K20" s="11">
        <f t="shared" si="4"/>
        <v>-9.4850919999999839E-2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4468159.2254980402</v>
      </c>
      <c r="D21" s="11">
        <v>2.53E-2</v>
      </c>
      <c r="E21" s="10">
        <f t="shared" si="2"/>
        <v>110254.97747498378</v>
      </c>
      <c r="F21" s="3"/>
      <c r="G21" s="29">
        <v>7.34</v>
      </c>
      <c r="H21" s="10"/>
      <c r="I21" s="10">
        <f t="shared" si="5"/>
        <v>2584.0081199019523</v>
      </c>
      <c r="J21" s="10">
        <f t="shared" si="3"/>
        <v>11545759719.701754</v>
      </c>
      <c r="K21" s="11">
        <f t="shared" si="4"/>
        <v>0.10055701999999989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4357904.2480230564</v>
      </c>
      <c r="D22" s="11">
        <v>2.5700000000000001E-2</v>
      </c>
      <c r="E22" s="10">
        <f t="shared" si="2"/>
        <v>109191.90716017596</v>
      </c>
      <c r="F22" s="3"/>
      <c r="G22" s="29">
        <v>13.32</v>
      </c>
      <c r="H22" s="10"/>
      <c r="I22" s="10">
        <f t="shared" si="5"/>
        <v>2407.3114588242524</v>
      </c>
      <c r="J22" s="10">
        <f t="shared" si="3"/>
        <v>10490832832.724791</v>
      </c>
      <c r="K22" s="11">
        <f t="shared" si="4"/>
        <v>0.16232324000000009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4248712.3408628805</v>
      </c>
      <c r="D23" s="11">
        <v>2.6200000000000001E-2</v>
      </c>
      <c r="E23" s="10">
        <f t="shared" si="2"/>
        <v>108474.23828747589</v>
      </c>
      <c r="F23" s="3"/>
      <c r="G23" s="29">
        <v>8.3000000000000007</v>
      </c>
      <c r="H23" s="10"/>
      <c r="I23" s="10">
        <f t="shared" si="5"/>
        <v>2124.3482693472047</v>
      </c>
      <c r="J23" s="10">
        <f t="shared" si="3"/>
        <v>9025744708.2661705</v>
      </c>
      <c r="K23" s="11">
        <f t="shared" si="4"/>
        <v>0.11137459999999999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4140238.1025754046</v>
      </c>
      <c r="D24" s="11">
        <v>2.6599999999999999E-2</v>
      </c>
      <c r="E24" s="10">
        <f t="shared" si="2"/>
        <v>107276.77140902542</v>
      </c>
      <c r="F24" s="3"/>
      <c r="G24" s="29">
        <v>9.56</v>
      </c>
      <c r="H24" s="10"/>
      <c r="I24" s="10">
        <f t="shared" si="5"/>
        <v>1961.5404149096996</v>
      </c>
      <c r="J24" s="10">
        <f t="shared" si="3"/>
        <v>8121244365.5507069</v>
      </c>
      <c r="K24" s="11">
        <f t="shared" si="4"/>
        <v>0.12474295999999985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4032961.3311663792</v>
      </c>
      <c r="D25" s="11">
        <v>2.69E-2</v>
      </c>
      <c r="E25" s="10">
        <f t="shared" si="2"/>
        <v>105644.81430360815</v>
      </c>
      <c r="F25" s="3"/>
      <c r="G25" s="29">
        <v>-7.19</v>
      </c>
      <c r="H25" s="10"/>
      <c r="I25" s="10">
        <f t="shared" si="5"/>
        <v>1790.3800793261225</v>
      </c>
      <c r="J25" s="10">
        <f t="shared" si="3"/>
        <v>7220533628.0128469</v>
      </c>
      <c r="K25" s="11">
        <f t="shared" si="4"/>
        <v>-4.6934109999999918E-2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3927316.516862771</v>
      </c>
      <c r="D26" s="11">
        <v>2.7199999999999998E-2</v>
      </c>
      <c r="E26" s="10">
        <f t="shared" si="2"/>
        <v>103994.3625960541</v>
      </c>
      <c r="F26" s="3"/>
      <c r="G26" s="29">
        <v>-28</v>
      </c>
      <c r="H26" s="10"/>
      <c r="I26" s="10">
        <f t="shared" si="5"/>
        <v>1929.0810034760505</v>
      </c>
      <c r="J26" s="10">
        <f t="shared" si="3"/>
        <v>7576111687.3177013</v>
      </c>
      <c r="K26" s="11">
        <f t="shared" si="4"/>
        <v>-0.2604160000000002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3823322.1542667169</v>
      </c>
      <c r="D27" s="11">
        <v>2.7400000000000001E-2</v>
      </c>
      <c r="E27" s="10">
        <f t="shared" si="2"/>
        <v>101965.18106570793</v>
      </c>
      <c r="F27" s="3"/>
      <c r="G27" s="29">
        <v>-9.58</v>
      </c>
      <c r="H27" s="10"/>
      <c r="I27" s="10">
        <f t="shared" si="5"/>
        <v>2679.2791714945147</v>
      </c>
      <c r="J27" s="10">
        <f t="shared" si="3"/>
        <v>10243747413.840353</v>
      </c>
      <c r="K27" s="11">
        <f t="shared" si="4"/>
        <v>-7.1024919999999936E-2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3721356.973201009</v>
      </c>
      <c r="D28" s="11">
        <v>2.7699999999999999E-2</v>
      </c>
      <c r="E28" s="10">
        <f t="shared" si="2"/>
        <v>100303.18980020238</v>
      </c>
      <c r="F28" s="3"/>
      <c r="G28" s="29">
        <v>9.84</v>
      </c>
      <c r="H28" s="10"/>
      <c r="I28" s="10">
        <f t="shared" si="5"/>
        <v>2963.1488293458469</v>
      </c>
      <c r="J28" s="10">
        <f t="shared" si="3"/>
        <v>11026934558.718575</v>
      </c>
      <c r="K28" s="11">
        <f t="shared" si="4"/>
        <v>0.12882568000000028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3621053.7834008066</v>
      </c>
      <c r="D29" s="11">
        <v>2.7699999999999999E-2</v>
      </c>
      <c r="E29" s="10">
        <f t="shared" si="2"/>
        <v>97599.678700206801</v>
      </c>
      <c r="F29" s="3"/>
      <c r="G29" s="29">
        <v>-1.42</v>
      </c>
      <c r="H29" s="10"/>
      <c r="I29" s="10">
        <f t="shared" si="5"/>
        <v>2697.6955838909748</v>
      </c>
      <c r="J29" s="10">
        <f t="shared" si="3"/>
        <v>9768500800.5120621</v>
      </c>
      <c r="K29" s="11">
        <f t="shared" si="4"/>
        <v>1.3106660000000048E-2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3523454.1047005998</v>
      </c>
      <c r="D30" s="12">
        <v>2.7799999999999998E-2</v>
      </c>
      <c r="E30" s="10">
        <f t="shared" si="2"/>
        <v>95302.611510680057</v>
      </c>
      <c r="F30" s="3"/>
      <c r="G30" s="29">
        <v>-0.79</v>
      </c>
      <c r="H30" s="10"/>
      <c r="I30" s="10">
        <f t="shared" si="5"/>
        <v>2736.5546600638818</v>
      </c>
      <c r="J30" s="10">
        <f t="shared" si="3"/>
        <v>9642124749.7396393</v>
      </c>
      <c r="K30" s="11">
        <f t="shared" si="4"/>
        <v>1.9680380000000053E-2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3428151.4931899197</v>
      </c>
      <c r="D31" s="13">
        <v>2.7699999999999999E-2</v>
      </c>
      <c r="E31" s="10">
        <f t="shared" si="2"/>
        <v>92400.307834349573</v>
      </c>
      <c r="F31" s="3"/>
      <c r="G31" s="29">
        <v>5.64</v>
      </c>
      <c r="H31" s="10"/>
      <c r="I31" s="10">
        <f t="shared" si="5"/>
        <v>2758.3455902266724</v>
      </c>
      <c r="J31" s="10">
        <f t="shared" si="3"/>
        <v>9456026553.8693981</v>
      </c>
      <c r="K31" s="11">
        <f t="shared" si="4"/>
        <v>8.5662280000000202E-2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3335751.1853555702</v>
      </c>
      <c r="D32" s="12">
        <v>2.76E-2</v>
      </c>
      <c r="E32" s="10">
        <f t="shared" si="2"/>
        <v>89593.939972571097</v>
      </c>
      <c r="F32" s="3"/>
      <c r="G32" s="29">
        <v>1.78</v>
      </c>
      <c r="H32" s="10"/>
      <c r="I32" s="10">
        <f t="shared" si="5"/>
        <v>2611.0806420169183</v>
      </c>
      <c r="J32" s="10">
        <f t="shared" si="3"/>
        <v>8709915346.6669178</v>
      </c>
      <c r="K32" s="11">
        <f t="shared" si="4"/>
        <v>4.5891279999999979E-2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3246157.2453829991</v>
      </c>
      <c r="D33" s="13">
        <v>2.75E-2</v>
      </c>
      <c r="E33" s="10">
        <f t="shared" si="2"/>
        <v>86880.120922659524</v>
      </c>
      <c r="F33" s="3"/>
      <c r="G33" s="29">
        <v>-1.25</v>
      </c>
      <c r="H33" s="10"/>
      <c r="I33" s="10">
        <f t="shared" si="5"/>
        <v>2565.4162330683025</v>
      </c>
      <c r="J33" s="10">
        <f t="shared" si="3"/>
        <v>8327744492.397831</v>
      </c>
      <c r="K33" s="11">
        <f t="shared" si="4"/>
        <v>1.4656250000000259E-2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3159277.1244603395</v>
      </c>
      <c r="D34" s="12">
        <v>2.7400000000000001E-2</v>
      </c>
      <c r="E34" s="10">
        <f t="shared" si="2"/>
        <v>84255.590043034405</v>
      </c>
      <c r="F34" s="3"/>
      <c r="G34" s="29">
        <v>-0.2</v>
      </c>
      <c r="H34" s="10"/>
      <c r="I34" s="10">
        <f t="shared" si="5"/>
        <v>2597.8898562716986</v>
      </c>
      <c r="J34" s="10">
        <f t="shared" ref="J34:J65" si="6">IF(I34="","",I34*C34)</f>
        <v>8207453994.7867365</v>
      </c>
      <c r="K34" s="11">
        <f t="shared" ref="K34:K65" si="7">IFERROR(J34/J35-1,"")</f>
        <v>3.8701399999999886E-2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3075021.5344173051</v>
      </c>
      <c r="D35" s="11">
        <v>2.7099999999999999E-2</v>
      </c>
      <c r="E35" s="10">
        <f t="shared" si="2"/>
        <v>81134.342890379485</v>
      </c>
      <c r="F35" s="3"/>
      <c r="G35" s="29">
        <v>0.25</v>
      </c>
      <c r="H35" s="10"/>
      <c r="I35" s="10">
        <f t="shared" ref="I35:I66" si="8">IF(H35&lt;&gt;"",H35,I34/(1+IF(G34="",0,G34)/100))</f>
        <v>2569.623992355785</v>
      </c>
      <c r="J35" s="10">
        <f t="shared" si="6"/>
        <v>7901649111.8494081</v>
      </c>
      <c r="K35" s="11">
        <f t="shared" si="7"/>
        <v>5.739945000000013E-2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2993887.1915269257</v>
      </c>
      <c r="D36" s="11">
        <v>2.6800000000000001E-2</v>
      </c>
      <c r="E36" s="10">
        <f t="shared" si="2"/>
        <v>78141.971886366606</v>
      </c>
      <c r="F36" s="3"/>
      <c r="G36" s="29">
        <v>-3.05</v>
      </c>
      <c r="H36" s="10"/>
      <c r="I36" s="10">
        <f t="shared" si="8"/>
        <v>2495.9922218123215</v>
      </c>
      <c r="J36" s="10">
        <f t="shared" si="6"/>
        <v>7472719143.0347424</v>
      </c>
      <c r="K36" s="11">
        <f t="shared" si="7"/>
        <v>4.4768999999999837E-2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2915745.2196405591</v>
      </c>
      <c r="D37" s="11">
        <v>2.64E-2</v>
      </c>
      <c r="E37" s="10">
        <f t="shared" si="2"/>
        <v>74995.785072594415</v>
      </c>
      <c r="F37" s="3"/>
      <c r="G37" s="29">
        <v>-3.69</v>
      </c>
      <c r="H37" s="10"/>
      <c r="I37" s="10">
        <f t="shared" si="8"/>
        <v>2453.0636086607583</v>
      </c>
      <c r="J37" s="10">
        <f t="shared" si="6"/>
        <v>7152508490.4268255</v>
      </c>
      <c r="K37" s="11">
        <f t="shared" si="7"/>
        <v>4.2925040000000081E-2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2840749.4345679646</v>
      </c>
      <c r="D38" s="11">
        <v>2.5700000000000001E-2</v>
      </c>
      <c r="E38" s="10">
        <f t="shared" si="2"/>
        <v>71177.986222479027</v>
      </c>
      <c r="F38" s="3"/>
      <c r="G38" s="29">
        <v>-1.17</v>
      </c>
      <c r="H38" s="10"/>
      <c r="I38" s="10">
        <f t="shared" si="8"/>
        <v>2414.1950680649134</v>
      </c>
      <c r="J38" s="10">
        <f t="shared" si="6"/>
        <v>6858123274.5421715</v>
      </c>
      <c r="K38" s="11">
        <f t="shared" si="7"/>
        <v>5.165021000000003E-2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2769571.4483454856</v>
      </c>
      <c r="D39" s="11">
        <v>2.52E-2</v>
      </c>
      <c r="E39" s="10">
        <f t="shared" si="2"/>
        <v>68077.64387271367</v>
      </c>
      <c r="F39" s="3"/>
      <c r="G39" s="29">
        <v>5.64</v>
      </c>
      <c r="H39" s="10"/>
      <c r="I39" s="10">
        <f t="shared" si="8"/>
        <v>2354.6231035452192</v>
      </c>
      <c r="J39" s="10">
        <f t="shared" si="6"/>
        <v>6521296919.1934748</v>
      </c>
      <c r="K39" s="11">
        <f t="shared" si="7"/>
        <v>8.3021279999999864E-2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2701493.8044727719</v>
      </c>
      <c r="D40" s="11">
        <v>2.46E-2</v>
      </c>
      <c r="E40" s="10">
        <f t="shared" si="2"/>
        <v>64861.162980704568</v>
      </c>
      <c r="F40" s="3"/>
      <c r="G40" s="29">
        <v>6.3</v>
      </c>
      <c r="H40" s="10"/>
      <c r="I40" s="10">
        <f t="shared" si="8"/>
        <v>2228.9124418262204</v>
      </c>
      <c r="J40" s="10">
        <f t="shared" si="6"/>
        <v>6021393152.3058119</v>
      </c>
      <c r="K40" s="11">
        <f t="shared" si="7"/>
        <v>8.9149799999999724E-2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2636632.6414920674</v>
      </c>
      <c r="D41" s="11">
        <v>2.3900000000000001E-2</v>
      </c>
      <c r="E41" s="10">
        <f t="shared" si="2"/>
        <v>61544.60409381846</v>
      </c>
      <c r="F41" s="3"/>
      <c r="G41" s="29">
        <v>10.84</v>
      </c>
      <c r="H41" s="10"/>
      <c r="I41" s="10">
        <f t="shared" si="8"/>
        <v>2096.8132096201512</v>
      </c>
      <c r="J41" s="10">
        <f t="shared" si="6"/>
        <v>5528526151.5962391</v>
      </c>
      <c r="K41" s="11">
        <f t="shared" si="7"/>
        <v>0.13489076000000022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2575088.0373982489</v>
      </c>
      <c r="D42" s="11">
        <v>2.3E-2</v>
      </c>
      <c r="E42" s="10">
        <f t="shared" si="2"/>
        <v>57895.429970830213</v>
      </c>
      <c r="F42" s="3"/>
      <c r="G42" s="29">
        <v>-5.27</v>
      </c>
      <c r="H42" s="10"/>
      <c r="I42" s="10">
        <f t="shared" si="8"/>
        <v>1891.747753175885</v>
      </c>
      <c r="J42" s="10">
        <f t="shared" si="6"/>
        <v>4871417008.9782372</v>
      </c>
      <c r="K42" s="11">
        <f t="shared" si="7"/>
        <v>-3.0912099999999998E-2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2517192.6074274187</v>
      </c>
      <c r="D43" s="11">
        <v>2.2100000000000002E-2</v>
      </c>
      <c r="E43" s="10">
        <f t="shared" si="2"/>
        <v>54427.117331128102</v>
      </c>
      <c r="F43" s="3"/>
      <c r="G43" s="29">
        <v>4.3600000000000003</v>
      </c>
      <c r="H43" s="10"/>
      <c r="I43" s="10">
        <f t="shared" si="8"/>
        <v>1996.9890775634804</v>
      </c>
      <c r="J43" s="10">
        <f t="shared" si="6"/>
        <v>5026806143.1560926</v>
      </c>
      <c r="K43" s="11">
        <f t="shared" si="7"/>
        <v>6.6663560000000066E-2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2462765.4900962906</v>
      </c>
      <c r="D44" s="11">
        <v>2.1399999999999999E-2</v>
      </c>
      <c r="E44" s="10">
        <f t="shared" si="2"/>
        <v>51598.963665616699</v>
      </c>
      <c r="F44" s="3"/>
      <c r="G44" s="29">
        <v>4.07</v>
      </c>
      <c r="H44" s="10"/>
      <c r="I44" s="10">
        <f t="shared" si="8"/>
        <v>1913.5579509040631</v>
      </c>
      <c r="J44" s="10">
        <f t="shared" si="6"/>
        <v>4712644484.7858982</v>
      </c>
      <c r="K44" s="11">
        <f t="shared" si="7"/>
        <v>6.297098000000001E-2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2411166.5264306739</v>
      </c>
      <c r="D45" s="11">
        <v>2.0799999999999999E-2</v>
      </c>
      <c r="E45" s="10">
        <f t="shared" si="2"/>
        <v>49130.35241943365</v>
      </c>
      <c r="F45" s="3"/>
      <c r="G45" s="29">
        <v>5.81</v>
      </c>
      <c r="H45" s="10"/>
      <c r="I45" s="10">
        <f t="shared" si="8"/>
        <v>1838.7219668531404</v>
      </c>
      <c r="J45" s="10">
        <f t="shared" si="6"/>
        <v>4433464857.8890629</v>
      </c>
      <c r="K45" s="11">
        <f t="shared" si="7"/>
        <v>8.0108479999999815E-2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2362036.1740112402</v>
      </c>
      <c r="D46" s="11">
        <v>2.0500000000000001E-2</v>
      </c>
      <c r="E46" s="10">
        <f t="shared" si="2"/>
        <v>47449.036322616506</v>
      </c>
      <c r="F46" s="3"/>
      <c r="G46" s="29">
        <v>10.27</v>
      </c>
      <c r="H46" s="10"/>
      <c r="I46" s="10">
        <f t="shared" si="8"/>
        <v>1737.7582145857107</v>
      </c>
      <c r="J46" s="10">
        <f t="shared" si="6"/>
        <v>4104647764.5366359</v>
      </c>
      <c r="K46" s="11">
        <f t="shared" si="7"/>
        <v>0.12530534999999987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2314587.1376886237</v>
      </c>
      <c r="D47" s="11">
        <v>2.0799999999999999E-2</v>
      </c>
      <c r="E47" s="10">
        <f t="shared" si="2"/>
        <v>47162.433840050362</v>
      </c>
      <c r="F47" s="3"/>
      <c r="G47" s="29">
        <v>8.57</v>
      </c>
      <c r="H47" s="10"/>
      <c r="I47" s="10">
        <f t="shared" si="8"/>
        <v>1575.9120473253929</v>
      </c>
      <c r="J47" s="10">
        <f t="shared" si="6"/>
        <v>3647585754.8678999</v>
      </c>
      <c r="K47" s="11">
        <f t="shared" si="7"/>
        <v>0.10828255999999992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2267424.7038485734</v>
      </c>
      <c r="D48" s="11">
        <v>2.1299999999999999E-2</v>
      </c>
      <c r="E48" s="10">
        <f t="shared" si="2"/>
        <v>47288.892775849439</v>
      </c>
      <c r="F48" s="3"/>
      <c r="G48" s="29">
        <v>4.07</v>
      </c>
      <c r="H48" s="10"/>
      <c r="I48" s="10">
        <f t="shared" si="8"/>
        <v>1451.5170372344044</v>
      </c>
      <c r="J48" s="10">
        <f t="shared" si="6"/>
        <v>3291205588.2823782</v>
      </c>
      <c r="K48" s="11">
        <f t="shared" si="7"/>
        <v>6.2866910000000109E-2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2220135.8110727239</v>
      </c>
      <c r="D49" s="11">
        <v>1.9099999999999999E-2</v>
      </c>
      <c r="E49" s="10">
        <f t="shared" si="2"/>
        <v>41609.84593414655</v>
      </c>
      <c r="F49" s="3"/>
      <c r="G49" s="29">
        <v>6.37</v>
      </c>
      <c r="H49" s="10"/>
      <c r="I49" s="10">
        <f t="shared" si="8"/>
        <v>1394.750684380133</v>
      </c>
      <c r="J49" s="10">
        <f t="shared" si="6"/>
        <v>3096535941.9105234</v>
      </c>
      <c r="K49" s="11">
        <f t="shared" si="7"/>
        <v>8.4016670000000016E-2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2178525.9651385774</v>
      </c>
      <c r="D50" s="11">
        <v>1.61E-2</v>
      </c>
      <c r="E50" s="10">
        <f t="shared" si="2"/>
        <v>34518.519868842792</v>
      </c>
      <c r="F50" s="3"/>
      <c r="G50" s="29">
        <v>2.0299999999999998</v>
      </c>
      <c r="H50" s="10"/>
      <c r="I50" s="10">
        <f t="shared" si="8"/>
        <v>1311.2256128420916</v>
      </c>
      <c r="J50" s="10">
        <f t="shared" si="6"/>
        <v>2856539043.7312403</v>
      </c>
      <c r="K50" s="11">
        <f t="shared" si="7"/>
        <v>3.6726830000000099E-2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2144007.4452697346</v>
      </c>
      <c r="D51" s="11">
        <v>1.55E-2</v>
      </c>
      <c r="E51" s="10">
        <f t="shared" si="2"/>
        <v>32724.879765318707</v>
      </c>
      <c r="F51" s="3"/>
      <c r="G51" s="29">
        <v>7.07</v>
      </c>
      <c r="H51" s="10"/>
      <c r="I51" s="10">
        <f t="shared" si="8"/>
        <v>1285.1373251417147</v>
      </c>
      <c r="J51" s="10">
        <f t="shared" si="6"/>
        <v>2755343993.2978678</v>
      </c>
      <c r="K51" s="11">
        <f t="shared" si="7"/>
        <v>8.7295850000000064E-2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2111282.5655044159</v>
      </c>
      <c r="D52" s="11">
        <v>1.4800000000000001E-2</v>
      </c>
      <c r="E52" s="10">
        <f t="shared" si="2"/>
        <v>30791.271156351082</v>
      </c>
      <c r="F52" s="3"/>
      <c r="G52" s="29">
        <v>-19.82</v>
      </c>
      <c r="H52" s="10"/>
      <c r="I52" s="10">
        <f t="shared" si="8"/>
        <v>1200.2776922963619</v>
      </c>
      <c r="J52" s="10">
        <f t="shared" si="6"/>
        <v>2534125365.5091829</v>
      </c>
      <c r="K52" s="11">
        <f t="shared" si="7"/>
        <v>-0.18633336000000011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2080491.2943480648</v>
      </c>
      <c r="D53" s="11">
        <v>1.41E-2</v>
      </c>
      <c r="E53" s="10">
        <f t="shared" si="2"/>
        <v>28927.055764034856</v>
      </c>
      <c r="F53" s="3"/>
      <c r="G53" s="29">
        <v>0.54</v>
      </c>
      <c r="H53" s="10"/>
      <c r="I53" s="10">
        <f t="shared" si="8"/>
        <v>1496.9789128166151</v>
      </c>
      <c r="J53" s="10">
        <f t="shared" si="6"/>
        <v>3114451595.9375982</v>
      </c>
      <c r="K53" s="11">
        <f t="shared" si="7"/>
        <v>1.9576140000000075E-2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2051564.23858403</v>
      </c>
      <c r="D54" s="11">
        <v>1.35E-2</v>
      </c>
      <c r="E54" s="10">
        <f t="shared" si="2"/>
        <v>27327.200020606397</v>
      </c>
      <c r="F54" s="3"/>
      <c r="G54" s="29">
        <v>3.76</v>
      </c>
      <c r="H54" s="10"/>
      <c r="I54" s="10">
        <f t="shared" si="8"/>
        <v>1488.9386441382683</v>
      </c>
      <c r="J54" s="10">
        <f t="shared" si="6"/>
        <v>3054653275.7598643</v>
      </c>
      <c r="K54" s="11">
        <f t="shared" si="7"/>
        <v>5.1607600000000309E-2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2024237.0385634236</v>
      </c>
      <c r="D55" s="11">
        <v>1.29E-2</v>
      </c>
      <c r="E55" s="10">
        <f t="shared" si="2"/>
        <v>25780.094577419339</v>
      </c>
      <c r="F55" s="3"/>
      <c r="G55" s="29">
        <v>2.2799999999999998</v>
      </c>
      <c r="H55" s="10"/>
      <c r="I55" s="10">
        <f t="shared" si="8"/>
        <v>1434.9832730708058</v>
      </c>
      <c r="J55" s="10">
        <f t="shared" si="6"/>
        <v>2904746291.0688963</v>
      </c>
      <c r="K55" s="11">
        <f t="shared" si="7"/>
        <v>3.5994119999999796E-2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1998456.9439860042</v>
      </c>
      <c r="D56" s="11">
        <v>1.2200000000000001E-2</v>
      </c>
      <c r="E56" s="10">
        <f t="shared" si="2"/>
        <v>24087.309540238231</v>
      </c>
      <c r="F56" s="3"/>
      <c r="G56" s="29">
        <v>-1.27</v>
      </c>
      <c r="H56" s="10"/>
      <c r="I56" s="10">
        <f t="shared" si="8"/>
        <v>1402.9949873590203</v>
      </c>
      <c r="J56" s="10">
        <f t="shared" si="6"/>
        <v>2803825074.8651905</v>
      </c>
      <c r="K56" s="11">
        <f t="shared" si="7"/>
        <v>-6.5493999999999275E-4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1974369.634445766</v>
      </c>
      <c r="D57" s="11">
        <v>1.15E-2</v>
      </c>
      <c r="E57" s="10">
        <f t="shared" si="2"/>
        <v>22447.109042141819</v>
      </c>
      <c r="F57" s="3"/>
      <c r="G57" s="29">
        <v>6.13</v>
      </c>
      <c r="H57" s="10"/>
      <c r="I57" s="10">
        <f t="shared" si="8"/>
        <v>1421.0422235987241</v>
      </c>
      <c r="J57" s="10">
        <f t="shared" si="6"/>
        <v>2805662615.5386114</v>
      </c>
      <c r="K57" s="11">
        <f t="shared" si="7"/>
        <v>7.3504950000000013E-2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1951922.5254036242</v>
      </c>
      <c r="D58" s="11">
        <v>1.0999999999999999E-2</v>
      </c>
      <c r="E58" s="10">
        <f t="shared" si="2"/>
        <v>21237.534895588178</v>
      </c>
      <c r="F58" s="3"/>
      <c r="G58" s="29">
        <v>4.04</v>
      </c>
      <c r="H58" s="10"/>
      <c r="I58" s="10">
        <f t="shared" si="8"/>
        <v>1338.9637459707192</v>
      </c>
      <c r="J58" s="10">
        <f t="shared" si="6"/>
        <v>2613553496.4590631</v>
      </c>
      <c r="K58" s="11">
        <f t="shared" si="7"/>
        <v>5.1844400000000013E-2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1930684.990508036</v>
      </c>
      <c r="D59" s="11">
        <v>0.01</v>
      </c>
      <c r="E59" s="10">
        <f t="shared" si="2"/>
        <v>19115.69297532714</v>
      </c>
      <c r="F59" s="3"/>
      <c r="G59" s="30">
        <v>2.98</v>
      </c>
      <c r="H59" s="10"/>
      <c r="I59" s="10">
        <f t="shared" si="8"/>
        <v>1286.9701518365237</v>
      </c>
      <c r="J59" s="10">
        <f t="shared" si="6"/>
        <v>2484733955.3826241</v>
      </c>
      <c r="K59" s="11">
        <f t="shared" si="7"/>
        <v>4.0097999999999967E-2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1911569.2975327088</v>
      </c>
      <c r="D60" s="11">
        <v>0.01</v>
      </c>
      <c r="E60" s="10">
        <f t="shared" si="2"/>
        <v>18926.428688442567</v>
      </c>
      <c r="F60" s="3"/>
      <c r="G60" s="30">
        <v>3.68</v>
      </c>
      <c r="H60" s="10"/>
      <c r="I60" s="10">
        <f t="shared" si="8"/>
        <v>1249.7282499869136</v>
      </c>
      <c r="J60" s="10">
        <f t="shared" si="6"/>
        <v>2388942152.9342661</v>
      </c>
      <c r="K60" s="11">
        <f t="shared" si="7"/>
        <v>4.7168000000000099E-2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1892642.8688442663</v>
      </c>
      <c r="D61" s="11">
        <v>8.9999999999999993E-3</v>
      </c>
      <c r="E61" s="10">
        <f t="shared" si="2"/>
        <v>16881.849177005235</v>
      </c>
      <c r="F61" s="3"/>
      <c r="G61" s="30">
        <v>3.75</v>
      </c>
      <c r="H61" s="10"/>
      <c r="I61" s="10">
        <f t="shared" si="8"/>
        <v>1205.3706114842917</v>
      </c>
      <c r="J61" s="10">
        <f t="shared" si="6"/>
        <v>2281336092.1401973</v>
      </c>
      <c r="K61" s="11">
        <f t="shared" si="7"/>
        <v>4.6837500000000087E-2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1875761.019667261</v>
      </c>
      <c r="D62" s="11">
        <v>8.9999999999999993E-3</v>
      </c>
      <c r="E62" s="10">
        <f t="shared" si="2"/>
        <v>16731.267767101293</v>
      </c>
      <c r="F62" s="3"/>
      <c r="G62" s="30">
        <v>3.58</v>
      </c>
      <c r="H62" s="10"/>
      <c r="I62" s="10">
        <f t="shared" si="8"/>
        <v>1161.8029990210039</v>
      </c>
      <c r="J62" s="10">
        <f t="shared" si="6"/>
        <v>2179264778.0961199</v>
      </c>
      <c r="K62" s="11">
        <f t="shared" si="7"/>
        <v>4.5122200000000001E-2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1859029.7519001598</v>
      </c>
      <c r="D63" s="11">
        <v>8.0000000000000002E-3</v>
      </c>
      <c r="E63" s="10">
        <f t="shared" si="2"/>
        <v>14754.204380159965</v>
      </c>
      <c r="F63" s="3"/>
      <c r="G63" s="30">
        <v>5.82</v>
      </c>
      <c r="H63" s="10"/>
      <c r="I63" s="10">
        <f t="shared" si="8"/>
        <v>1121.6480005995402</v>
      </c>
      <c r="J63" s="10">
        <f t="shared" si="6"/>
        <v>2085177004.2738733</v>
      </c>
      <c r="K63" s="11">
        <f t="shared" si="7"/>
        <v>6.6665600000000103E-2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1844275.5475199998</v>
      </c>
      <c r="D64" s="11">
        <v>8.0000000000000002E-3</v>
      </c>
      <c r="E64" s="10">
        <f t="shared" si="2"/>
        <v>14637.107520000078</v>
      </c>
      <c r="F64" s="3"/>
      <c r="G64" s="30">
        <v>6.73</v>
      </c>
      <c r="H64" s="10"/>
      <c r="I64" s="10">
        <f t="shared" si="8"/>
        <v>1059.958420524986</v>
      </c>
      <c r="J64" s="10">
        <f t="shared" si="6"/>
        <v>1954855396.3621526</v>
      </c>
      <c r="K64" s="11">
        <f t="shared" si="7"/>
        <v>7.5838399999999861E-2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1829638.4399999997</v>
      </c>
      <c r="D65" s="11">
        <v>8.0000000000000002E-3</v>
      </c>
      <c r="E65" s="10">
        <f t="shared" si="2"/>
        <v>14520.939999999944</v>
      </c>
      <c r="F65" s="3"/>
      <c r="G65" s="30">
        <v>2.34</v>
      </c>
      <c r="H65" s="10"/>
      <c r="I65" s="10">
        <f t="shared" si="8"/>
        <v>993.12135343857028</v>
      </c>
      <c r="J65" s="10">
        <f t="shared" si="6"/>
        <v>1817053003.8360341</v>
      </c>
      <c r="K65" s="11">
        <f t="shared" si="7"/>
        <v>3.1587200000000148E-2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1815117.4999999998</v>
      </c>
      <c r="D66" s="11">
        <v>7.0000000000000001E-3</v>
      </c>
      <c r="E66" s="10">
        <f t="shared" si="2"/>
        <v>12617.499999999767</v>
      </c>
      <c r="F66" s="3"/>
      <c r="G66" s="30">
        <v>6.68</v>
      </c>
      <c r="H66" s="10"/>
      <c r="I66" s="10">
        <f t="shared" si="8"/>
        <v>970.41367347915786</v>
      </c>
      <c r="J66" s="10">
        <f t="shared" ref="J66:J67" si="9">IF(I66="","",I66*C66)</f>
        <v>1761414840.9713051</v>
      </c>
      <c r="K66" s="11">
        <f t="shared" ref="K66" si="10">IFERROR(J66/J67-1,"")</f>
        <v>7.4267599999999767E-2</v>
      </c>
    </row>
    <row r="67" spans="1:11" ht="22.5" customHeight="1">
      <c r="A67" s="3">
        <f t="shared" si="0"/>
        <v>1950</v>
      </c>
      <c r="B67" s="3">
        <v>1700</v>
      </c>
      <c r="C67" s="10">
        <v>1802500</v>
      </c>
      <c r="D67" s="11">
        <v>7.0000000000000001E-3</v>
      </c>
      <c r="E67" s="3" t="s">
        <v>72</v>
      </c>
      <c r="F67" s="3"/>
      <c r="G67" s="30">
        <v>2.34</v>
      </c>
      <c r="H67" s="10"/>
      <c r="I67" s="10">
        <f t="shared" ref="I67" si="11">IF(H67&lt;&gt;"",H67,I66/(1+IF(G66="",0,G66)/100))</f>
        <v>909.6491127476171</v>
      </c>
      <c r="J67" s="10">
        <f t="shared" si="9"/>
        <v>1639642525.7275798</v>
      </c>
      <c r="K67" s="11"/>
    </row>
  </sheetData>
  <dataValidations count="1">
    <dataValidation type="custom" allowBlank="1" showDropDown="1" sqref="D2:D67" xr:uid="{00000000-0002-0000-2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M67"/>
  <sheetViews>
    <sheetView workbookViewId="0">
      <selection activeCell="L52" sqref="L5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12299311.234167134</v>
      </c>
      <c r="D2" s="11">
        <v>2.8E-3</v>
      </c>
      <c r="E2" s="10">
        <f t="shared" ref="E2:E66" si="2">SUM(C2-C3)</f>
        <v>34341.914096197113</v>
      </c>
      <c r="F2" s="14">
        <v>12299328</v>
      </c>
      <c r="G2" s="26">
        <v>4.43</v>
      </c>
      <c r="H2" s="10"/>
      <c r="I2" s="10">
        <f>IF(H2&lt;&gt;"",H2,73648)</f>
        <v>9206</v>
      </c>
      <c r="J2" s="10">
        <f t="shared" ref="J2:J33" si="3">IF(I2="","",I2*C2)</f>
        <v>113227459221.74265</v>
      </c>
      <c r="K2" s="11">
        <f t="shared" ref="K2:K33" si="4">IFERROR(J2/J3-1,"")</f>
        <v>4.7224039999999912E-2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12264969.320070937</v>
      </c>
      <c r="D3" s="11">
        <v>3.0000000000000001E-3</v>
      </c>
      <c r="E3" s="10">
        <f t="shared" si="2"/>
        <v>36684.853400010616</v>
      </c>
      <c r="F3" s="3"/>
      <c r="G3" s="26">
        <v>3.92</v>
      </c>
      <c r="H3" s="10"/>
      <c r="I3" s="10">
        <f t="shared" ref="I3:I34" si="5">IF(H3&lt;&gt;"",H3,I2/(1+IF(G2="",0,G2)/100))</f>
        <v>8815.4744805132632</v>
      </c>
      <c r="J3" s="10">
        <f t="shared" si="3"/>
        <v>108121524045.36345</v>
      </c>
      <c r="K3" s="11">
        <f t="shared" si="4"/>
        <v>4.2317599999999622E-2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12228284.466670927</v>
      </c>
      <c r="D4" s="11">
        <v>3.0000000000000001E-3</v>
      </c>
      <c r="E4" s="10">
        <f t="shared" si="2"/>
        <v>36575.128015963361</v>
      </c>
      <c r="F4" s="3"/>
      <c r="G4" s="26">
        <v>0.68</v>
      </c>
      <c r="H4" s="10"/>
      <c r="I4" s="10">
        <f t="shared" si="5"/>
        <v>8482.9431105785843</v>
      </c>
      <c r="J4" s="10">
        <f t="shared" si="3"/>
        <v>103731841470.74126</v>
      </c>
      <c r="K4" s="11">
        <f t="shared" si="4"/>
        <v>9.8203999999997293E-3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12191709.338654963</v>
      </c>
      <c r="D5" s="11">
        <v>2.5000000000000001E-3</v>
      </c>
      <c r="E5" s="10">
        <f t="shared" si="2"/>
        <v>30403.265183677897</v>
      </c>
      <c r="F5" s="3"/>
      <c r="G5" s="26">
        <v>1.51</v>
      </c>
      <c r="H5" s="10"/>
      <c r="I5" s="10">
        <f t="shared" si="5"/>
        <v>8425.6486994225124</v>
      </c>
      <c r="J5" s="10">
        <f t="shared" si="3"/>
        <v>102723059932.97549</v>
      </c>
      <c r="K5" s="11">
        <f t="shared" si="4"/>
        <v>1.7637750000000008E-2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12161306.073471285</v>
      </c>
      <c r="D6" s="11">
        <v>1.1999999999999999E-3</v>
      </c>
      <c r="E6" s="10">
        <f t="shared" si="2"/>
        <v>14576.075996970758</v>
      </c>
      <c r="F6" s="3"/>
      <c r="G6" s="26">
        <v>5.26</v>
      </c>
      <c r="H6" s="10"/>
      <c r="I6" s="10">
        <f t="shared" si="5"/>
        <v>8300.3139586469442</v>
      </c>
      <c r="J6" s="10">
        <f t="shared" si="3"/>
        <v>100942658557.01157</v>
      </c>
      <c r="K6" s="11">
        <f t="shared" si="4"/>
        <v>5.3863120000000153E-2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12146729.997474315</v>
      </c>
      <c r="D7" s="11">
        <v>4.0000000000000002E-4</v>
      </c>
      <c r="E7" s="10">
        <f t="shared" si="2"/>
        <v>4856.7492992691696</v>
      </c>
      <c r="F7" s="3"/>
      <c r="G7" s="26">
        <v>3.17</v>
      </c>
      <c r="H7" s="10"/>
      <c r="I7" s="10">
        <f t="shared" si="5"/>
        <v>7885.5348267593999</v>
      </c>
      <c r="J7" s="10">
        <f t="shared" si="3"/>
        <v>95783462426.326828</v>
      </c>
      <c r="K7" s="11">
        <f t="shared" si="4"/>
        <v>3.2112680000000005E-2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12141873.248175045</v>
      </c>
      <c r="D8" s="11">
        <v>2.9999999999999997E-4</v>
      </c>
      <c r="E8" s="10">
        <f t="shared" si="2"/>
        <v>3641.4695335924625</v>
      </c>
      <c r="F8" s="3"/>
      <c r="G8" s="26">
        <v>2.62</v>
      </c>
      <c r="H8" s="10"/>
      <c r="I8" s="10">
        <f t="shared" si="5"/>
        <v>7643.243992206455</v>
      </c>
      <c r="J8" s="10">
        <f t="shared" si="3"/>
        <v>92803299758.246185</v>
      </c>
      <c r="K8" s="11">
        <f t="shared" si="4"/>
        <v>2.6507859999999939E-2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12138231.778641453</v>
      </c>
      <c r="D9" s="11">
        <v>-4.0000000000000002E-4</v>
      </c>
      <c r="E9" s="10">
        <f t="shared" si="2"/>
        <v>-4857.2356056980789</v>
      </c>
      <c r="F9" s="3"/>
      <c r="G9" s="26">
        <v>4.38</v>
      </c>
      <c r="H9" s="10"/>
      <c r="I9" s="10">
        <f t="shared" si="5"/>
        <v>7448.103675897929</v>
      </c>
      <c r="J9" s="10">
        <f t="shared" si="3"/>
        <v>90406808729.400467</v>
      </c>
      <c r="K9" s="11">
        <f t="shared" si="4"/>
        <v>4.3382480000000223E-2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12143089.014247151</v>
      </c>
      <c r="D10" s="11">
        <v>-1.6999999999999999E-3</v>
      </c>
      <c r="E10" s="10">
        <f t="shared" si="2"/>
        <v>-20678.404612060636</v>
      </c>
      <c r="F10" s="3"/>
      <c r="G10" s="26">
        <v>6.76</v>
      </c>
      <c r="H10" s="10"/>
      <c r="I10" s="10">
        <f t="shared" si="5"/>
        <v>7135.5658899194559</v>
      </c>
      <c r="J10" s="10">
        <f t="shared" si="3"/>
        <v>86647811768.317642</v>
      </c>
      <c r="K10" s="11">
        <f t="shared" si="4"/>
        <v>6.5785080000000162E-2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12163767.418859212</v>
      </c>
      <c r="D11" s="11">
        <v>-3.3E-3</v>
      </c>
      <c r="E11" s="10">
        <f t="shared" si="2"/>
        <v>-40273.334486039355</v>
      </c>
      <c r="F11" s="3"/>
      <c r="G11" s="26">
        <v>6.2</v>
      </c>
      <c r="H11" s="10"/>
      <c r="I11" s="10">
        <f t="shared" si="5"/>
        <v>6683.7447451474854</v>
      </c>
      <c r="J11" s="10">
        <f t="shared" si="3"/>
        <v>81299516566.996445</v>
      </c>
      <c r="K11" s="11">
        <f t="shared" si="4"/>
        <v>5.8495399999999975E-2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12204040.753345251</v>
      </c>
      <c r="D12" s="11">
        <v>-3.8E-3</v>
      </c>
      <c r="E12" s="10">
        <f t="shared" si="2"/>
        <v>-46552.253425730392</v>
      </c>
      <c r="F12" s="3"/>
      <c r="G12" s="26">
        <v>3.26</v>
      </c>
      <c r="H12" s="10"/>
      <c r="I12" s="10">
        <f t="shared" si="5"/>
        <v>6293.5449577659938</v>
      </c>
      <c r="J12" s="10">
        <f t="shared" si="3"/>
        <v>76806679147.5867</v>
      </c>
      <c r="K12" s="11">
        <f t="shared" si="4"/>
        <v>2.8676119999999861E-2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12250593.006770981</v>
      </c>
      <c r="D13" s="11">
        <v>-4.0000000000000001E-3</v>
      </c>
      <c r="E13" s="10">
        <f t="shared" si="2"/>
        <v>-49199.168701890856</v>
      </c>
      <c r="F13" s="3"/>
      <c r="G13" s="26">
        <v>5.09</v>
      </c>
      <c r="H13" s="10"/>
      <c r="I13" s="10">
        <f t="shared" si="5"/>
        <v>6094.8527578597659</v>
      </c>
      <c r="J13" s="10">
        <f t="shared" si="3"/>
        <v>74665560572.735672</v>
      </c>
      <c r="K13" s="11">
        <f t="shared" si="4"/>
        <v>4.669639999999986E-2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12299792.175472872</v>
      </c>
      <c r="D14" s="11">
        <v>-4.4999999999999997E-3</v>
      </c>
      <c r="E14" s="10">
        <f t="shared" si="2"/>
        <v>-55599.261466225609</v>
      </c>
      <c r="F14" s="3"/>
      <c r="G14" s="26">
        <v>3.52</v>
      </c>
      <c r="H14" s="10"/>
      <c r="I14" s="10">
        <f t="shared" si="5"/>
        <v>5799.6505451134899</v>
      </c>
      <c r="J14" s="10">
        <f t="shared" si="3"/>
        <v>71334496395.263885</v>
      </c>
      <c r="K14" s="11">
        <f t="shared" si="4"/>
        <v>3.0541600000000058E-2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12355391.436939098</v>
      </c>
      <c r="D15" s="11">
        <v>-4.5999999999999999E-3</v>
      </c>
      <c r="E15" s="10">
        <f t="shared" si="2"/>
        <v>-57097.448874743655</v>
      </c>
      <c r="F15" s="3"/>
      <c r="G15" s="26">
        <v>1.9</v>
      </c>
      <c r="H15" s="10"/>
      <c r="I15" s="10">
        <f t="shared" si="5"/>
        <v>5602.444498757236</v>
      </c>
      <c r="J15" s="10">
        <f t="shared" si="3"/>
        <v>69220394785.871704</v>
      </c>
      <c r="K15" s="11">
        <f t="shared" si="4"/>
        <v>1.4312599999999787E-2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12412488.885813842</v>
      </c>
      <c r="D16" s="11">
        <v>-4.1999999999999997E-3</v>
      </c>
      <c r="E16" s="10">
        <f t="shared" si="2"/>
        <v>-52352.333119519055</v>
      </c>
      <c r="F16" s="3"/>
      <c r="G16" s="26">
        <v>1.23</v>
      </c>
      <c r="H16" s="10"/>
      <c r="I16" s="10">
        <f t="shared" si="5"/>
        <v>5497.9828250807032</v>
      </c>
      <c r="J16" s="10">
        <f t="shared" si="3"/>
        <v>68243650710.709618</v>
      </c>
      <c r="K16" s="11">
        <f t="shared" si="4"/>
        <v>8.0483400000002092E-3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12464841.218933361</v>
      </c>
      <c r="D17" s="11">
        <v>-4.1999999999999997E-3</v>
      </c>
      <c r="E17" s="10">
        <f t="shared" si="2"/>
        <v>-52573.140308817849</v>
      </c>
      <c r="F17" s="3"/>
      <c r="G17" s="26">
        <v>4.66</v>
      </c>
      <c r="H17" s="10"/>
      <c r="I17" s="10">
        <f t="shared" si="5"/>
        <v>5431.1793194514503</v>
      </c>
      <c r="J17" s="10">
        <f t="shared" si="3"/>
        <v>67698787848.516876</v>
      </c>
      <c r="K17" s="11">
        <f t="shared" si="4"/>
        <v>4.2204279999999983E-2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12517414.359242178</v>
      </c>
      <c r="D18" s="11">
        <v>-3.0999999999999999E-3</v>
      </c>
      <c r="E18" s="10">
        <f t="shared" si="2"/>
        <v>-38924.650931539014</v>
      </c>
      <c r="F18" s="3"/>
      <c r="G18" s="26">
        <v>4.7</v>
      </c>
      <c r="H18" s="10"/>
      <c r="I18" s="10">
        <f t="shared" si="5"/>
        <v>5189.355359689901</v>
      </c>
      <c r="J18" s="10">
        <f t="shared" si="3"/>
        <v>64957311294.592728</v>
      </c>
      <c r="K18" s="11">
        <f t="shared" si="4"/>
        <v>4.3754299999999802E-2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12556339.010173718</v>
      </c>
      <c r="D19" s="11">
        <v>-1.6999999999999999E-3</v>
      </c>
      <c r="E19" s="10">
        <f t="shared" si="2"/>
        <v>-21382.125931378454</v>
      </c>
      <c r="F19" s="3"/>
      <c r="G19" s="26">
        <v>4.62</v>
      </c>
      <c r="H19" s="10"/>
      <c r="I19" s="10">
        <f t="shared" si="5"/>
        <v>4956.4043550046817</v>
      </c>
      <c r="J19" s="10">
        <f t="shared" si="3"/>
        <v>62234293352.940186</v>
      </c>
      <c r="K19" s="11">
        <f t="shared" si="4"/>
        <v>4.4421460000000135E-2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12577721.136105096</v>
      </c>
      <c r="D20" s="11">
        <v>-1.6999999999999999E-3</v>
      </c>
      <c r="E20" s="10">
        <f t="shared" si="2"/>
        <v>-21418.537445034832</v>
      </c>
      <c r="F20" s="3"/>
      <c r="G20" s="26">
        <v>6.36</v>
      </c>
      <c r="H20" s="10"/>
      <c r="I20" s="10">
        <f t="shared" si="5"/>
        <v>4737.5304482935207</v>
      </c>
      <c r="J20" s="10">
        <f t="shared" si="3"/>
        <v>59587336852.442863</v>
      </c>
      <c r="K20" s="11">
        <f t="shared" si="4"/>
        <v>6.1791880000000132E-2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12599139.673550131</v>
      </c>
      <c r="D21" s="11">
        <v>-1.5E-3</v>
      </c>
      <c r="E21" s="10">
        <f t="shared" si="2"/>
        <v>-18927.100160565227</v>
      </c>
      <c r="F21" s="3"/>
      <c r="G21" s="26">
        <v>6.09</v>
      </c>
      <c r="H21" s="10"/>
      <c r="I21" s="10">
        <f t="shared" si="5"/>
        <v>4454.2407373951864</v>
      </c>
      <c r="J21" s="10">
        <f t="shared" si="3"/>
        <v>56119601190.058884</v>
      </c>
      <c r="K21" s="11">
        <f t="shared" si="4"/>
        <v>5.9308649999999963E-2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12618066.773710696</v>
      </c>
      <c r="D22" s="11">
        <v>-2.0000000000000001E-4</v>
      </c>
      <c r="E22" s="10">
        <f t="shared" si="2"/>
        <v>-2524.118178376928</v>
      </c>
      <c r="F22" s="3"/>
      <c r="G22" s="26">
        <v>7.93</v>
      </c>
      <c r="H22" s="10"/>
      <c r="I22" s="10">
        <f t="shared" si="5"/>
        <v>4198.5490973656206</v>
      </c>
      <c r="J22" s="10">
        <f t="shared" si="3"/>
        <v>52977572863.262169</v>
      </c>
      <c r="K22" s="11">
        <f t="shared" si="4"/>
        <v>7.9084139999999969E-2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12620590.891889073</v>
      </c>
      <c r="D23" s="11">
        <v>-2.9999999999999997E-4</v>
      </c>
      <c r="E23" s="10">
        <f t="shared" si="2"/>
        <v>-3787.3134616054595</v>
      </c>
      <c r="F23" s="3"/>
      <c r="G23" s="26">
        <v>5.29</v>
      </c>
      <c r="H23" s="10"/>
      <c r="I23" s="10">
        <f t="shared" si="5"/>
        <v>3890.0668001163913</v>
      </c>
      <c r="J23" s="10">
        <f t="shared" si="3"/>
        <v>49094941626.389</v>
      </c>
      <c r="K23" s="11">
        <f t="shared" si="4"/>
        <v>5.258412999999984E-2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12624378.205350678</v>
      </c>
      <c r="D24" s="11">
        <v>-5.0000000000000001E-4</v>
      </c>
      <c r="E24" s="10">
        <f t="shared" si="2"/>
        <v>-6315.3467760626227</v>
      </c>
      <c r="F24" s="3"/>
      <c r="G24" s="26">
        <v>3.74</v>
      </c>
      <c r="H24" s="10"/>
      <c r="I24" s="10">
        <f t="shared" si="5"/>
        <v>3694.6213316709959</v>
      </c>
      <c r="J24" s="10">
        <f t="shared" si="3"/>
        <v>46642297016.571022</v>
      </c>
      <c r="K24" s="11">
        <f t="shared" si="4"/>
        <v>3.6881300000000117E-2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12630693.552126741</v>
      </c>
      <c r="D25" s="11">
        <v>1E-3</v>
      </c>
      <c r="E25" s="10">
        <f t="shared" si="2"/>
        <v>12618.075476648286</v>
      </c>
      <c r="F25" s="3"/>
      <c r="G25" s="26">
        <v>2.5099999999999998</v>
      </c>
      <c r="H25" s="10"/>
      <c r="I25" s="10">
        <f t="shared" si="5"/>
        <v>3561.4240714006128</v>
      </c>
      <c r="J25" s="10">
        <f t="shared" si="3"/>
        <v>44983256055.028687</v>
      </c>
      <c r="K25" s="11">
        <f t="shared" si="4"/>
        <v>2.612509999999979E-2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12618075.476650093</v>
      </c>
      <c r="D26" s="11">
        <v>2.8999999999999998E-3</v>
      </c>
      <c r="E26" s="10">
        <f t="shared" si="2"/>
        <v>36486.607719896361</v>
      </c>
      <c r="F26" s="3"/>
      <c r="G26" s="26">
        <v>7.02</v>
      </c>
      <c r="H26" s="10"/>
      <c r="I26" s="10">
        <f t="shared" si="5"/>
        <v>3474.221121257061</v>
      </c>
      <c r="J26" s="10">
        <f t="shared" si="3"/>
        <v>43837984330.593506</v>
      </c>
      <c r="K26" s="11">
        <f t="shared" si="4"/>
        <v>7.3303579999999924E-2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12581588.868930196</v>
      </c>
      <c r="D27" s="11">
        <v>1.6999999999999999E-3</v>
      </c>
      <c r="E27" s="10">
        <f t="shared" si="2"/>
        <v>21352.401993792504</v>
      </c>
      <c r="F27" s="3"/>
      <c r="G27" s="26">
        <v>-7.02</v>
      </c>
      <c r="H27" s="10"/>
      <c r="I27" s="10">
        <f t="shared" si="5"/>
        <v>3246.3288369062425</v>
      </c>
      <c r="J27" s="10">
        <f t="shared" si="3"/>
        <v>40843974759.306694</v>
      </c>
      <c r="K27" s="11">
        <f t="shared" si="4"/>
        <v>-6.8619340000000029E-2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12560236.466936404</v>
      </c>
      <c r="D28" s="11">
        <v>5.8999999999999999E-3</v>
      </c>
      <c r="E28" s="10">
        <f t="shared" si="2"/>
        <v>73670.737801894546</v>
      </c>
      <c r="F28" s="3"/>
      <c r="G28" s="26">
        <v>6.85</v>
      </c>
      <c r="H28" s="10"/>
      <c r="I28" s="10">
        <f t="shared" si="5"/>
        <v>3491.4270132353654</v>
      </c>
      <c r="J28" s="10">
        <f t="shared" si="3"/>
        <v>43853148893.28569</v>
      </c>
      <c r="K28" s="11">
        <f t="shared" si="4"/>
        <v>7.4804150000000291E-2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12486565.729134509</v>
      </c>
      <c r="D29" s="11">
        <v>6.4999999999999997E-3</v>
      </c>
      <c r="E29" s="10">
        <f t="shared" si="2"/>
        <v>80638.526815075427</v>
      </c>
      <c r="F29" s="3"/>
      <c r="G29" s="26">
        <v>7.44</v>
      </c>
      <c r="H29" s="10"/>
      <c r="I29" s="10">
        <f t="shared" si="5"/>
        <v>3267.5966431776933</v>
      </c>
      <c r="J29" s="10">
        <f t="shared" si="3"/>
        <v>40801060261.337547</v>
      </c>
      <c r="K29" s="11">
        <f t="shared" si="4"/>
        <v>8.1383599999999889E-2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12405927.202319434</v>
      </c>
      <c r="D30" s="12">
        <v>7.0000000000000001E-3</v>
      </c>
      <c r="E30" s="10">
        <f t="shared" si="2"/>
        <v>86237.825636778027</v>
      </c>
      <c r="F30" s="3"/>
      <c r="G30" s="26">
        <v>3.99</v>
      </c>
      <c r="H30" s="10"/>
      <c r="I30" s="10">
        <f t="shared" si="5"/>
        <v>3041.3222665466242</v>
      </c>
      <c r="J30" s="10">
        <f t="shared" si="3"/>
        <v>37730422637.570564</v>
      </c>
      <c r="K30" s="11">
        <f t="shared" si="4"/>
        <v>4.7179300000000257E-2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12319689.376682656</v>
      </c>
      <c r="D31" s="13">
        <v>7.1999999999999998E-3</v>
      </c>
      <c r="E31" s="10">
        <f t="shared" si="2"/>
        <v>88067.676243165508</v>
      </c>
      <c r="F31" s="3"/>
      <c r="G31" s="26">
        <v>6.12</v>
      </c>
      <c r="H31" s="10"/>
      <c r="I31" s="10">
        <f t="shared" si="5"/>
        <v>2924.6295475974844</v>
      </c>
      <c r="J31" s="10">
        <f t="shared" si="3"/>
        <v>36030527568.268929</v>
      </c>
      <c r="K31" s="11">
        <f t="shared" si="4"/>
        <v>6.8840639999999897E-2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12231621.70043949</v>
      </c>
      <c r="D32" s="12">
        <v>7.7999999999999996E-3</v>
      </c>
      <c r="E32" s="10">
        <f t="shared" si="2"/>
        <v>94668.237014712766</v>
      </c>
      <c r="F32" s="3"/>
      <c r="G32" s="26">
        <v>0.6</v>
      </c>
      <c r="H32" s="10"/>
      <c r="I32" s="10">
        <f t="shared" si="5"/>
        <v>2755.9645190326842</v>
      </c>
      <c r="J32" s="10">
        <f t="shared" si="3"/>
        <v>33709915416.641464</v>
      </c>
      <c r="K32" s="11">
        <f t="shared" si="4"/>
        <v>1.3846800000000048E-2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12136953.463424778</v>
      </c>
      <c r="D33" s="13">
        <v>7.6E-3</v>
      </c>
      <c r="E33" s="10">
        <f t="shared" si="2"/>
        <v>91545.103535162285</v>
      </c>
      <c r="F33" s="3"/>
      <c r="G33" s="26">
        <v>3.32</v>
      </c>
      <c r="H33" s="10"/>
      <c r="I33" s="10">
        <f t="shared" si="5"/>
        <v>2739.5273549032645</v>
      </c>
      <c r="J33" s="10">
        <f t="shared" si="3"/>
        <v>33249516018.240097</v>
      </c>
      <c r="K33" s="11">
        <f t="shared" si="4"/>
        <v>4.105231999999992E-2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12045408.359889615</v>
      </c>
      <c r="D34" s="12">
        <v>6.0000000000000001E-3</v>
      </c>
      <c r="E34" s="10">
        <f t="shared" si="2"/>
        <v>71841.401748845354</v>
      </c>
      <c r="F34" s="3"/>
      <c r="G34" s="26">
        <v>1.11</v>
      </c>
      <c r="H34" s="10"/>
      <c r="I34" s="10">
        <f t="shared" si="5"/>
        <v>2651.4976334719945</v>
      </c>
      <c r="J34" s="10">
        <f t="shared" ref="J34:J65" si="6">IF(I34="","",I34*C34)</f>
        <v>31938371760.451096</v>
      </c>
      <c r="K34" s="11">
        <f t="shared" ref="K34:K65" si="7">IFERROR(J34/J35-1,"")</f>
        <v>3.0244600000000066E-2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11973566.95814077</v>
      </c>
      <c r="D35" s="11">
        <v>6.3E-3</v>
      </c>
      <c r="E35" s="10">
        <f t="shared" si="2"/>
        <v>74961.216174388304</v>
      </c>
      <c r="F35" s="3"/>
      <c r="G35" s="26">
        <v>1.24</v>
      </c>
      <c r="H35" s="10"/>
      <c r="I35" s="10">
        <f t="shared" ref="I35:I66" si="8">IF(H35&lt;&gt;"",H35,I34/(1+IF(G34="",0,G34)/100))</f>
        <v>2589.1003158597741</v>
      </c>
      <c r="J35" s="10">
        <f t="shared" si="6"/>
        <v>31000765993.290421</v>
      </c>
      <c r="K35" s="11">
        <f t="shared" si="7"/>
        <v>4.5948220000000095E-2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11898605.741966382</v>
      </c>
      <c r="D36" s="11">
        <v>6.7000000000000002E-3</v>
      </c>
      <c r="E36" s="10">
        <f t="shared" si="2"/>
        <v>79190.084902327508</v>
      </c>
      <c r="F36" s="3"/>
      <c r="G36" s="26">
        <v>-0.97</v>
      </c>
      <c r="H36" s="10"/>
      <c r="I36" s="10">
        <f t="shared" si="8"/>
        <v>2490.956624841037</v>
      </c>
      <c r="J36" s="10">
        <f t="shared" si="6"/>
        <v>29638910799.322762</v>
      </c>
      <c r="K36" s="11">
        <f t="shared" si="7"/>
        <v>4.5256609999999808E-2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11819415.657064054</v>
      </c>
      <c r="D37" s="11">
        <v>7.1000000000000004E-3</v>
      </c>
      <c r="E37" s="10">
        <f t="shared" si="2"/>
        <v>83326.23489738442</v>
      </c>
      <c r="F37" s="3"/>
      <c r="G37" s="26">
        <v>-1.77</v>
      </c>
      <c r="H37" s="10"/>
      <c r="I37" s="10">
        <f t="shared" si="8"/>
        <v>2399.0721610719802</v>
      </c>
      <c r="J37" s="10">
        <f t="shared" si="6"/>
        <v>28355631063.00066</v>
      </c>
      <c r="K37" s="11">
        <f t="shared" si="7"/>
        <v>4.2650630000000245E-2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11736089.42216667</v>
      </c>
      <c r="D38" s="11">
        <v>7.0000000000000001E-3</v>
      </c>
      <c r="E38" s="10">
        <f t="shared" si="2"/>
        <v>81581.555069677532</v>
      </c>
      <c r="F38" s="3"/>
      <c r="G38" s="26">
        <v>-1.19</v>
      </c>
      <c r="H38" s="10"/>
      <c r="I38" s="10">
        <f t="shared" si="8"/>
        <v>2317.2724438056412</v>
      </c>
      <c r="J38" s="10">
        <f t="shared" si="6"/>
        <v>27195716616.025692</v>
      </c>
      <c r="K38" s="11">
        <f t="shared" si="7"/>
        <v>3.2275699999999796E-2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11654507.867096992</v>
      </c>
      <c r="D39" s="11">
        <v>7.0000000000000001E-3</v>
      </c>
      <c r="E39" s="10">
        <f t="shared" si="2"/>
        <v>81014.453892430291</v>
      </c>
      <c r="F39" s="3"/>
      <c r="G39" s="26">
        <v>0.18</v>
      </c>
      <c r="H39" s="10"/>
      <c r="I39" s="10">
        <f t="shared" si="8"/>
        <v>2260.5330639017084</v>
      </c>
      <c r="J39" s="10">
        <f t="shared" si="6"/>
        <v>26345400377.075329</v>
      </c>
      <c r="K39" s="11">
        <f t="shared" si="7"/>
        <v>8.8125999999999483E-3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11573493.413204562</v>
      </c>
      <c r="D40" s="11">
        <v>7.0000000000000001E-3</v>
      </c>
      <c r="E40" s="10">
        <f t="shared" si="2"/>
        <v>80451.294828630984</v>
      </c>
      <c r="F40" s="3"/>
      <c r="G40" s="26">
        <v>3.83</v>
      </c>
      <c r="H40" s="10"/>
      <c r="I40" s="10">
        <f t="shared" si="8"/>
        <v>2256.4714153540708</v>
      </c>
      <c r="J40" s="10">
        <f t="shared" si="6"/>
        <v>26115257062.684715</v>
      </c>
      <c r="K40" s="11">
        <f t="shared" si="7"/>
        <v>4.5568100000000111E-2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11493042.118375931</v>
      </c>
      <c r="D41" s="11">
        <v>7.0000000000000001E-3</v>
      </c>
      <c r="E41" s="10">
        <f t="shared" si="2"/>
        <v>79892.050475303084</v>
      </c>
      <c r="F41" s="3"/>
      <c r="G41" s="26">
        <v>3.83</v>
      </c>
      <c r="H41" s="10"/>
      <c r="I41" s="10">
        <f t="shared" si="8"/>
        <v>2173.2364589753161</v>
      </c>
      <c r="J41" s="10">
        <f t="shared" si="6"/>
        <v>24977098156.193474</v>
      </c>
      <c r="K41" s="11">
        <f t="shared" si="7"/>
        <v>4.5568099999999889E-2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11413150.067900628</v>
      </c>
      <c r="D42" s="11">
        <v>5.7000000000000002E-3</v>
      </c>
      <c r="E42" s="10">
        <f t="shared" si="2"/>
        <v>64686.24379738979</v>
      </c>
      <c r="F42" s="3"/>
      <c r="G42" s="26">
        <v>-3.1</v>
      </c>
      <c r="H42" s="10"/>
      <c r="I42" s="10">
        <f t="shared" si="8"/>
        <v>2093.0718087020282</v>
      </c>
      <c r="J42" s="10">
        <f t="shared" si="6"/>
        <v>23888542655.608444</v>
      </c>
      <c r="K42" s="11">
        <f t="shared" si="7"/>
        <v>-2.5476699999999908E-2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11348463.824103238</v>
      </c>
      <c r="D43" s="11">
        <v>5.7000000000000002E-3</v>
      </c>
      <c r="E43" s="10">
        <f t="shared" si="2"/>
        <v>64319.621952261776</v>
      </c>
      <c r="F43" s="3"/>
      <c r="G43" s="26">
        <v>4.72</v>
      </c>
      <c r="H43" s="10"/>
      <c r="I43" s="10">
        <f t="shared" si="8"/>
        <v>2160.0328263178826</v>
      </c>
      <c r="J43" s="10">
        <f t="shared" si="6"/>
        <v>24513054388.343964</v>
      </c>
      <c r="K43" s="11">
        <f t="shared" si="7"/>
        <v>5.3169040000000001E-2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11284144.202150976</v>
      </c>
      <c r="D44" s="11">
        <v>5.7000000000000002E-3</v>
      </c>
      <c r="E44" s="10">
        <f t="shared" si="2"/>
        <v>63955.078007617965</v>
      </c>
      <c r="F44" s="3"/>
      <c r="G44" s="26">
        <v>6.49</v>
      </c>
      <c r="H44" s="10"/>
      <c r="I44" s="10">
        <f t="shared" si="8"/>
        <v>2062.6745858650524</v>
      </c>
      <c r="J44" s="10">
        <f t="shared" si="6"/>
        <v>23275517469.013298</v>
      </c>
      <c r="K44" s="11">
        <f t="shared" si="7"/>
        <v>7.0969929999999959E-2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11220189.124143358</v>
      </c>
      <c r="D45" s="11">
        <v>5.7000000000000002E-3</v>
      </c>
      <c r="E45" s="10">
        <f t="shared" si="2"/>
        <v>63592.600186554715</v>
      </c>
      <c r="F45" s="3"/>
      <c r="G45" s="26">
        <v>3.47</v>
      </c>
      <c r="H45" s="10"/>
      <c r="I45" s="10">
        <f t="shared" si="8"/>
        <v>1936.9655233966123</v>
      </c>
      <c r="J45" s="10">
        <f t="shared" si="6"/>
        <v>21733119499.455318</v>
      </c>
      <c r="K45" s="11">
        <f t="shared" si="7"/>
        <v>4.0597790000000078E-2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11156596.523956804</v>
      </c>
      <c r="D46" s="11">
        <v>5.7000000000000002E-3</v>
      </c>
      <c r="E46" s="10">
        <f t="shared" si="2"/>
        <v>63232.176778914407</v>
      </c>
      <c r="F46" s="3"/>
      <c r="G46" s="26">
        <v>2.66</v>
      </c>
      <c r="H46" s="10"/>
      <c r="I46" s="10">
        <f t="shared" si="8"/>
        <v>1872.0068845043127</v>
      </c>
      <c r="J46" s="10">
        <f t="shared" si="6"/>
        <v>20885225500.48402</v>
      </c>
      <c r="K46" s="11">
        <f t="shared" si="7"/>
        <v>3.2451620000000014E-2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11093364.347177889</v>
      </c>
      <c r="D47" s="11">
        <v>5.7000000000000002E-3</v>
      </c>
      <c r="E47" s="10">
        <f t="shared" si="2"/>
        <v>62873.796140911058</v>
      </c>
      <c r="F47" s="3"/>
      <c r="G47" s="26">
        <v>5.86</v>
      </c>
      <c r="H47" s="10"/>
      <c r="I47" s="10">
        <f t="shared" si="8"/>
        <v>1823.5017382664257</v>
      </c>
      <c r="J47" s="10">
        <f t="shared" si="6"/>
        <v>20228769170.301674</v>
      </c>
      <c r="K47" s="11">
        <f t="shared" si="7"/>
        <v>6.4634019999999959E-2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11030490.551036978</v>
      </c>
      <c r="D48" s="11">
        <v>5.7000000000000002E-3</v>
      </c>
      <c r="E48" s="10">
        <f t="shared" si="2"/>
        <v>62517.446694750339</v>
      </c>
      <c r="F48" s="3"/>
      <c r="G48" s="26">
        <v>1.24</v>
      </c>
      <c r="H48" s="10"/>
      <c r="I48" s="10">
        <f t="shared" si="8"/>
        <v>1722.5597376406818</v>
      </c>
      <c r="J48" s="10">
        <f t="shared" si="6"/>
        <v>19000678909.642277</v>
      </c>
      <c r="K48" s="11">
        <f t="shared" si="7"/>
        <v>1.8170679999999884E-2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10967973.104342228</v>
      </c>
      <c r="D49" s="11">
        <v>5.7000000000000002E-3</v>
      </c>
      <c r="E49" s="10">
        <f t="shared" si="2"/>
        <v>62163.116928260773</v>
      </c>
      <c r="F49" s="3"/>
      <c r="G49" s="26">
        <v>5.79</v>
      </c>
      <c r="H49" s="10"/>
      <c r="I49" s="10">
        <f t="shared" si="8"/>
        <v>1701.4616136316495</v>
      </c>
      <c r="J49" s="10">
        <f t="shared" si="6"/>
        <v>18661585216.38266</v>
      </c>
      <c r="K49" s="11">
        <f t="shared" si="7"/>
        <v>6.3930030000000082E-2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10905809.987413967</v>
      </c>
      <c r="D50" s="11">
        <v>5.7000000000000002E-3</v>
      </c>
      <c r="E50" s="10">
        <f t="shared" si="2"/>
        <v>61810.795394511893</v>
      </c>
      <c r="F50" s="3"/>
      <c r="G50" s="26">
        <v>0.89</v>
      </c>
      <c r="H50" s="10"/>
      <c r="I50" s="10">
        <f t="shared" si="8"/>
        <v>1608.3387972697319</v>
      </c>
      <c r="J50" s="10">
        <f t="shared" si="6"/>
        <v>17540237318.409611</v>
      </c>
      <c r="K50" s="11">
        <f t="shared" si="7"/>
        <v>1.4650730000000056E-2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10843999.192019455</v>
      </c>
      <c r="D51" s="11">
        <v>5.7000000000000002E-3</v>
      </c>
      <c r="E51" s="10">
        <f t="shared" si="2"/>
        <v>61460.470711456612</v>
      </c>
      <c r="F51" s="3"/>
      <c r="G51" s="26">
        <v>1.93</v>
      </c>
      <c r="H51" s="10"/>
      <c r="I51" s="10">
        <f t="shared" si="8"/>
        <v>1594.1508546632292</v>
      </c>
      <c r="J51" s="10">
        <f t="shared" si="6"/>
        <v>17286970579.925182</v>
      </c>
      <c r="K51" s="11">
        <f t="shared" si="7"/>
        <v>2.5110010000000127E-2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10782538.721307999</v>
      </c>
      <c r="D52" s="11">
        <v>1.11E-2</v>
      </c>
      <c r="E52" s="10">
        <f t="shared" si="2"/>
        <v>118372.24785532616</v>
      </c>
      <c r="F52" s="3"/>
      <c r="G52" s="26">
        <v>3.79</v>
      </c>
      <c r="H52" s="10"/>
      <c r="I52" s="10">
        <f t="shared" si="8"/>
        <v>1563.9663049771698</v>
      </c>
      <c r="J52" s="10">
        <f t="shared" si="6"/>
        <v>16863527242.237328</v>
      </c>
      <c r="K52" s="11">
        <f t="shared" si="7"/>
        <v>4.9420690000000267E-2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10664166.473452672</v>
      </c>
      <c r="D53" s="11">
        <v>1.11E-2</v>
      </c>
      <c r="E53" s="10">
        <f t="shared" si="2"/>
        <v>117072.74043648131</v>
      </c>
      <c r="F53" s="3"/>
      <c r="G53" s="26">
        <v>4.74</v>
      </c>
      <c r="H53" s="10"/>
      <c r="I53" s="10">
        <f t="shared" si="8"/>
        <v>1506.8564456856823</v>
      </c>
      <c r="J53" s="10">
        <f t="shared" si="6"/>
        <v>16069367988.38731</v>
      </c>
      <c r="K53" s="11">
        <f t="shared" si="7"/>
        <v>5.9026140000000282E-2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10547093.733016191</v>
      </c>
      <c r="D54" s="11">
        <v>1.11E-2</v>
      </c>
      <c r="E54" s="10">
        <f t="shared" si="2"/>
        <v>115787.4991954118</v>
      </c>
      <c r="F54" s="3"/>
      <c r="G54" s="26">
        <v>3.22</v>
      </c>
      <c r="H54" s="10"/>
      <c r="I54" s="10">
        <f t="shared" si="8"/>
        <v>1438.6637823999256</v>
      </c>
      <c r="J54" s="10">
        <f t="shared" si="6"/>
        <v>15173721763.267624</v>
      </c>
      <c r="K54" s="11">
        <f t="shared" si="7"/>
        <v>4.3657420000000169E-2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10431306.233820779</v>
      </c>
      <c r="D55" s="11">
        <v>1.11E-2</v>
      </c>
      <c r="E55" s="10">
        <f t="shared" si="2"/>
        <v>114516.36751598492</v>
      </c>
      <c r="F55" s="3"/>
      <c r="G55" s="26">
        <v>5.0199999999999996</v>
      </c>
      <c r="H55" s="10"/>
      <c r="I55" s="10">
        <f t="shared" si="8"/>
        <v>1393.7839395465273</v>
      </c>
      <c r="J55" s="10">
        <f t="shared" si="6"/>
        <v>14538987097.190975</v>
      </c>
      <c r="K55" s="11">
        <f t="shared" si="7"/>
        <v>6.1857220000000268E-2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10316789.866304794</v>
      </c>
      <c r="D56" s="11">
        <v>1.11E-2</v>
      </c>
      <c r="E56" s="10">
        <f t="shared" si="2"/>
        <v>113259.19050141796</v>
      </c>
      <c r="F56" s="3"/>
      <c r="G56" s="26">
        <v>0.89</v>
      </c>
      <c r="H56" s="10"/>
      <c r="I56" s="10">
        <f t="shared" si="8"/>
        <v>1327.1604832855905</v>
      </c>
      <c r="J56" s="10">
        <f t="shared" si="6"/>
        <v>13692035824.920954</v>
      </c>
      <c r="K56" s="11">
        <f t="shared" si="7"/>
        <v>2.0098790000000033E-2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10203530.675803376</v>
      </c>
      <c r="D57" s="11">
        <v>1.2E-2</v>
      </c>
      <c r="E57" s="10">
        <f t="shared" si="2"/>
        <v>120990.48232178017</v>
      </c>
      <c r="F57" s="3"/>
      <c r="G57" s="26">
        <v>5.41</v>
      </c>
      <c r="H57" s="10"/>
      <c r="I57" s="10">
        <f t="shared" si="8"/>
        <v>1315.4529520126778</v>
      </c>
      <c r="J57" s="10">
        <f t="shared" si="6"/>
        <v>13422264548.437464</v>
      </c>
      <c r="K57" s="11">
        <f t="shared" si="7"/>
        <v>6.6749200000000064E-2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10082540.193481596</v>
      </c>
      <c r="D58" s="11">
        <v>1.2E-2</v>
      </c>
      <c r="E58" s="10">
        <f t="shared" si="2"/>
        <v>119555.81257092766</v>
      </c>
      <c r="F58" s="3"/>
      <c r="G58" s="26">
        <v>2.9</v>
      </c>
      <c r="H58" s="10"/>
      <c r="I58" s="10">
        <f t="shared" si="8"/>
        <v>1247.9394289087161</v>
      </c>
      <c r="J58" s="10">
        <f t="shared" si="6"/>
        <v>12582399451.0026</v>
      </c>
      <c r="K58" s="11">
        <f t="shared" si="7"/>
        <v>4.134799999999994E-2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9962984.3809106685</v>
      </c>
      <c r="D59" s="11">
        <v>1.2999999999999999E-2</v>
      </c>
      <c r="E59" s="10">
        <f t="shared" si="2"/>
        <v>127856.66036706604</v>
      </c>
      <c r="F59" s="3"/>
      <c r="G59" s="26">
        <v>4.8899999999999997</v>
      </c>
      <c r="H59" s="10"/>
      <c r="I59" s="10">
        <f t="shared" si="8"/>
        <v>1212.769124303903</v>
      </c>
      <c r="J59" s="10">
        <f t="shared" si="6"/>
        <v>12082799843.090494</v>
      </c>
      <c r="K59" s="11">
        <f t="shared" si="7"/>
        <v>6.253569999999975E-2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9835127.7205436025</v>
      </c>
      <c r="D60" s="11">
        <v>1.4E-2</v>
      </c>
      <c r="E60" s="10">
        <f t="shared" si="2"/>
        <v>135790.71803511865</v>
      </c>
      <c r="F60" s="3"/>
      <c r="G60" s="26">
        <v>5.25</v>
      </c>
      <c r="H60" s="10"/>
      <c r="I60" s="10">
        <f t="shared" si="8"/>
        <v>1156.2295016721357</v>
      </c>
      <c r="J60" s="10">
        <f t="shared" si="6"/>
        <v>11371664823.205938</v>
      </c>
      <c r="K60" s="11">
        <f t="shared" si="7"/>
        <v>6.7235000000000156E-2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9699337.0025084838</v>
      </c>
      <c r="D61" s="11">
        <v>1.4999999999999999E-2</v>
      </c>
      <c r="E61" s="10">
        <f t="shared" si="2"/>
        <v>143339.95570209436</v>
      </c>
      <c r="F61" s="3"/>
      <c r="G61" s="26">
        <v>4.46</v>
      </c>
      <c r="H61" s="10"/>
      <c r="I61" s="10">
        <f t="shared" si="8"/>
        <v>1098.5553460067797</v>
      </c>
      <c r="J61" s="10">
        <f t="shared" si="6"/>
        <v>10655258516.827068</v>
      </c>
      <c r="K61" s="11">
        <f t="shared" si="7"/>
        <v>6.0268999999999684E-2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9555997.0468063895</v>
      </c>
      <c r="D62" s="11">
        <v>1.4999999999999999E-2</v>
      </c>
      <c r="E62" s="10">
        <f t="shared" si="2"/>
        <v>141221.63123359159</v>
      </c>
      <c r="F62" s="3"/>
      <c r="G62" s="26">
        <v>4.8600000000000003</v>
      </c>
      <c r="H62" s="10"/>
      <c r="I62" s="10">
        <f t="shared" si="8"/>
        <v>1051.6516810327205</v>
      </c>
      <c r="J62" s="10">
        <f t="shared" si="6"/>
        <v>10049580358.217651</v>
      </c>
      <c r="K62" s="11">
        <f t="shared" si="7"/>
        <v>6.4328999999999859E-2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9414775.4155727979</v>
      </c>
      <c r="D63" s="11">
        <v>1.4999999999999999E-2</v>
      </c>
      <c r="E63" s="10">
        <f t="shared" si="2"/>
        <v>139134.61205279827</v>
      </c>
      <c r="F63" s="3"/>
      <c r="G63" s="26">
        <v>5.67</v>
      </c>
      <c r="H63" s="10"/>
      <c r="I63" s="10">
        <f t="shared" si="8"/>
        <v>1002.9102432125887</v>
      </c>
      <c r="J63" s="10">
        <f t="shared" si="6"/>
        <v>9442174701.8240166</v>
      </c>
      <c r="K63" s="11">
        <f t="shared" si="7"/>
        <v>7.2550499999999962E-2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9275640.8035199996</v>
      </c>
      <c r="D64" s="11">
        <v>1.4999999999999999E-2</v>
      </c>
      <c r="E64" s="10">
        <f t="shared" si="2"/>
        <v>137078.43551999889</v>
      </c>
      <c r="F64" s="3"/>
      <c r="G64" s="26">
        <v>5.84</v>
      </c>
      <c r="H64" s="10"/>
      <c r="I64" s="10">
        <f t="shared" si="8"/>
        <v>949.09647318310658</v>
      </c>
      <c r="J64" s="10">
        <f t="shared" si="6"/>
        <v>8803477973.1341476</v>
      </c>
      <c r="K64" s="11">
        <f t="shared" si="7"/>
        <v>7.4275999999999787E-2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9138562.3680000007</v>
      </c>
      <c r="D65" s="11">
        <v>1.6E-2</v>
      </c>
      <c r="E65" s="10">
        <f t="shared" si="2"/>
        <v>143914.36800000072</v>
      </c>
      <c r="F65" s="3"/>
      <c r="G65" s="26">
        <v>2.29</v>
      </c>
      <c r="H65" s="10"/>
      <c r="I65" s="10">
        <f t="shared" si="8"/>
        <v>896.7275823725497</v>
      </c>
      <c r="J65" s="10">
        <f t="shared" si="6"/>
        <v>8194800938.617404</v>
      </c>
      <c r="K65" s="11">
        <f t="shared" si="7"/>
        <v>3.9266400000000035E-2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8994648</v>
      </c>
      <c r="D66" s="11">
        <v>1.6E-2</v>
      </c>
      <c r="E66" s="10">
        <f t="shared" si="2"/>
        <v>141648</v>
      </c>
      <c r="F66" s="3"/>
      <c r="G66" s="26">
        <v>4.4000000000000004</v>
      </c>
      <c r="H66" s="10"/>
      <c r="I66" s="10">
        <f t="shared" si="8"/>
        <v>876.6522459405121</v>
      </c>
      <c r="J66" s="10">
        <f t="shared" ref="J66:J67" si="9">IF(I66="","",I66*C66)</f>
        <v>7885178370.6443357</v>
      </c>
      <c r="K66" s="11">
        <f t="shared" ref="K66" si="10">IFERROR(J66/J67-1,"")</f>
        <v>6.0704000000000091E-2</v>
      </c>
    </row>
    <row r="67" spans="1:11" ht="22.5" customHeight="1">
      <c r="A67" s="3">
        <f t="shared" si="0"/>
        <v>1950</v>
      </c>
      <c r="B67" s="3">
        <v>1700</v>
      </c>
      <c r="C67" s="10">
        <v>8853000</v>
      </c>
      <c r="D67" s="11">
        <v>1.6E-2</v>
      </c>
      <c r="E67" s="3" t="s">
        <v>72</v>
      </c>
      <c r="F67" s="3"/>
      <c r="G67" s="26">
        <v>1.25</v>
      </c>
      <c r="H67" s="10"/>
      <c r="I67" s="10">
        <f t="shared" ref="I67" si="11">IF(H67&lt;&gt;"",H67,I66/(1+IF(G66="",0,G66)/100))</f>
        <v>839.70521641811501</v>
      </c>
      <c r="J67" s="10">
        <f t="shared" si="9"/>
        <v>7433910280.9495726</v>
      </c>
      <c r="K67" s="11"/>
    </row>
  </sheetData>
  <dataValidations count="1">
    <dataValidation type="custom" allowBlank="1" showDropDown="1" sqref="D2:D67" xr:uid="{00000000-0002-0000-2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31747301.151105549</v>
      </c>
      <c r="D2" s="11">
        <v>1.0999999999999999E-2</v>
      </c>
      <c r="E2" s="10">
        <f t="shared" ref="E2:E66" si="2">SUM(C2-C3)</f>
        <v>345420.68512577564</v>
      </c>
      <c r="F2" s="14">
        <v>31745420</v>
      </c>
      <c r="G2" s="26">
        <v>3.13</v>
      </c>
      <c r="H2" s="10"/>
      <c r="I2" s="10">
        <f>IF(H2&lt;&gt;"",H2,86352)</f>
        <v>10794</v>
      </c>
      <c r="J2" s="10">
        <f t="shared" ref="J2:J33" si="3">IF(I2="","",I2*C2)</f>
        <v>342680368625.03333</v>
      </c>
      <c r="K2" s="11">
        <f t="shared" ref="K2:K33" si="4">IFERROR(J2/J3-1,"")</f>
        <v>4.2644300000000079E-2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31401880.465979774</v>
      </c>
      <c r="D3" s="11">
        <v>1.15E-2</v>
      </c>
      <c r="E3" s="10">
        <f t="shared" si="2"/>
        <v>357015.9420254752</v>
      </c>
      <c r="F3" s="18" t="s">
        <v>74</v>
      </c>
      <c r="G3" s="26">
        <v>0.98</v>
      </c>
      <c r="H3" s="10"/>
      <c r="I3" s="10">
        <f t="shared" ref="I3:I34" si="5">IF(H3&lt;&gt;"",H3,I2/(1+IF(G2="",0,G2)/100))</f>
        <v>10466.401629011925</v>
      </c>
      <c r="J3" s="10">
        <f t="shared" si="3"/>
        <v>328664692863.16846</v>
      </c>
      <c r="K3" s="11">
        <f t="shared" si="4"/>
        <v>2.1412700000000173E-2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31044864.523954298</v>
      </c>
      <c r="D4" s="11">
        <v>1.2E-2</v>
      </c>
      <c r="E4" s="10">
        <f t="shared" si="2"/>
        <v>368120.9232089445</v>
      </c>
      <c r="F4" s="3"/>
      <c r="G4" s="26">
        <v>2.69</v>
      </c>
      <c r="H4" s="10"/>
      <c r="I4" s="10">
        <f t="shared" si="5"/>
        <v>10364.826330968433</v>
      </c>
      <c r="J4" s="10">
        <f t="shared" si="3"/>
        <v>321774629259.22931</v>
      </c>
      <c r="K4" s="11">
        <f t="shared" si="4"/>
        <v>3.9222799999999891E-2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30676743.600745354</v>
      </c>
      <c r="D5" s="11">
        <v>1.26E-2</v>
      </c>
      <c r="E5" s="10">
        <f t="shared" si="2"/>
        <v>381717.33099880442</v>
      </c>
      <c r="F5" s="3"/>
      <c r="G5" s="26">
        <v>7.24</v>
      </c>
      <c r="H5" s="10"/>
      <c r="I5" s="10">
        <f t="shared" si="5"/>
        <v>10093.316127148149</v>
      </c>
      <c r="J5" s="10">
        <f t="shared" si="3"/>
        <v>309630070913.79187</v>
      </c>
      <c r="K5" s="11">
        <f t="shared" si="4"/>
        <v>8.5912239999999862E-2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30295026.269746549</v>
      </c>
      <c r="D6" s="11">
        <v>1.29E-2</v>
      </c>
      <c r="E6" s="10">
        <f t="shared" si="2"/>
        <v>385828.64930370823</v>
      </c>
      <c r="F6" s="3"/>
      <c r="G6" s="26">
        <v>0.84</v>
      </c>
      <c r="H6" s="10"/>
      <c r="I6" s="10">
        <f t="shared" si="5"/>
        <v>9411.8949339315077</v>
      </c>
      <c r="J6" s="10">
        <f t="shared" si="3"/>
        <v>285133604271.5495</v>
      </c>
      <c r="K6" s="11">
        <f t="shared" si="4"/>
        <v>2.1408359999999904E-2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29909197.620442841</v>
      </c>
      <c r="D7" s="11">
        <v>1.2800000000000001E-2</v>
      </c>
      <c r="E7" s="10">
        <f t="shared" si="2"/>
        <v>377999.33801507205</v>
      </c>
      <c r="F7" s="3"/>
      <c r="G7" s="26">
        <v>7.51</v>
      </c>
      <c r="H7" s="10"/>
      <c r="I7" s="10">
        <f t="shared" si="5"/>
        <v>9333.4935877940388</v>
      </c>
      <c r="J7" s="10">
        <f t="shared" si="3"/>
        <v>279157304206.46796</v>
      </c>
      <c r="K7" s="11">
        <f t="shared" si="4"/>
        <v>8.8861279999999709E-2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29531198.282427769</v>
      </c>
      <c r="D8" s="11">
        <v>1.2999999999999999E-2</v>
      </c>
      <c r="E8" s="10">
        <f t="shared" si="2"/>
        <v>378978.85258791596</v>
      </c>
      <c r="F8" s="3"/>
      <c r="G8" s="26">
        <v>4.3</v>
      </c>
      <c r="H8" s="10"/>
      <c r="I8" s="10">
        <f t="shared" si="5"/>
        <v>8681.5120340377998</v>
      </c>
      <c r="J8" s="10">
        <f t="shared" si="3"/>
        <v>256375453268.45309</v>
      </c>
      <c r="K8" s="11">
        <f t="shared" si="4"/>
        <v>5.6558999999999804E-2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29152219.429839853</v>
      </c>
      <c r="D9" s="11">
        <v>1.3299999999999999E-2</v>
      </c>
      <c r="E9" s="10">
        <f t="shared" si="2"/>
        <v>382635.46670963615</v>
      </c>
      <c r="F9" s="3"/>
      <c r="G9" s="26">
        <v>1.73</v>
      </c>
      <c r="H9" s="10"/>
      <c r="I9" s="10">
        <f t="shared" si="5"/>
        <v>8323.597348070758</v>
      </c>
      <c r="J9" s="10">
        <f t="shared" si="3"/>
        <v>242651336336.59183</v>
      </c>
      <c r="K9" s="11">
        <f t="shared" si="4"/>
        <v>3.0830090000000254E-2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28769583.963130217</v>
      </c>
      <c r="D10" s="11">
        <v>1.3599999999999999E-2</v>
      </c>
      <c r="E10" s="10">
        <f t="shared" si="2"/>
        <v>386016.517263785</v>
      </c>
      <c r="F10" s="3"/>
      <c r="G10" s="26">
        <v>5.44</v>
      </c>
      <c r="H10" s="10"/>
      <c r="I10" s="10">
        <f t="shared" si="5"/>
        <v>8182.047919070832</v>
      </c>
      <c r="J10" s="10">
        <f t="shared" si="3"/>
        <v>235394114598.06317</v>
      </c>
      <c r="K10" s="11">
        <f t="shared" si="4"/>
        <v>6.8739840000000108E-2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28383567.445866432</v>
      </c>
      <c r="D11" s="11">
        <v>1.35E-2</v>
      </c>
      <c r="E11" s="10">
        <f t="shared" si="2"/>
        <v>378074.1593677327</v>
      </c>
      <c r="F11" s="3"/>
      <c r="G11" s="26">
        <v>4.97</v>
      </c>
      <c r="H11" s="10"/>
      <c r="I11" s="10">
        <f t="shared" si="5"/>
        <v>7759.9088762052652</v>
      </c>
      <c r="J11" s="10">
        <f t="shared" si="3"/>
        <v>220253896961.54974</v>
      </c>
      <c r="K11" s="11">
        <f t="shared" si="4"/>
        <v>6.3870950000000093E-2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28005493.286498699</v>
      </c>
      <c r="D12" s="11">
        <v>1.34E-2</v>
      </c>
      <c r="E12" s="10">
        <f t="shared" si="2"/>
        <v>370311.4367861487</v>
      </c>
      <c r="F12" s="3"/>
      <c r="G12" s="26">
        <v>4.1900000000000004</v>
      </c>
      <c r="H12" s="10"/>
      <c r="I12" s="10">
        <f t="shared" si="5"/>
        <v>7392.5015492095499</v>
      </c>
      <c r="J12" s="10">
        <f t="shared" si="3"/>
        <v>207030652506.81927</v>
      </c>
      <c r="K12" s="11">
        <f t="shared" si="4"/>
        <v>5.5861460000000029E-2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27635181.849712551</v>
      </c>
      <c r="D13" s="11">
        <v>1.2699999999999999E-2</v>
      </c>
      <c r="E13" s="10">
        <f t="shared" si="2"/>
        <v>346565.42854877934</v>
      </c>
      <c r="F13" s="3"/>
      <c r="G13" s="26">
        <v>6.29</v>
      </c>
      <c r="H13" s="10"/>
      <c r="I13" s="10">
        <f t="shared" si="5"/>
        <v>7095.2121597173909</v>
      </c>
      <c r="J13" s="10">
        <f t="shared" si="3"/>
        <v>196077478296.08182</v>
      </c>
      <c r="K13" s="11">
        <f t="shared" si="4"/>
        <v>7.6398829999999807E-2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27288616.421163771</v>
      </c>
      <c r="D14" s="11">
        <v>1.37E-2</v>
      </c>
      <c r="E14" s="10">
        <f t="shared" si="2"/>
        <v>368801.46490080282</v>
      </c>
      <c r="F14" s="3"/>
      <c r="G14" s="26">
        <v>7.19</v>
      </c>
      <c r="H14" s="10"/>
      <c r="I14" s="10">
        <f t="shared" si="5"/>
        <v>6675.3336717634693</v>
      </c>
      <c r="J14" s="10">
        <f t="shared" si="3"/>
        <v>182160620052.03207</v>
      </c>
      <c r="K14" s="11">
        <f t="shared" si="4"/>
        <v>8.6585030000000174E-2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26919814.956262968</v>
      </c>
      <c r="D15" s="11">
        <v>1.3899999999999999E-2</v>
      </c>
      <c r="E15" s="10">
        <f t="shared" si="2"/>
        <v>369055.55566826835</v>
      </c>
      <c r="F15" s="3"/>
      <c r="G15" s="26">
        <v>6.15</v>
      </c>
      <c r="H15" s="10"/>
      <c r="I15" s="10">
        <f t="shared" si="5"/>
        <v>6227.5712956091693</v>
      </c>
      <c r="J15" s="10">
        <f t="shared" si="3"/>
        <v>167645066904.73367</v>
      </c>
      <c r="K15" s="11">
        <f t="shared" si="4"/>
        <v>7.6254850000000207E-2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26550759.4005947</v>
      </c>
      <c r="D16" s="11">
        <v>1.4200000000000001E-2</v>
      </c>
      <c r="E16" s="10">
        <f t="shared" si="2"/>
        <v>371742.04642914981</v>
      </c>
      <c r="F16" s="3"/>
      <c r="G16" s="26">
        <v>3.44</v>
      </c>
      <c r="H16" s="10"/>
      <c r="I16" s="10">
        <f t="shared" si="5"/>
        <v>5866.7652337344971</v>
      </c>
      <c r="J16" s="10">
        <f t="shared" si="3"/>
        <v>155767072180.65836</v>
      </c>
      <c r="K16" s="11">
        <f t="shared" si="4"/>
        <v>4.9088479999999768E-2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26179017.35416555</v>
      </c>
      <c r="D17" s="11">
        <v>1.4500000000000001E-2</v>
      </c>
      <c r="E17" s="10">
        <f t="shared" si="2"/>
        <v>374170.28253858909</v>
      </c>
      <c r="F17" s="3"/>
      <c r="G17" s="26">
        <v>4.46</v>
      </c>
      <c r="H17" s="10"/>
      <c r="I17" s="10">
        <f t="shared" si="5"/>
        <v>5671.6601254200477</v>
      </c>
      <c r="J17" s="10">
        <f t="shared" si="3"/>
        <v>148478488850.3002</v>
      </c>
      <c r="K17" s="11">
        <f t="shared" si="4"/>
        <v>5.9746700000000041E-2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25804847.071626961</v>
      </c>
      <c r="D18" s="11">
        <v>1.4800000000000001E-2</v>
      </c>
      <c r="E18" s="10">
        <f t="shared" si="2"/>
        <v>376341.87688222155</v>
      </c>
      <c r="F18" s="3"/>
      <c r="G18" s="26">
        <v>4.57</v>
      </c>
      <c r="H18" s="10"/>
      <c r="I18" s="10">
        <f t="shared" si="5"/>
        <v>5429.5042364733372</v>
      </c>
      <c r="J18" s="10">
        <f t="shared" si="3"/>
        <v>140107526496.94516</v>
      </c>
      <c r="K18" s="11">
        <f t="shared" si="4"/>
        <v>6.117635999999993E-2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25428505.19474474</v>
      </c>
      <c r="D19" s="11">
        <v>1.54E-2</v>
      </c>
      <c r="E19" s="10">
        <f t="shared" si="2"/>
        <v>385659.81878970936</v>
      </c>
      <c r="F19" s="3"/>
      <c r="G19" s="26">
        <v>7.63</v>
      </c>
      <c r="H19" s="10"/>
      <c r="I19" s="10">
        <f t="shared" si="5"/>
        <v>5192.2197919798573</v>
      </c>
      <c r="J19" s="10">
        <f t="shared" si="3"/>
        <v>132030387952.61626</v>
      </c>
      <c r="K19" s="11">
        <f t="shared" si="4"/>
        <v>9.2875020000000141E-2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25042845.37595503</v>
      </c>
      <c r="D20" s="11">
        <v>1.6E-2</v>
      </c>
      <c r="E20" s="10">
        <f t="shared" si="2"/>
        <v>394375.51773157716</v>
      </c>
      <c r="F20" s="3"/>
      <c r="G20" s="26">
        <v>8.75</v>
      </c>
      <c r="H20" s="10"/>
      <c r="I20" s="10">
        <f t="shared" si="5"/>
        <v>4824.1380581435078</v>
      </c>
      <c r="J20" s="10">
        <f t="shared" si="3"/>
        <v>120810143462.34782</v>
      </c>
      <c r="K20" s="11">
        <f t="shared" si="4"/>
        <v>0.10489999999999999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24648469.858223453</v>
      </c>
      <c r="D21" s="11">
        <v>1.61E-2</v>
      </c>
      <c r="E21" s="10">
        <f t="shared" si="2"/>
        <v>390552.4699511826</v>
      </c>
      <c r="F21" s="3"/>
      <c r="G21" s="26">
        <v>5.65</v>
      </c>
      <c r="H21" s="10"/>
      <c r="I21" s="10">
        <f t="shared" si="5"/>
        <v>4435.9890189825364</v>
      </c>
      <c r="J21" s="10">
        <f t="shared" si="3"/>
        <v>109340341625.80127</v>
      </c>
      <c r="K21" s="11">
        <f t="shared" si="4"/>
        <v>7.3509650000000093E-2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24257917.388272271</v>
      </c>
      <c r="D22" s="11">
        <v>1.6299999999999999E-2</v>
      </c>
      <c r="E22" s="10">
        <f t="shared" si="2"/>
        <v>389062.33733035251</v>
      </c>
      <c r="F22" s="3"/>
      <c r="G22" s="26">
        <v>8.1199999999999992</v>
      </c>
      <c r="H22" s="10"/>
      <c r="I22" s="10">
        <f t="shared" si="5"/>
        <v>4198.7591282371377</v>
      </c>
      <c r="J22" s="10">
        <f t="shared" si="3"/>
        <v>101853152066.03058</v>
      </c>
      <c r="K22" s="11">
        <f t="shared" si="4"/>
        <v>9.882355999999981E-2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23868855.050941918</v>
      </c>
      <c r="D23" s="11">
        <v>1.6400000000000001E-2</v>
      </c>
      <c r="E23" s="10">
        <f t="shared" si="2"/>
        <v>385133.0409636423</v>
      </c>
      <c r="F23" s="3"/>
      <c r="G23" s="26">
        <v>8.1199999999999992</v>
      </c>
      <c r="H23" s="10"/>
      <c r="I23" s="10">
        <f t="shared" si="5"/>
        <v>3883.4250168674971</v>
      </c>
      <c r="J23" s="10">
        <f t="shared" si="3"/>
        <v>92692908828.811966</v>
      </c>
      <c r="K23" s="11">
        <f t="shared" si="4"/>
        <v>9.8931679999999966E-2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23483722.009978276</v>
      </c>
      <c r="D24" s="11">
        <v>1.66E-2</v>
      </c>
      <c r="E24" s="10">
        <f t="shared" si="2"/>
        <v>383464.27834510803</v>
      </c>
      <c r="F24" s="3"/>
      <c r="G24" s="26">
        <v>7.25</v>
      </c>
      <c r="H24" s="10"/>
      <c r="I24" s="10">
        <f t="shared" si="5"/>
        <v>3591.7730455674227</v>
      </c>
      <c r="J24" s="10">
        <f t="shared" si="3"/>
        <v>84348199725.038391</v>
      </c>
      <c r="K24" s="11">
        <f t="shared" si="4"/>
        <v>9.030349999999987E-2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23100257.731633168</v>
      </c>
      <c r="D25" s="11">
        <v>1.6799999999999999E-2</v>
      </c>
      <c r="E25" s="10">
        <f t="shared" si="2"/>
        <v>381672.23632123694</v>
      </c>
      <c r="F25" s="3"/>
      <c r="G25" s="26">
        <v>5.08</v>
      </c>
      <c r="H25" s="10"/>
      <c r="I25" s="10">
        <f t="shared" si="5"/>
        <v>3348.9725366596017</v>
      </c>
      <c r="J25" s="10">
        <f t="shared" si="3"/>
        <v>77362128732.998108</v>
      </c>
      <c r="K25" s="11">
        <f t="shared" si="4"/>
        <v>6.8453439999999643E-2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22718585.495311931</v>
      </c>
      <c r="D26" s="11">
        <v>1.7399999999999999E-2</v>
      </c>
      <c r="E26" s="10">
        <f t="shared" si="2"/>
        <v>388542.74387500435</v>
      </c>
      <c r="F26" s="3"/>
      <c r="G26" s="26">
        <v>2.56</v>
      </c>
      <c r="H26" s="10"/>
      <c r="I26" s="10">
        <f t="shared" si="5"/>
        <v>3187.0694106010678</v>
      </c>
      <c r="J26" s="10">
        <f t="shared" si="3"/>
        <v>72405708884.233765</v>
      </c>
      <c r="K26" s="11">
        <f t="shared" si="4"/>
        <v>4.3445440000000168E-2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22330042.751436926</v>
      </c>
      <c r="D27" s="11">
        <v>1.7399999999999999E-2</v>
      </c>
      <c r="E27" s="10">
        <f t="shared" si="2"/>
        <v>381897.72348634154</v>
      </c>
      <c r="F27" s="3"/>
      <c r="G27" s="26">
        <v>-6.17</v>
      </c>
      <c r="H27" s="10"/>
      <c r="I27" s="10">
        <f t="shared" si="5"/>
        <v>3107.5169760150816</v>
      </c>
      <c r="J27" s="10">
        <f t="shared" si="3"/>
        <v>69390986925.232773</v>
      </c>
      <c r="K27" s="11">
        <f t="shared" si="4"/>
        <v>-4.5373579999999802E-2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21948145.027950585</v>
      </c>
      <c r="D28" s="11">
        <v>1.7999999999999999E-2</v>
      </c>
      <c r="E28" s="10">
        <f t="shared" si="2"/>
        <v>388081.14980659261</v>
      </c>
      <c r="F28" s="3"/>
      <c r="G28" s="26">
        <v>5.4</v>
      </c>
      <c r="H28" s="10"/>
      <c r="I28" s="10">
        <f t="shared" si="5"/>
        <v>3311.8586550304608</v>
      </c>
      <c r="J28" s="10">
        <f t="shared" si="3"/>
        <v>72689154072.681915</v>
      </c>
      <c r="K28" s="11">
        <f t="shared" si="4"/>
        <v>7.2971999999999815E-2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21560063.878143992</v>
      </c>
      <c r="D29" s="11">
        <v>1.8499999999999999E-2</v>
      </c>
      <c r="E29" s="10">
        <f t="shared" si="2"/>
        <v>391616.28055538982</v>
      </c>
      <c r="F29" s="3"/>
      <c r="G29" s="26">
        <v>13.29</v>
      </c>
      <c r="H29" s="10"/>
      <c r="I29" s="10">
        <f t="shared" si="5"/>
        <v>3142.1808871256744</v>
      </c>
      <c r="J29" s="10">
        <f t="shared" si="3"/>
        <v>67745620643.112701</v>
      </c>
      <c r="K29" s="11">
        <f t="shared" si="4"/>
        <v>0.1538586500000001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21168447.597588602</v>
      </c>
      <c r="D30" s="11">
        <v>1.89E-2</v>
      </c>
      <c r="E30" s="10">
        <f t="shared" si="2"/>
        <v>392662.34134303778</v>
      </c>
      <c r="F30" s="3"/>
      <c r="G30" s="26">
        <v>9.52</v>
      </c>
      <c r="H30" s="10"/>
      <c r="I30" s="10">
        <f t="shared" si="5"/>
        <v>2773.5730312699043</v>
      </c>
      <c r="J30" s="10">
        <f t="shared" si="3"/>
        <v>58712235370.521942</v>
      </c>
      <c r="K30" s="11">
        <f t="shared" si="4"/>
        <v>0.1158992799999996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20775785.256245565</v>
      </c>
      <c r="D31" s="11">
        <v>1.9300000000000001E-2</v>
      </c>
      <c r="E31" s="10">
        <f t="shared" si="2"/>
        <v>393380.41346565261</v>
      </c>
      <c r="F31" s="3"/>
      <c r="G31" s="26">
        <v>5.53</v>
      </c>
      <c r="H31" s="10"/>
      <c r="I31" s="10">
        <f t="shared" si="5"/>
        <v>2532.4808539717901</v>
      </c>
      <c r="J31" s="10">
        <f t="shared" si="3"/>
        <v>52614278387.671295</v>
      </c>
      <c r="K31" s="11">
        <f t="shared" si="4"/>
        <v>7.5667289999999943E-2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20382404.842779912</v>
      </c>
      <c r="D32" s="11">
        <v>2.0199999999999999E-2</v>
      </c>
      <c r="E32" s="10">
        <f t="shared" si="2"/>
        <v>403572.41504034027</v>
      </c>
      <c r="F32" s="3"/>
      <c r="G32" s="26">
        <v>4.6500000000000004</v>
      </c>
      <c r="H32" s="10"/>
      <c r="I32" s="10">
        <f t="shared" si="5"/>
        <v>2399.7733857403491</v>
      </c>
      <c r="J32" s="10">
        <f t="shared" si="3"/>
        <v>48913152679.08844</v>
      </c>
      <c r="K32" s="11">
        <f t="shared" si="4"/>
        <v>6.7639299999999958E-2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19978832.427739572</v>
      </c>
      <c r="D33" s="11">
        <v>2.1499999999999998E-2</v>
      </c>
      <c r="E33" s="10">
        <f t="shared" si="2"/>
        <v>420504.05990837142</v>
      </c>
      <c r="F33" s="3"/>
      <c r="G33" s="26">
        <v>5.75</v>
      </c>
      <c r="H33" s="10"/>
      <c r="I33" s="10">
        <f t="shared" si="5"/>
        <v>2293.1422701771135</v>
      </c>
      <c r="J33" s="10">
        <f t="shared" si="3"/>
        <v>45814305148.834854</v>
      </c>
      <c r="K33" s="11">
        <f t="shared" si="4"/>
        <v>8.0236250000000231E-2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19558328.3678312</v>
      </c>
      <c r="D34" s="11">
        <v>2.2100000000000002E-2</v>
      </c>
      <c r="E34" s="10">
        <f t="shared" si="2"/>
        <v>422893.1189991869</v>
      </c>
      <c r="F34" s="3"/>
      <c r="G34" s="26">
        <v>4.28</v>
      </c>
      <c r="H34" s="10"/>
      <c r="I34" s="10">
        <f t="shared" si="5"/>
        <v>2168.4560474488067</v>
      </c>
      <c r="J34" s="10">
        <f t="shared" ref="J34:J65" si="6">IF(I34="","",I34*C34)</f>
        <v>42411375427.213112</v>
      </c>
      <c r="K34" s="11">
        <f t="shared" ref="K34:K65" si="7">IFERROR(J34/J35-1,"")</f>
        <v>7.9133179999999914E-2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19135435.248832013</v>
      </c>
      <c r="D35" s="11">
        <v>2.2700000000000001E-2</v>
      </c>
      <c r="E35" s="10">
        <f t="shared" si="2"/>
        <v>424732.94235698134</v>
      </c>
      <c r="F35" s="3"/>
      <c r="G35" s="26">
        <v>1.65</v>
      </c>
      <c r="H35" s="10"/>
      <c r="I35" s="10">
        <f t="shared" ref="I35:I66" si="8">IF(H35&lt;&gt;"",H35,I34/(1+IF(G34="",0,G34)/100))</f>
        <v>2053.8511531055187</v>
      </c>
      <c r="J35" s="10">
        <f t="shared" si="6"/>
        <v>39301335750.989616</v>
      </c>
      <c r="K35" s="11">
        <f t="shared" si="7"/>
        <v>6.7187450000000037E-2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18710702.306475032</v>
      </c>
      <c r="D36" s="11">
        <v>2.29E-2</v>
      </c>
      <c r="E36" s="10">
        <f t="shared" si="2"/>
        <v>418882.66968254745</v>
      </c>
      <c r="F36" s="3"/>
      <c r="G36" s="26">
        <v>-2.89</v>
      </c>
      <c r="H36" s="10"/>
      <c r="I36" s="10">
        <f t="shared" si="8"/>
        <v>1968.2330168716037</v>
      </c>
      <c r="J36" s="10">
        <f t="shared" si="6"/>
        <v>36827022048.459824</v>
      </c>
      <c r="K36" s="11">
        <f t="shared" si="7"/>
        <v>4.2437389999999686E-2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18291819.636792485</v>
      </c>
      <c r="D37" s="11">
        <v>2.3400000000000001E-2</v>
      </c>
      <c r="E37" s="10">
        <f t="shared" si="2"/>
        <v>418241.7231785655</v>
      </c>
      <c r="F37" s="3"/>
      <c r="G37" s="26">
        <v>-3.13</v>
      </c>
      <c r="H37" s="10"/>
      <c r="I37" s="10">
        <f t="shared" si="8"/>
        <v>1931.3443399780238</v>
      </c>
      <c r="J37" s="10">
        <f t="shared" si="6"/>
        <v>35327802323.418037</v>
      </c>
      <c r="K37" s="11">
        <f t="shared" si="7"/>
        <v>4.560778000000032E-2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17873577.913613919</v>
      </c>
      <c r="D38" s="11">
        <v>2.3699999999999999E-2</v>
      </c>
      <c r="E38" s="10">
        <f t="shared" si="2"/>
        <v>413796.81210574508</v>
      </c>
      <c r="F38" s="3"/>
      <c r="G38" s="26">
        <v>1.67</v>
      </c>
      <c r="H38" s="10"/>
      <c r="I38" s="10">
        <f t="shared" si="8"/>
        <v>1890.3243026113571</v>
      </c>
      <c r="J38" s="10">
        <f t="shared" si="6"/>
        <v>33786858704.721985</v>
      </c>
      <c r="K38" s="11">
        <f t="shared" si="7"/>
        <v>7.8672690000000101E-2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17459781.101508174</v>
      </c>
      <c r="D39" s="11">
        <v>2.3900000000000001E-2</v>
      </c>
      <c r="E39" s="10">
        <f t="shared" si="2"/>
        <v>407548.36246317625</v>
      </c>
      <c r="F39" s="3"/>
      <c r="G39" s="26">
        <v>10.3</v>
      </c>
      <c r="H39" s="10"/>
      <c r="I39" s="10">
        <f t="shared" si="8"/>
        <v>1793.9871904824495</v>
      </c>
      <c r="J39" s="10">
        <f t="shared" si="6"/>
        <v>31322623644.733215</v>
      </c>
      <c r="K39" s="11">
        <f t="shared" si="7"/>
        <v>0.12936170000000002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17052232.739044998</v>
      </c>
      <c r="D40" s="11">
        <v>2.4E-2</v>
      </c>
      <c r="E40" s="10">
        <f t="shared" si="2"/>
        <v>399661.70482136682</v>
      </c>
      <c r="F40" s="3"/>
      <c r="G40" s="26">
        <v>9.84</v>
      </c>
      <c r="H40" s="10"/>
      <c r="I40" s="10">
        <f t="shared" si="8"/>
        <v>1626.4616414165453</v>
      </c>
      <c r="J40" s="10">
        <f t="shared" si="6"/>
        <v>27734802450.564079</v>
      </c>
      <c r="K40" s="11">
        <f t="shared" si="7"/>
        <v>0.12476160000000003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16652571.034223631</v>
      </c>
      <c r="D41" s="11">
        <v>2.4299999999999999E-2</v>
      </c>
      <c r="E41" s="10">
        <f t="shared" si="2"/>
        <v>395057.57701028325</v>
      </c>
      <c r="F41" s="3"/>
      <c r="G41" s="26">
        <v>9.33</v>
      </c>
      <c r="H41" s="10"/>
      <c r="I41" s="10">
        <f t="shared" si="8"/>
        <v>1480.7553181141161</v>
      </c>
      <c r="J41" s="10">
        <f t="shared" si="6"/>
        <v>24658383119.19973</v>
      </c>
      <c r="K41" s="11">
        <f t="shared" si="7"/>
        <v>0.1198671899999999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16257513.457213348</v>
      </c>
      <c r="D42" s="11">
        <v>2.47E-2</v>
      </c>
      <c r="E42" s="10">
        <f t="shared" si="2"/>
        <v>391881.11875980161</v>
      </c>
      <c r="F42" s="3"/>
      <c r="G42" s="26">
        <v>-4.97</v>
      </c>
      <c r="H42" s="10"/>
      <c r="I42" s="10">
        <f t="shared" si="8"/>
        <v>1354.3906687223234</v>
      </c>
      <c r="J42" s="10">
        <f t="shared" si="6"/>
        <v>22019024523.077358</v>
      </c>
      <c r="K42" s="11">
        <f t="shared" si="7"/>
        <v>-2.6227590000000078E-2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15865632.338453546</v>
      </c>
      <c r="D43" s="11">
        <v>2.4899999999999999E-2</v>
      </c>
      <c r="E43" s="10">
        <f t="shared" si="2"/>
        <v>385456.38133231737</v>
      </c>
      <c r="F43" s="3"/>
      <c r="G43" s="26">
        <v>4.47</v>
      </c>
      <c r="H43" s="10"/>
      <c r="I43" s="10">
        <f t="shared" si="8"/>
        <v>1425.2243172917219</v>
      </c>
      <c r="J43" s="10">
        <f t="shared" si="6"/>
        <v>22612085017.973923</v>
      </c>
      <c r="K43" s="11">
        <f t="shared" si="7"/>
        <v>7.0713030000000066E-2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15480175.957121229</v>
      </c>
      <c r="D44" s="11">
        <v>2.5399999999999999E-2</v>
      </c>
      <c r="E44" s="10">
        <f t="shared" si="2"/>
        <v>383456.66989553347</v>
      </c>
      <c r="F44" s="3"/>
      <c r="G44" s="26">
        <v>10.24</v>
      </c>
      <c r="H44" s="10"/>
      <c r="I44" s="10">
        <f t="shared" si="8"/>
        <v>1364.2426699451728</v>
      </c>
      <c r="J44" s="10">
        <f t="shared" si="6"/>
        <v>21118716578.964134</v>
      </c>
      <c r="K44" s="11">
        <f t="shared" si="7"/>
        <v>0.13040096000000001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15096719.287225695</v>
      </c>
      <c r="D45" s="11">
        <v>2.5600000000000001E-2</v>
      </c>
      <c r="E45" s="10">
        <f t="shared" si="2"/>
        <v>376829.18657661788</v>
      </c>
      <c r="F45" s="3"/>
      <c r="G45" s="26">
        <v>4.28</v>
      </c>
      <c r="H45" s="10"/>
      <c r="I45" s="10">
        <f t="shared" si="8"/>
        <v>1237.520564173778</v>
      </c>
      <c r="J45" s="10">
        <f t="shared" si="6"/>
        <v>18682500569.500698</v>
      </c>
      <c r="K45" s="11">
        <f t="shared" si="7"/>
        <v>6.9495680000000171E-2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14719890.100649077</v>
      </c>
      <c r="D46" s="11">
        <v>2.58E-2</v>
      </c>
      <c r="E46" s="10">
        <f t="shared" si="2"/>
        <v>370221.45115689933</v>
      </c>
      <c r="F46" s="3"/>
      <c r="G46" s="26">
        <v>4.9000000000000004</v>
      </c>
      <c r="H46" s="10"/>
      <c r="I46" s="10">
        <f t="shared" si="8"/>
        <v>1186.7285809107959</v>
      </c>
      <c r="J46" s="10">
        <f t="shared" si="6"/>
        <v>17468514290.306152</v>
      </c>
      <c r="K46" s="11">
        <f t="shared" si="7"/>
        <v>7.6064199999999804E-2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14349668.649492178</v>
      </c>
      <c r="D47" s="11">
        <v>2.6200000000000001E-2</v>
      </c>
      <c r="E47" s="10">
        <f t="shared" si="2"/>
        <v>366362.61802445352</v>
      </c>
      <c r="F47" s="3"/>
      <c r="G47" s="26">
        <v>11.41</v>
      </c>
      <c r="H47" s="10"/>
      <c r="I47" s="10">
        <f t="shared" si="8"/>
        <v>1131.2951200293576</v>
      </c>
      <c r="J47" s="10">
        <f t="shared" si="6"/>
        <v>16233710117.208763</v>
      </c>
      <c r="K47" s="11">
        <f t="shared" si="7"/>
        <v>0.14328941999999989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13983306.031467725</v>
      </c>
      <c r="D48" s="11">
        <v>2.6499999999999999E-2</v>
      </c>
      <c r="E48" s="10">
        <f t="shared" si="2"/>
        <v>360991.33934134804</v>
      </c>
      <c r="F48" s="3"/>
      <c r="G48" s="26">
        <v>6.55</v>
      </c>
      <c r="H48" s="10"/>
      <c r="I48" s="10">
        <f t="shared" si="8"/>
        <v>1015.4340903234516</v>
      </c>
      <c r="J48" s="10">
        <f t="shared" si="6"/>
        <v>14199125639.777864</v>
      </c>
      <c r="K48" s="11">
        <f t="shared" si="7"/>
        <v>9.3735750000000229E-2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13622314.692126377</v>
      </c>
      <c r="D49" s="11">
        <v>2.6700000000000002E-2</v>
      </c>
      <c r="E49" s="10">
        <f t="shared" si="2"/>
        <v>354257.13672910631</v>
      </c>
      <c r="F49" s="3"/>
      <c r="G49" s="26">
        <v>8.1199999999999992</v>
      </c>
      <c r="H49" s="10"/>
      <c r="I49" s="10">
        <f t="shared" si="8"/>
        <v>953.01181635237117</v>
      </c>
      <c r="J49" s="10">
        <f t="shared" si="6"/>
        <v>12982226867.66695</v>
      </c>
      <c r="K49" s="11">
        <f t="shared" si="7"/>
        <v>0.11006803999999981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13268057.55539727</v>
      </c>
      <c r="D50" s="11">
        <v>2.7E-2</v>
      </c>
      <c r="E50" s="10">
        <f t="shared" si="2"/>
        <v>348819.42940187454</v>
      </c>
      <c r="F50" s="3"/>
      <c r="G50" s="26">
        <v>8.6199999999999992</v>
      </c>
      <c r="H50" s="10"/>
      <c r="I50" s="10">
        <f t="shared" si="8"/>
        <v>881.43897183904107</v>
      </c>
      <c r="J50" s="10">
        <f t="shared" si="6"/>
        <v>11694983009.930592</v>
      </c>
      <c r="K50" s="11">
        <f t="shared" si="7"/>
        <v>0.11552740000000017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12919238.125995396</v>
      </c>
      <c r="D51" s="11">
        <v>2.5899999999999999E-2</v>
      </c>
      <c r="E51" s="10">
        <f t="shared" si="2"/>
        <v>326160.70519863628</v>
      </c>
      <c r="F51" s="3"/>
      <c r="G51" s="26">
        <v>11.12</v>
      </c>
      <c r="H51" s="10"/>
      <c r="I51" s="10">
        <f t="shared" si="8"/>
        <v>811.4886501924517</v>
      </c>
      <c r="J51" s="10">
        <f t="shared" si="6"/>
        <v>10483815108.378862</v>
      </c>
      <c r="K51" s="11">
        <f t="shared" si="7"/>
        <v>0.13998007999999995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12593077.420796759</v>
      </c>
      <c r="D52" s="11">
        <v>2.23E-2</v>
      </c>
      <c r="E52" s="10">
        <f t="shared" si="2"/>
        <v>274699.82048690878</v>
      </c>
      <c r="F52" s="3"/>
      <c r="G52" s="26">
        <v>8.18</v>
      </c>
      <c r="H52" s="10"/>
      <c r="I52" s="10">
        <f t="shared" si="8"/>
        <v>730.28136266419347</v>
      </c>
      <c r="J52" s="10">
        <f t="shared" si="6"/>
        <v>9196489738.9951439</v>
      </c>
      <c r="K52" s="11">
        <f t="shared" si="7"/>
        <v>0.10592413999999994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12318377.600309851</v>
      </c>
      <c r="D53" s="11">
        <v>2.7300000000000001E-2</v>
      </c>
      <c r="E53" s="10">
        <f t="shared" si="2"/>
        <v>327354.91919445246</v>
      </c>
      <c r="F53" s="3"/>
      <c r="G53" s="26">
        <v>6.83</v>
      </c>
      <c r="H53" s="10"/>
      <c r="I53" s="10">
        <f t="shared" si="8"/>
        <v>675.06134467017318</v>
      </c>
      <c r="J53" s="10">
        <f t="shared" si="6"/>
        <v>8315660547.0201092</v>
      </c>
      <c r="K53" s="11">
        <f t="shared" si="7"/>
        <v>9.7464590000000406E-2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11991022.681115398</v>
      </c>
      <c r="D54" s="11">
        <v>2.7099999999999999E-2</v>
      </c>
      <c r="E54" s="10">
        <f t="shared" si="2"/>
        <v>316382.74234079011</v>
      </c>
      <c r="F54" s="3"/>
      <c r="G54" s="26">
        <v>8</v>
      </c>
      <c r="H54" s="10"/>
      <c r="I54" s="10">
        <f t="shared" si="8"/>
        <v>631.90241006287852</v>
      </c>
      <c r="J54" s="10">
        <f t="shared" si="6"/>
        <v>7577156131.3154593</v>
      </c>
      <c r="K54" s="11">
        <f t="shared" si="7"/>
        <v>0.10926799999999992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11674639.938774608</v>
      </c>
      <c r="D55" s="11">
        <v>2.7E-2</v>
      </c>
      <c r="E55" s="10">
        <f t="shared" si="2"/>
        <v>306928.21650137566</v>
      </c>
      <c r="F55" s="3"/>
      <c r="G55" s="26">
        <v>7.55</v>
      </c>
      <c r="H55" s="10"/>
      <c r="I55" s="10">
        <f t="shared" si="8"/>
        <v>585.09482413229489</v>
      </c>
      <c r="J55" s="10">
        <f t="shared" si="6"/>
        <v>6830771401.7851954</v>
      </c>
      <c r="K55" s="11">
        <f t="shared" si="7"/>
        <v>0.10453849999999987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11367711.722273232</v>
      </c>
      <c r="D56" s="11">
        <v>2.6700000000000002E-2</v>
      </c>
      <c r="E56" s="10">
        <f t="shared" si="2"/>
        <v>295624.72288369946</v>
      </c>
      <c r="F56" s="3"/>
      <c r="G56" s="26">
        <v>5.36</v>
      </c>
      <c r="H56" s="10"/>
      <c r="I56" s="10">
        <f t="shared" si="8"/>
        <v>544.02122188033002</v>
      </c>
      <c r="J56" s="10">
        <f t="shared" si="6"/>
        <v>6184276421.1344347</v>
      </c>
      <c r="K56" s="11">
        <f t="shared" si="7"/>
        <v>8.1731120000000157E-2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11072086.999389533</v>
      </c>
      <c r="D57" s="11">
        <v>2.64E-2</v>
      </c>
      <c r="E57" s="10">
        <f t="shared" si="2"/>
        <v>284784.77862810157</v>
      </c>
      <c r="F57" s="3"/>
      <c r="G57" s="26">
        <v>12.11</v>
      </c>
      <c r="H57" s="10"/>
      <c r="I57" s="10">
        <f t="shared" si="8"/>
        <v>516.34512327290236</v>
      </c>
      <c r="J57" s="10">
        <f t="shared" si="6"/>
        <v>5717018126.588088</v>
      </c>
      <c r="K57" s="11">
        <f t="shared" si="7"/>
        <v>0.15069704000000006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10787302.220761431</v>
      </c>
      <c r="D58" s="11">
        <v>2.5999999999999999E-2</v>
      </c>
      <c r="E58" s="10">
        <f t="shared" si="2"/>
        <v>273362.43444424681</v>
      </c>
      <c r="F58" s="3"/>
      <c r="G58" s="26">
        <v>11.96</v>
      </c>
      <c r="H58" s="10"/>
      <c r="I58" s="10">
        <f t="shared" si="8"/>
        <v>460.57008587360838</v>
      </c>
      <c r="J58" s="10">
        <f t="shared" si="6"/>
        <v>4968308710.1606588</v>
      </c>
      <c r="K58" s="11">
        <f t="shared" si="7"/>
        <v>0.14870959999999989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10513939.786317185</v>
      </c>
      <c r="D59" s="11">
        <v>2.5399999999999999E-2</v>
      </c>
      <c r="E59" s="10">
        <f t="shared" si="2"/>
        <v>260438.92195480503</v>
      </c>
      <c r="F59" s="3"/>
      <c r="G59" s="26">
        <v>3.64</v>
      </c>
      <c r="H59" s="10"/>
      <c r="I59" s="10">
        <f t="shared" si="8"/>
        <v>411.3702088903255</v>
      </c>
      <c r="J59" s="10">
        <f t="shared" si="6"/>
        <v>4325121606.1576042</v>
      </c>
      <c r="K59" s="11">
        <f t="shared" si="7"/>
        <v>6.2724559999999929E-2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10253500.86436238</v>
      </c>
      <c r="D60" s="11">
        <v>2.4899999999999999E-2</v>
      </c>
      <c r="E60" s="10">
        <f t="shared" si="2"/>
        <v>249109.34873902053</v>
      </c>
      <c r="F60" s="3"/>
      <c r="G60" s="26">
        <v>1.1299999999999999</v>
      </c>
      <c r="H60" s="10"/>
      <c r="I60" s="10">
        <f t="shared" si="8"/>
        <v>396.9222393770026</v>
      </c>
      <c r="J60" s="10">
        <f t="shared" si="6"/>
        <v>4069842524.5367475</v>
      </c>
      <c r="K60" s="11">
        <f t="shared" si="7"/>
        <v>3.6481369999999957E-2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10004391.515623359</v>
      </c>
      <c r="D61" s="11">
        <v>2.4199999999999999E-2</v>
      </c>
      <c r="E61" s="10">
        <f t="shared" si="2"/>
        <v>236385.73977551796</v>
      </c>
      <c r="F61" s="3"/>
      <c r="G61" s="26">
        <v>1.73</v>
      </c>
      <c r="H61" s="10"/>
      <c r="I61" s="10">
        <f t="shared" si="8"/>
        <v>392.48713475427923</v>
      </c>
      <c r="J61" s="10">
        <f t="shared" si="6"/>
        <v>3926594960.9270329</v>
      </c>
      <c r="K61" s="11">
        <f t="shared" si="7"/>
        <v>4.1918660000000108E-2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9768005.7758478411</v>
      </c>
      <c r="D62" s="11">
        <v>2.3400000000000001E-2</v>
      </c>
      <c r="E62" s="10">
        <f t="shared" si="2"/>
        <v>223345.06073367223</v>
      </c>
      <c r="F62" s="3"/>
      <c r="G62" s="26">
        <v>8.8000000000000007</v>
      </c>
      <c r="H62" s="10"/>
      <c r="I62" s="10">
        <f t="shared" si="8"/>
        <v>385.81257716925114</v>
      </c>
      <c r="J62" s="10">
        <f t="shared" si="6"/>
        <v>3768619482.1839862</v>
      </c>
      <c r="K62" s="11">
        <f t="shared" si="7"/>
        <v>0.11345920000000032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9544660.7151141688</v>
      </c>
      <c r="D63" s="11">
        <v>2.2700000000000001E-2</v>
      </c>
      <c r="E63" s="10">
        <f t="shared" si="2"/>
        <v>211854.69661982171</v>
      </c>
      <c r="F63" s="3"/>
      <c r="G63" s="26">
        <v>-0.81</v>
      </c>
      <c r="H63" s="10"/>
      <c r="I63" s="10">
        <f t="shared" si="8"/>
        <v>354.60714813350285</v>
      </c>
      <c r="J63" s="10">
        <f t="shared" si="6"/>
        <v>3384604916.0885153</v>
      </c>
      <c r="K63" s="11">
        <f t="shared" si="7"/>
        <v>1.4416130000000082E-2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9332806.0184943471</v>
      </c>
      <c r="D64" s="11">
        <v>2.18E-2</v>
      </c>
      <c r="E64" s="10">
        <f t="shared" si="2"/>
        <v>199114.47563434765</v>
      </c>
      <c r="F64" s="3"/>
      <c r="G64" s="26">
        <v>10.99</v>
      </c>
      <c r="H64" s="10"/>
      <c r="I64" s="10">
        <f t="shared" si="8"/>
        <v>357.50292180008353</v>
      </c>
      <c r="J64" s="10">
        <f t="shared" si="6"/>
        <v>3336505420.2051334</v>
      </c>
      <c r="K64" s="11">
        <f t="shared" si="7"/>
        <v>0.13409581999999998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9133691.5428599995</v>
      </c>
      <c r="D65" s="11">
        <v>2.0899999999999998E-2</v>
      </c>
      <c r="E65" s="10">
        <f t="shared" si="2"/>
        <v>186986.14285999909</v>
      </c>
      <c r="F65" s="3"/>
      <c r="G65" s="26">
        <v>5.52</v>
      </c>
      <c r="H65" s="10"/>
      <c r="I65" s="10">
        <f t="shared" si="8"/>
        <v>322.10372267779394</v>
      </c>
      <c r="J65" s="10">
        <f t="shared" si="6"/>
        <v>2941996047.7458892</v>
      </c>
      <c r="K65" s="11">
        <f t="shared" si="7"/>
        <v>7.725367999999988E-2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8946705.4000000004</v>
      </c>
      <c r="D66" s="11">
        <v>1.9800000000000002E-2</v>
      </c>
      <c r="E66" s="10">
        <f t="shared" si="2"/>
        <v>173705.40000000037</v>
      </c>
      <c r="F66" s="3"/>
      <c r="G66" s="26">
        <v>7.09</v>
      </c>
      <c r="H66" s="10"/>
      <c r="I66" s="10">
        <f t="shared" si="8"/>
        <v>305.25371747326949</v>
      </c>
      <c r="J66" s="10">
        <f t="shared" ref="J66:J67" si="9">IF(I66="","",I66*C66)</f>
        <v>2731015082.4881744</v>
      </c>
      <c r="K66" s="11">
        <f t="shared" ref="K66" si="10">IFERROR(J66/J67-1,"")</f>
        <v>9.2103819999999947E-2</v>
      </c>
    </row>
    <row r="67" spans="1:11" ht="22.5" customHeight="1">
      <c r="A67" s="3">
        <f t="shared" si="0"/>
        <v>1950</v>
      </c>
      <c r="B67" s="3">
        <v>1700</v>
      </c>
      <c r="C67" s="10">
        <v>8773000</v>
      </c>
      <c r="D67" s="11">
        <v>1.9E-2</v>
      </c>
      <c r="E67" s="3" t="s">
        <v>72</v>
      </c>
      <c r="F67" s="3"/>
      <c r="G67" s="26">
        <v>8.18</v>
      </c>
      <c r="H67" s="10"/>
      <c r="I67" s="10">
        <f t="shared" ref="I67" si="11">IF(H67&lt;&gt;"",H67,I66/(1+IF(G66="",0,G66)/100))</f>
        <v>285.04409139347229</v>
      </c>
      <c r="J67" s="10">
        <f t="shared" si="9"/>
        <v>2500691813.7949324</v>
      </c>
      <c r="K67" s="11"/>
    </row>
  </sheetData>
  <dataValidations count="1">
    <dataValidation type="custom" allowBlank="1" showDropDown="1" sqref="D2:D67" xr:uid="{00000000-0002-0000-2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4620304.1560445707</v>
      </c>
      <c r="D2" s="24">
        <v>1E-4</v>
      </c>
      <c r="E2" s="10">
        <f t="shared" ref="E2:E66" si="2">SUM(C2-C3)</f>
        <v>461.98421718273312</v>
      </c>
      <c r="F2" s="10">
        <v>4620320</v>
      </c>
      <c r="G2" s="26">
        <v>3.65</v>
      </c>
      <c r="H2" s="10"/>
      <c r="I2" s="10">
        <f>IF(H2&lt;&gt;"",H2,102856)</f>
        <v>12857</v>
      </c>
      <c r="J2" s="10">
        <f t="shared" ref="J2:J33" si="3">IF(I2="","",I2*C2)</f>
        <v>59403250534.265045</v>
      </c>
      <c r="K2" s="11">
        <f t="shared" ref="K2:K33" si="4">IFERROR(J2/J3-1,"")</f>
        <v>3.6603649999999988E-2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4619842.171827388</v>
      </c>
      <c r="D3" s="24">
        <v>2.0000000000000001E-4</v>
      </c>
      <c r="E3" s="10">
        <f t="shared" si="2"/>
        <v>923.78367763012648</v>
      </c>
      <c r="F3" s="10"/>
      <c r="G3" s="26">
        <v>3.54</v>
      </c>
      <c r="H3" s="10"/>
      <c r="I3" s="10">
        <f t="shared" ref="I3:I34" si="5">IF(H3&lt;&gt;"",H3,I2/(1+IF(G2="",0,G2)/100))</f>
        <v>12404.245055475158</v>
      </c>
      <c r="J3" s="10">
        <f t="shared" si="3"/>
        <v>57305654416.965492</v>
      </c>
      <c r="K3" s="11">
        <f t="shared" si="4"/>
        <v>3.5607080000000124E-2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4618918.3881497579</v>
      </c>
      <c r="D4" s="24">
        <v>5.0000000000000001E-4</v>
      </c>
      <c r="E4" s="10">
        <f t="shared" si="2"/>
        <v>2308.3050415534526</v>
      </c>
      <c r="F4" s="10"/>
      <c r="G4" s="26">
        <v>2.4900000000000002</v>
      </c>
      <c r="H4" s="10"/>
      <c r="I4" s="10">
        <f t="shared" si="5"/>
        <v>11980.147822556652</v>
      </c>
      <c r="J4" s="10">
        <f t="shared" si="3"/>
        <v>55335325070.3592</v>
      </c>
      <c r="K4" s="11">
        <f t="shared" si="4"/>
        <v>2.5412449999999698E-2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4616610.0831082044</v>
      </c>
      <c r="D5" s="24">
        <v>1E-3</v>
      </c>
      <c r="E5" s="10">
        <f t="shared" si="2"/>
        <v>4611.998085022904</v>
      </c>
      <c r="F5" s="10"/>
      <c r="G5" s="26">
        <v>4.88</v>
      </c>
      <c r="H5" s="10"/>
      <c r="I5" s="10">
        <f t="shared" si="5"/>
        <v>11689.089494152262</v>
      </c>
      <c r="J5" s="10">
        <f t="shared" si="3"/>
        <v>53963968421.05751</v>
      </c>
      <c r="K5" s="11">
        <f t="shared" si="4"/>
        <v>4.9848799999999915E-2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4611998.0850231815</v>
      </c>
      <c r="D6" s="24">
        <v>3.3E-3</v>
      </c>
      <c r="E6" s="10">
        <f t="shared" si="2"/>
        <v>15169.534217658453</v>
      </c>
      <c r="F6" s="10"/>
      <c r="G6" s="26">
        <v>4.4000000000000004</v>
      </c>
      <c r="H6" s="10"/>
      <c r="I6" s="10">
        <f t="shared" si="5"/>
        <v>11145.203560404521</v>
      </c>
      <c r="J6" s="10">
        <f t="shared" si="3"/>
        <v>51401657477.779198</v>
      </c>
      <c r="K6" s="11">
        <f t="shared" si="4"/>
        <v>4.7445200000000076E-2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4596828.5508055231</v>
      </c>
      <c r="D7" s="24">
        <v>7.1999999999999998E-3</v>
      </c>
      <c r="E7" s="10">
        <f t="shared" si="2"/>
        <v>32860.569465647452</v>
      </c>
      <c r="F7" s="10"/>
      <c r="G7" s="26">
        <v>5.36</v>
      </c>
      <c r="H7" s="10"/>
      <c r="I7" s="10">
        <f t="shared" si="5"/>
        <v>10675.482337552223</v>
      </c>
      <c r="J7" s="10">
        <f t="shared" si="3"/>
        <v>49073362002.880142</v>
      </c>
      <c r="K7" s="11">
        <f t="shared" si="4"/>
        <v>6.1185920000000227E-2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4563967.9813398756</v>
      </c>
      <c r="D8" s="24">
        <v>9.4999999999999998E-3</v>
      </c>
      <c r="E8" s="10">
        <f t="shared" si="2"/>
        <v>42949.67392048426</v>
      </c>
      <c r="F8" s="10"/>
      <c r="G8" s="26">
        <v>3.87</v>
      </c>
      <c r="H8" s="10"/>
      <c r="I8" s="10">
        <f t="shared" si="5"/>
        <v>10132.38642516346</v>
      </c>
      <c r="J8" s="10">
        <f t="shared" si="3"/>
        <v>46243887219.008835</v>
      </c>
      <c r="K8" s="11">
        <f t="shared" si="4"/>
        <v>4.8567650000000073E-2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4521018.3074193913</v>
      </c>
      <c r="D9" s="24">
        <v>1.04E-2</v>
      </c>
      <c r="E9" s="10">
        <f t="shared" si="2"/>
        <v>46534.63024263829</v>
      </c>
      <c r="F9" s="10"/>
      <c r="G9" s="26">
        <v>4.74</v>
      </c>
      <c r="H9" s="10"/>
      <c r="I9" s="10">
        <f t="shared" si="5"/>
        <v>9754.8728460223938</v>
      </c>
      <c r="J9" s="10">
        <f t="shared" si="3"/>
        <v>44101958723.415543</v>
      </c>
      <c r="K9" s="11">
        <f t="shared" si="4"/>
        <v>5.8292960000000171E-2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4474483.6771767531</v>
      </c>
      <c r="D10" s="24">
        <v>1.11E-2</v>
      </c>
      <c r="E10" s="10">
        <f t="shared" si="2"/>
        <v>49121.519945270382</v>
      </c>
      <c r="F10" s="10"/>
      <c r="G10" s="26">
        <v>8.2200000000000006</v>
      </c>
      <c r="H10" s="10"/>
      <c r="I10" s="10">
        <f t="shared" si="5"/>
        <v>9313.4168856429187</v>
      </c>
      <c r="J10" s="10">
        <f t="shared" si="3"/>
        <v>41672731833.55159</v>
      </c>
      <c r="K10" s="11">
        <f t="shared" si="4"/>
        <v>9.4212420000000074E-2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4425362.1572314827</v>
      </c>
      <c r="D11" s="24">
        <v>1.1599999999999999E-2</v>
      </c>
      <c r="E11" s="10">
        <f t="shared" si="2"/>
        <v>50745.552613568492</v>
      </c>
      <c r="F11" s="10"/>
      <c r="G11" s="26">
        <v>7.33</v>
      </c>
      <c r="H11" s="10"/>
      <c r="I11" s="10">
        <f t="shared" si="5"/>
        <v>8606.0034056948061</v>
      </c>
      <c r="J11" s="10">
        <f t="shared" si="3"/>
        <v>38084681796.567055</v>
      </c>
      <c r="K11" s="11">
        <f t="shared" si="4"/>
        <v>8.5750280000000068E-2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4374616.6046179142</v>
      </c>
      <c r="D12" s="24">
        <v>1.2E-2</v>
      </c>
      <c r="E12" s="10">
        <f t="shared" si="2"/>
        <v>51872.924165429547</v>
      </c>
      <c r="F12" s="10"/>
      <c r="G12" s="26">
        <v>3.98</v>
      </c>
      <c r="H12" s="10"/>
      <c r="I12" s="10">
        <f t="shared" si="5"/>
        <v>8018.2646097967081</v>
      </c>
      <c r="J12" s="10">
        <f t="shared" si="3"/>
        <v>35076833502.236862</v>
      </c>
      <c r="K12" s="11">
        <f t="shared" si="4"/>
        <v>5.2277600000000035E-2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4322743.6804524846</v>
      </c>
      <c r="D13" s="24">
        <v>1.26E-2</v>
      </c>
      <c r="E13" s="10">
        <f t="shared" si="2"/>
        <v>53788.83110181801</v>
      </c>
      <c r="F13" s="10"/>
      <c r="G13" s="26">
        <v>4.42</v>
      </c>
      <c r="H13" s="10"/>
      <c r="I13" s="10">
        <f t="shared" si="5"/>
        <v>7711.3527695679049</v>
      </c>
      <c r="J13" s="10">
        <f t="shared" si="3"/>
        <v>33334201452.389427</v>
      </c>
      <c r="K13" s="11">
        <f t="shared" si="4"/>
        <v>5.7356919999999922E-2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4268954.8493506666</v>
      </c>
      <c r="D14" s="24">
        <v>1.3599999999999999E-2</v>
      </c>
      <c r="E14" s="10">
        <f t="shared" si="2"/>
        <v>57278.794348035939</v>
      </c>
      <c r="F14" s="10"/>
      <c r="G14" s="26">
        <v>4.32</v>
      </c>
      <c r="H14" s="10"/>
      <c r="I14" s="10">
        <f t="shared" si="5"/>
        <v>7384.9384883814446</v>
      </c>
      <c r="J14" s="10">
        <f t="shared" si="3"/>
        <v>31525968972.132351</v>
      </c>
      <c r="K14" s="11">
        <f t="shared" si="4"/>
        <v>5.7387520000000025E-2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4211676.0550026307</v>
      </c>
      <c r="D15" s="24">
        <v>1.47E-2</v>
      </c>
      <c r="E15" s="10">
        <f t="shared" si="2"/>
        <v>61014.721601003315</v>
      </c>
      <c r="F15" s="10"/>
      <c r="G15" s="26">
        <v>3.42</v>
      </c>
      <c r="H15" s="10"/>
      <c r="I15" s="10">
        <f t="shared" si="5"/>
        <v>7079.1204834944838</v>
      </c>
      <c r="J15" s="10">
        <f t="shared" si="3"/>
        <v>29814962230.812363</v>
      </c>
      <c r="K15" s="11">
        <f t="shared" si="4"/>
        <v>4.940273999999989E-2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4150661.3334016274</v>
      </c>
      <c r="D16" s="24">
        <v>1.54E-2</v>
      </c>
      <c r="E16" s="10">
        <f t="shared" si="2"/>
        <v>62950.743090787437</v>
      </c>
      <c r="F16" s="10"/>
      <c r="G16" s="26">
        <v>3.49</v>
      </c>
      <c r="H16" s="10"/>
      <c r="I16" s="10">
        <f t="shared" si="5"/>
        <v>6845.0207730559696</v>
      </c>
      <c r="J16" s="10">
        <f t="shared" si="3"/>
        <v>28411363049.054329</v>
      </c>
      <c r="K16" s="11">
        <f t="shared" si="4"/>
        <v>5.0837460000000112E-2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4087710.5903108399</v>
      </c>
      <c r="D17" s="24">
        <v>1.52E-2</v>
      </c>
      <c r="E17" s="10">
        <f t="shared" si="2"/>
        <v>61202.916639800183</v>
      </c>
      <c r="F17" s="10"/>
      <c r="G17" s="26">
        <v>3.8</v>
      </c>
      <c r="H17" s="10"/>
      <c r="I17" s="10">
        <f t="shared" si="5"/>
        <v>6614.1856923915066</v>
      </c>
      <c r="J17" s="10">
        <f t="shared" si="3"/>
        <v>27036876901.071198</v>
      </c>
      <c r="K17" s="11">
        <f t="shared" si="4"/>
        <v>5.3777600000000092E-2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4026507.6736710398</v>
      </c>
      <c r="D18" s="24">
        <v>1.5299999999999999E-2</v>
      </c>
      <c r="E18" s="10">
        <f t="shared" si="2"/>
        <v>60677.206153025851</v>
      </c>
      <c r="F18" s="10"/>
      <c r="G18" s="26">
        <v>4.1500000000000004</v>
      </c>
      <c r="H18" s="10"/>
      <c r="I18" s="10">
        <f t="shared" si="5"/>
        <v>6372.0478732095435</v>
      </c>
      <c r="J18" s="10">
        <f t="shared" si="3"/>
        <v>25657099658.477455</v>
      </c>
      <c r="K18" s="11">
        <f t="shared" si="4"/>
        <v>5.7434950000000207E-2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3965830.4675180139</v>
      </c>
      <c r="D19" s="24">
        <v>1.61E-2</v>
      </c>
      <c r="E19" s="10">
        <f t="shared" si="2"/>
        <v>62838.175895128399</v>
      </c>
      <c r="F19" s="10"/>
      <c r="G19" s="26">
        <v>7.09</v>
      </c>
      <c r="H19" s="10"/>
      <c r="I19" s="10">
        <f t="shared" si="5"/>
        <v>6118.1448614589945</v>
      </c>
      <c r="J19" s="10">
        <f t="shared" si="3"/>
        <v>24263525296.262859</v>
      </c>
      <c r="K19" s="11">
        <f t="shared" si="4"/>
        <v>8.8141489999999934E-2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3902992.2916228855</v>
      </c>
      <c r="D20" s="24">
        <v>1.7000000000000001E-2</v>
      </c>
      <c r="E20" s="10">
        <f t="shared" si="2"/>
        <v>65241.759053676389</v>
      </c>
      <c r="F20" s="10"/>
      <c r="G20" s="26">
        <v>5.48</v>
      </c>
      <c r="H20" s="10"/>
      <c r="I20" s="10">
        <f t="shared" si="5"/>
        <v>5713.0869936119107</v>
      </c>
      <c r="J20" s="10">
        <f t="shared" si="3"/>
        <v>22298134497.438251</v>
      </c>
      <c r="K20" s="11">
        <f t="shared" si="4"/>
        <v>7.2731599999999785E-2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3837750.5325692091</v>
      </c>
      <c r="D21" s="24">
        <v>1.7899999999999999E-2</v>
      </c>
      <c r="E21" s="10">
        <f t="shared" si="2"/>
        <v>67487.704620285891</v>
      </c>
      <c r="F21" s="10"/>
      <c r="G21" s="26">
        <v>1.35</v>
      </c>
      <c r="H21" s="10"/>
      <c r="I21" s="10">
        <f t="shared" si="5"/>
        <v>5416.2751171899044</v>
      </c>
      <c r="J21" s="10">
        <f t="shared" si="3"/>
        <v>20786312715.536911</v>
      </c>
      <c r="K21" s="11">
        <f t="shared" si="4"/>
        <v>3.1641650000000077E-2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3770262.8279489232</v>
      </c>
      <c r="D22" s="24">
        <v>1.9199999999999998E-2</v>
      </c>
      <c r="E22" s="10">
        <f t="shared" si="2"/>
        <v>71025.359396212269</v>
      </c>
      <c r="F22" s="10"/>
      <c r="G22" s="26">
        <v>4.1500000000000004</v>
      </c>
      <c r="H22" s="10"/>
      <c r="I22" s="10">
        <f t="shared" si="5"/>
        <v>5344.1293706856477</v>
      </c>
      <c r="J22" s="10">
        <f t="shared" si="3"/>
        <v>20148772314.046169</v>
      </c>
      <c r="K22" s="11">
        <f t="shared" si="4"/>
        <v>6.149680000000024E-2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3699237.468552711</v>
      </c>
      <c r="D23" s="24">
        <v>2.06E-2</v>
      </c>
      <c r="E23" s="10">
        <f t="shared" si="2"/>
        <v>74666.168775412254</v>
      </c>
      <c r="F23" s="10"/>
      <c r="G23" s="26">
        <v>4.5199999999999996</v>
      </c>
      <c r="H23" s="10"/>
      <c r="I23" s="10">
        <f t="shared" si="5"/>
        <v>5131.1851854878996</v>
      </c>
      <c r="J23" s="10">
        <f t="shared" si="3"/>
        <v>18981472496.239429</v>
      </c>
      <c r="K23" s="11">
        <f t="shared" si="4"/>
        <v>6.6731119999999811E-2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3624571.2997772987</v>
      </c>
      <c r="D24" s="24">
        <v>2.1700000000000001E-2</v>
      </c>
      <c r="E24" s="10">
        <f t="shared" si="2"/>
        <v>76982.673196797259</v>
      </c>
      <c r="F24" s="10"/>
      <c r="G24" s="26">
        <v>7.1</v>
      </c>
      <c r="H24" s="10"/>
      <c r="I24" s="10">
        <f t="shared" si="5"/>
        <v>4909.2854817144089</v>
      </c>
      <c r="J24" s="10">
        <f t="shared" si="3"/>
        <v>17794055259.435417</v>
      </c>
      <c r="K24" s="11">
        <f t="shared" si="4"/>
        <v>9.4240700000000066E-2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3547588.6265805014</v>
      </c>
      <c r="D25" s="24">
        <v>2.3E-2</v>
      </c>
      <c r="E25" s="10">
        <f t="shared" si="2"/>
        <v>79760.05709809484</v>
      </c>
      <c r="F25" s="10"/>
      <c r="G25" s="26">
        <v>9.1999999999999993</v>
      </c>
      <c r="H25" s="10"/>
      <c r="I25" s="10">
        <f t="shared" si="5"/>
        <v>4583.8333162599529</v>
      </c>
      <c r="J25" s="10">
        <f t="shared" si="3"/>
        <v>16261554938.904591</v>
      </c>
      <c r="K25" s="11">
        <f t="shared" si="4"/>
        <v>0.11711599999999978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3467828.5694824066</v>
      </c>
      <c r="D26" s="24">
        <v>2.4400000000000002E-2</v>
      </c>
      <c r="E26" s="10">
        <f t="shared" si="2"/>
        <v>82599.587168460246</v>
      </c>
      <c r="F26" s="10"/>
      <c r="G26" s="26">
        <v>2.27</v>
      </c>
      <c r="H26" s="10"/>
      <c r="I26" s="10">
        <f t="shared" si="5"/>
        <v>4197.6495570146089</v>
      </c>
      <c r="J26" s="10">
        <f t="shared" si="3"/>
        <v>14556729058.490429</v>
      </c>
      <c r="K26" s="11">
        <f t="shared" si="4"/>
        <v>4.7653879999999926E-2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3385228.9823139464</v>
      </c>
      <c r="D27" s="24">
        <v>2.07E-2</v>
      </c>
      <c r="E27" s="10">
        <f t="shared" si="2"/>
        <v>68653.120342802256</v>
      </c>
      <c r="F27" s="10"/>
      <c r="G27" s="26">
        <v>-3.55</v>
      </c>
      <c r="H27" s="10"/>
      <c r="I27" s="10">
        <f t="shared" si="5"/>
        <v>4104.4779084918446</v>
      </c>
      <c r="J27" s="10">
        <f t="shared" si="3"/>
        <v>13894597573.093922</v>
      </c>
      <c r="K27" s="11">
        <f t="shared" si="4"/>
        <v>-1.55348500000001E-2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3316575.8619711441</v>
      </c>
      <c r="D28" s="24">
        <v>1.5100000000000001E-2</v>
      </c>
      <c r="E28" s="10">
        <f t="shared" si="2"/>
        <v>49335.332002525683</v>
      </c>
      <c r="F28" s="10"/>
      <c r="G28" s="26">
        <v>5.67</v>
      </c>
      <c r="H28" s="10"/>
      <c r="I28" s="10">
        <f t="shared" si="5"/>
        <v>4255.5499310439027</v>
      </c>
      <c r="J28" s="10">
        <f t="shared" si="3"/>
        <v>14113854180.713175</v>
      </c>
      <c r="K28" s="11">
        <f t="shared" si="4"/>
        <v>7.2656169999999909E-2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3267240.5299686184</v>
      </c>
      <c r="D29" s="24">
        <v>1.41E-2</v>
      </c>
      <c r="E29" s="10">
        <f t="shared" si="2"/>
        <v>45427.562836561818</v>
      </c>
      <c r="F29" s="10"/>
      <c r="G29" s="26">
        <v>3.43</v>
      </c>
      <c r="H29" s="10"/>
      <c r="I29" s="10">
        <f t="shared" si="5"/>
        <v>4027.2072783608428</v>
      </c>
      <c r="J29" s="10">
        <f t="shared" si="3"/>
        <v>13157854842.445158</v>
      </c>
      <c r="K29" s="11">
        <f t="shared" si="4"/>
        <v>4.8883629999999956E-2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3221812.9671320566</v>
      </c>
      <c r="D30" s="24">
        <v>1.4200000000000001E-2</v>
      </c>
      <c r="E30" s="10">
        <f t="shared" si="2"/>
        <v>45109.193584376946</v>
      </c>
      <c r="F30" s="10"/>
      <c r="G30" s="26">
        <v>4.76</v>
      </c>
      <c r="H30" s="10"/>
      <c r="I30" s="10">
        <f t="shared" si="5"/>
        <v>3893.65491478376</v>
      </c>
      <c r="J30" s="10">
        <f t="shared" si="3"/>
        <v>12544627893.987782</v>
      </c>
      <c r="K30" s="11">
        <f t="shared" si="4"/>
        <v>6.247592000000024E-2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3176703.7735476797</v>
      </c>
      <c r="D31" s="24">
        <v>1.4200000000000001E-2</v>
      </c>
      <c r="E31" s="10">
        <f t="shared" si="2"/>
        <v>44477.611501061823</v>
      </c>
      <c r="F31" s="10"/>
      <c r="G31" s="26">
        <v>5.54</v>
      </c>
      <c r="H31" s="10"/>
      <c r="I31" s="10">
        <f t="shared" si="5"/>
        <v>3716.7381775331801</v>
      </c>
      <c r="J31" s="10">
        <f t="shared" si="3"/>
        <v>11806976193.858379</v>
      </c>
      <c r="K31" s="11">
        <f t="shared" si="4"/>
        <v>7.0386680000000146E-2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3132226.1620466178</v>
      </c>
      <c r="D32" s="24">
        <v>1.4200000000000001E-2</v>
      </c>
      <c r="E32" s="10">
        <f t="shared" si="2"/>
        <v>43854.872314200271</v>
      </c>
      <c r="F32" s="10"/>
      <c r="G32" s="26">
        <v>0.72</v>
      </c>
      <c r="H32" s="10"/>
      <c r="I32" s="10">
        <f t="shared" si="5"/>
        <v>3521.639357147224</v>
      </c>
      <c r="J32" s="10">
        <f t="shared" si="3"/>
        <v>11030570927.749567</v>
      </c>
      <c r="K32" s="11">
        <f t="shared" si="4"/>
        <v>2.1502240000000006E-2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3088371.2897324176</v>
      </c>
      <c r="D33" s="24">
        <v>1.4200000000000001E-2</v>
      </c>
      <c r="E33" s="10">
        <f t="shared" si="2"/>
        <v>43240.852212778758</v>
      </c>
      <c r="F33" s="10"/>
      <c r="G33" s="26">
        <v>8.02</v>
      </c>
      <c r="H33" s="10"/>
      <c r="I33" s="10">
        <f t="shared" si="5"/>
        <v>3496.4648105115407</v>
      </c>
      <c r="J33" s="10">
        <f t="shared" si="3"/>
        <v>10798381536.34354</v>
      </c>
      <c r="K33" s="11">
        <f t="shared" si="4"/>
        <v>9.5538840000000125E-2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3045130.4375196388</v>
      </c>
      <c r="D34" s="24">
        <v>1.44E-2</v>
      </c>
      <c r="E34" s="10">
        <f t="shared" si="2"/>
        <v>43227.403687187005</v>
      </c>
      <c r="F34" s="10"/>
      <c r="G34" s="26">
        <v>1.56</v>
      </c>
      <c r="H34" s="10"/>
      <c r="I34" s="10">
        <f t="shared" si="5"/>
        <v>3236.8679971408446</v>
      </c>
      <c r="J34" s="10">
        <f t="shared" ref="J34:J65" si="6">IF(I34="","",I34*C34)</f>
        <v>9856685260.3268166</v>
      </c>
      <c r="K34" s="11">
        <f t="shared" ref="K34:K65" si="7">IFERROR(J34/J35-1,"")</f>
        <v>4.3411839999999646E-2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3001903.0338324518</v>
      </c>
      <c r="D35" s="24">
        <v>1.4800000000000001E-2</v>
      </c>
      <c r="E35" s="10">
        <f t="shared" si="2"/>
        <v>43780.217679069843</v>
      </c>
      <c r="F35" s="10"/>
      <c r="G35" s="26">
        <v>-9.99</v>
      </c>
      <c r="H35" s="10"/>
      <c r="I35" s="10">
        <f t="shared" ref="I35:I66" si="8">IF(H35&lt;&gt;"",H35,I34/(1+IF(G34="",0,G34)/100))</f>
        <v>3146.8675842318148</v>
      </c>
      <c r="J35" s="10">
        <f t="shared" si="6"/>
        <v>9446591348.1744843</v>
      </c>
      <c r="K35" s="11">
        <f t="shared" si="7"/>
        <v>-5.9178919999999913E-2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2958122.816153382</v>
      </c>
      <c r="D36" s="24">
        <v>1.49E-2</v>
      </c>
      <c r="E36" s="10">
        <f t="shared" si="2"/>
        <v>43428.938772968017</v>
      </c>
      <c r="F36" s="10"/>
      <c r="G36" s="26">
        <v>-7.06</v>
      </c>
      <c r="H36" s="10"/>
      <c r="I36" s="10">
        <f t="shared" si="8"/>
        <v>3394.3130020837175</v>
      </c>
      <c r="J36" s="10">
        <f t="shared" si="6"/>
        <v>10040794736.629927</v>
      </c>
      <c r="K36" s="11">
        <f t="shared" si="7"/>
        <v>-8.0367400000000977E-3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2914693.8773804139</v>
      </c>
      <c r="D37" s="24">
        <v>1.41E-2</v>
      </c>
      <c r="E37" s="10">
        <f t="shared" si="2"/>
        <v>40525.770309696905</v>
      </c>
      <c r="F37" s="10"/>
      <c r="G37" s="26">
        <v>-4.55</v>
      </c>
      <c r="H37" s="10"/>
      <c r="I37" s="10">
        <f t="shared" si="8"/>
        <v>3472.7982423610779</v>
      </c>
      <c r="J37" s="10">
        <f t="shared" si="6"/>
        <v>10122143774.387297</v>
      </c>
      <c r="K37" s="11">
        <f t="shared" si="7"/>
        <v>2.1705749999999968E-2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2874168.107070717</v>
      </c>
      <c r="D38" s="24">
        <v>1.2E-2</v>
      </c>
      <c r="E38" s="10">
        <f t="shared" si="2"/>
        <v>34081.044747874141</v>
      </c>
      <c r="F38" s="10"/>
      <c r="G38" s="26">
        <v>1.24</v>
      </c>
      <c r="H38" s="10"/>
      <c r="I38" s="10">
        <f t="shared" si="8"/>
        <v>3446.946146264097</v>
      </c>
      <c r="J38" s="10">
        <f t="shared" si="6"/>
        <v>9907102680.3825817</v>
      </c>
      <c r="K38" s="11">
        <f t="shared" si="7"/>
        <v>6.199280000000007E-2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2840087.0623228429</v>
      </c>
      <c r="D39" s="24">
        <v>1.0500000000000001E-2</v>
      </c>
      <c r="E39" s="10">
        <f t="shared" si="2"/>
        <v>29511.048148827162</v>
      </c>
      <c r="F39" s="10"/>
      <c r="G39" s="26">
        <v>6.27</v>
      </c>
      <c r="H39" s="10"/>
      <c r="I39" s="10">
        <f t="shared" si="8"/>
        <v>3284.682815193536</v>
      </c>
      <c r="J39" s="10">
        <f t="shared" si="6"/>
        <v>9328785167.2653351</v>
      </c>
      <c r="K39" s="11">
        <f t="shared" si="7"/>
        <v>7.3858349999999851E-2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2810576.0141740157</v>
      </c>
      <c r="D40" s="24">
        <v>1.06E-2</v>
      </c>
      <c r="E40" s="10">
        <f t="shared" si="2"/>
        <v>29479.621759592555</v>
      </c>
      <c r="F40" s="10"/>
      <c r="G40" s="26">
        <v>8.9</v>
      </c>
      <c r="H40" s="10"/>
      <c r="I40" s="10">
        <f t="shared" si="8"/>
        <v>3090.8843654780617</v>
      </c>
      <c r="J40" s="10">
        <f t="shared" si="6"/>
        <v>8687165460.1981125</v>
      </c>
      <c r="K40" s="11">
        <f t="shared" si="7"/>
        <v>0.10054339999999984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2781096.3924144232</v>
      </c>
      <c r="D41" s="24">
        <v>1.09E-2</v>
      </c>
      <c r="E41" s="10">
        <f t="shared" si="2"/>
        <v>29987.091381261125</v>
      </c>
      <c r="F41" s="10"/>
      <c r="G41" s="26">
        <v>5.52</v>
      </c>
      <c r="H41" s="10"/>
      <c r="I41" s="10">
        <f t="shared" si="8"/>
        <v>2838.2776542498273</v>
      </c>
      <c r="J41" s="10">
        <f t="shared" si="6"/>
        <v>7893523744.9046659</v>
      </c>
      <c r="K41" s="11">
        <f t="shared" si="7"/>
        <v>6.6701679999999763E-2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2751109.301033162</v>
      </c>
      <c r="D42" s="24">
        <v>1.18E-2</v>
      </c>
      <c r="E42" s="10">
        <f t="shared" si="2"/>
        <v>32084.492737884168</v>
      </c>
      <c r="F42" s="10"/>
      <c r="G42" s="26">
        <v>-6.1</v>
      </c>
      <c r="H42" s="10"/>
      <c r="I42" s="10">
        <f t="shared" si="8"/>
        <v>2689.8006579319822</v>
      </c>
      <c r="J42" s="10">
        <f t="shared" si="6"/>
        <v>7399935607.9617949</v>
      </c>
      <c r="K42" s="11">
        <f t="shared" si="7"/>
        <v>-4.9919799999999959E-2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2719024.8082952779</v>
      </c>
      <c r="D43" s="24">
        <v>1.0800000000000001E-2</v>
      </c>
      <c r="E43" s="10">
        <f t="shared" si="2"/>
        <v>29051.709467341658</v>
      </c>
      <c r="F43" s="10"/>
      <c r="G43" s="26">
        <v>0.54</v>
      </c>
      <c r="H43" s="10"/>
      <c r="I43" s="10">
        <f t="shared" si="8"/>
        <v>2864.5374418870947</v>
      </c>
      <c r="J43" s="10">
        <f t="shared" si="6"/>
        <v>7788748368.781703</v>
      </c>
      <c r="K43" s="11">
        <f t="shared" si="7"/>
        <v>1.6258319999999937E-2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2689973.0988279362</v>
      </c>
      <c r="D44" s="24">
        <v>8.9999999999999993E-3</v>
      </c>
      <c r="E44" s="10">
        <f t="shared" si="2"/>
        <v>23993.813567345031</v>
      </c>
      <c r="F44" s="10"/>
      <c r="G44" s="26">
        <v>2.71</v>
      </c>
      <c r="H44" s="10"/>
      <c r="I44" s="10">
        <f t="shared" si="8"/>
        <v>2849.152020973836</v>
      </c>
      <c r="J44" s="10">
        <f t="shared" si="6"/>
        <v>7664142290.8908663</v>
      </c>
      <c r="K44" s="11">
        <f t="shared" si="7"/>
        <v>3.6343899999999874E-2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2665979.2852605912</v>
      </c>
      <c r="D45" s="24">
        <v>8.3999999999999995E-3</v>
      </c>
      <c r="E45" s="10">
        <f t="shared" si="2"/>
        <v>22207.681471825577</v>
      </c>
      <c r="F45" s="10"/>
      <c r="G45" s="26">
        <v>3.18</v>
      </c>
      <c r="H45" s="10"/>
      <c r="I45" s="10">
        <f t="shared" si="8"/>
        <v>2773.9772378286789</v>
      </c>
      <c r="J45" s="10">
        <f t="shared" si="6"/>
        <v>7395365853.8356504</v>
      </c>
      <c r="K45" s="11">
        <f t="shared" si="7"/>
        <v>4.046712000000019E-2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2643771.6037887656</v>
      </c>
      <c r="D46" s="24">
        <v>1.14E-2</v>
      </c>
      <c r="E46" s="10">
        <f t="shared" si="2"/>
        <v>29799.28444056958</v>
      </c>
      <c r="F46" s="10"/>
      <c r="G46" s="26">
        <v>1.78</v>
      </c>
      <c r="H46" s="10"/>
      <c r="I46" s="10">
        <f t="shared" si="8"/>
        <v>2688.4834636835421</v>
      </c>
      <c r="J46" s="10">
        <f t="shared" si="6"/>
        <v>7107736238.5422134</v>
      </c>
      <c r="K46" s="11">
        <f t="shared" si="7"/>
        <v>2.940292000000011E-2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2613972.319348196</v>
      </c>
      <c r="D47" s="24">
        <v>2.1399999999999999E-2</v>
      </c>
      <c r="E47" s="10">
        <f t="shared" si="2"/>
        <v>54766.993963238318</v>
      </c>
      <c r="F47" s="10"/>
      <c r="G47" s="26">
        <v>2.5</v>
      </c>
      <c r="H47" s="10"/>
      <c r="I47" s="10">
        <f t="shared" si="8"/>
        <v>2641.4653799209491</v>
      </c>
      <c r="J47" s="10">
        <f t="shared" si="6"/>
        <v>6904717385.6299267</v>
      </c>
      <c r="K47" s="11">
        <f t="shared" si="7"/>
        <v>4.6934999999999949E-2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2559205.3253849577</v>
      </c>
      <c r="D48" s="24">
        <v>3.09E-2</v>
      </c>
      <c r="E48" s="10">
        <f t="shared" si="2"/>
        <v>76709.132364336867</v>
      </c>
      <c r="F48" s="10"/>
      <c r="G48" s="26">
        <v>0.49</v>
      </c>
      <c r="H48" s="10"/>
      <c r="I48" s="10">
        <f t="shared" si="8"/>
        <v>2577.0393950448288</v>
      </c>
      <c r="J48" s="10">
        <f t="shared" si="6"/>
        <v>6595172943.5255556</v>
      </c>
      <c r="K48" s="11">
        <f t="shared" si="7"/>
        <v>3.5951409999999795E-2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2482496.1930206208</v>
      </c>
      <c r="D49" s="24">
        <v>3.3599999999999998E-2</v>
      </c>
      <c r="E49" s="10">
        <f t="shared" si="2"/>
        <v>80700.340639989357</v>
      </c>
      <c r="F49" s="10"/>
      <c r="G49" s="26">
        <v>3.47</v>
      </c>
      <c r="H49" s="10"/>
      <c r="I49" s="10">
        <f t="shared" si="8"/>
        <v>2564.4734750172447</v>
      </c>
      <c r="J49" s="10">
        <f t="shared" si="6"/>
        <v>6366295638.8326721</v>
      </c>
      <c r="K49" s="11">
        <f t="shared" si="7"/>
        <v>6.946592000000007E-2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2401795.8523806315</v>
      </c>
      <c r="D50" s="24">
        <v>3.3500000000000002E-2</v>
      </c>
      <c r="E50" s="10">
        <f t="shared" si="2"/>
        <v>77852.115195695776</v>
      </c>
      <c r="F50" s="10"/>
      <c r="G50" s="26">
        <v>0.65</v>
      </c>
      <c r="H50" s="10"/>
      <c r="I50" s="10">
        <f t="shared" si="8"/>
        <v>2478.4705470351259</v>
      </c>
      <c r="J50" s="10">
        <f t="shared" si="6"/>
        <v>5952780280.1165199</v>
      </c>
      <c r="K50" s="11">
        <f t="shared" si="7"/>
        <v>4.0217750000000052E-2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2323943.7371849357</v>
      </c>
      <c r="D51" s="24">
        <v>3.3300000000000003E-2</v>
      </c>
      <c r="E51" s="10">
        <f t="shared" si="2"/>
        <v>74893.376994346734</v>
      </c>
      <c r="F51" s="10"/>
      <c r="G51" s="26">
        <v>1.97</v>
      </c>
      <c r="H51" s="10"/>
      <c r="I51" s="10">
        <f t="shared" si="8"/>
        <v>2462.464527605689</v>
      </c>
      <c r="J51" s="10">
        <f t="shared" si="6"/>
        <v>5722629016.9693022</v>
      </c>
      <c r="K51" s="11">
        <f t="shared" si="7"/>
        <v>5.3656010000000309E-2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2249050.360190589</v>
      </c>
      <c r="D52" s="24">
        <v>3.32E-2</v>
      </c>
      <c r="E52" s="10">
        <f t="shared" si="2"/>
        <v>72269.13662246149</v>
      </c>
      <c r="F52" s="10"/>
      <c r="G52" s="26">
        <v>3.19</v>
      </c>
      <c r="H52" s="10"/>
      <c r="I52" s="10">
        <f t="shared" si="8"/>
        <v>2414.8911715266145</v>
      </c>
      <c r="J52" s="10">
        <f t="shared" si="6"/>
        <v>5431211859.1430054</v>
      </c>
      <c r="K52" s="11">
        <f t="shared" si="7"/>
        <v>6.6159079999999815E-2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2176781.2235681275</v>
      </c>
      <c r="D53" s="24">
        <v>3.3099999999999997E-2</v>
      </c>
      <c r="E53" s="10">
        <f t="shared" si="2"/>
        <v>69742.966315075755</v>
      </c>
      <c r="F53" s="10"/>
      <c r="G53" s="26">
        <v>-1.34</v>
      </c>
      <c r="H53" s="10"/>
      <c r="I53" s="10">
        <f t="shared" si="8"/>
        <v>2340.2375923312475</v>
      </c>
      <c r="J53" s="10">
        <f t="shared" si="6"/>
        <v>5094185249.674942</v>
      </c>
      <c r="K53" s="11">
        <f t="shared" si="7"/>
        <v>1.9256460000000031E-2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2107038.2572530517</v>
      </c>
      <c r="D54" s="24">
        <v>3.3300000000000003E-2</v>
      </c>
      <c r="E54" s="10">
        <f t="shared" si="2"/>
        <v>67903.197490106337</v>
      </c>
      <c r="F54" s="10"/>
      <c r="G54" s="26">
        <v>1.9</v>
      </c>
      <c r="H54" s="10"/>
      <c r="I54" s="10">
        <f t="shared" si="8"/>
        <v>2372.0226964638632</v>
      </c>
      <c r="J54" s="10">
        <f t="shared" si="6"/>
        <v>4997942568.521903</v>
      </c>
      <c r="K54" s="11">
        <f t="shared" si="7"/>
        <v>5.2932700000000166E-2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2039135.0597629454</v>
      </c>
      <c r="D55" s="24">
        <v>3.3599999999999998E-2</v>
      </c>
      <c r="E55" s="10">
        <f t="shared" si="2"/>
        <v>66287.672221396118</v>
      </c>
      <c r="F55" s="10"/>
      <c r="G55" s="26">
        <v>0.44</v>
      </c>
      <c r="H55" s="10"/>
      <c r="I55" s="10">
        <f t="shared" si="8"/>
        <v>2327.7945990813182</v>
      </c>
      <c r="J55" s="10">
        <f t="shared" si="6"/>
        <v>4746687578.9135456</v>
      </c>
      <c r="K55" s="11">
        <f t="shared" si="7"/>
        <v>3.8147839999999933E-2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1972847.3875415493</v>
      </c>
      <c r="D56" s="24">
        <v>3.1800000000000002E-2</v>
      </c>
      <c r="E56" s="10">
        <f t="shared" si="2"/>
        <v>60803.011168658035</v>
      </c>
      <c r="F56" s="10"/>
      <c r="G56" s="26">
        <v>-3.12</v>
      </c>
      <c r="H56" s="10"/>
      <c r="I56" s="10">
        <f t="shared" si="8"/>
        <v>2317.5971715266014</v>
      </c>
      <c r="J56" s="10">
        <f t="shared" si="6"/>
        <v>4572265525.2199392</v>
      </c>
      <c r="K56" s="11">
        <f t="shared" si="7"/>
        <v>-3.9215999999997475E-4</v>
      </c>
      <c r="L56" t="s">
        <v>127</v>
      </c>
      <c r="M56" t="s">
        <v>128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1912044.3763728912</v>
      </c>
      <c r="D57" s="24">
        <v>2.41E-2</v>
      </c>
      <c r="E57" s="10">
        <f t="shared" si="2"/>
        <v>44995.869027035078</v>
      </c>
      <c r="F57" s="10"/>
      <c r="G57" s="26">
        <v>8.68</v>
      </c>
      <c r="H57" s="10"/>
      <c r="I57" s="10">
        <f t="shared" si="8"/>
        <v>2392.2349004196958</v>
      </c>
      <c r="J57" s="10">
        <f t="shared" si="6"/>
        <v>4574059288.3104429</v>
      </c>
      <c r="K57" s="11">
        <f t="shared" si="7"/>
        <v>0.11299188000000004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1867048.5073458562</v>
      </c>
      <c r="D58" s="24">
        <v>1.78E-2</v>
      </c>
      <c r="E58" s="10">
        <f t="shared" si="2"/>
        <v>32652.253321631346</v>
      </c>
      <c r="F58" s="10"/>
      <c r="G58" s="26">
        <v>3.69</v>
      </c>
      <c r="H58" s="10"/>
      <c r="I58" s="10">
        <f t="shared" si="8"/>
        <v>2201.1730773092527</v>
      </c>
      <c r="J58" s="10">
        <f t="shared" si="6"/>
        <v>4109696908.400125</v>
      </c>
      <c r="K58" s="11">
        <f t="shared" si="7"/>
        <v>5.5356820000000084E-2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1834396.2540242248</v>
      </c>
      <c r="D59" s="24">
        <v>1.61E-2</v>
      </c>
      <c r="E59" s="10">
        <f t="shared" si="2"/>
        <v>29065.819987983443</v>
      </c>
      <c r="F59" s="10"/>
      <c r="G59" s="26">
        <v>12.36</v>
      </c>
      <c r="H59" s="10"/>
      <c r="I59" s="10">
        <f t="shared" si="8"/>
        <v>2122.8402712983439</v>
      </c>
      <c r="J59" s="10">
        <f t="shared" si="6"/>
        <v>3894130241.561451</v>
      </c>
      <c r="K59" s="11">
        <f t="shared" si="7"/>
        <v>0.14168995999999989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1805330.4340362414</v>
      </c>
      <c r="D60" s="24">
        <v>1.4E-2</v>
      </c>
      <c r="E60" s="10">
        <f t="shared" si="2"/>
        <v>24925.666742117843</v>
      </c>
      <c r="F60" s="10"/>
      <c r="G60" s="26">
        <v>8.52</v>
      </c>
      <c r="H60" s="10"/>
      <c r="I60" s="10">
        <f t="shared" si="8"/>
        <v>1889.3202841743894</v>
      </c>
      <c r="J60" s="10">
        <f t="shared" si="6"/>
        <v>3410847408.6620255</v>
      </c>
      <c r="K60" s="11">
        <f t="shared" si="7"/>
        <v>0.10039280000000006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1780404.7672941235</v>
      </c>
      <c r="D61" s="24">
        <v>1.23E-2</v>
      </c>
      <c r="E61" s="10">
        <f t="shared" si="2"/>
        <v>21632.894041013205</v>
      </c>
      <c r="F61" s="10"/>
      <c r="G61" s="26">
        <v>-2.84</v>
      </c>
      <c r="H61" s="10"/>
      <c r="I61" s="10">
        <f t="shared" si="8"/>
        <v>1740.9880982071411</v>
      </c>
      <c r="J61" s="10">
        <f t="shared" si="6"/>
        <v>3099663509.8503237</v>
      </c>
      <c r="K61" s="11">
        <f t="shared" si="7"/>
        <v>-1.644931999999999E-2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1758771.8732531103</v>
      </c>
      <c r="D62" s="24">
        <v>1.14E-2</v>
      </c>
      <c r="E62" s="10">
        <f t="shared" si="2"/>
        <v>19824.005690217018</v>
      </c>
      <c r="F62" s="10"/>
      <c r="G62" s="26">
        <v>11.56</v>
      </c>
      <c r="H62" s="10"/>
      <c r="I62" s="10">
        <f t="shared" si="8"/>
        <v>1791.8774168455548</v>
      </c>
      <c r="J62" s="10">
        <f t="shared" si="6"/>
        <v>3151503601.0654006</v>
      </c>
      <c r="K62" s="11">
        <f t="shared" si="7"/>
        <v>0.12831784000000002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1738947.8675628933</v>
      </c>
      <c r="D63" s="24">
        <v>1.0699999999999999E-2</v>
      </c>
      <c r="E63" s="10">
        <f t="shared" si="2"/>
        <v>18409.75777473324</v>
      </c>
      <c r="F63" s="10"/>
      <c r="G63" s="26">
        <v>0.82</v>
      </c>
      <c r="H63" s="10"/>
      <c r="I63" s="10">
        <f t="shared" si="8"/>
        <v>1606.200624637464</v>
      </c>
      <c r="J63" s="10">
        <f t="shared" si="6"/>
        <v>2793099151.0915051</v>
      </c>
      <c r="K63" s="11">
        <f t="shared" si="7"/>
        <v>1.8987739999999809E-2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1720538.1097881601</v>
      </c>
      <c r="D64" s="24">
        <v>1.0500000000000001E-2</v>
      </c>
      <c r="E64" s="10">
        <f t="shared" si="2"/>
        <v>17877.931868159911</v>
      </c>
      <c r="F64" s="10"/>
      <c r="G64" s="26">
        <v>15.22</v>
      </c>
      <c r="H64" s="10"/>
      <c r="I64" s="10">
        <f t="shared" si="8"/>
        <v>1593.1369020407301</v>
      </c>
      <c r="J64" s="10">
        <f t="shared" si="6"/>
        <v>2741052754.0709229</v>
      </c>
      <c r="K64" s="11">
        <f t="shared" si="7"/>
        <v>0.16429809999999989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1702660.1779200002</v>
      </c>
      <c r="D65" s="24">
        <v>1.12E-2</v>
      </c>
      <c r="E65" s="10">
        <f t="shared" si="2"/>
        <v>18858.577920000069</v>
      </c>
      <c r="F65" s="10"/>
      <c r="G65" s="26">
        <v>12.11</v>
      </c>
      <c r="H65" s="10"/>
      <c r="I65" s="10">
        <f t="shared" si="8"/>
        <v>1382.6912880061882</v>
      </c>
      <c r="J65" s="10">
        <f t="shared" si="6"/>
        <v>2354253394.4450507</v>
      </c>
      <c r="K65" s="11">
        <f t="shared" si="7"/>
        <v>0.13365632000000005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1683801.6</v>
      </c>
      <c r="D66" s="24">
        <v>1.1900000000000001E-2</v>
      </c>
      <c r="E66" s="10">
        <f t="shared" si="2"/>
        <v>19801.600000000093</v>
      </c>
      <c r="F66" s="10"/>
      <c r="G66" s="26">
        <v>2.64</v>
      </c>
      <c r="H66" s="10"/>
      <c r="I66" s="10">
        <f t="shared" si="8"/>
        <v>1233.3344822104971</v>
      </c>
      <c r="J66" s="10">
        <f t="shared" ref="J66:J67" si="9">IF(I66="","",I66*C66)</f>
        <v>2076690574.4812067</v>
      </c>
      <c r="K66" s="11">
        <f t="shared" ref="K66" si="10">IFERROR(J66/J67-1,"")</f>
        <v>3.8614160000000064E-2</v>
      </c>
    </row>
    <row r="67" spans="1:11" ht="22.5" customHeight="1">
      <c r="A67" s="3">
        <f t="shared" si="0"/>
        <v>1950</v>
      </c>
      <c r="B67" s="3">
        <v>1700</v>
      </c>
      <c r="C67" s="10">
        <v>1664000</v>
      </c>
      <c r="D67" s="24">
        <v>1.1599999999999999E-2</v>
      </c>
      <c r="E67" s="3" t="s">
        <v>72</v>
      </c>
      <c r="F67" s="10"/>
      <c r="G67" s="26">
        <v>4.1100000000000003</v>
      </c>
      <c r="H67" s="10"/>
      <c r="I67" s="10">
        <f t="shared" ref="I67" si="11">IF(H67&lt;&gt;"",H67,I66/(1+IF(G66="",0,G66)/100))</f>
        <v>1201.6119273290112</v>
      </c>
      <c r="J67" s="10">
        <f t="shared" si="9"/>
        <v>1999482247.0754747</v>
      </c>
      <c r="K67" s="11"/>
    </row>
  </sheetData>
  <dataValidations count="1">
    <dataValidation type="custom" allowBlank="1" showDropDown="1" sqref="D2:D67" xr:uid="{00000000-0002-0000-2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M67"/>
  <sheetViews>
    <sheetView workbookViewId="0">
      <selection activeCell="M41" sqref="M4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7181191.2628598064</v>
      </c>
      <c r="D2" s="11">
        <v>2.5000000000000001E-2</v>
      </c>
      <c r="E2" s="10">
        <f t="shared" ref="E2:E66" si="2">SUM(C2-C3)</f>
        <v>175151.00641121436</v>
      </c>
      <c r="F2" s="14">
        <v>7181169</v>
      </c>
      <c r="G2" s="26">
        <v>4.3499999999999996</v>
      </c>
      <c r="H2" s="10"/>
      <c r="I2" s="10">
        <f>IF(H2&lt;&gt;"",H2,28256)</f>
        <v>3532</v>
      </c>
      <c r="J2" s="10">
        <f t="shared" ref="J2:J33" si="3">IF(I2="","",I2*C2)</f>
        <v>25363967540.420837</v>
      </c>
      <c r="K2" s="11">
        <f t="shared" ref="K2:K33" si="4">IFERROR(J2/J3-1,"")</f>
        <v>6.9587500000000135E-2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7006040.2564485921</v>
      </c>
      <c r="D3" s="11">
        <v>2.5000000000000001E-2</v>
      </c>
      <c r="E3" s="10">
        <f t="shared" si="2"/>
        <v>170879.03064508736</v>
      </c>
      <c r="F3" s="3"/>
      <c r="G3" s="26">
        <v>6.4</v>
      </c>
      <c r="H3" s="10"/>
      <c r="I3" s="10">
        <f t="shared" ref="I3:I34" si="5">IF(H3&lt;&gt;"",H3,I2/(1+IF(G2="",0,G2)/100))</f>
        <v>3384.762817441303</v>
      </c>
      <c r="J3" s="10">
        <f t="shared" si="3"/>
        <v>23713784557.524124</v>
      </c>
      <c r="K3" s="11">
        <f t="shared" si="4"/>
        <v>9.0599999999999792E-2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6835161.2258035047</v>
      </c>
      <c r="D4" s="11">
        <v>2.5100000000000001E-2</v>
      </c>
      <c r="E4" s="10">
        <f t="shared" si="2"/>
        <v>167361.76643026713</v>
      </c>
      <c r="F4" s="3"/>
      <c r="G4" s="26">
        <v>5.9</v>
      </c>
      <c r="H4" s="10"/>
      <c r="I4" s="10">
        <f t="shared" si="5"/>
        <v>3181.1680615049841</v>
      </c>
      <c r="J4" s="10">
        <f t="shared" si="3"/>
        <v>21743796586.763367</v>
      </c>
      <c r="K4" s="11">
        <f t="shared" si="4"/>
        <v>8.5580899999999627E-2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6667799.4593732376</v>
      </c>
      <c r="D5" s="11">
        <v>2.5399999999999999E-2</v>
      </c>
      <c r="E5" s="10">
        <f t="shared" si="2"/>
        <v>165166.86782531813</v>
      </c>
      <c r="F5" s="3"/>
      <c r="G5" s="26">
        <v>5.6</v>
      </c>
      <c r="H5" s="10"/>
      <c r="I5" s="10">
        <f t="shared" si="5"/>
        <v>3003.935846558059</v>
      </c>
      <c r="J5" s="10">
        <f t="shared" si="3"/>
        <v>20029641813.671715</v>
      </c>
      <c r="K5" s="11">
        <f t="shared" si="4"/>
        <v>8.2822400000000407E-2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6502632.5915479194</v>
      </c>
      <c r="D6" s="11">
        <v>2.58E-2</v>
      </c>
      <c r="E6" s="10">
        <f t="shared" si="2"/>
        <v>163548.37284259778</v>
      </c>
      <c r="F6" s="3"/>
      <c r="G6" s="26">
        <v>5.2</v>
      </c>
      <c r="H6" s="10"/>
      <c r="I6" s="10">
        <f t="shared" si="5"/>
        <v>2844.636218331495</v>
      </c>
      <c r="J6" s="10">
        <f t="shared" si="3"/>
        <v>18497624184.420002</v>
      </c>
      <c r="K6" s="11">
        <f t="shared" si="4"/>
        <v>7.9141600000000034E-2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6339084.2187053217</v>
      </c>
      <c r="D7" s="11">
        <v>2.6200000000000001E-2</v>
      </c>
      <c r="E7" s="10">
        <f t="shared" si="2"/>
        <v>161843.70154948253</v>
      </c>
      <c r="F7" s="3"/>
      <c r="G7" s="26">
        <v>4.5</v>
      </c>
      <c r="H7" s="10"/>
      <c r="I7" s="10">
        <f t="shared" si="5"/>
        <v>2704.0268235090257</v>
      </c>
      <c r="J7" s="10">
        <f t="shared" si="3"/>
        <v>17141053763.861944</v>
      </c>
      <c r="K7" s="11">
        <f t="shared" si="4"/>
        <v>7.2378999999999749E-2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6177240.5171558391</v>
      </c>
      <c r="D8" s="11">
        <v>2.6700000000000002E-2</v>
      </c>
      <c r="E8" s="10">
        <f t="shared" si="2"/>
        <v>160643.1497107828</v>
      </c>
      <c r="F8" s="3"/>
      <c r="G8" s="26">
        <v>4</v>
      </c>
      <c r="H8" s="10"/>
      <c r="I8" s="10">
        <f t="shared" si="5"/>
        <v>2587.5854770421302</v>
      </c>
      <c r="J8" s="10">
        <f t="shared" si="3"/>
        <v>15984137850.388666</v>
      </c>
      <c r="K8" s="11">
        <f t="shared" si="4"/>
        <v>6.7767999999999828E-2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6016597.3674450563</v>
      </c>
      <c r="D9" s="11">
        <v>2.7199999999999998E-2</v>
      </c>
      <c r="E9" s="10">
        <f t="shared" si="2"/>
        <v>159317.99882642645</v>
      </c>
      <c r="F9" s="3"/>
      <c r="G9" s="26">
        <v>3.7</v>
      </c>
      <c r="H9" s="10"/>
      <c r="I9" s="10">
        <f t="shared" si="5"/>
        <v>2488.062958694356</v>
      </c>
      <c r="J9" s="10">
        <f t="shared" si="3"/>
        <v>14969673047.31802</v>
      </c>
      <c r="K9" s="11">
        <f t="shared" si="4"/>
        <v>6.5206399999999887E-2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5857279.3686186299</v>
      </c>
      <c r="D10" s="11">
        <v>2.7799999999999998E-2</v>
      </c>
      <c r="E10" s="10">
        <f t="shared" si="2"/>
        <v>158428.06620704196</v>
      </c>
      <c r="F10" s="3"/>
      <c r="G10" s="26">
        <v>4.4000000000000004</v>
      </c>
      <c r="H10" s="10"/>
      <c r="I10" s="10">
        <f t="shared" si="5"/>
        <v>2399.2892562144225</v>
      </c>
      <c r="J10" s="10">
        <f t="shared" si="3"/>
        <v>14053307459.773075</v>
      </c>
      <c r="K10" s="11">
        <f t="shared" si="4"/>
        <v>7.3023199999999955E-2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5698851.3024115879</v>
      </c>
      <c r="D11" s="11">
        <v>2.8500000000000001E-2</v>
      </c>
      <c r="E11" s="10">
        <f t="shared" si="2"/>
        <v>157916.63793751132</v>
      </c>
      <c r="F11" s="3"/>
      <c r="G11" s="26">
        <v>4.7</v>
      </c>
      <c r="H11" s="10"/>
      <c r="I11" s="10">
        <f t="shared" si="5"/>
        <v>2298.1697856459987</v>
      </c>
      <c r="J11" s="10">
        <f t="shared" si="3"/>
        <v>13096927876.09166</v>
      </c>
      <c r="K11" s="11">
        <f t="shared" si="4"/>
        <v>7.683949999999995E-2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5540934.6644740766</v>
      </c>
      <c r="D12" s="11">
        <v>2.9100000000000001E-2</v>
      </c>
      <c r="E12" s="10">
        <f t="shared" si="2"/>
        <v>156681.75953376293</v>
      </c>
      <c r="F12" s="3"/>
      <c r="G12" s="26">
        <v>4.2</v>
      </c>
      <c r="H12" s="10"/>
      <c r="I12" s="10">
        <f t="shared" si="5"/>
        <v>2195.004570817573</v>
      </c>
      <c r="J12" s="10">
        <f t="shared" si="3"/>
        <v>12162376915.122133</v>
      </c>
      <c r="K12" s="11">
        <f t="shared" si="4"/>
        <v>7.2322200000000114E-2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5384252.9049403137</v>
      </c>
      <c r="D13" s="11">
        <v>2.9700000000000001E-2</v>
      </c>
      <c r="E13" s="10">
        <f t="shared" si="2"/>
        <v>155299.9041242376</v>
      </c>
      <c r="F13" s="3"/>
      <c r="G13" s="26">
        <v>4.5999999999999996</v>
      </c>
      <c r="H13" s="10"/>
      <c r="I13" s="10">
        <f t="shared" si="5"/>
        <v>2106.5302982894173</v>
      </c>
      <c r="J13" s="10">
        <f t="shared" si="3"/>
        <v>11342091877.90958</v>
      </c>
      <c r="K13" s="11">
        <f t="shared" si="4"/>
        <v>7.7066200000000196E-2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5228953.0008160761</v>
      </c>
      <c r="D14" s="11">
        <v>3.0300000000000001E-2</v>
      </c>
      <c r="E14" s="10">
        <f t="shared" si="2"/>
        <v>153777.80833225977</v>
      </c>
      <c r="F14" s="3"/>
      <c r="G14" s="26">
        <v>4.1100000000000003</v>
      </c>
      <c r="H14" s="10"/>
      <c r="I14" s="10">
        <f t="shared" si="5"/>
        <v>2013.8912985558482</v>
      </c>
      <c r="J14" s="10">
        <f t="shared" si="3"/>
        <v>10530542948.900986</v>
      </c>
      <c r="K14" s="11">
        <f t="shared" si="4"/>
        <v>7.2645330000000063E-2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5075175.1924838163</v>
      </c>
      <c r="D15" s="11">
        <v>3.0800000000000001E-2</v>
      </c>
      <c r="E15" s="10">
        <f t="shared" si="2"/>
        <v>151644.73799815774</v>
      </c>
      <c r="F15" s="3"/>
      <c r="G15" s="26">
        <v>3.3</v>
      </c>
      <c r="H15" s="10"/>
      <c r="I15" s="10">
        <f t="shared" si="5"/>
        <v>1934.3879536604056</v>
      </c>
      <c r="J15" s="10">
        <f t="shared" si="3"/>
        <v>9817357755.0568237</v>
      </c>
      <c r="K15" s="11">
        <f t="shared" si="4"/>
        <v>6.4816399999999774E-2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4923530.4544856586</v>
      </c>
      <c r="D16" s="11">
        <v>3.1099999999999999E-2</v>
      </c>
      <c r="E16" s="10">
        <f t="shared" si="2"/>
        <v>148503.34316216037</v>
      </c>
      <c r="F16" s="3"/>
      <c r="G16" s="26">
        <v>4.8499999999999996</v>
      </c>
      <c r="H16" s="10"/>
      <c r="I16" s="10">
        <f t="shared" si="5"/>
        <v>1872.5924043179145</v>
      </c>
      <c r="J16" s="10">
        <f t="shared" si="3"/>
        <v>9219765731.4977741</v>
      </c>
      <c r="K16" s="11">
        <f t="shared" si="4"/>
        <v>8.1108349999999829E-2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4775027.1113234982</v>
      </c>
      <c r="D17" s="11">
        <v>3.1199999999999999E-2</v>
      </c>
      <c r="E17" s="10">
        <f t="shared" si="2"/>
        <v>144473.27955129277</v>
      </c>
      <c r="F17" s="3"/>
      <c r="G17" s="26">
        <v>3.88</v>
      </c>
      <c r="H17" s="10"/>
      <c r="I17" s="10">
        <f t="shared" si="5"/>
        <v>1785.9727270557125</v>
      </c>
      <c r="J17" s="10">
        <f t="shared" si="3"/>
        <v>8528068191.7753897</v>
      </c>
      <c r="K17" s="11">
        <f t="shared" si="4"/>
        <v>7.1210559999999923E-2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4630553.8317722054</v>
      </c>
      <c r="D18" s="11">
        <v>3.1199999999999999E-2</v>
      </c>
      <c r="E18" s="10">
        <f t="shared" si="2"/>
        <v>140102.09421188198</v>
      </c>
      <c r="F18" s="3"/>
      <c r="G18" s="26">
        <v>5.28</v>
      </c>
      <c r="H18" s="10"/>
      <c r="I18" s="10">
        <f t="shared" si="5"/>
        <v>1719.2652359026883</v>
      </c>
      <c r="J18" s="10">
        <f t="shared" si="3"/>
        <v>7961150225.9419384</v>
      </c>
      <c r="K18" s="11">
        <f t="shared" si="4"/>
        <v>8.5647360000000061E-2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4490451.7375603234</v>
      </c>
      <c r="D19" s="11">
        <v>3.1199999999999999E-2</v>
      </c>
      <c r="E19" s="10">
        <f t="shared" si="2"/>
        <v>135863.16351035889</v>
      </c>
      <c r="F19" s="3"/>
      <c r="G19" s="26">
        <v>3.33</v>
      </c>
      <c r="H19" s="10"/>
      <c r="I19" s="10">
        <f t="shared" si="5"/>
        <v>1633.0406875975384</v>
      </c>
      <c r="J19" s="10">
        <f t="shared" si="3"/>
        <v>7333090393.1290712</v>
      </c>
      <c r="K19" s="11">
        <f t="shared" si="4"/>
        <v>6.5538960000000035E-2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4354588.5740499645</v>
      </c>
      <c r="D20" s="11">
        <v>3.1300000000000001E-2</v>
      </c>
      <c r="E20" s="10">
        <f t="shared" si="2"/>
        <v>132161.95323161501</v>
      </c>
      <c r="F20" s="3"/>
      <c r="G20" s="26">
        <v>5.09</v>
      </c>
      <c r="H20" s="10"/>
      <c r="I20" s="10">
        <f t="shared" si="5"/>
        <v>1580.4129368020306</v>
      </c>
      <c r="J20" s="10">
        <f t="shared" si="3"/>
        <v>6882048116.878871</v>
      </c>
      <c r="K20" s="11">
        <f t="shared" si="4"/>
        <v>8.3793170000000083E-2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4222426.6208183495</v>
      </c>
      <c r="D21" s="11">
        <v>3.1300000000000001E-2</v>
      </c>
      <c r="E21" s="10">
        <f t="shared" si="2"/>
        <v>128150.83218424767</v>
      </c>
      <c r="F21" s="3"/>
      <c r="G21" s="26">
        <v>5.63</v>
      </c>
      <c r="H21" s="10"/>
      <c r="I21" s="10">
        <f t="shared" si="5"/>
        <v>1503.8661497783144</v>
      </c>
      <c r="J21" s="10">
        <f t="shared" si="3"/>
        <v>6349964464.97155</v>
      </c>
      <c r="K21" s="11">
        <f t="shared" si="4"/>
        <v>8.9362190000000119E-2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4094275.7886341019</v>
      </c>
      <c r="D22" s="11">
        <v>3.15E-2</v>
      </c>
      <c r="E22" s="10">
        <f t="shared" si="2"/>
        <v>125031.20440327143</v>
      </c>
      <c r="F22" s="3"/>
      <c r="G22" s="26">
        <v>4.79</v>
      </c>
      <c r="H22" s="10"/>
      <c r="I22" s="10">
        <f t="shared" si="5"/>
        <v>1423.711208726985</v>
      </c>
      <c r="J22" s="10">
        <f t="shared" si="3"/>
        <v>5829066331.8978872</v>
      </c>
      <c r="K22" s="11">
        <f t="shared" si="4"/>
        <v>8.0908850000000143E-2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3969244.5842308304</v>
      </c>
      <c r="D23" s="11">
        <v>3.1699999999999999E-2</v>
      </c>
      <c r="E23" s="10">
        <f t="shared" si="2"/>
        <v>121958.95446362067</v>
      </c>
      <c r="F23" s="3"/>
      <c r="G23" s="26">
        <v>5.2</v>
      </c>
      <c r="H23" s="10"/>
      <c r="I23" s="10">
        <f t="shared" si="5"/>
        <v>1358.6327022874177</v>
      </c>
      <c r="J23" s="10">
        <f t="shared" si="3"/>
        <v>5392745495.5132313</v>
      </c>
      <c r="K23" s="11">
        <f t="shared" si="4"/>
        <v>8.5348399999999991E-2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3847285.6297672098</v>
      </c>
      <c r="D24" s="11">
        <v>3.1899999999999998E-2</v>
      </c>
      <c r="E24" s="10">
        <f t="shared" si="2"/>
        <v>118934.4040988218</v>
      </c>
      <c r="F24" s="3"/>
      <c r="G24" s="26">
        <v>5.09</v>
      </c>
      <c r="H24" s="10"/>
      <c r="I24" s="10">
        <f t="shared" si="5"/>
        <v>1291.4759527446936</v>
      </c>
      <c r="J24" s="10">
        <f t="shared" si="3"/>
        <v>4968676874.184576</v>
      </c>
      <c r="K24" s="11">
        <f t="shared" si="4"/>
        <v>8.4423710000000041E-2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3728351.225668388</v>
      </c>
      <c r="D25" s="11">
        <v>3.2099999999999997E-2</v>
      </c>
      <c r="E25" s="10">
        <f t="shared" si="2"/>
        <v>115957.82806312898</v>
      </c>
      <c r="F25" s="3"/>
      <c r="G25" s="26">
        <v>8.65</v>
      </c>
      <c r="H25" s="10"/>
      <c r="I25" s="10">
        <f t="shared" si="5"/>
        <v>1228.9237346509599</v>
      </c>
      <c r="J25" s="10">
        <f t="shared" si="3"/>
        <v>4581859312.3388786</v>
      </c>
      <c r="K25" s="11">
        <f t="shared" si="4"/>
        <v>0.12137664999999997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3612393.397605259</v>
      </c>
      <c r="D26" s="11">
        <v>3.2199999999999999E-2</v>
      </c>
      <c r="E26" s="10">
        <f t="shared" si="2"/>
        <v>112690.43538353918</v>
      </c>
      <c r="F26" s="3"/>
      <c r="G26" s="26">
        <v>-4.5599999999999996</v>
      </c>
      <c r="H26" s="10"/>
      <c r="I26" s="10">
        <f t="shared" si="5"/>
        <v>1131.084891533327</v>
      </c>
      <c r="J26" s="10">
        <f t="shared" si="3"/>
        <v>4085923594.3060508</v>
      </c>
      <c r="K26" s="11">
        <f t="shared" si="4"/>
        <v>-1.4868320000000046E-2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3499702.9622217198</v>
      </c>
      <c r="D27" s="11">
        <v>3.2300000000000002E-2</v>
      </c>
      <c r="E27" s="10">
        <f t="shared" si="2"/>
        <v>109503.44442483922</v>
      </c>
      <c r="F27" s="3"/>
      <c r="G27" s="26">
        <v>-6.92</v>
      </c>
      <c r="H27" s="10"/>
      <c r="I27" s="10">
        <f t="shared" si="5"/>
        <v>1185.1266675747349</v>
      </c>
      <c r="J27" s="10">
        <f t="shared" si="3"/>
        <v>4147591309.1192551</v>
      </c>
      <c r="K27" s="11">
        <f t="shared" si="4"/>
        <v>-3.913516000000028E-2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3390199.5177968806</v>
      </c>
      <c r="D28" s="11">
        <v>3.2300000000000002E-2</v>
      </c>
      <c r="E28" s="10">
        <f t="shared" si="2"/>
        <v>106077.15240224684</v>
      </c>
      <c r="F28" s="3"/>
      <c r="G28" s="26">
        <v>3.5</v>
      </c>
      <c r="H28" s="10"/>
      <c r="I28" s="10">
        <f t="shared" si="5"/>
        <v>1273.2344946011335</v>
      </c>
      <c r="J28" s="10">
        <f t="shared" si="3"/>
        <v>4316518969.6391182</v>
      </c>
      <c r="K28" s="11">
        <f t="shared" si="4"/>
        <v>6.8430500000000061E-2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3284122.3653946337</v>
      </c>
      <c r="D29" s="11">
        <v>3.2099999999999997E-2</v>
      </c>
      <c r="E29" s="10">
        <f t="shared" si="2"/>
        <v>102141.58311129501</v>
      </c>
      <c r="F29" s="3"/>
      <c r="G29" s="26">
        <v>0.47</v>
      </c>
      <c r="H29" s="10"/>
      <c r="I29" s="10">
        <f t="shared" si="5"/>
        <v>1230.1782556532692</v>
      </c>
      <c r="J29" s="10">
        <f t="shared" si="3"/>
        <v>4040055922.8130589</v>
      </c>
      <c r="K29" s="11">
        <f t="shared" si="4"/>
        <v>3.6950869999999858E-2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3181980.7822833387</v>
      </c>
      <c r="D30" s="11">
        <v>3.1800000000000002E-2</v>
      </c>
      <c r="E30" s="10">
        <f t="shared" si="2"/>
        <v>98068.413332632743</v>
      </c>
      <c r="F30" s="3"/>
      <c r="G30" s="26">
        <v>-2.5099999999999998</v>
      </c>
      <c r="H30" s="10"/>
      <c r="I30" s="10">
        <f t="shared" si="5"/>
        <v>1224.4234653660487</v>
      </c>
      <c r="J30" s="10">
        <f t="shared" si="3"/>
        <v>3896091936.1715364</v>
      </c>
      <c r="K30" s="11">
        <f t="shared" si="4"/>
        <v>5.9018200000000576E-3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3083912.368950706</v>
      </c>
      <c r="D31" s="11">
        <v>3.1300000000000001E-2</v>
      </c>
      <c r="E31" s="10">
        <f t="shared" si="2"/>
        <v>93596.87496185163</v>
      </c>
      <c r="F31" s="3"/>
      <c r="G31" s="26">
        <v>8.48</v>
      </c>
      <c r="H31" s="10"/>
      <c r="I31" s="10">
        <f t="shared" si="5"/>
        <v>1255.9477539912286</v>
      </c>
      <c r="J31" s="10">
        <f t="shared" si="3"/>
        <v>3873232813.2894082</v>
      </c>
      <c r="K31" s="11">
        <f t="shared" si="4"/>
        <v>0.11875424000000012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2990315.4939888543</v>
      </c>
      <c r="D32" s="11">
        <v>3.09E-2</v>
      </c>
      <c r="E32" s="10">
        <f t="shared" si="2"/>
        <v>89631.146342278924</v>
      </c>
      <c r="F32" s="3"/>
      <c r="G32" s="26">
        <v>2.27</v>
      </c>
      <c r="H32" s="10"/>
      <c r="I32" s="10">
        <f t="shared" si="5"/>
        <v>1157.7689472633008</v>
      </c>
      <c r="J32" s="10">
        <f t="shared" si="3"/>
        <v>3462094421.4606133</v>
      </c>
      <c r="K32" s="11">
        <f t="shared" si="4"/>
        <v>5.4301429999999762E-2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2900684.3476465754</v>
      </c>
      <c r="D33" s="11">
        <v>3.0499999999999999E-2</v>
      </c>
      <c r="E33" s="10">
        <f t="shared" si="2"/>
        <v>85852.37516081566</v>
      </c>
      <c r="F33" s="3"/>
      <c r="G33" s="26">
        <v>-3.53</v>
      </c>
      <c r="H33" s="10"/>
      <c r="I33" s="10">
        <f t="shared" si="5"/>
        <v>1132.0709369935473</v>
      </c>
      <c r="J33" s="10">
        <f t="shared" si="3"/>
        <v>3283780447.3627753</v>
      </c>
      <c r="K33" s="11">
        <f t="shared" si="4"/>
        <v>-5.8766499999999278E-3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2814831.9724857598</v>
      </c>
      <c r="D34" s="11">
        <v>3.0200000000000001E-2</v>
      </c>
      <c r="E34" s="10">
        <f t="shared" si="2"/>
        <v>82515.944058503024</v>
      </c>
      <c r="F34" s="3"/>
      <c r="G34" s="26">
        <v>-2.73</v>
      </c>
      <c r="H34" s="10"/>
      <c r="I34" s="10">
        <f t="shared" si="5"/>
        <v>1173.4953218550299</v>
      </c>
      <c r="J34" s="10">
        <f t="shared" ref="J34:J65" si="6">IF(I34="","",I34*C34)</f>
        <v>3303192151.5200052</v>
      </c>
      <c r="K34" s="11">
        <f t="shared" ref="K34:K65" si="7">IFERROR(J34/J35-1,"")</f>
        <v>1.5468139999999853E-2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2732316.0284272567</v>
      </c>
      <c r="D35" s="11">
        <v>3.0099999999999998E-2</v>
      </c>
      <c r="E35" s="10">
        <f t="shared" si="2"/>
        <v>79839.542234404944</v>
      </c>
      <c r="F35" s="3"/>
      <c r="G35" s="26">
        <v>4.15</v>
      </c>
      <c r="H35" s="10"/>
      <c r="I35" s="10">
        <f t="shared" ref="I35:I66" si="8">IF(H35&lt;&gt;"",H35,I34/(1+IF(G34="",0,G34)/100))</f>
        <v>1190.5197543421223</v>
      </c>
      <c r="J35" s="10">
        <f t="shared" si="6"/>
        <v>3252876206.9482608</v>
      </c>
      <c r="K35" s="11">
        <f t="shared" si="7"/>
        <v>0.10066185000000027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2652476.4861928518</v>
      </c>
      <c r="D36" s="11">
        <v>3.0099999999999998E-2</v>
      </c>
      <c r="E36" s="10">
        <f t="shared" si="2"/>
        <v>77506.593762163538</v>
      </c>
      <c r="F36" s="3"/>
      <c r="G36" s="26">
        <v>-1.92</v>
      </c>
      <c r="H36" s="10"/>
      <c r="I36" s="10">
        <f t="shared" si="8"/>
        <v>1114.197243184017</v>
      </c>
      <c r="J36" s="10">
        <f t="shared" si="6"/>
        <v>2955381988.5265036</v>
      </c>
      <c r="K36" s="11">
        <f t="shared" si="7"/>
        <v>5.9766879999999745E-2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2574969.8924306883</v>
      </c>
      <c r="D37" s="11">
        <v>3.0200000000000001E-2</v>
      </c>
      <c r="E37" s="10">
        <f t="shared" si="2"/>
        <v>75484.460057665128</v>
      </c>
      <c r="F37" s="3"/>
      <c r="G37" s="26">
        <v>-7.79</v>
      </c>
      <c r="H37" s="10"/>
      <c r="I37" s="10">
        <f t="shared" si="8"/>
        <v>1083.006651617435</v>
      </c>
      <c r="J37" s="10">
        <f t="shared" si="6"/>
        <v>2788709521.2170663</v>
      </c>
      <c r="K37" s="11">
        <f t="shared" si="7"/>
        <v>4.5480199999998749E-3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2499485.4323730231</v>
      </c>
      <c r="D38" s="11">
        <v>3.04E-2</v>
      </c>
      <c r="E38" s="10">
        <f t="shared" si="2"/>
        <v>73742.582632123493</v>
      </c>
      <c r="F38" s="3"/>
      <c r="G38" s="26">
        <v>1.52</v>
      </c>
      <c r="H38" s="10"/>
      <c r="I38" s="10">
        <f t="shared" si="8"/>
        <v>1110.6621388754334</v>
      </c>
      <c r="J38" s="10">
        <f t="shared" si="6"/>
        <v>2776083836.4074092</v>
      </c>
      <c r="K38" s="11">
        <f t="shared" si="7"/>
        <v>8.4186880000000075E-2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2425742.8497408996</v>
      </c>
      <c r="D39" s="11">
        <v>3.0599999999999999E-2</v>
      </c>
      <c r="E39" s="10">
        <f t="shared" si="2"/>
        <v>72023.802835310809</v>
      </c>
      <c r="F39" s="3"/>
      <c r="G39" s="26">
        <v>9.7200000000000006</v>
      </c>
      <c r="H39" s="10"/>
      <c r="I39" s="10">
        <f t="shared" si="8"/>
        <v>1055.5618122746944</v>
      </c>
      <c r="J39" s="10">
        <f t="shared" si="6"/>
        <v>2560521518.5848856</v>
      </c>
      <c r="K39" s="11">
        <f t="shared" si="7"/>
        <v>0.13077431999999978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2353719.0469055888</v>
      </c>
      <c r="D40" s="11">
        <v>3.0800000000000001E-2</v>
      </c>
      <c r="E40" s="10">
        <f t="shared" si="2"/>
        <v>70328.430970791727</v>
      </c>
      <c r="F40" s="3"/>
      <c r="G40" s="26">
        <v>6.01</v>
      </c>
      <c r="H40" s="10"/>
      <c r="I40" s="10">
        <f t="shared" si="8"/>
        <v>962.05050334915643</v>
      </c>
      <c r="J40" s="10">
        <f t="shared" si="6"/>
        <v>2264396593.8180184</v>
      </c>
      <c r="K40" s="11">
        <f t="shared" si="7"/>
        <v>9.2751079999999986E-2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2283390.6159347971</v>
      </c>
      <c r="D41" s="11">
        <v>3.09E-2</v>
      </c>
      <c r="E41" s="10">
        <f t="shared" si="2"/>
        <v>68441.914863114711</v>
      </c>
      <c r="F41" s="3"/>
      <c r="G41" s="26">
        <v>33.369999999999997</v>
      </c>
      <c r="H41" s="10"/>
      <c r="I41" s="10">
        <f t="shared" si="8"/>
        <v>907.50920040482629</v>
      </c>
      <c r="J41" s="10">
        <f t="shared" si="6"/>
        <v>2072197992.0788715</v>
      </c>
      <c r="K41" s="11">
        <f t="shared" si="7"/>
        <v>0.37491132999999954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2214948.7010716824</v>
      </c>
      <c r="D42" s="11">
        <v>3.1099999999999999E-2</v>
      </c>
      <c r="E42" s="10">
        <f t="shared" si="2"/>
        <v>66807.20066271862</v>
      </c>
      <c r="F42" s="3"/>
      <c r="G42" s="26">
        <v>-13.08</v>
      </c>
      <c r="H42" s="10"/>
      <c r="I42" s="10">
        <f t="shared" si="8"/>
        <v>680.44477798967262</v>
      </c>
      <c r="J42" s="10">
        <f t="shared" si="6"/>
        <v>1507150277.1592348</v>
      </c>
      <c r="K42" s="11">
        <f t="shared" si="7"/>
        <v>-0.10376788000000003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2148141.5004089638</v>
      </c>
      <c r="D43" s="11">
        <v>3.1099999999999999E-2</v>
      </c>
      <c r="E43" s="10">
        <f t="shared" si="2"/>
        <v>64792.164351390209</v>
      </c>
      <c r="F43" s="3"/>
      <c r="G43" s="26">
        <v>-4.26</v>
      </c>
      <c r="H43" s="10"/>
      <c r="I43" s="10">
        <f t="shared" si="8"/>
        <v>782.84028760891931</v>
      </c>
      <c r="J43" s="10">
        <f t="shared" si="6"/>
        <v>1681651710.0048087</v>
      </c>
      <c r="K43" s="11">
        <f t="shared" si="7"/>
        <v>-1.2824860000000271E-2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2083349.3360575736</v>
      </c>
      <c r="D44" s="11">
        <v>3.1099999999999999E-2</v>
      </c>
      <c r="E44" s="10">
        <f t="shared" si="2"/>
        <v>62837.905490631703</v>
      </c>
      <c r="F44" s="3"/>
      <c r="G44" s="26">
        <v>11.37</v>
      </c>
      <c r="H44" s="10"/>
      <c r="I44" s="10">
        <f t="shared" si="8"/>
        <v>817.67316441290927</v>
      </c>
      <c r="J44" s="10">
        <f t="shared" si="6"/>
        <v>1703498844.1917298</v>
      </c>
      <c r="K44" s="11">
        <f t="shared" si="7"/>
        <v>0.14833606999999982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2020511.4305669419</v>
      </c>
      <c r="D45" s="11">
        <v>3.1E-2</v>
      </c>
      <c r="E45" s="10">
        <f t="shared" si="2"/>
        <v>60752.526040324941</v>
      </c>
      <c r="F45" s="3"/>
      <c r="G45" s="26">
        <v>12.21</v>
      </c>
      <c r="H45" s="10"/>
      <c r="I45" s="10">
        <f>IF(H45&lt;&gt;"",H45,I44/(1+IF(G44="",0,G44)/100))</f>
        <v>734.19517321802039</v>
      </c>
      <c r="J45" s="10">
        <f t="shared" si="6"/>
        <v>1483449739.754086</v>
      </c>
      <c r="K45" s="11">
        <f t="shared" si="7"/>
        <v>0.1568851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1959758.9045266169</v>
      </c>
      <c r="D46" s="11">
        <v>3.09E-2</v>
      </c>
      <c r="E46" s="10">
        <f t="shared" si="2"/>
        <v>58741.43966424698</v>
      </c>
      <c r="F46" s="3"/>
      <c r="G46" s="26">
        <v>9.41</v>
      </c>
      <c r="H46" s="10"/>
      <c r="I46" s="10">
        <f t="shared" si="8"/>
        <v>654.30458356476277</v>
      </c>
      <c r="J46" s="10">
        <f t="shared" si="6"/>
        <v>1282279233.9136238</v>
      </c>
      <c r="K46" s="11">
        <f t="shared" si="7"/>
        <v>0.12790769000000002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1901017.4648623699</v>
      </c>
      <c r="D47" s="11">
        <v>3.0800000000000001E-2</v>
      </c>
      <c r="E47" s="10">
        <f t="shared" si="2"/>
        <v>56801.841208537808</v>
      </c>
      <c r="F47" s="3"/>
      <c r="G47" s="26">
        <v>7.11</v>
      </c>
      <c r="H47" s="10"/>
      <c r="I47" s="10">
        <f t="shared" si="8"/>
        <v>598.02996395645982</v>
      </c>
      <c r="J47" s="10">
        <f t="shared" si="6"/>
        <v>1136865405.9922438</v>
      </c>
      <c r="K47" s="11">
        <f t="shared" si="7"/>
        <v>0.10408987999999986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1844215.6236538321</v>
      </c>
      <c r="D48" s="11">
        <v>3.0599999999999999E-2</v>
      </c>
      <c r="E48" s="10">
        <f t="shared" si="2"/>
        <v>54757.42100117146</v>
      </c>
      <c r="F48" s="3"/>
      <c r="G48" s="26">
        <v>4.43</v>
      </c>
      <c r="H48" s="10"/>
      <c r="I48" s="10">
        <f t="shared" si="8"/>
        <v>558.33252166600676</v>
      </c>
      <c r="J48" s="10">
        <f t="shared" si="6"/>
        <v>1029685559.6504914</v>
      </c>
      <c r="K48" s="11">
        <f t="shared" si="7"/>
        <v>7.6255579999999989E-2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1789458.2026526607</v>
      </c>
      <c r="D49" s="11">
        <v>3.04E-2</v>
      </c>
      <c r="E49" s="10">
        <f t="shared" si="2"/>
        <v>52794.574301864253</v>
      </c>
      <c r="F49" s="3"/>
      <c r="G49" s="26">
        <v>7.36</v>
      </c>
      <c r="H49" s="10"/>
      <c r="I49" s="10">
        <f t="shared" si="8"/>
        <v>534.64763158671531</v>
      </c>
      <c r="J49" s="10">
        <f t="shared" si="6"/>
        <v>956729589.87166548</v>
      </c>
      <c r="K49" s="11">
        <f t="shared" si="7"/>
        <v>0.10623743999999991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1736663.6283507964</v>
      </c>
      <c r="D50" s="11">
        <v>3.0099999999999998E-2</v>
      </c>
      <c r="E50" s="10">
        <f t="shared" si="2"/>
        <v>50746.11708898074</v>
      </c>
      <c r="F50" s="3"/>
      <c r="G50" s="26">
        <v>14.5</v>
      </c>
      <c r="H50" s="10"/>
      <c r="I50" s="10">
        <f t="shared" si="8"/>
        <v>497.99518590416858</v>
      </c>
      <c r="J50" s="10">
        <f t="shared" si="6"/>
        <v>864850126.45356274</v>
      </c>
      <c r="K50" s="11">
        <f t="shared" si="7"/>
        <v>0.17946450000000014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1685917.5112618157</v>
      </c>
      <c r="D51" s="11">
        <v>2.98E-2</v>
      </c>
      <c r="E51" s="10">
        <f t="shared" si="2"/>
        <v>48786.504015927436</v>
      </c>
      <c r="F51" s="3"/>
      <c r="G51" s="26">
        <v>-1.63</v>
      </c>
      <c r="H51" s="10"/>
      <c r="I51" s="10">
        <f t="shared" si="8"/>
        <v>434.93029336608606</v>
      </c>
      <c r="J51" s="10">
        <f t="shared" si="6"/>
        <v>733256597.7641232</v>
      </c>
      <c r="K51" s="11">
        <f t="shared" si="7"/>
        <v>1.3014260000000055E-2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1637131.0072458882</v>
      </c>
      <c r="D52" s="11">
        <v>2.9399999999999999E-2</v>
      </c>
      <c r="E52" s="10">
        <f t="shared" si="2"/>
        <v>46756.995932610473</v>
      </c>
      <c r="F52" s="3"/>
      <c r="G52" s="26">
        <v>3.23</v>
      </c>
      <c r="H52" s="10"/>
      <c r="I52" s="10">
        <f t="shared" si="8"/>
        <v>442.13712856164079</v>
      </c>
      <c r="J52" s="10">
        <f t="shared" si="6"/>
        <v>723836402.62292373</v>
      </c>
      <c r="K52" s="11">
        <f t="shared" si="7"/>
        <v>6.2649620000000183E-2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1590374.0113132778</v>
      </c>
      <c r="D53" s="11">
        <v>2.9000000000000001E-2</v>
      </c>
      <c r="E53" s="10">
        <f t="shared" si="2"/>
        <v>44821.03627607855</v>
      </c>
      <c r="F53" s="3"/>
      <c r="G53" s="26">
        <v>5.84</v>
      </c>
      <c r="H53" s="10"/>
      <c r="I53" s="10">
        <f t="shared" si="8"/>
        <v>428.30294348701034</v>
      </c>
      <c r="J53" s="10">
        <f t="shared" si="6"/>
        <v>681161870.2907207</v>
      </c>
      <c r="K53" s="11">
        <f t="shared" si="7"/>
        <v>8.9093599999999773E-2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1545552.9750371992</v>
      </c>
      <c r="D54" s="11">
        <v>2.86E-2</v>
      </c>
      <c r="E54" s="10">
        <f t="shared" si="2"/>
        <v>42973.765395745402</v>
      </c>
      <c r="F54" s="3"/>
      <c r="G54" s="26">
        <v>-6.36</v>
      </c>
      <c r="H54" s="10"/>
      <c r="I54" s="10">
        <f t="shared" si="8"/>
        <v>404.67020359694857</v>
      </c>
      <c r="J54" s="10">
        <f t="shared" si="6"/>
        <v>625439237.07817292</v>
      </c>
      <c r="K54" s="11">
        <f t="shared" si="7"/>
        <v>-3.6818960000000178E-2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1502579.2096414538</v>
      </c>
      <c r="D55" s="11">
        <v>2.8199999999999999E-2</v>
      </c>
      <c r="E55" s="10">
        <f t="shared" si="2"/>
        <v>41210.594934729626</v>
      </c>
      <c r="F55" s="3"/>
      <c r="G55" s="26">
        <v>12.53</v>
      </c>
      <c r="H55" s="10"/>
      <c r="I55" s="10">
        <f t="shared" si="8"/>
        <v>432.15527936453287</v>
      </c>
      <c r="J55" s="10">
        <f t="shared" si="6"/>
        <v>649347538.10994148</v>
      </c>
      <c r="K55" s="11">
        <f t="shared" si="7"/>
        <v>0.15703346000000007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1461368.6147067242</v>
      </c>
      <c r="D56" s="11">
        <v>2.7799999999999998E-2</v>
      </c>
      <c r="E56" s="10">
        <f t="shared" si="2"/>
        <v>39527.19156338484</v>
      </c>
      <c r="F56" s="3"/>
      <c r="G56" s="26">
        <v>13.86</v>
      </c>
      <c r="H56" s="10"/>
      <c r="I56" s="10">
        <f t="shared" si="8"/>
        <v>384.03561660404591</v>
      </c>
      <c r="J56" s="10">
        <f t="shared" si="6"/>
        <v>561217597.03469718</v>
      </c>
      <c r="K56" s="11">
        <f t="shared" si="7"/>
        <v>0.17025307999999995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1421841.4231433393</v>
      </c>
      <c r="D57" s="11">
        <v>2.7300000000000001E-2</v>
      </c>
      <c r="E57" s="10">
        <f t="shared" si="2"/>
        <v>37784.747251838213</v>
      </c>
      <c r="F57" s="3"/>
      <c r="G57" s="26">
        <v>8.24</v>
      </c>
      <c r="H57" s="10"/>
      <c r="I57" s="10">
        <f t="shared" si="8"/>
        <v>337.28756069211829</v>
      </c>
      <c r="J57" s="10">
        <f t="shared" si="6"/>
        <v>479569425.30302691</v>
      </c>
      <c r="K57" s="11">
        <f t="shared" si="7"/>
        <v>0.11194952000000025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1384056.6758915011</v>
      </c>
      <c r="D58" s="11">
        <v>2.6800000000000001E-2</v>
      </c>
      <c r="E58" s="10">
        <f t="shared" si="2"/>
        <v>36124.580165457912</v>
      </c>
      <c r="F58" s="3"/>
      <c r="G58" s="26">
        <v>1.48</v>
      </c>
      <c r="H58" s="10"/>
      <c r="I58" s="10">
        <f t="shared" si="8"/>
        <v>311.61082842952538</v>
      </c>
      <c r="J58" s="10">
        <f t="shared" si="6"/>
        <v>431287047.36796576</v>
      </c>
      <c r="K58" s="11">
        <f t="shared" si="7"/>
        <v>4.1996639999999807E-2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1347932.0957260432</v>
      </c>
      <c r="D59" s="11">
        <v>2.63E-2</v>
      </c>
      <c r="E59" s="10">
        <f t="shared" si="2"/>
        <v>34542.155429791426</v>
      </c>
      <c r="F59" s="3"/>
      <c r="G59" s="26">
        <v>11.59</v>
      </c>
      <c r="H59" s="10"/>
      <c r="I59" s="10">
        <f t="shared" si="8"/>
        <v>307.06624795972152</v>
      </c>
      <c r="J59" s="10">
        <f t="shared" si="6"/>
        <v>413904451.13908029</v>
      </c>
      <c r="K59" s="11">
        <f t="shared" si="7"/>
        <v>0.1452481699999999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1313389.9402962518</v>
      </c>
      <c r="D60" s="11">
        <v>2.5899999999999999E-2</v>
      </c>
      <c r="E60" s="10">
        <f t="shared" si="2"/>
        <v>33158.007070545806</v>
      </c>
      <c r="F60" s="3"/>
      <c r="G60" s="26">
        <v>10.53</v>
      </c>
      <c r="H60" s="10"/>
      <c r="I60" s="10">
        <f t="shared" si="8"/>
        <v>275.17362484068605</v>
      </c>
      <c r="J60" s="10">
        <f t="shared" si="6"/>
        <v>361410270.70061183</v>
      </c>
      <c r="K60" s="11">
        <f t="shared" si="7"/>
        <v>0.13392726999999982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1280231.933225706</v>
      </c>
      <c r="D61" s="11">
        <v>2.5499999999999998E-2</v>
      </c>
      <c r="E61" s="10">
        <f t="shared" si="2"/>
        <v>31834.143634574022</v>
      </c>
      <c r="F61" s="3"/>
      <c r="G61" s="26">
        <v>9.26</v>
      </c>
      <c r="H61" s="10"/>
      <c r="I61" s="10">
        <f t="shared" si="8"/>
        <v>248.9583143406189</v>
      </c>
      <c r="J61" s="10">
        <f t="shared" si="6"/>
        <v>318724384.06090355</v>
      </c>
      <c r="K61" s="11">
        <f t="shared" si="7"/>
        <v>0.1204613000000001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1248397.789591132</v>
      </c>
      <c r="D62" s="11">
        <v>2.53E-2</v>
      </c>
      <c r="E62" s="10">
        <f t="shared" si="2"/>
        <v>30805.095168882981</v>
      </c>
      <c r="F62" s="3"/>
      <c r="G62" s="26">
        <v>10.02</v>
      </c>
      <c r="H62" s="10"/>
      <c r="I62" s="10">
        <f t="shared" si="8"/>
        <v>227.85860730424574</v>
      </c>
      <c r="J62" s="10">
        <f t="shared" si="6"/>
        <v>284458181.69793415</v>
      </c>
      <c r="K62" s="11">
        <f t="shared" si="7"/>
        <v>0.12803506000000042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1217592.694422249</v>
      </c>
      <c r="D63" s="11">
        <v>2.53E-2</v>
      </c>
      <c r="E63" s="10">
        <f t="shared" si="2"/>
        <v>30044.957738108933</v>
      </c>
      <c r="F63" s="3"/>
      <c r="G63" s="26">
        <v>6.45</v>
      </c>
      <c r="H63" s="10"/>
      <c r="I63" s="10">
        <f t="shared" si="8"/>
        <v>207.10653272518243</v>
      </c>
      <c r="J63" s="10">
        <f t="shared" si="6"/>
        <v>252171401.21330455</v>
      </c>
      <c r="K63" s="11">
        <f t="shared" si="7"/>
        <v>9.1431850000000203E-2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1187547.7366841401</v>
      </c>
      <c r="D64" s="11">
        <v>2.5399999999999999E-2</v>
      </c>
      <c r="E64" s="10">
        <f t="shared" si="2"/>
        <v>29416.532584140077</v>
      </c>
      <c r="F64" s="3"/>
      <c r="G64" s="26">
        <v>7.38</v>
      </c>
      <c r="H64" s="10"/>
      <c r="I64" s="10">
        <f t="shared" si="8"/>
        <v>194.55756949289096</v>
      </c>
      <c r="J64" s="10">
        <f t="shared" si="6"/>
        <v>231046401.30604994</v>
      </c>
      <c r="K64" s="11">
        <f t="shared" si="7"/>
        <v>0.10107452000000006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1158131.2041</v>
      </c>
      <c r="D65" s="11">
        <v>2.5700000000000001E-2</v>
      </c>
      <c r="E65" s="10">
        <f t="shared" si="2"/>
        <v>29018.204099999974</v>
      </c>
      <c r="F65" s="3"/>
      <c r="G65" s="26">
        <v>11.25</v>
      </c>
      <c r="H65" s="10"/>
      <c r="I65" s="10">
        <f t="shared" si="8"/>
        <v>181.18603975869897</v>
      </c>
      <c r="J65" s="10">
        <f t="shared" si="6"/>
        <v>209837206.3918525</v>
      </c>
      <c r="K65" s="11">
        <f t="shared" si="7"/>
        <v>0.14109124999999989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1129113</v>
      </c>
      <c r="D66" s="11">
        <v>2.5999999999999999E-2</v>
      </c>
      <c r="E66" s="10">
        <f t="shared" si="2"/>
        <v>28613</v>
      </c>
      <c r="F66" s="3"/>
      <c r="G66" s="26">
        <v>7.38</v>
      </c>
      <c r="H66" s="10"/>
      <c r="I66" s="10">
        <f t="shared" si="8"/>
        <v>162.86385596287548</v>
      </c>
      <c r="J66" s="10">
        <f t="shared" ref="J66:J67" si="9">IF(I66="","",I66*C66)</f>
        <v>183891696.99781021</v>
      </c>
      <c r="K66" s="11">
        <f t="shared" ref="K66" si="10">IFERROR(J66/J67-1,"")</f>
        <v>0.10171880000000022</v>
      </c>
    </row>
    <row r="67" spans="1:11" ht="22.5" customHeight="1">
      <c r="A67" s="3">
        <f t="shared" si="0"/>
        <v>1950</v>
      </c>
      <c r="B67" s="3">
        <v>1700</v>
      </c>
      <c r="C67" s="10">
        <v>1100500</v>
      </c>
      <c r="D67" s="11">
        <v>2.64E-2</v>
      </c>
      <c r="E67" s="3" t="s">
        <v>72</v>
      </c>
      <c r="F67" s="3"/>
      <c r="G67" s="26">
        <v>7.38</v>
      </c>
      <c r="H67" s="10"/>
      <c r="I67" s="10">
        <f t="shared" ref="I67" si="11">IF(H67&lt;&gt;"",H67,I66/(1+IF(G66="",0,G66)/100))</f>
        <v>151.67056804141876</v>
      </c>
      <c r="J67" s="10">
        <f t="shared" si="9"/>
        <v>166913460.12958133</v>
      </c>
      <c r="K67" s="11"/>
    </row>
  </sheetData>
  <dataValidations count="1">
    <dataValidation type="custom" allowBlank="1" showDropDown="1" sqref="D2:D67" xr:uid="{00000000-0002-0000-3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9533758.5500416737</v>
      </c>
      <c r="D2" s="11">
        <v>7.9000000000000008E-3</v>
      </c>
      <c r="E2" s="10">
        <f t="shared" ref="E2:E66" si="2">SUM(C2-C3)</f>
        <v>74726.354345995933</v>
      </c>
      <c r="F2" s="14">
        <v>9533900</v>
      </c>
      <c r="G2" s="26">
        <v>1.4</v>
      </c>
      <c r="H2" s="10"/>
      <c r="I2" s="10">
        <f>IF(H2&lt;&gt;"",H2,157144)</f>
        <v>19643</v>
      </c>
      <c r="J2" s="10">
        <f t="shared" ref="J2:J33" si="3">IF(I2="","",I2*C2)</f>
        <v>187271619198.4686</v>
      </c>
      <c r="K2" s="11">
        <f t="shared" ref="K2:K33" si="4">IFERROR(J2/J3-1,"")</f>
        <v>2.2010599999999991E-2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9459032.1956956778</v>
      </c>
      <c r="D3" s="11">
        <v>8.2000000000000007E-3</v>
      </c>
      <c r="E3" s="10">
        <f t="shared" si="2"/>
        <v>76933.211669018492</v>
      </c>
      <c r="F3" s="3"/>
      <c r="G3" s="26">
        <v>2.5</v>
      </c>
      <c r="H3" s="10"/>
      <c r="I3" s="10">
        <f t="shared" ref="I3:I34" si="5">IF(H3&lt;&gt;"",H3,I2/(1+IF(G2="",0,G2)/100))</f>
        <v>19371.794871794871</v>
      </c>
      <c r="J3" s="10">
        <f t="shared" si="3"/>
        <v>183238431380.72012</v>
      </c>
      <c r="K3" s="11">
        <f t="shared" si="4"/>
        <v>3.3404999999999907E-2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9382098.9840266593</v>
      </c>
      <c r="D4" s="11">
        <v>8.0999999999999996E-3</v>
      </c>
      <c r="E4" s="10">
        <f t="shared" si="2"/>
        <v>75384.388225985691</v>
      </c>
      <c r="F4" s="3"/>
      <c r="G4" s="26">
        <v>3</v>
      </c>
      <c r="H4" s="10"/>
      <c r="I4" s="10">
        <f t="shared" si="5"/>
        <v>18899.312070043779</v>
      </c>
      <c r="J4" s="10">
        <f t="shared" si="3"/>
        <v>177315216571.16052</v>
      </c>
      <c r="K4" s="11">
        <f t="shared" si="4"/>
        <v>3.8343000000000016E-2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9306714.5958006736</v>
      </c>
      <c r="D5" s="11">
        <v>8.0000000000000002E-3</v>
      </c>
      <c r="E5" s="10">
        <f t="shared" si="2"/>
        <v>73862.81425238587</v>
      </c>
      <c r="F5" s="3"/>
      <c r="G5" s="26">
        <v>1.2</v>
      </c>
      <c r="H5" s="10"/>
      <c r="I5" s="10">
        <f t="shared" si="5"/>
        <v>18348.846669945415</v>
      </c>
      <c r="J5" s="10">
        <f t="shared" si="3"/>
        <v>170767479119.28958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9232851.7815482877</v>
      </c>
      <c r="D6" s="11">
        <v>8.0999999999999996E-3</v>
      </c>
      <c r="E6" s="10">
        <f t="shared" si="2"/>
        <v>74185.19931608066</v>
      </c>
      <c r="F6" s="3"/>
      <c r="G6" s="26">
        <v>3.8</v>
      </c>
      <c r="H6" s="10"/>
      <c r="I6" s="10">
        <f t="shared" si="5"/>
        <v>18131.271412989539</v>
      </c>
      <c r="J6" s="10">
        <f t="shared" si="3"/>
        <v>167403341567.15601</v>
      </c>
      <c r="K6" s="11">
        <f t="shared" si="4"/>
        <v>4.640780000000011E-2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9158666.5822322071</v>
      </c>
      <c r="D7" s="11">
        <v>8.3999999999999995E-3</v>
      </c>
      <c r="E7" s="10">
        <f t="shared" si="2"/>
        <v>76291.946936484426</v>
      </c>
      <c r="F7" s="3"/>
      <c r="G7" s="26">
        <v>2.6</v>
      </c>
      <c r="H7" s="10"/>
      <c r="I7" s="10">
        <f t="shared" si="5"/>
        <v>17467.506178217282</v>
      </c>
      <c r="J7" s="10">
        <f t="shared" si="3"/>
        <v>159979065109.37323</v>
      </c>
      <c r="K7" s="11">
        <f t="shared" si="4"/>
        <v>3.4618400000000049E-2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9082374.6352957226</v>
      </c>
      <c r="D8" s="11">
        <v>8.3000000000000001E-3</v>
      </c>
      <c r="E8" s="10">
        <f t="shared" si="2"/>
        <v>74763.175119463354</v>
      </c>
      <c r="F8" s="3"/>
      <c r="G8" s="26">
        <v>2.2999999999999998</v>
      </c>
      <c r="H8" s="10"/>
      <c r="I8" s="10">
        <f t="shared" si="5"/>
        <v>17024.859822823862</v>
      </c>
      <c r="J8" s="10">
        <f t="shared" si="3"/>
        <v>154626155024.28067</v>
      </c>
      <c r="K8" s="11">
        <f t="shared" si="4"/>
        <v>3.1490899999999655E-2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9007611.4601762593</v>
      </c>
      <c r="D9" s="11">
        <v>7.7999999999999996E-3</v>
      </c>
      <c r="E9" s="10">
        <f t="shared" si="2"/>
        <v>69715.587804500014</v>
      </c>
      <c r="F9" s="3"/>
      <c r="G9" s="26">
        <v>1.7</v>
      </c>
      <c r="H9" s="10"/>
      <c r="I9" s="10">
        <f t="shared" si="5"/>
        <v>16642.091713415313</v>
      </c>
      <c r="J9" s="10">
        <f t="shared" si="3"/>
        <v>149905496039.06415</v>
      </c>
      <c r="K9" s="11">
        <f t="shared" si="4"/>
        <v>2.493259999999986E-2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8937895.8723717593</v>
      </c>
      <c r="D10" s="11">
        <v>6.4999999999999997E-3</v>
      </c>
      <c r="E10" s="10">
        <f t="shared" si="2"/>
        <v>57721.135787796229</v>
      </c>
      <c r="F10" s="3"/>
      <c r="G10" s="26">
        <v>1.5</v>
      </c>
      <c r="H10" s="10"/>
      <c r="I10" s="10">
        <f t="shared" si="5"/>
        <v>16363.905322925581</v>
      </c>
      <c r="J10" s="10">
        <f t="shared" si="3"/>
        <v>146258881841.65881</v>
      </c>
      <c r="K10" s="11">
        <f t="shared" si="4"/>
        <v>2.1597499999999936E-2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8880174.736583963</v>
      </c>
      <c r="D11" s="11">
        <v>6.0000000000000001E-3</v>
      </c>
      <c r="E11" s="10">
        <f t="shared" si="2"/>
        <v>52963.268806664273</v>
      </c>
      <c r="F11" s="3"/>
      <c r="G11" s="26">
        <v>3.3</v>
      </c>
      <c r="H11" s="10"/>
      <c r="I11" s="10">
        <f t="shared" si="5"/>
        <v>16122.074209778899</v>
      </c>
      <c r="J11" s="10">
        <f t="shared" si="3"/>
        <v>143166836099.01044</v>
      </c>
      <c r="K11" s="11">
        <f t="shared" si="4"/>
        <v>3.9197999999999844E-2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8827211.4677772988</v>
      </c>
      <c r="D12" s="11">
        <v>5.7000000000000002E-3</v>
      </c>
      <c r="E12" s="10">
        <f t="shared" si="2"/>
        <v>50029.934738323092</v>
      </c>
      <c r="F12" s="3"/>
      <c r="G12" s="26">
        <v>2.8</v>
      </c>
      <c r="H12" s="10"/>
      <c r="I12" s="10">
        <f t="shared" si="5"/>
        <v>15607.041829408423</v>
      </c>
      <c r="J12" s="10">
        <f t="shared" si="3"/>
        <v>137766658614.63403</v>
      </c>
      <c r="K12" s="11">
        <f t="shared" si="4"/>
        <v>3.3859600000000212E-2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8777181.5330389757</v>
      </c>
      <c r="D13" s="11">
        <v>5.3E-3</v>
      </c>
      <c r="E13" s="10">
        <f t="shared" si="2"/>
        <v>46273.810927193612</v>
      </c>
      <c r="F13" s="3"/>
      <c r="G13" s="26">
        <v>3.6</v>
      </c>
      <c r="H13" s="10"/>
      <c r="I13" s="10">
        <f t="shared" si="5"/>
        <v>15181.947304872006</v>
      </c>
      <c r="J13" s="10">
        <f t="shared" si="3"/>
        <v>133254707519.89342</v>
      </c>
      <c r="K13" s="11">
        <f t="shared" si="4"/>
        <v>4.1490800000000272E-2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8730907.7221117821</v>
      </c>
      <c r="D14" s="11">
        <v>5.0000000000000001E-3</v>
      </c>
      <c r="E14" s="10">
        <f t="shared" si="2"/>
        <v>43437.351851301268</v>
      </c>
      <c r="F14" s="3"/>
      <c r="G14" s="26">
        <v>1.1000000000000001</v>
      </c>
      <c r="H14" s="10"/>
      <c r="I14" s="10">
        <f t="shared" si="5"/>
        <v>14654.389290416993</v>
      </c>
      <c r="J14" s="10">
        <f t="shared" si="3"/>
        <v>127946120618.53392</v>
      </c>
      <c r="K14" s="11">
        <f t="shared" si="4"/>
        <v>1.6054999999999708E-2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8687470.3702604808</v>
      </c>
      <c r="D15" s="11">
        <v>4.4999999999999997E-3</v>
      </c>
      <c r="E15" s="10">
        <f t="shared" si="2"/>
        <v>38918.483490465209</v>
      </c>
      <c r="F15" s="3"/>
      <c r="G15" s="26">
        <v>3.7</v>
      </c>
      <c r="H15" s="10"/>
      <c r="I15" s="10">
        <f t="shared" si="5"/>
        <v>14494.944896554891</v>
      </c>
      <c r="J15" s="10">
        <f t="shared" si="3"/>
        <v>125924404307.37898</v>
      </c>
      <c r="K15" s="11">
        <f t="shared" si="4"/>
        <v>4.1666500000000051E-2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8648551.8867700156</v>
      </c>
      <c r="D16" s="11">
        <v>3.8999999999999998E-3</v>
      </c>
      <c r="E16" s="10">
        <f t="shared" si="2"/>
        <v>33598.31891463697</v>
      </c>
      <c r="F16" s="3"/>
      <c r="G16" s="26">
        <v>2.4</v>
      </c>
      <c r="H16" s="10"/>
      <c r="I16" s="10">
        <f t="shared" si="5"/>
        <v>13977.767499088613</v>
      </c>
      <c r="J16" s="10">
        <f t="shared" si="3"/>
        <v>120887447477.07542</v>
      </c>
      <c r="K16" s="11">
        <f t="shared" si="4"/>
        <v>2.7993600000000063E-2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8614953.5678553786</v>
      </c>
      <c r="D17" s="11">
        <v>3.3999999999999998E-3</v>
      </c>
      <c r="E17" s="10">
        <f t="shared" si="2"/>
        <v>29191.590722253546</v>
      </c>
      <c r="F17" s="3"/>
      <c r="G17" s="26">
        <v>4.5999999999999996</v>
      </c>
      <c r="H17" s="10"/>
      <c r="I17" s="10">
        <f t="shared" si="5"/>
        <v>13650.163573328724</v>
      </c>
      <c r="J17" s="10">
        <f t="shared" si="3"/>
        <v>117595525377.85782</v>
      </c>
      <c r="K17" s="11">
        <f t="shared" si="4"/>
        <v>4.9556400000000167E-2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8585761.9771331251</v>
      </c>
      <c r="D18" s="11">
        <v>3.3E-3</v>
      </c>
      <c r="E18" s="10">
        <f t="shared" si="2"/>
        <v>28239.82310828194</v>
      </c>
      <c r="F18" s="3"/>
      <c r="G18" s="26">
        <v>5.8</v>
      </c>
      <c r="H18" s="10"/>
      <c r="I18" s="10">
        <f t="shared" si="5"/>
        <v>13049.869572972011</v>
      </c>
      <c r="J18" s="10">
        <f t="shared" si="3"/>
        <v>112043073986.16959</v>
      </c>
      <c r="K18" s="11">
        <f t="shared" si="4"/>
        <v>6.1491399999999974E-2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8557522.1540248431</v>
      </c>
      <c r="D19" s="11">
        <v>3.3999999999999998E-3</v>
      </c>
      <c r="E19" s="10">
        <f t="shared" si="2"/>
        <v>28996.985572738573</v>
      </c>
      <c r="F19" s="3"/>
      <c r="G19" s="26">
        <v>3.4</v>
      </c>
      <c r="H19" s="10"/>
      <c r="I19" s="10">
        <f t="shared" si="5"/>
        <v>12334.470295814755</v>
      </c>
      <c r="J19" s="10">
        <f t="shared" si="3"/>
        <v>105552502814.59613</v>
      </c>
      <c r="K19" s="11">
        <f t="shared" si="4"/>
        <v>3.7515600000000315E-2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8528525.1684521046</v>
      </c>
      <c r="D20" s="11">
        <v>3.5000000000000001E-3</v>
      </c>
      <c r="E20" s="10">
        <f t="shared" si="2"/>
        <v>29745.728041438386</v>
      </c>
      <c r="F20" s="3"/>
      <c r="G20" s="26">
        <v>4.9000000000000004</v>
      </c>
      <c r="H20" s="10"/>
      <c r="I20" s="10">
        <f t="shared" si="5"/>
        <v>11928.888100401116</v>
      </c>
      <c r="J20" s="10">
        <f t="shared" si="3"/>
        <v>101735822395.91974</v>
      </c>
      <c r="K20" s="11">
        <f t="shared" si="4"/>
        <v>5.2671500000000204E-2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8498779.4404106662</v>
      </c>
      <c r="D21" s="11">
        <v>3.3E-3</v>
      </c>
      <c r="E21" s="10">
        <f t="shared" si="2"/>
        <v>27953.724861312658</v>
      </c>
      <c r="F21" s="3"/>
      <c r="G21" s="26">
        <v>1.2</v>
      </c>
      <c r="H21" s="10"/>
      <c r="I21" s="10">
        <f t="shared" si="5"/>
        <v>11371.675977503448</v>
      </c>
      <c r="J21" s="10">
        <f t="shared" si="3"/>
        <v>96645366000.618164</v>
      </c>
      <c r="K21" s="11">
        <f t="shared" si="4"/>
        <v>1.5339599999999898E-2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8470825.7155493535</v>
      </c>
      <c r="D22" s="11">
        <v>2.8E-3</v>
      </c>
      <c r="E22" s="10">
        <f t="shared" si="2"/>
        <v>23652.086162282154</v>
      </c>
      <c r="F22" s="3"/>
      <c r="G22" s="26">
        <v>3.4</v>
      </c>
      <c r="H22" s="10"/>
      <c r="I22" s="10">
        <f t="shared" si="5"/>
        <v>11236.833969865067</v>
      </c>
      <c r="J22" s="10">
        <f t="shared" si="3"/>
        <v>95185262153.291534</v>
      </c>
      <c r="K22" s="11">
        <f t="shared" si="4"/>
        <v>3.6895199999999795E-2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8447173.6293870714</v>
      </c>
      <c r="D23" s="11">
        <v>2.5999999999999999E-3</v>
      </c>
      <c r="E23" s="10">
        <f t="shared" si="2"/>
        <v>21905.696625180542</v>
      </c>
      <c r="F23" s="3"/>
      <c r="G23" s="26">
        <v>4</v>
      </c>
      <c r="H23" s="10"/>
      <c r="I23" s="10">
        <f t="shared" si="5"/>
        <v>10867.344264859832</v>
      </c>
      <c r="J23" s="10">
        <f t="shared" si="3"/>
        <v>91798343895.594803</v>
      </c>
      <c r="K23" s="11">
        <f t="shared" si="4"/>
        <v>4.2703999999999853E-2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8425267.9327618908</v>
      </c>
      <c r="D24" s="11">
        <v>2.3999999999999998E-3</v>
      </c>
      <c r="E24" s="10">
        <f t="shared" si="2"/>
        <v>20172.22968737781</v>
      </c>
      <c r="F24" s="3"/>
      <c r="G24" s="26">
        <v>2.1</v>
      </c>
      <c r="H24" s="10"/>
      <c r="I24" s="10">
        <f t="shared" si="5"/>
        <v>10449.369485442146</v>
      </c>
      <c r="J24" s="10">
        <f t="shared" si="3"/>
        <v>88038737643.276337</v>
      </c>
      <c r="K24" s="11">
        <f t="shared" si="4"/>
        <v>2.345039999999976E-2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8405095.703074513</v>
      </c>
      <c r="D25" s="11">
        <v>2.2000000000000001E-3</v>
      </c>
      <c r="E25" s="10">
        <f t="shared" si="2"/>
        <v>18450.61918455828</v>
      </c>
      <c r="F25" s="3"/>
      <c r="G25" s="26">
        <v>1.6</v>
      </c>
      <c r="H25" s="10"/>
      <c r="I25" s="10">
        <f t="shared" si="5"/>
        <v>10234.446116985453</v>
      </c>
      <c r="J25" s="10">
        <f t="shared" si="3"/>
        <v>86021499081.222061</v>
      </c>
      <c r="K25" s="11">
        <f t="shared" si="4"/>
        <v>1.8235199999999896E-2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8386645.0838899547</v>
      </c>
      <c r="D26" s="11">
        <v>2.2000000000000001E-3</v>
      </c>
      <c r="E26" s="10">
        <f t="shared" si="2"/>
        <v>18410.116927317344</v>
      </c>
      <c r="F26" s="3"/>
      <c r="G26" s="26">
        <v>-1.5</v>
      </c>
      <c r="H26" s="10"/>
      <c r="I26" s="10">
        <f t="shared" si="5"/>
        <v>10073.273737190406</v>
      </c>
      <c r="J26" s="10">
        <f t="shared" si="3"/>
        <v>84480971666.685715</v>
      </c>
      <c r="K26" s="11">
        <f t="shared" si="4"/>
        <v>-1.2833000000000094E-2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8368234.9669626374</v>
      </c>
      <c r="D27" s="11">
        <v>2.3999999999999998E-3</v>
      </c>
      <c r="E27" s="10">
        <f t="shared" si="2"/>
        <v>20035.678292807192</v>
      </c>
      <c r="F27" s="3"/>
      <c r="G27" s="26">
        <v>-6.8</v>
      </c>
      <c r="H27" s="10"/>
      <c r="I27" s="10">
        <f t="shared" si="5"/>
        <v>10226.673844863357</v>
      </c>
      <c r="J27" s="10">
        <f t="shared" si="3"/>
        <v>85579209664.307785</v>
      </c>
      <c r="K27" s="11">
        <f t="shared" si="4"/>
        <v>-6.5763199999999911E-2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8348199.2886698302</v>
      </c>
      <c r="D28" s="11">
        <v>2.5999999999999999E-3</v>
      </c>
      <c r="E28" s="10">
        <f t="shared" si="2"/>
        <v>21649.030670796521</v>
      </c>
      <c r="F28" s="3"/>
      <c r="G28" s="26">
        <v>1.9</v>
      </c>
      <c r="H28" s="10"/>
      <c r="I28" s="10">
        <f t="shared" si="5"/>
        <v>10972.826013801885</v>
      </c>
      <c r="J28" s="10">
        <f t="shared" si="3"/>
        <v>91603338323.118698</v>
      </c>
      <c r="K28" s="11">
        <f t="shared" si="4"/>
        <v>2.1649399999999819E-2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8326550.2579990337</v>
      </c>
      <c r="D29" s="11">
        <v>2.3999999999999998E-3</v>
      </c>
      <c r="E29" s="10">
        <f t="shared" si="2"/>
        <v>19935.874520348385</v>
      </c>
      <c r="F29" s="3"/>
      <c r="G29" s="26">
        <v>5</v>
      </c>
      <c r="H29" s="10"/>
      <c r="I29" s="10">
        <f t="shared" si="5"/>
        <v>10768.22965044346</v>
      </c>
      <c r="J29" s="10">
        <f t="shared" si="3"/>
        <v>89662205374.092834</v>
      </c>
      <c r="K29" s="11">
        <f t="shared" si="4"/>
        <v>5.25199999999999E-2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8306614.3834786853</v>
      </c>
      <c r="D30" s="11">
        <v>1.9E-3</v>
      </c>
      <c r="E30" s="10">
        <f t="shared" si="2"/>
        <v>15752.637317705899</v>
      </c>
      <c r="F30" s="3"/>
      <c r="G30" s="26">
        <v>3.6</v>
      </c>
      <c r="H30" s="10"/>
      <c r="I30" s="10">
        <f t="shared" si="5"/>
        <v>10255.456809946152</v>
      </c>
      <c r="J30" s="10">
        <f t="shared" si="3"/>
        <v>85188125046.643143</v>
      </c>
      <c r="K30" s="11">
        <f t="shared" si="4"/>
        <v>3.7968400000000235E-2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8290861.7461609794</v>
      </c>
      <c r="D31" s="11">
        <v>1.4E-3</v>
      </c>
      <c r="E31" s="10">
        <f t="shared" si="2"/>
        <v>11590.97907392215</v>
      </c>
      <c r="F31" s="3"/>
      <c r="G31" s="26">
        <v>2.8</v>
      </c>
      <c r="H31" s="10"/>
      <c r="I31" s="10">
        <f t="shared" si="5"/>
        <v>9899.0895848901073</v>
      </c>
      <c r="J31" s="10">
        <f t="shared" si="3"/>
        <v>82071983161.185959</v>
      </c>
      <c r="K31" s="11">
        <f t="shared" si="4"/>
        <v>2.943920000000011E-2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8279270.7670870572</v>
      </c>
      <c r="D32" s="11">
        <v>8.9999999999999998E-4</v>
      </c>
      <c r="E32" s="10">
        <f t="shared" si="2"/>
        <v>7444.6435112170875</v>
      </c>
      <c r="F32" s="3"/>
      <c r="G32" s="26">
        <v>4.2</v>
      </c>
      <c r="H32" s="10"/>
      <c r="I32" s="10">
        <f t="shared" si="5"/>
        <v>9629.4645767413494</v>
      </c>
      <c r="J32" s="10">
        <f t="shared" si="3"/>
        <v>79724944572.914993</v>
      </c>
      <c r="K32" s="11">
        <f t="shared" si="4"/>
        <v>4.2937799999999804E-2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8271826.1235758401</v>
      </c>
      <c r="D33" s="11">
        <v>5.9999999999999995E-4</v>
      </c>
      <c r="E33" s="10">
        <f t="shared" si="2"/>
        <v>4960.1196023831144</v>
      </c>
      <c r="F33" s="3"/>
      <c r="G33" s="26">
        <v>6.5</v>
      </c>
      <c r="H33" s="10"/>
      <c r="I33" s="10">
        <f t="shared" si="5"/>
        <v>9241.3287684657862</v>
      </c>
      <c r="J33" s="10">
        <f t="shared" si="3"/>
        <v>76442664723.548233</v>
      </c>
      <c r="K33" s="11">
        <f t="shared" si="4"/>
        <v>6.5638999999999781E-2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8266866.003973457</v>
      </c>
      <c r="D34" s="11">
        <v>8.0000000000000004E-4</v>
      </c>
      <c r="E34" s="10">
        <f t="shared" si="2"/>
        <v>6608.2062381878495</v>
      </c>
      <c r="F34" s="3"/>
      <c r="G34" s="26">
        <v>0.7</v>
      </c>
      <c r="H34" s="10"/>
      <c r="I34" s="10">
        <f t="shared" si="5"/>
        <v>8677.3040079490947</v>
      </c>
      <c r="J34" s="10">
        <f t="shared" ref="J34:J65" si="6">IF(I34="","",I34*C34)</f>
        <v>71734109509.457001</v>
      </c>
      <c r="K34" s="11">
        <f t="shared" ref="K34:K65" si="7">IFERROR(J34/J35-1,"")</f>
        <v>2.0815999999999946E-2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8260257.7977352692</v>
      </c>
      <c r="D35" s="11">
        <v>1.1000000000000001E-3</v>
      </c>
      <c r="E35" s="10">
        <f t="shared" si="2"/>
        <v>9076.2996478965506</v>
      </c>
      <c r="F35" s="3"/>
      <c r="G35" s="26">
        <v>-5.4</v>
      </c>
      <c r="H35" s="10"/>
      <c r="I35" s="10">
        <f t="shared" ref="I35:I66" si="8">IF(H35&lt;&gt;"",H35,I34/(1+IF(G34="",0,G34)/100))</f>
        <v>8507.1607921069553</v>
      </c>
      <c r="J35" s="10">
        <f t="shared" si="6"/>
        <v>70271341269.589233</v>
      </c>
      <c r="K35" s="11">
        <f t="shared" si="7"/>
        <v>-2.5929699999999944E-2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8251181.4980873726</v>
      </c>
      <c r="D36" s="11">
        <v>1.4E-3</v>
      </c>
      <c r="E36" s="10">
        <f t="shared" si="2"/>
        <v>11535.504391175695</v>
      </c>
      <c r="F36" s="3"/>
      <c r="G36" s="26">
        <v>-1.9</v>
      </c>
      <c r="H36" s="10"/>
      <c r="I36" s="10">
        <f t="shared" si="8"/>
        <v>8743.2279466669643</v>
      </c>
      <c r="J36" s="10">
        <f t="shared" si="6"/>
        <v>72141960667.098907</v>
      </c>
      <c r="K36" s="11">
        <f t="shared" si="7"/>
        <v>3.0440600000000151E-2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8239645.9936961969</v>
      </c>
      <c r="D37" s="11">
        <v>1.6000000000000001E-3</v>
      </c>
      <c r="E37" s="10">
        <f t="shared" si="2"/>
        <v>13162.373791847378</v>
      </c>
      <c r="F37" s="3"/>
      <c r="G37" s="26">
        <v>-2.4</v>
      </c>
      <c r="H37" s="10"/>
      <c r="I37" s="10">
        <f t="shared" si="8"/>
        <v>8496.8201619698393</v>
      </c>
      <c r="J37" s="10">
        <f t="shared" si="6"/>
        <v>70010790206.731857</v>
      </c>
      <c r="K37" s="11">
        <f t="shared" si="7"/>
        <v>3.0646399999999741E-2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8226483.6199043496</v>
      </c>
      <c r="D38" s="11">
        <v>1.9E-3</v>
      </c>
      <c r="E38" s="10">
        <f t="shared" si="2"/>
        <v>15600.677590396255</v>
      </c>
      <c r="F38" s="3"/>
      <c r="G38" s="26">
        <v>-0.6</v>
      </c>
      <c r="H38" s="10"/>
      <c r="I38" s="10">
        <f t="shared" si="8"/>
        <v>8257.3568143535867</v>
      </c>
      <c r="J38" s="10">
        <f t="shared" si="6"/>
        <v>67929010576.985344</v>
      </c>
      <c r="K38" s="11">
        <f t="shared" si="7"/>
        <v>3.2958899999999902E-2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8210882.9423139533</v>
      </c>
      <c r="D39" s="11">
        <v>2.3E-3</v>
      </c>
      <c r="E39" s="10">
        <f t="shared" si="2"/>
        <v>18841.694869122468</v>
      </c>
      <c r="F39" s="3"/>
      <c r="G39" s="26">
        <v>4.3</v>
      </c>
      <c r="H39" s="10"/>
      <c r="I39" s="10">
        <f t="shared" si="8"/>
        <v>8009.0754746397552</v>
      </c>
      <c r="J39" s="10">
        <f t="shared" si="6"/>
        <v>65761581198.424599</v>
      </c>
      <c r="K39" s="11">
        <f t="shared" si="7"/>
        <v>4.5398899999999909E-2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8192041.2474448308</v>
      </c>
      <c r="D40" s="11">
        <v>2.8E-3</v>
      </c>
      <c r="E40" s="10">
        <f t="shared" si="2"/>
        <v>22873.66921903193</v>
      </c>
      <c r="F40" s="3"/>
      <c r="G40" s="26">
        <v>2.9</v>
      </c>
      <c r="H40" s="10"/>
      <c r="I40" s="10">
        <f t="shared" si="8"/>
        <v>7678.8834847936296</v>
      </c>
      <c r="J40" s="10">
        <f t="shared" si="6"/>
        <v>62905730241.752312</v>
      </c>
      <c r="K40" s="11">
        <f t="shared" si="7"/>
        <v>3.1881199999999721E-2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8169167.5782257989</v>
      </c>
      <c r="D41" s="11">
        <v>3.3999999999999998E-3</v>
      </c>
      <c r="E41" s="10">
        <f t="shared" si="2"/>
        <v>27681.054181749932</v>
      </c>
      <c r="F41" s="3"/>
      <c r="G41" s="26">
        <v>5.4</v>
      </c>
      <c r="H41" s="10"/>
      <c r="I41" s="10">
        <f t="shared" si="8"/>
        <v>7462.4718025205348</v>
      </c>
      <c r="J41" s="10">
        <f t="shared" si="6"/>
        <v>60962182702.574989</v>
      </c>
      <c r="K41" s="11">
        <f t="shared" si="7"/>
        <v>5.7583600000000068E-2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8141486.524044049</v>
      </c>
      <c r="D42" s="11">
        <v>4.1000000000000003E-3</v>
      </c>
      <c r="E42" s="10">
        <f t="shared" si="2"/>
        <v>33243.795188308693</v>
      </c>
      <c r="F42" s="3"/>
      <c r="G42" s="26">
        <v>-2.2999999999999998</v>
      </c>
      <c r="H42" s="10"/>
      <c r="I42" s="10">
        <f t="shared" si="8"/>
        <v>7080.1440251617978</v>
      </c>
      <c r="J42" s="10">
        <f t="shared" si="6"/>
        <v>57642897169.145767</v>
      </c>
      <c r="K42" s="11">
        <f t="shared" si="7"/>
        <v>-1.899430000000002E-2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8108242.7288557403</v>
      </c>
      <c r="D43" s="11">
        <v>5.0000000000000001E-3</v>
      </c>
      <c r="E43" s="10">
        <f t="shared" si="2"/>
        <v>40339.516063958406</v>
      </c>
      <c r="F43" s="3"/>
      <c r="G43" s="26">
        <v>2.8</v>
      </c>
      <c r="H43" s="10"/>
      <c r="I43" s="10">
        <f t="shared" si="8"/>
        <v>7246.8209059997935</v>
      </c>
      <c r="J43" s="10">
        <f t="shared" si="6"/>
        <v>58758982918.392593</v>
      </c>
      <c r="K43" s="11">
        <f t="shared" si="7"/>
        <v>3.3139999999999947E-2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8067903.2127917819</v>
      </c>
      <c r="D44" s="11">
        <v>5.8999999999999999E-3</v>
      </c>
      <c r="E44" s="10">
        <f t="shared" si="2"/>
        <v>47321.432503700256</v>
      </c>
      <c r="F44" s="3"/>
      <c r="G44" s="26">
        <v>7.4</v>
      </c>
      <c r="H44" s="10"/>
      <c r="I44" s="10">
        <f t="shared" si="8"/>
        <v>7049.436678988126</v>
      </c>
      <c r="J44" s="10">
        <f t="shared" si="6"/>
        <v>56874172830.780533</v>
      </c>
      <c r="K44" s="11">
        <f t="shared" si="7"/>
        <v>8.0336600000000091E-2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8020581.7802880816</v>
      </c>
      <c r="D45" s="11">
        <v>6.7000000000000002E-3</v>
      </c>
      <c r="E45" s="10">
        <f t="shared" si="2"/>
        <v>53380.250251246616</v>
      </c>
      <c r="F45" s="3"/>
      <c r="G45" s="26">
        <v>4.9000000000000004</v>
      </c>
      <c r="H45" s="10"/>
      <c r="I45" s="10">
        <f t="shared" si="8"/>
        <v>6563.72130259602</v>
      </c>
      <c r="J45" s="10">
        <f t="shared" si="6"/>
        <v>52644863490.490395</v>
      </c>
      <c r="K45" s="11">
        <f t="shared" si="7"/>
        <v>5.602829999999992E-2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7967201.530036835</v>
      </c>
      <c r="D46" s="11">
        <v>7.4000000000000003E-3</v>
      </c>
      <c r="E46" s="10">
        <f t="shared" si="2"/>
        <v>58524.212152346037</v>
      </c>
      <c r="F46" s="3"/>
      <c r="G46" s="26">
        <v>4.5999999999999996</v>
      </c>
      <c r="H46" s="10"/>
      <c r="I46" s="10">
        <f t="shared" si="8"/>
        <v>6257.1223094337656</v>
      </c>
      <c r="J46" s="10">
        <f t="shared" si="6"/>
        <v>49851754437.348312</v>
      </c>
      <c r="K46" s="11">
        <f t="shared" si="7"/>
        <v>5.3740400000000133E-2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7908677.317884489</v>
      </c>
      <c r="D47" s="11">
        <v>8.0000000000000002E-3</v>
      </c>
      <c r="E47" s="10">
        <f t="shared" si="2"/>
        <v>62767.280300670303</v>
      </c>
      <c r="F47" s="3"/>
      <c r="G47" s="26">
        <v>2.2999999999999998</v>
      </c>
      <c r="H47" s="10"/>
      <c r="I47" s="10">
        <f t="shared" si="8"/>
        <v>5981.9524946785523</v>
      </c>
      <c r="J47" s="10">
        <f t="shared" si="6"/>
        <v>47309332011.326797</v>
      </c>
      <c r="K47" s="11">
        <f t="shared" si="7"/>
        <v>3.1183999999999878E-2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7845910.0375838187</v>
      </c>
      <c r="D48" s="11">
        <v>8.3000000000000001E-3</v>
      </c>
      <c r="E48" s="10">
        <f t="shared" si="2"/>
        <v>64584.997829956934</v>
      </c>
      <c r="F48" s="3"/>
      <c r="G48" s="26">
        <v>5.7</v>
      </c>
      <c r="H48" s="10"/>
      <c r="I48" s="10">
        <f t="shared" si="8"/>
        <v>5847.4608941139322</v>
      </c>
      <c r="J48" s="10">
        <f t="shared" si="6"/>
        <v>45878652123.507355</v>
      </c>
      <c r="K48" s="11">
        <f t="shared" si="7"/>
        <v>6.577310000000014E-2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7781325.0397538617</v>
      </c>
      <c r="D49" s="11">
        <v>8.3000000000000001E-3</v>
      </c>
      <c r="E49" s="10">
        <f t="shared" si="2"/>
        <v>64053.354983593337</v>
      </c>
      <c r="F49" s="3"/>
      <c r="G49" s="26">
        <v>4.4000000000000004</v>
      </c>
      <c r="H49" s="10"/>
      <c r="I49" s="10">
        <f t="shared" si="8"/>
        <v>5532.129511933711</v>
      </c>
      <c r="J49" s="10">
        <f t="shared" si="6"/>
        <v>43047297894.371094</v>
      </c>
      <c r="K49" s="11">
        <f t="shared" si="7"/>
        <v>5.2665200000000079E-2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7717271.6847702684</v>
      </c>
      <c r="D50" s="11">
        <v>7.9000000000000008E-3</v>
      </c>
      <c r="E50" s="10">
        <f t="shared" si="2"/>
        <v>60488.586476520635</v>
      </c>
      <c r="F50" s="3"/>
      <c r="G50" s="26">
        <v>3.8</v>
      </c>
      <c r="H50" s="10"/>
      <c r="I50" s="10">
        <f t="shared" si="8"/>
        <v>5298.9746282889946</v>
      </c>
      <c r="J50" s="10">
        <f t="shared" si="6"/>
        <v>40893626857.210716</v>
      </c>
      <c r="K50" s="11">
        <f t="shared" si="7"/>
        <v>4.6200200000000136E-2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7656783.0982937478</v>
      </c>
      <c r="D51" s="11">
        <v>7.1000000000000004E-3</v>
      </c>
      <c r="E51" s="10">
        <f t="shared" si="2"/>
        <v>53979.902688795701</v>
      </c>
      <c r="F51" s="3"/>
      <c r="G51" s="26">
        <v>6.2</v>
      </c>
      <c r="H51" s="10"/>
      <c r="I51" s="10">
        <f t="shared" si="8"/>
        <v>5104.9851910298594</v>
      </c>
      <c r="J51" s="10">
        <f t="shared" si="6"/>
        <v>39087764327.717308</v>
      </c>
      <c r="K51" s="11">
        <f t="shared" si="7"/>
        <v>6.9540200000000274E-2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7602803.1956049521</v>
      </c>
      <c r="D52" s="11">
        <v>6.3E-3</v>
      </c>
      <c r="E52" s="10">
        <f t="shared" si="2"/>
        <v>47597.794029922225</v>
      </c>
      <c r="F52" s="3"/>
      <c r="G52" s="26">
        <v>6.9</v>
      </c>
      <c r="H52" s="10"/>
      <c r="I52" s="10">
        <f t="shared" si="8"/>
        <v>4806.9540405177577</v>
      </c>
      <c r="J52" s="10">
        <f t="shared" si="6"/>
        <v>36546325540.374542</v>
      </c>
      <c r="K52" s="11">
        <f t="shared" si="7"/>
        <v>7.5734699999999933E-2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7555205.4015750298</v>
      </c>
      <c r="D53" s="11">
        <v>5.4999999999999997E-3</v>
      </c>
      <c r="E53" s="10">
        <f t="shared" si="2"/>
        <v>41326.33486689534</v>
      </c>
      <c r="F53" s="3"/>
      <c r="G53" s="26">
        <v>6.1</v>
      </c>
      <c r="H53" s="10"/>
      <c r="I53" s="10">
        <f t="shared" si="8"/>
        <v>4496.6829190998669</v>
      </c>
      <c r="J53" s="10">
        <f t="shared" si="6"/>
        <v>33973363079.553486</v>
      </c>
      <c r="K53" s="11">
        <f t="shared" si="7"/>
        <v>6.6835499999999826E-2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7513879.0667081345</v>
      </c>
      <c r="D54" s="11">
        <v>4.8999999999999998E-3</v>
      </c>
      <c r="E54" s="10">
        <f t="shared" si="2"/>
        <v>36638.478880355135</v>
      </c>
      <c r="F54" s="3"/>
      <c r="G54" s="26">
        <v>5.9</v>
      </c>
      <c r="H54" s="10"/>
      <c r="I54" s="10">
        <f t="shared" si="8"/>
        <v>4238.1554374174057</v>
      </c>
      <c r="J54" s="10">
        <f t="shared" si="6"/>
        <v>31844987422.665901</v>
      </c>
      <c r="K54" s="11">
        <f t="shared" si="7"/>
        <v>6.4189099999999888E-2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7477240.5878277794</v>
      </c>
      <c r="D55" s="11">
        <v>4.4000000000000003E-3</v>
      </c>
      <c r="E55" s="10">
        <f t="shared" si="2"/>
        <v>32755.733359659091</v>
      </c>
      <c r="F55" s="3"/>
      <c r="G55" s="26">
        <v>6.8</v>
      </c>
      <c r="H55" s="10"/>
      <c r="I55" s="10">
        <f t="shared" si="8"/>
        <v>4002.0353516689383</v>
      </c>
      <c r="J55" s="10">
        <f t="shared" si="6"/>
        <v>29924181165.420605</v>
      </c>
      <c r="K55" s="11">
        <f t="shared" si="7"/>
        <v>7.2699199999999964E-2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7444484.8544681203</v>
      </c>
      <c r="D56" s="11">
        <v>4.0000000000000001E-3</v>
      </c>
      <c r="E56" s="10">
        <f t="shared" si="2"/>
        <v>29659.302209036425</v>
      </c>
      <c r="F56" s="3"/>
      <c r="G56" s="26">
        <v>3.9</v>
      </c>
      <c r="H56" s="10"/>
      <c r="I56" s="10">
        <f t="shared" si="8"/>
        <v>3747.2241120495673</v>
      </c>
      <c r="J56" s="10">
        <f t="shared" si="6"/>
        <v>27896153148.450756</v>
      </c>
      <c r="K56" s="11">
        <f t="shared" si="7"/>
        <v>4.3155999999999972E-2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7414825.5522590838</v>
      </c>
      <c r="D57" s="11">
        <v>3.5000000000000001E-3</v>
      </c>
      <c r="E57" s="10">
        <f t="shared" si="2"/>
        <v>25861.374621731229</v>
      </c>
      <c r="F57" s="3"/>
      <c r="G57" s="26">
        <v>2.6</v>
      </c>
      <c r="H57" s="10"/>
      <c r="I57" s="10">
        <f t="shared" si="8"/>
        <v>3606.5679615491508</v>
      </c>
      <c r="J57" s="10">
        <f t="shared" si="6"/>
        <v>26742072277.253601</v>
      </c>
      <c r="K57" s="11">
        <f t="shared" si="7"/>
        <v>2.9590999999999923E-2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7388964.1776373526</v>
      </c>
      <c r="D58" s="11">
        <v>3.0000000000000001E-3</v>
      </c>
      <c r="E58" s="10">
        <f t="shared" si="2"/>
        <v>22100.590760629624</v>
      </c>
      <c r="F58" s="3"/>
      <c r="G58" s="26">
        <v>4.7</v>
      </c>
      <c r="H58" s="10"/>
      <c r="I58" s="10">
        <f t="shared" si="8"/>
        <v>3515.1734518022913</v>
      </c>
      <c r="J58" s="10">
        <f t="shared" si="6"/>
        <v>25973490713.548973</v>
      </c>
      <c r="K58" s="11">
        <f t="shared" si="7"/>
        <v>5.0140999999999769E-2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7366863.586876723</v>
      </c>
      <c r="D59" s="11">
        <v>2.5999999999999999E-3</v>
      </c>
      <c r="E59" s="10">
        <f t="shared" si="2"/>
        <v>19104.174472250976</v>
      </c>
      <c r="F59" s="3"/>
      <c r="G59" s="26">
        <v>1.3</v>
      </c>
      <c r="H59" s="10"/>
      <c r="I59" s="10">
        <f t="shared" si="8"/>
        <v>3357.3767447968403</v>
      </c>
      <c r="J59" s="10">
        <f t="shared" si="6"/>
        <v>24733336488.670547</v>
      </c>
      <c r="K59" s="11">
        <f t="shared" si="7"/>
        <v>1.5633799999999809E-2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7347759.412404472</v>
      </c>
      <c r="D60" s="11">
        <v>2.3999999999999998E-3</v>
      </c>
      <c r="E60" s="10">
        <f t="shared" si="2"/>
        <v>17592.400827784091</v>
      </c>
      <c r="F60" s="3"/>
      <c r="G60" s="26">
        <v>3.5</v>
      </c>
      <c r="H60" s="10"/>
      <c r="I60" s="10">
        <f t="shared" si="8"/>
        <v>3314.2909622871084</v>
      </c>
      <c r="J60" s="10">
        <f t="shared" si="6"/>
        <v>24352612613.592175</v>
      </c>
      <c r="K60" s="11">
        <f t="shared" si="7"/>
        <v>3.7483999999999851E-2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7330167.0115766879</v>
      </c>
      <c r="D61" s="11">
        <v>2.5999999999999999E-3</v>
      </c>
      <c r="E61" s="10">
        <f t="shared" si="2"/>
        <v>19009.0108020138</v>
      </c>
      <c r="F61" s="3"/>
      <c r="G61" s="26">
        <v>7.6</v>
      </c>
      <c r="H61" s="10"/>
      <c r="I61" s="10">
        <f t="shared" si="8"/>
        <v>3202.2134901324721</v>
      </c>
      <c r="J61" s="10">
        <f t="shared" si="6"/>
        <v>23472759689.394897</v>
      </c>
      <c r="K61" s="11">
        <f t="shared" si="7"/>
        <v>7.8797599999999912E-2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7311158.0007746741</v>
      </c>
      <c r="D62" s="11">
        <v>3.2000000000000002E-3</v>
      </c>
      <c r="E62" s="10">
        <f t="shared" si="2"/>
        <v>23321.07815239206</v>
      </c>
      <c r="F62" s="3"/>
      <c r="G62" s="26">
        <v>9.9</v>
      </c>
      <c r="H62" s="10"/>
      <c r="I62" s="10">
        <f t="shared" si="8"/>
        <v>2976.0348421305503</v>
      </c>
      <c r="J62" s="10">
        <f t="shared" si="6"/>
        <v>21758260946.626968</v>
      </c>
      <c r="K62" s="11">
        <f t="shared" si="7"/>
        <v>0.1025168000000003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7287836.9226222821</v>
      </c>
      <c r="D63" s="11">
        <v>4.0000000000000001E-3</v>
      </c>
      <c r="E63" s="10">
        <f t="shared" si="2"/>
        <v>29035.206863037311</v>
      </c>
      <c r="F63" s="3"/>
      <c r="G63" s="26">
        <v>-0.2</v>
      </c>
      <c r="H63" s="10"/>
      <c r="I63" s="10">
        <f t="shared" si="8"/>
        <v>2707.9479910196092</v>
      </c>
      <c r="J63" s="10">
        <f t="shared" si="6"/>
        <v>19735083353.493538</v>
      </c>
      <c r="K63" s="11">
        <f t="shared" si="7"/>
        <v>1.9919999999999938E-3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7258801.7157592447</v>
      </c>
      <c r="D64" s="11">
        <v>4.7000000000000002E-3</v>
      </c>
      <c r="E64" s="10">
        <f t="shared" si="2"/>
        <v>33956.771239243448</v>
      </c>
      <c r="F64" s="3"/>
      <c r="G64" s="26">
        <v>5.3</v>
      </c>
      <c r="H64" s="10"/>
      <c r="I64" s="10">
        <f t="shared" si="8"/>
        <v>2713.3747405006102</v>
      </c>
      <c r="J64" s="10">
        <f t="shared" si="6"/>
        <v>19695849221.843624</v>
      </c>
      <c r="K64" s="11">
        <f t="shared" si="7"/>
        <v>5.7949099999999865E-2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7224844.9445200013</v>
      </c>
      <c r="D65" s="11">
        <v>5.1999999999999998E-3</v>
      </c>
      <c r="E65" s="10">
        <f t="shared" si="2"/>
        <v>37374.844520000741</v>
      </c>
      <c r="F65" s="3"/>
      <c r="G65" s="26">
        <v>6.7</v>
      </c>
      <c r="H65" s="10"/>
      <c r="I65" s="10">
        <f t="shared" si="8"/>
        <v>2576.8041220328682</v>
      </c>
      <c r="J65" s="10">
        <f t="shared" si="6"/>
        <v>18617010234.087467</v>
      </c>
      <c r="K65" s="11">
        <f t="shared" si="7"/>
        <v>7.2548400000000068E-2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7187470.1000000006</v>
      </c>
      <c r="D66" s="11">
        <v>5.1000000000000004E-3</v>
      </c>
      <c r="E66" s="10">
        <f t="shared" si="2"/>
        <v>36470.100000000559</v>
      </c>
      <c r="F66" s="3"/>
      <c r="G66" s="26">
        <v>6.4</v>
      </c>
      <c r="H66" s="10"/>
      <c r="I66" s="10">
        <f t="shared" si="8"/>
        <v>2414.9991771629507</v>
      </c>
      <c r="J66" s="10">
        <f t="shared" ref="J66:J67" si="9">IF(I66="","",I66*C66)</f>
        <v>17357734377.383312</v>
      </c>
      <c r="K66" s="11">
        <f t="shared" ref="K66" si="10">IFERROR(J66/J67-1,"")</f>
        <v>6.9426399999999999E-2</v>
      </c>
    </row>
    <row r="67" spans="1:11" ht="22.5" customHeight="1">
      <c r="A67" s="3">
        <f t="shared" si="0"/>
        <v>1950</v>
      </c>
      <c r="B67" s="3">
        <v>1700</v>
      </c>
      <c r="C67" s="10">
        <v>7151000</v>
      </c>
      <c r="D67" s="11">
        <v>4.4000000000000003E-3</v>
      </c>
      <c r="E67" s="3" t="s">
        <v>72</v>
      </c>
      <c r="F67" s="3"/>
      <c r="G67" s="26">
        <v>6.9</v>
      </c>
      <c r="H67" s="10"/>
      <c r="I67" s="10">
        <f t="shared" ref="I67" si="11">IF(H67&lt;&gt;"",H67,I66/(1+IF(G66="",0,G66)/100))</f>
        <v>2269.7360687621717</v>
      </c>
      <c r="J67" s="10">
        <f t="shared" si="9"/>
        <v>16230882627.71829</v>
      </c>
      <c r="K67" s="11"/>
    </row>
  </sheetData>
  <dataValidations count="1">
    <dataValidation type="custom" allowBlank="1" showDropDown="1" sqref="D2:D67" xr:uid="{00000000-0002-0000-3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16057740.199083162</v>
      </c>
      <c r="D2" s="11">
        <v>1.15E-2</v>
      </c>
      <c r="E2" s="10">
        <f t="shared" ref="E2:E66" si="2">SUM(C2-C3)</f>
        <v>182564.52030593902</v>
      </c>
      <c r="F2" s="14"/>
      <c r="G2" s="26">
        <v>6.36</v>
      </c>
      <c r="H2" s="10"/>
      <c r="I2" s="10">
        <f>IF(H2&lt;&gt;"",H2,12480)</f>
        <v>1560</v>
      </c>
      <c r="J2" s="10">
        <f t="shared" ref="J2:J33" si="3">IF(I2="","",I2*C2)</f>
        <v>25050074710.569733</v>
      </c>
      <c r="K2" s="11">
        <f t="shared" ref="K2:K33" si="4">IFERROR(J2/J3-1,"")</f>
        <v>7.5831400000000215E-2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15875175.678777223</v>
      </c>
      <c r="D3" s="11">
        <v>1.1900000000000001E-2</v>
      </c>
      <c r="E3" s="10">
        <f t="shared" si="2"/>
        <v>186692.94453745335</v>
      </c>
      <c r="F3" s="3"/>
      <c r="G3" s="26">
        <v>7.3</v>
      </c>
      <c r="H3" s="10"/>
      <c r="I3" s="10">
        <f t="shared" ref="I3:I34" si="5">IF(H3&lt;&gt;"",H3,I2/(1+IF(G2="",0,G2)/100))</f>
        <v>1466.7168108311394</v>
      </c>
      <c r="J3" s="10">
        <f t="shared" si="3"/>
        <v>23284387042.960197</v>
      </c>
      <c r="K3" s="11">
        <f t="shared" si="4"/>
        <v>8.5768699999999809E-2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15688482.73423977</v>
      </c>
      <c r="D4" s="11">
        <v>1.2200000000000001E-2</v>
      </c>
      <c r="E4" s="10">
        <f t="shared" si="2"/>
        <v>189092.56012420915</v>
      </c>
      <c r="F4" s="3"/>
      <c r="G4" s="26">
        <v>17.52</v>
      </c>
      <c r="H4" s="10"/>
      <c r="I4" s="10">
        <f t="shared" si="5"/>
        <v>1366.9308581837274</v>
      </c>
      <c r="J4" s="10">
        <f t="shared" si="3"/>
        <v>21445071167.514961</v>
      </c>
      <c r="K4" s="11">
        <f t="shared" si="4"/>
        <v>0.18953744000000006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15499390.174115561</v>
      </c>
      <c r="D5" s="11">
        <v>1.2500000000000001E-2</v>
      </c>
      <c r="E5" s="10">
        <f t="shared" si="2"/>
        <v>191350.49597673491</v>
      </c>
      <c r="F5" s="3"/>
      <c r="G5" s="26">
        <v>8.67</v>
      </c>
      <c r="H5" s="10"/>
      <c r="I5" s="10">
        <f t="shared" si="5"/>
        <v>1163.1474286791417</v>
      </c>
      <c r="J5" s="10">
        <f t="shared" si="3"/>
        <v>18028075827.117271</v>
      </c>
      <c r="K5" s="11">
        <f t="shared" si="4"/>
        <v>0.10028375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15308039.678138826</v>
      </c>
      <c r="D6" s="11">
        <v>1.2699999999999999E-2</v>
      </c>
      <c r="E6" s="10">
        <f t="shared" si="2"/>
        <v>191974.03368456848</v>
      </c>
      <c r="F6" s="3"/>
      <c r="G6" s="26">
        <v>7.33</v>
      </c>
      <c r="H6" s="10"/>
      <c r="I6" s="10">
        <f t="shared" si="5"/>
        <v>1070.3482365686407</v>
      </c>
      <c r="J6" s="10">
        <f t="shared" si="3"/>
        <v>16384933274.818674</v>
      </c>
      <c r="K6" s="11">
        <f t="shared" si="4"/>
        <v>8.6930909999999972E-2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15116065.644454258</v>
      </c>
      <c r="D7" s="11">
        <v>1.2800000000000001E-2</v>
      </c>
      <c r="E7" s="10">
        <f t="shared" si="2"/>
        <v>191040.32410052605</v>
      </c>
      <c r="F7" s="3"/>
      <c r="G7" s="26">
        <v>8.6199999999999992</v>
      </c>
      <c r="H7" s="10"/>
      <c r="I7" s="10">
        <f t="shared" si="5"/>
        <v>997.24982443738077</v>
      </c>
      <c r="J7" s="10">
        <f t="shared" si="3"/>
        <v>15074493810.115931</v>
      </c>
      <c r="K7" s="11">
        <f t="shared" si="4"/>
        <v>0.10010335999999986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14925025.320353732</v>
      </c>
      <c r="D8" s="11">
        <v>1.2699999999999999E-2</v>
      </c>
      <c r="E8" s="10">
        <f t="shared" si="2"/>
        <v>187170.75300532393</v>
      </c>
      <c r="F8" s="3"/>
      <c r="G8" s="26">
        <v>0.54</v>
      </c>
      <c r="H8" s="10"/>
      <c r="I8" s="10">
        <f t="shared" si="5"/>
        <v>918.10884223658695</v>
      </c>
      <c r="J8" s="10">
        <f t="shared" si="3"/>
        <v>13702797717.22171</v>
      </c>
      <c r="K8" s="11">
        <f t="shared" si="4"/>
        <v>1.816857999999999E-2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14737854.567348408</v>
      </c>
      <c r="D9" s="11">
        <v>1.23E-2</v>
      </c>
      <c r="E9" s="10">
        <f t="shared" si="2"/>
        <v>179073.01311704516</v>
      </c>
      <c r="F9" s="3"/>
      <c r="G9" s="26">
        <v>7.43</v>
      </c>
      <c r="H9" s="10"/>
      <c r="I9" s="10">
        <f t="shared" si="5"/>
        <v>913.17768274973832</v>
      </c>
      <c r="J9" s="10">
        <f t="shared" si="3"/>
        <v>13458279882.513866</v>
      </c>
      <c r="K9" s="11">
        <f t="shared" si="4"/>
        <v>8.7513890000000094E-2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14558781.554231362</v>
      </c>
      <c r="D10" s="11">
        <v>1.2200000000000001E-2</v>
      </c>
      <c r="E10" s="10">
        <f t="shared" si="2"/>
        <v>175476.32381112687</v>
      </c>
      <c r="F10" s="3"/>
      <c r="G10" s="26">
        <v>8.58</v>
      </c>
      <c r="H10" s="10"/>
      <c r="I10" s="10">
        <f t="shared" si="5"/>
        <v>850.02111398095349</v>
      </c>
      <c r="J10" s="10">
        <f t="shared" si="3"/>
        <v>12375271714.9331</v>
      </c>
      <c r="K10" s="11">
        <f t="shared" si="4"/>
        <v>9.9046760000000011E-2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14383305.230420236</v>
      </c>
      <c r="D11" s="11">
        <v>1.2500000000000001E-2</v>
      </c>
      <c r="E11" s="10">
        <f t="shared" si="2"/>
        <v>177571.66951136105</v>
      </c>
      <c r="F11" s="3"/>
      <c r="G11" s="26">
        <v>5.1100000000000003</v>
      </c>
      <c r="H11" s="10"/>
      <c r="I11" s="10">
        <f t="shared" si="5"/>
        <v>782.85237979457861</v>
      </c>
      <c r="J11" s="10">
        <f t="shared" si="3"/>
        <v>11260004728.946291</v>
      </c>
      <c r="K11" s="11">
        <f t="shared" si="4"/>
        <v>6.4238750000000122E-2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14205733.560908874</v>
      </c>
      <c r="D12" s="11">
        <v>1.3100000000000001E-2</v>
      </c>
      <c r="E12" s="10">
        <f t="shared" si="2"/>
        <v>183688.78654417954</v>
      </c>
      <c r="F12" s="3"/>
      <c r="G12" s="26">
        <v>6.14</v>
      </c>
      <c r="H12" s="10"/>
      <c r="I12" s="10">
        <f t="shared" si="5"/>
        <v>744.793435253143</v>
      </c>
      <c r="J12" s="10">
        <f t="shared" si="3"/>
        <v>10580337099.120184</v>
      </c>
      <c r="K12" s="11">
        <f t="shared" si="4"/>
        <v>7.530433999999997E-2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14022044.774364695</v>
      </c>
      <c r="D13" s="11">
        <v>1.37E-2</v>
      </c>
      <c r="E13" s="10">
        <f t="shared" si="2"/>
        <v>189505.78416572697</v>
      </c>
      <c r="F13" s="3"/>
      <c r="G13" s="26">
        <v>6.74</v>
      </c>
      <c r="H13" s="10"/>
      <c r="I13" s="10">
        <f t="shared" si="5"/>
        <v>701.7085314237263</v>
      </c>
      <c r="J13" s="10">
        <f t="shared" si="3"/>
        <v>9839388446.1771851</v>
      </c>
      <c r="K13" s="11">
        <f t="shared" si="4"/>
        <v>8.2023379999999868E-2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13832538.990198968</v>
      </c>
      <c r="D14" s="11">
        <v>1.44E-2</v>
      </c>
      <c r="E14" s="10">
        <f t="shared" si="2"/>
        <v>196360.96358326636</v>
      </c>
      <c r="F14" s="3"/>
      <c r="G14" s="26">
        <v>5.58</v>
      </c>
      <c r="H14" s="10"/>
      <c r="I14" s="10">
        <f t="shared" si="5"/>
        <v>657.39978585696679</v>
      </c>
      <c r="J14" s="10">
        <f t="shared" si="3"/>
        <v>9093508170.014946</v>
      </c>
      <c r="K14" s="11">
        <f t="shared" si="4"/>
        <v>7.100352000000032E-2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13636178.026615702</v>
      </c>
      <c r="D15" s="11">
        <v>1.4999999999999999E-2</v>
      </c>
      <c r="E15" s="10">
        <f t="shared" si="2"/>
        <v>201519.87231451645</v>
      </c>
      <c r="F15" s="3"/>
      <c r="G15" s="26">
        <v>2.95</v>
      </c>
      <c r="H15" s="10"/>
      <c r="I15" s="10">
        <f t="shared" si="5"/>
        <v>622.65560319849089</v>
      </c>
      <c r="J15" s="10">
        <f t="shared" si="3"/>
        <v>8490642654.4844065</v>
      </c>
      <c r="K15" s="11">
        <f t="shared" si="4"/>
        <v>4.4942499999999885E-2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13434658.154301185</v>
      </c>
      <c r="D16" s="11">
        <v>1.5699999999999999E-2</v>
      </c>
      <c r="E16" s="10">
        <f t="shared" si="2"/>
        <v>207663.81118689477</v>
      </c>
      <c r="F16" s="3"/>
      <c r="G16" s="26">
        <v>-2.1</v>
      </c>
      <c r="H16" s="10"/>
      <c r="I16" s="10">
        <f t="shared" si="5"/>
        <v>604.81360194122476</v>
      </c>
      <c r="J16" s="10">
        <f t="shared" si="3"/>
        <v>8125463989.1519461</v>
      </c>
      <c r="K16" s="11">
        <f t="shared" si="4"/>
        <v>-5.6296999999999597E-3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13226994.34311429</v>
      </c>
      <c r="D17" s="11">
        <v>1.6199999999999999E-2</v>
      </c>
      <c r="E17" s="10">
        <f t="shared" si="2"/>
        <v>210861.35441689752</v>
      </c>
      <c r="F17" s="3"/>
      <c r="G17" s="26">
        <v>-16.91</v>
      </c>
      <c r="H17" s="10"/>
      <c r="I17" s="10">
        <f t="shared" si="5"/>
        <v>617.78713170707329</v>
      </c>
      <c r="J17" s="10">
        <f t="shared" si="3"/>
        <v>8171466896.3382616</v>
      </c>
      <c r="K17" s="11">
        <f t="shared" si="4"/>
        <v>-0.15563941999999997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13016132.988697393</v>
      </c>
      <c r="D18" s="11">
        <v>1.6199999999999999E-2</v>
      </c>
      <c r="E18" s="10">
        <f t="shared" si="2"/>
        <v>207499.85673774593</v>
      </c>
      <c r="F18" s="3"/>
      <c r="G18" s="26">
        <v>-4.2699999999999996</v>
      </c>
      <c r="H18" s="10"/>
      <c r="I18" s="10">
        <f t="shared" si="5"/>
        <v>743.5156236696032</v>
      </c>
      <c r="J18" s="10">
        <f t="shared" si="3"/>
        <v>9677698236.8578377</v>
      </c>
      <c r="K18" s="11">
        <f t="shared" si="4"/>
        <v>-2.7191739999999909E-2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12808633.131959647</v>
      </c>
      <c r="D19" s="11">
        <v>1.61E-2</v>
      </c>
      <c r="E19" s="10">
        <f t="shared" si="2"/>
        <v>202951.47468216717</v>
      </c>
      <c r="F19" s="3"/>
      <c r="G19" s="26">
        <v>-1.62</v>
      </c>
      <c r="H19" s="10"/>
      <c r="I19" s="10">
        <f t="shared" si="5"/>
        <v>776.67985341021949</v>
      </c>
      <c r="J19" s="10">
        <f t="shared" si="3"/>
        <v>9948207303.3156986</v>
      </c>
      <c r="K19" s="11">
        <f t="shared" si="4"/>
        <v>-3.6082000000003944E-4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12605681.65727748</v>
      </c>
      <c r="D20" s="11">
        <v>1.7000000000000001E-2</v>
      </c>
      <c r="E20" s="10">
        <f t="shared" si="2"/>
        <v>210714.44264868833</v>
      </c>
      <c r="F20" s="3"/>
      <c r="G20" s="26">
        <v>-5.62</v>
      </c>
      <c r="H20" s="10"/>
      <c r="I20" s="10">
        <f t="shared" si="5"/>
        <v>789.46925534683828</v>
      </c>
      <c r="J20" s="10">
        <f t="shared" si="3"/>
        <v>9951798111.1101494</v>
      </c>
      <c r="K20" s="11">
        <f t="shared" si="4"/>
        <v>-4.0155400000000174E-2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12394967.214628791</v>
      </c>
      <c r="D21" s="11">
        <v>1.6899999999999998E-2</v>
      </c>
      <c r="E21" s="10">
        <f t="shared" si="2"/>
        <v>205993.65318834223</v>
      </c>
      <c r="F21" s="3"/>
      <c r="G21" s="26">
        <v>-1.02</v>
      </c>
      <c r="H21" s="10"/>
      <c r="I21" s="10">
        <f t="shared" si="5"/>
        <v>836.47939748552483</v>
      </c>
      <c r="J21" s="10">
        <f t="shared" si="3"/>
        <v>10368134707.545525</v>
      </c>
      <c r="K21" s="11">
        <f t="shared" si="4"/>
        <v>6.5276199999997342E-3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12188973.561440449</v>
      </c>
      <c r="D22" s="11">
        <v>1.7500000000000002E-2</v>
      </c>
      <c r="E22" s="10">
        <f t="shared" si="2"/>
        <v>209638.36592158116</v>
      </c>
      <c r="F22" s="3"/>
      <c r="G22" s="26">
        <v>0.7</v>
      </c>
      <c r="H22" s="10"/>
      <c r="I22" s="10">
        <f t="shared" si="5"/>
        <v>845.09941148264784</v>
      </c>
      <c r="J22" s="10">
        <f t="shared" si="3"/>
        <v>10300894383.350878</v>
      </c>
      <c r="K22" s="11">
        <f t="shared" si="4"/>
        <v>2.462249999999977E-2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11979335.195518868</v>
      </c>
      <c r="D23" s="11">
        <v>1.7999999999999999E-2</v>
      </c>
      <c r="E23" s="10">
        <f t="shared" si="2"/>
        <v>211815.35709168948</v>
      </c>
      <c r="F23" s="3"/>
      <c r="G23" s="26">
        <v>-3.9</v>
      </c>
      <c r="H23" s="10"/>
      <c r="I23" s="10">
        <f t="shared" si="5"/>
        <v>839.22483761931278</v>
      </c>
      <c r="J23" s="10">
        <f t="shared" si="3"/>
        <v>10053355634.246641</v>
      </c>
      <c r="K23" s="11">
        <f t="shared" si="4"/>
        <v>-2.1701999999999999E-2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11767519.838427179</v>
      </c>
      <c r="D24" s="11">
        <v>1.9E-2</v>
      </c>
      <c r="E24" s="10">
        <f t="shared" si="2"/>
        <v>219414.0107263159</v>
      </c>
      <c r="F24" s="3"/>
      <c r="G24" s="26">
        <v>-13.47</v>
      </c>
      <c r="H24" s="10"/>
      <c r="I24" s="10">
        <f t="shared" si="5"/>
        <v>873.2828695310227</v>
      </c>
      <c r="J24" s="10">
        <f t="shared" si="3"/>
        <v>10276373491.764923</v>
      </c>
      <c r="K24" s="11">
        <f t="shared" si="4"/>
        <v>-0.11825930000000007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11548105.827700863</v>
      </c>
      <c r="D25" s="11">
        <v>1.9300000000000001E-2</v>
      </c>
      <c r="E25" s="10">
        <f t="shared" si="2"/>
        <v>218658.33657865971</v>
      </c>
      <c r="F25" s="3"/>
      <c r="G25" s="26">
        <v>-10.5</v>
      </c>
      <c r="H25" s="10"/>
      <c r="I25" s="10">
        <f t="shared" si="5"/>
        <v>1009.2255512897524</v>
      </c>
      <c r="J25" s="10">
        <f t="shared" si="3"/>
        <v>11654643470.313805</v>
      </c>
      <c r="K25" s="11">
        <f t="shared" si="4"/>
        <v>-8.7726500000000041E-2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11329447.491122203</v>
      </c>
      <c r="D26" s="11">
        <v>1.9599999999999999E-2</v>
      </c>
      <c r="E26" s="10">
        <f t="shared" si="2"/>
        <v>217788.51591408066</v>
      </c>
      <c r="F26" s="3"/>
      <c r="G26" s="26">
        <v>-8.42</v>
      </c>
      <c r="H26" s="10"/>
      <c r="I26" s="10">
        <f t="shared" si="5"/>
        <v>1127.6263142902262</v>
      </c>
      <c r="J26" s="10">
        <f t="shared" si="3"/>
        <v>12775383117.35878</v>
      </c>
      <c r="K26" s="11">
        <f t="shared" si="4"/>
        <v>-6.6250319999999863E-2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11111658.975208122</v>
      </c>
      <c r="D27" s="11">
        <v>1.9800000000000002E-2</v>
      </c>
      <c r="E27" s="10">
        <f t="shared" si="2"/>
        <v>215739.21132488921</v>
      </c>
      <c r="F27" s="3"/>
      <c r="G27" s="26">
        <v>-6.57</v>
      </c>
      <c r="H27" s="10"/>
      <c r="I27" s="10">
        <f t="shared" si="5"/>
        <v>1231.3019374210812</v>
      </c>
      <c r="J27" s="10">
        <f t="shared" si="3"/>
        <v>13681807224.136106</v>
      </c>
      <c r="K27" s="11">
        <f t="shared" si="4"/>
        <v>-4.72008599999999E-2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10895919.763883233</v>
      </c>
      <c r="D28" s="11">
        <v>2.06E-2</v>
      </c>
      <c r="E28" s="10">
        <f t="shared" si="2"/>
        <v>219925.48220261931</v>
      </c>
      <c r="F28" s="3"/>
      <c r="G28" s="26">
        <v>-1.27</v>
      </c>
      <c r="H28" s="10"/>
      <c r="I28" s="10">
        <f t="shared" si="5"/>
        <v>1317.8871212898225</v>
      </c>
      <c r="J28" s="10">
        <f t="shared" si="3"/>
        <v>14359592331.428957</v>
      </c>
      <c r="K28" s="11">
        <f t="shared" si="4"/>
        <v>7.6383799999997226E-3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10675994.281680614</v>
      </c>
      <c r="D29" s="11">
        <v>2.0899999999999998E-2</v>
      </c>
      <c r="E29" s="10">
        <f t="shared" si="2"/>
        <v>218560.36877962947</v>
      </c>
      <c r="F29" s="3"/>
      <c r="G29" s="26">
        <v>0.47</v>
      </c>
      <c r="H29" s="10"/>
      <c r="I29" s="10">
        <f t="shared" si="5"/>
        <v>1334.8395840067078</v>
      </c>
      <c r="J29" s="10">
        <f t="shared" si="3"/>
        <v>14250739765.816542</v>
      </c>
      <c r="K29" s="11">
        <f t="shared" si="4"/>
        <v>2.5698229999999711E-2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10457433.912900984</v>
      </c>
      <c r="D30" s="11">
        <v>2.12E-2</v>
      </c>
      <c r="E30" s="10">
        <f t="shared" si="2"/>
        <v>217095.18111388758</v>
      </c>
      <c r="F30" s="3"/>
      <c r="G30" s="26">
        <v>2.68</v>
      </c>
      <c r="H30" s="10"/>
      <c r="I30" s="10">
        <f t="shared" si="5"/>
        <v>1328.5951866295491</v>
      </c>
      <c r="J30" s="10">
        <f t="shared" si="3"/>
        <v>13893696361.176859</v>
      </c>
      <c r="K30" s="11">
        <f t="shared" si="4"/>
        <v>4.8568160000000082E-2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10240338.731787097</v>
      </c>
      <c r="D31" s="11">
        <v>2.1499999999999998E-2</v>
      </c>
      <c r="E31" s="10">
        <f t="shared" si="2"/>
        <v>215533.31643017381</v>
      </c>
      <c r="F31" s="3"/>
      <c r="G31" s="26">
        <v>4.72</v>
      </c>
      <c r="H31" s="10"/>
      <c r="I31" s="10">
        <f t="shared" si="5"/>
        <v>1293.9181794210647</v>
      </c>
      <c r="J31" s="10">
        <f t="shared" si="3"/>
        <v>13250160448.488974</v>
      </c>
      <c r="K31" s="11">
        <f t="shared" si="4"/>
        <v>6.9714799999999855E-2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10024805.415356923</v>
      </c>
      <c r="D32" s="11">
        <v>2.1899999999999999E-2</v>
      </c>
      <c r="E32" s="10">
        <f t="shared" si="2"/>
        <v>214838.28025865182</v>
      </c>
      <c r="F32" s="3"/>
      <c r="G32" s="26">
        <v>0.47</v>
      </c>
      <c r="H32" s="10"/>
      <c r="I32" s="10">
        <f t="shared" si="5"/>
        <v>1235.5979559024684</v>
      </c>
      <c r="J32" s="10">
        <f t="shared" si="3"/>
        <v>12386629079.535009</v>
      </c>
      <c r="K32" s="11">
        <f t="shared" si="4"/>
        <v>2.6702929999999903E-2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9809967.1350982711</v>
      </c>
      <c r="D33" s="11">
        <v>2.2200000000000001E-2</v>
      </c>
      <c r="E33" s="10">
        <f t="shared" si="2"/>
        <v>213051.5265106447</v>
      </c>
      <c r="F33" s="3"/>
      <c r="G33" s="26">
        <v>5.54</v>
      </c>
      <c r="H33" s="10"/>
      <c r="I33" s="10">
        <f t="shared" si="5"/>
        <v>1229.8178121851979</v>
      </c>
      <c r="J33" s="10">
        <f t="shared" si="3"/>
        <v>12064472319.69525</v>
      </c>
      <c r="K33" s="11">
        <f t="shared" si="4"/>
        <v>7.8829879999999797E-2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9596915.6085876264</v>
      </c>
      <c r="D34" s="11">
        <v>2.2499999999999999E-2</v>
      </c>
      <c r="E34" s="10">
        <f t="shared" si="2"/>
        <v>211179.07207161002</v>
      </c>
      <c r="F34" s="3"/>
      <c r="G34" s="26">
        <v>0.11</v>
      </c>
      <c r="H34" s="10"/>
      <c r="I34" s="10">
        <f t="shared" si="5"/>
        <v>1165.2622817748702</v>
      </c>
      <c r="J34" s="10">
        <f t="shared" ref="J34:J65" si="6">IF(I34="","",I34*C34)</f>
        <v>11182923780.063684</v>
      </c>
      <c r="K34" s="11">
        <f t="shared" ref="K34:K65" si="7">IFERROR(J34/J35-1,"")</f>
        <v>3.6917250000000124E-2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9385736.5365160163</v>
      </c>
      <c r="D35" s="11">
        <v>2.2700000000000001E-2</v>
      </c>
      <c r="E35" s="10">
        <f t="shared" si="2"/>
        <v>208327.19211783819</v>
      </c>
      <c r="F35" s="3"/>
      <c r="G35" s="26">
        <v>-3.16</v>
      </c>
      <c r="H35" s="10"/>
      <c r="I35" s="10">
        <f t="shared" ref="I35:I66" si="8">IF(H35&lt;&gt;"",H35,I34/(1+IF(G34="",0,G34)/100))</f>
        <v>1149.0605283254808</v>
      </c>
      <c r="J35" s="10">
        <f t="shared" si="6"/>
        <v>10784779383.372862</v>
      </c>
      <c r="K35" s="11">
        <f t="shared" si="7"/>
        <v>1.7995579999999789E-2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9177409.3443981782</v>
      </c>
      <c r="D36" s="11">
        <v>2.29E-2</v>
      </c>
      <c r="E36" s="10">
        <f t="shared" si="2"/>
        <v>205457.69282111339</v>
      </c>
      <c r="F36" s="3"/>
      <c r="G36" s="26">
        <v>-2.45</v>
      </c>
      <c r="H36" s="10"/>
      <c r="I36" s="10">
        <f t="shared" si="8"/>
        <v>1154.3706332383774</v>
      </c>
      <c r="J36" s="10">
        <f t="shared" si="6"/>
        <v>10594131836.380728</v>
      </c>
      <c r="K36" s="11">
        <f t="shared" si="7"/>
        <v>4.6938149999999901E-2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8971951.6515770648</v>
      </c>
      <c r="D37" s="11">
        <v>2.3099999999999999E-2</v>
      </c>
      <c r="E37" s="10">
        <f t="shared" si="2"/>
        <v>202572.65482497215</v>
      </c>
      <c r="F37" s="3"/>
      <c r="G37" s="26">
        <v>-3.11</v>
      </c>
      <c r="H37" s="10"/>
      <c r="I37" s="10">
        <f t="shared" si="8"/>
        <v>1127.8657872382778</v>
      </c>
      <c r="J37" s="10">
        <f t="shared" si="6"/>
        <v>10119157312.569733</v>
      </c>
      <c r="K37" s="11">
        <f t="shared" si="7"/>
        <v>4.5505889999999827E-2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8769378.9967520926</v>
      </c>
      <c r="D38" s="11">
        <v>2.3300000000000001E-2</v>
      </c>
      <c r="E38" s="10">
        <f t="shared" si="2"/>
        <v>199674.12354571</v>
      </c>
      <c r="F38" s="3"/>
      <c r="G38" s="26">
        <v>-3.27</v>
      </c>
      <c r="H38" s="10"/>
      <c r="I38" s="10">
        <f t="shared" si="8"/>
        <v>1103.6948695941655</v>
      </c>
      <c r="J38" s="10">
        <f t="shared" si="6"/>
        <v>9678718608.242115</v>
      </c>
      <c r="K38" s="11">
        <f t="shared" si="7"/>
        <v>2.7700190000000013E-2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8569704.8732063826</v>
      </c>
      <c r="D39" s="11">
        <v>2.3599999999999999E-2</v>
      </c>
      <c r="E39" s="10">
        <f t="shared" si="2"/>
        <v>197582.09750651754</v>
      </c>
      <c r="F39" s="3"/>
      <c r="G39" s="26">
        <v>-5.35</v>
      </c>
      <c r="H39" s="10"/>
      <c r="I39" s="10">
        <f t="shared" si="8"/>
        <v>1098.9693015972971</v>
      </c>
      <c r="J39" s="10">
        <f t="shared" si="6"/>
        <v>9417842579.4025726</v>
      </c>
      <c r="K39" s="11">
        <f t="shared" si="7"/>
        <v>-3.1162599999999818E-2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8372122.7756998651</v>
      </c>
      <c r="D40" s="11">
        <v>2.3800000000000002E-2</v>
      </c>
      <c r="E40" s="10">
        <f t="shared" si="2"/>
        <v>194624.45991566405</v>
      </c>
      <c r="F40" s="3"/>
      <c r="G40" s="26">
        <v>0.76</v>
      </c>
      <c r="H40" s="10"/>
      <c r="I40" s="10">
        <f t="shared" si="8"/>
        <v>1161.087481877757</v>
      </c>
      <c r="J40" s="10">
        <f t="shared" si="6"/>
        <v>9720766951.6087742</v>
      </c>
      <c r="K40" s="11">
        <f t="shared" si="7"/>
        <v>3.1580880000000144E-2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8177498.315784201</v>
      </c>
      <c r="D41" s="11">
        <v>2.41E-2</v>
      </c>
      <c r="E41" s="10">
        <f t="shared" si="2"/>
        <v>192439.90763636306</v>
      </c>
      <c r="F41" s="3"/>
      <c r="G41" s="26">
        <v>5.31</v>
      </c>
      <c r="H41" s="10"/>
      <c r="I41" s="10">
        <f t="shared" si="8"/>
        <v>1152.3297755833237</v>
      </c>
      <c r="J41" s="10">
        <f t="shared" si="6"/>
        <v>9423174799.0606155</v>
      </c>
      <c r="K41" s="11">
        <f t="shared" si="7"/>
        <v>7.8479709999999869E-2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7985058.408147838</v>
      </c>
      <c r="D42" s="11">
        <v>2.4400000000000002E-2</v>
      </c>
      <c r="E42" s="10">
        <f t="shared" si="2"/>
        <v>190194.67508669198</v>
      </c>
      <c r="F42" s="3"/>
      <c r="G42" s="26">
        <v>4.9800000000000004</v>
      </c>
      <c r="H42" s="10"/>
      <c r="I42" s="10">
        <f t="shared" si="8"/>
        <v>1094.226356075704</v>
      </c>
      <c r="J42" s="10">
        <f t="shared" si="6"/>
        <v>8737461364.9992695</v>
      </c>
      <c r="K42" s="11">
        <f t="shared" si="7"/>
        <v>7.5415120000000169E-2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7794863.733061146</v>
      </c>
      <c r="D43" s="11">
        <v>2.4799999999999999E-2</v>
      </c>
      <c r="E43" s="10">
        <f t="shared" si="2"/>
        <v>188634.48534339946</v>
      </c>
      <c r="F43" s="3"/>
      <c r="G43" s="26">
        <v>3.13</v>
      </c>
      <c r="H43" s="10"/>
      <c r="I43" s="10">
        <f t="shared" si="8"/>
        <v>1042.3188760484891</v>
      </c>
      <c r="J43" s="10">
        <f t="shared" si="6"/>
        <v>8124733605.1954231</v>
      </c>
      <c r="K43" s="11">
        <f t="shared" si="7"/>
        <v>5.6876240000000022E-2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7606229.2477177465</v>
      </c>
      <c r="D44" s="11">
        <v>2.5100000000000001E-2</v>
      </c>
      <c r="E44" s="10">
        <f t="shared" si="2"/>
        <v>186241.68775506224</v>
      </c>
      <c r="F44" s="3"/>
      <c r="G44" s="26">
        <v>8.14</v>
      </c>
      <c r="H44" s="10"/>
      <c r="I44" s="10">
        <f t="shared" si="8"/>
        <v>1010.6844526796169</v>
      </c>
      <c r="J44" s="10">
        <f t="shared" si="6"/>
        <v>7687497644.1853046</v>
      </c>
      <c r="K44" s="11">
        <f t="shared" si="7"/>
        <v>0.10854313999999965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7419987.5599626843</v>
      </c>
      <c r="D45" s="11">
        <v>2.5499999999999998E-2</v>
      </c>
      <c r="E45" s="10">
        <f t="shared" si="2"/>
        <v>184504.81012096442</v>
      </c>
      <c r="F45" s="3"/>
      <c r="G45" s="26">
        <v>0.15</v>
      </c>
      <c r="H45" s="10"/>
      <c r="I45" s="10">
        <f t="shared" si="8"/>
        <v>934.60740954283062</v>
      </c>
      <c r="J45" s="10">
        <f t="shared" si="6"/>
        <v>6934775352.256753</v>
      </c>
      <c r="K45" s="11">
        <f t="shared" si="7"/>
        <v>2.7038250000000152E-2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7235482.7498417199</v>
      </c>
      <c r="D46" s="11">
        <v>2.58E-2</v>
      </c>
      <c r="E46" s="10">
        <f t="shared" si="2"/>
        <v>181980.36161621846</v>
      </c>
      <c r="F46" s="3"/>
      <c r="G46" s="26">
        <v>6.01</v>
      </c>
      <c r="H46" s="10"/>
      <c r="I46" s="10">
        <f t="shared" si="8"/>
        <v>933.20759814561211</v>
      </c>
      <c r="J46" s="10">
        <f t="shared" si="6"/>
        <v>6752207478.4038</v>
      </c>
      <c r="K46" s="11">
        <f t="shared" si="7"/>
        <v>8.7450580000000055E-2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7053502.3882255014</v>
      </c>
      <c r="D47" s="11">
        <v>2.6100000000000002E-2</v>
      </c>
      <c r="E47" s="10">
        <f t="shared" si="2"/>
        <v>179413.71438718028</v>
      </c>
      <c r="F47" s="3"/>
      <c r="G47" s="26">
        <v>-0.25</v>
      </c>
      <c r="H47" s="10"/>
      <c r="I47" s="10">
        <f t="shared" si="8"/>
        <v>880.30147924310165</v>
      </c>
      <c r="J47" s="10">
        <f t="shared" si="6"/>
        <v>6209208586.1996593</v>
      </c>
      <c r="K47" s="11">
        <f t="shared" si="7"/>
        <v>2.3534750000000049E-2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6874088.6738383211</v>
      </c>
      <c r="D48" s="11">
        <v>2.6599999999999999E-2</v>
      </c>
      <c r="E48" s="10">
        <f t="shared" si="2"/>
        <v>178112.95414387248</v>
      </c>
      <c r="F48" s="3"/>
      <c r="G48" s="26">
        <v>9.33</v>
      </c>
      <c r="H48" s="10"/>
      <c r="I48" s="10">
        <f t="shared" si="8"/>
        <v>882.50774861463822</v>
      </c>
      <c r="J48" s="10">
        <f t="shared" si="6"/>
        <v>6066436519.3264408</v>
      </c>
      <c r="K48" s="11">
        <f t="shared" si="7"/>
        <v>0.12238177999999977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6695975.7196944486</v>
      </c>
      <c r="D49" s="11">
        <v>2.7199999999999998E-2</v>
      </c>
      <c r="E49" s="10">
        <f t="shared" si="2"/>
        <v>177307.7682785131</v>
      </c>
      <c r="F49" s="3"/>
      <c r="G49" s="26">
        <v>4.33</v>
      </c>
      <c r="H49" s="10"/>
      <c r="I49" s="10">
        <f t="shared" si="8"/>
        <v>807.1963309381124</v>
      </c>
      <c r="J49" s="10">
        <f t="shared" si="6"/>
        <v>5404967032.9880457</v>
      </c>
      <c r="K49" s="11">
        <f t="shared" si="7"/>
        <v>7.1677760000000035E-2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6518667.9514159355</v>
      </c>
      <c r="D50" s="11">
        <v>2.7799999999999998E-2</v>
      </c>
      <c r="E50" s="10">
        <f t="shared" si="2"/>
        <v>176317.34680809826</v>
      </c>
      <c r="F50" s="3"/>
      <c r="G50" s="26">
        <v>-0.99</v>
      </c>
      <c r="H50" s="10"/>
      <c r="I50" s="10">
        <f t="shared" si="8"/>
        <v>773.69532343344429</v>
      </c>
      <c r="J50" s="10">
        <f t="shared" si="6"/>
        <v>5043462909.02598</v>
      </c>
      <c r="K50" s="11">
        <f t="shared" si="7"/>
        <v>1.7624780000000007E-2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6342350.6046078373</v>
      </c>
      <c r="D51" s="11">
        <v>2.8299999999999999E-2</v>
      </c>
      <c r="E51" s="10">
        <f t="shared" si="2"/>
        <v>174548.79131615441</v>
      </c>
      <c r="F51" s="3"/>
      <c r="G51" s="26">
        <v>6.78</v>
      </c>
      <c r="H51" s="10"/>
      <c r="I51" s="10">
        <f t="shared" si="8"/>
        <v>781.43149523628347</v>
      </c>
      <c r="J51" s="10">
        <f t="shared" si="6"/>
        <v>4956112516.2714491</v>
      </c>
      <c r="K51" s="11">
        <f t="shared" si="7"/>
        <v>9.8018740000000104E-2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6167801.8132916829</v>
      </c>
      <c r="D52" s="11">
        <v>2.8799999999999999E-2</v>
      </c>
      <c r="E52" s="10">
        <f t="shared" si="2"/>
        <v>172660.08186508529</v>
      </c>
      <c r="F52" s="3"/>
      <c r="G52" s="26">
        <v>1</v>
      </c>
      <c r="H52" s="10"/>
      <c r="I52" s="10">
        <f t="shared" si="8"/>
        <v>731.81447390549113</v>
      </c>
      <c r="J52" s="10">
        <f t="shared" si="6"/>
        <v>4513686639.1473875</v>
      </c>
      <c r="K52" s="11">
        <f t="shared" si="7"/>
        <v>3.9088000000000012E-2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5995141.7314265976</v>
      </c>
      <c r="D53" s="11">
        <v>2.93E-2</v>
      </c>
      <c r="E53" s="10">
        <f t="shared" si="2"/>
        <v>170657.3911695322</v>
      </c>
      <c r="F53" s="3"/>
      <c r="G53" s="26">
        <v>-2.44</v>
      </c>
      <c r="H53" s="10"/>
      <c r="I53" s="10">
        <f t="shared" si="8"/>
        <v>724.56878604504072</v>
      </c>
      <c r="J53" s="10">
        <f t="shared" si="6"/>
        <v>4343892566.5077333</v>
      </c>
      <c r="K53" s="11">
        <f t="shared" si="7"/>
        <v>4.1850799999998411E-3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5824484.3402570654</v>
      </c>
      <c r="D54" s="11">
        <v>2.98E-2</v>
      </c>
      <c r="E54" s="10">
        <f t="shared" si="2"/>
        <v>168546.93468601722</v>
      </c>
      <c r="F54" s="3"/>
      <c r="G54" s="26">
        <v>5.21</v>
      </c>
      <c r="H54" s="10"/>
      <c r="I54" s="10">
        <f t="shared" si="8"/>
        <v>742.69043260049273</v>
      </c>
      <c r="J54" s="10">
        <f t="shared" si="6"/>
        <v>4325788794.3403158</v>
      </c>
      <c r="K54" s="11">
        <f t="shared" si="7"/>
        <v>8.3452580000000109E-2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5655937.4055710481</v>
      </c>
      <c r="D55" s="11">
        <v>3.0200000000000001E-2</v>
      </c>
      <c r="E55" s="10">
        <f t="shared" si="2"/>
        <v>165802.08663196024</v>
      </c>
      <c r="F55" s="3"/>
      <c r="G55" s="26">
        <v>21.2</v>
      </c>
      <c r="H55" s="10"/>
      <c r="I55" s="10">
        <f t="shared" si="8"/>
        <v>705.91239673081714</v>
      </c>
      <c r="J55" s="10">
        <f t="shared" si="6"/>
        <v>3992596329.7261381</v>
      </c>
      <c r="K55" s="11">
        <f t="shared" si="7"/>
        <v>0.24860239999999978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5490135.3189390879</v>
      </c>
      <c r="D56" s="11">
        <v>3.0599999999999999E-2</v>
      </c>
      <c r="E56" s="10">
        <f t="shared" si="2"/>
        <v>163010.03372747544</v>
      </c>
      <c r="F56" s="3"/>
      <c r="G56" s="26">
        <v>-10.85</v>
      </c>
      <c r="H56" s="10"/>
      <c r="I56" s="10">
        <f t="shared" si="8"/>
        <v>582.43597090001413</v>
      </c>
      <c r="J56" s="10">
        <f t="shared" si="6"/>
        <v>3197652294.8587465</v>
      </c>
      <c r="K56" s="11">
        <f t="shared" si="7"/>
        <v>-8.1220099999999906E-2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5327125.2852116125</v>
      </c>
      <c r="D57" s="11">
        <v>3.09E-2</v>
      </c>
      <c r="E57" s="10">
        <f t="shared" si="2"/>
        <v>159674.23737805616</v>
      </c>
      <c r="F57" s="3"/>
      <c r="G57" s="26">
        <v>2.29</v>
      </c>
      <c r="H57" s="10"/>
      <c r="I57" s="10">
        <f t="shared" si="8"/>
        <v>653.32133583849031</v>
      </c>
      <c r="J57" s="10">
        <f t="shared" si="6"/>
        <v>3480324607.5134492</v>
      </c>
      <c r="K57" s="11">
        <f t="shared" si="7"/>
        <v>5.4507609999999707E-2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5167451.0478335563</v>
      </c>
      <c r="D58" s="11">
        <v>3.1199999999999999E-2</v>
      </c>
      <c r="E58" s="10">
        <f t="shared" si="2"/>
        <v>156346.46304539032</v>
      </c>
      <c r="F58" s="3"/>
      <c r="G58" s="26">
        <v>3.47</v>
      </c>
      <c r="H58" s="10"/>
      <c r="I58" s="10">
        <f t="shared" si="8"/>
        <v>638.69521540569986</v>
      </c>
      <c r="J58" s="10">
        <f t="shared" si="6"/>
        <v>3300426260.0944629</v>
      </c>
      <c r="K58" s="11">
        <f t="shared" si="7"/>
        <v>6.6982639999999982E-2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5011104.584788166</v>
      </c>
      <c r="D59" s="11">
        <v>3.1399999999999997E-2</v>
      </c>
      <c r="E59" s="10">
        <f t="shared" si="2"/>
        <v>152558.35171839129</v>
      </c>
      <c r="F59" s="3"/>
      <c r="G59" s="26">
        <v>-2.91</v>
      </c>
      <c r="H59" s="10"/>
      <c r="I59" s="10">
        <f t="shared" si="8"/>
        <v>617.27574698530964</v>
      </c>
      <c r="J59" s="10">
        <f t="shared" si="6"/>
        <v>3093233325.7966251</v>
      </c>
      <c r="K59" s="11">
        <f t="shared" si="7"/>
        <v>1.3862600000000835E-3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4858546.2330697747</v>
      </c>
      <c r="D60" s="11">
        <v>3.1600000000000003E-2</v>
      </c>
      <c r="E60" s="10">
        <f t="shared" si="2"/>
        <v>148827.12385130394</v>
      </c>
      <c r="F60" s="3"/>
      <c r="G60" s="26">
        <v>3.17</v>
      </c>
      <c r="H60" s="10"/>
      <c r="I60" s="10">
        <f t="shared" si="8"/>
        <v>635.77685341982658</v>
      </c>
      <c r="J60" s="10">
        <f t="shared" si="6"/>
        <v>3088951236.2558527</v>
      </c>
      <c r="K60" s="11">
        <f t="shared" si="7"/>
        <v>6.4301720000000007E-2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4709719.1092184708</v>
      </c>
      <c r="D61" s="11">
        <v>3.15E-2</v>
      </c>
      <c r="E61" s="10">
        <f t="shared" si="2"/>
        <v>143825.64414966758</v>
      </c>
      <c r="F61" s="3"/>
      <c r="G61" s="26">
        <v>6.76</v>
      </c>
      <c r="H61" s="10"/>
      <c r="I61" s="10">
        <f t="shared" si="8"/>
        <v>616.24198257228511</v>
      </c>
      <c r="J61" s="10">
        <f t="shared" si="6"/>
        <v>2902326641.2233672</v>
      </c>
      <c r="K61" s="11">
        <f t="shared" si="7"/>
        <v>0.10122940000000025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4565893.4650688032</v>
      </c>
      <c r="D62" s="11">
        <v>3.1300000000000001E-2</v>
      </c>
      <c r="E62" s="10">
        <f t="shared" si="2"/>
        <v>138575.06589416694</v>
      </c>
      <c r="F62" s="3"/>
      <c r="G62" s="26">
        <v>3.97</v>
      </c>
      <c r="H62" s="10"/>
      <c r="I62" s="10">
        <f t="shared" si="8"/>
        <v>577.22178959562109</v>
      </c>
      <c r="J62" s="10">
        <f t="shared" si="6"/>
        <v>2635533197.0099659</v>
      </c>
      <c r="K62" s="11">
        <f t="shared" si="7"/>
        <v>7.2242610000000429E-2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4427318.3991746362</v>
      </c>
      <c r="D63" s="11">
        <v>3.0800000000000001E-2</v>
      </c>
      <c r="E63" s="10">
        <f t="shared" si="2"/>
        <v>132286.96807778254</v>
      </c>
      <c r="F63" s="3"/>
      <c r="G63" s="26">
        <v>5.94</v>
      </c>
      <c r="H63" s="10"/>
      <c r="I63" s="10">
        <f t="shared" si="8"/>
        <v>555.18109992846109</v>
      </c>
      <c r="J63" s="10">
        <f t="shared" si="6"/>
        <v>2457963498.5872879</v>
      </c>
      <c r="K63" s="11">
        <f t="shared" si="7"/>
        <v>9.2029519999999421E-2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4295031.4310968537</v>
      </c>
      <c r="D64" s="11">
        <v>3.0300000000000001E-2</v>
      </c>
      <c r="E64" s="10">
        <f t="shared" si="2"/>
        <v>126312.19291685382</v>
      </c>
      <c r="F64" s="3"/>
      <c r="G64" s="26">
        <v>5.77</v>
      </c>
      <c r="H64" s="10"/>
      <c r="I64" s="10">
        <f t="shared" si="8"/>
        <v>524.05238807670491</v>
      </c>
      <c r="J64" s="10">
        <f t="shared" si="6"/>
        <v>2250821478.3308139</v>
      </c>
      <c r="K64" s="11">
        <f t="shared" si="7"/>
        <v>8.9748310000000053E-2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4168719.2381799999</v>
      </c>
      <c r="D65" s="11">
        <v>2.9700000000000001E-2</v>
      </c>
      <c r="E65" s="10">
        <f t="shared" si="2"/>
        <v>120239.83818000043</v>
      </c>
      <c r="F65" s="3"/>
      <c r="G65" s="26">
        <v>9.11</v>
      </c>
      <c r="H65" s="10"/>
      <c r="I65" s="10">
        <f t="shared" si="8"/>
        <v>495.46410898809199</v>
      </c>
      <c r="J65" s="10">
        <f t="shared" si="6"/>
        <v>2065450762.9663713</v>
      </c>
      <c r="K65" s="11">
        <f t="shared" si="7"/>
        <v>0.1235056699999999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4048479.3999999994</v>
      </c>
      <c r="D66" s="11">
        <v>2.9100000000000001E-2</v>
      </c>
      <c r="E66" s="10">
        <f t="shared" si="2"/>
        <v>114479.39999999944</v>
      </c>
      <c r="F66" s="3"/>
      <c r="G66" s="26">
        <v>11.58</v>
      </c>
      <c r="H66" s="10"/>
      <c r="I66" s="10">
        <f t="shared" si="8"/>
        <v>454.0959664449565</v>
      </c>
      <c r="J66" s="10">
        <f t="shared" ref="J66:J67" si="9">IF(I66="","",I66*C66)</f>
        <v>1838398165.7754974</v>
      </c>
      <c r="K66" s="11">
        <f t="shared" ref="K66" si="10">IFERROR(J66/J67-1,"")</f>
        <v>0.14826977999999968</v>
      </c>
    </row>
    <row r="67" spans="1:11" ht="22.5" customHeight="1">
      <c r="A67" s="3">
        <f t="shared" si="0"/>
        <v>1950</v>
      </c>
      <c r="B67" s="3">
        <v>1700</v>
      </c>
      <c r="C67" s="10">
        <v>3934000</v>
      </c>
      <c r="D67" s="11">
        <v>2.8500000000000001E-2</v>
      </c>
      <c r="E67" s="3" t="s">
        <v>72</v>
      </c>
      <c r="F67" s="3"/>
      <c r="G67" s="26"/>
      <c r="H67" s="10"/>
      <c r="I67" s="10">
        <f t="shared" ref="I67" si="11">IF(H67&lt;&gt;"",H67,I66/(1+IF(G66="",0,G66)/100))</f>
        <v>406.9689607859442</v>
      </c>
      <c r="J67" s="10">
        <f t="shared" si="9"/>
        <v>1601015891.7319045</v>
      </c>
      <c r="K67" s="11"/>
    </row>
  </sheetData>
  <dataValidations count="1">
    <dataValidation type="custom" allowBlank="1" showDropDown="1" sqref="D2:D67" xr:uid="{00000000-0002-0000-3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15795141.513968688</v>
      </c>
      <c r="D2" s="11">
        <v>2.1899999999999999E-2</v>
      </c>
      <c r="E2" s="10">
        <f t="shared" ref="E2:E66" si="2">SUM(C2-C3)</f>
        <v>338500.43953020312</v>
      </c>
      <c r="F2" s="14">
        <v>15795087</v>
      </c>
      <c r="G2" s="26">
        <v>0.65</v>
      </c>
      <c r="H2" s="10"/>
      <c r="I2" s="10">
        <f>IF(H2&lt;&gt;"",H2,149208)</f>
        <v>18651</v>
      </c>
      <c r="J2" s="10">
        <f t="shared" ref="J2:J33" si="3">IF(I2="","",I2*C2)</f>
        <v>294595184377.02997</v>
      </c>
      <c r="K2" s="11">
        <f t="shared" ref="K2:K33" si="4">IFERROR(J2/J3-1,"")</f>
        <v>2.8542349999999939E-2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15456641.074438484</v>
      </c>
      <c r="D3" s="11">
        <v>2.0400000000000001E-2</v>
      </c>
      <c r="E3" s="10">
        <f t="shared" si="2"/>
        <v>309011.64045329764</v>
      </c>
      <c r="F3" s="3"/>
      <c r="G3" s="26">
        <v>2.87</v>
      </c>
      <c r="H3" s="10"/>
      <c r="I3" s="10">
        <f t="shared" ref="I3:I34" si="5">IF(H3&lt;&gt;"",H3,I2/(1+IF(G2="",0,G2)/100))</f>
        <v>18530.551415797319</v>
      </c>
      <c r="J3" s="10">
        <f t="shared" si="3"/>
        <v>286420082145.40704</v>
      </c>
      <c r="K3" s="11">
        <f t="shared" si="4"/>
        <v>4.9685479999999949E-2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15147629.433985187</v>
      </c>
      <c r="D4" s="11">
        <v>1.9199999999999998E-2</v>
      </c>
      <c r="E4" s="10">
        <f t="shared" si="2"/>
        <v>285355.65652719513</v>
      </c>
      <c r="F4" s="3"/>
      <c r="G4" s="26">
        <v>2.33</v>
      </c>
      <c r="H4" s="10"/>
      <c r="I4" s="10">
        <f t="shared" si="5"/>
        <v>18013.562181196969</v>
      </c>
      <c r="J4" s="10">
        <f t="shared" si="3"/>
        <v>272862764706.82159</v>
      </c>
      <c r="K4" s="11">
        <f t="shared" si="4"/>
        <v>4.2947360000000323E-2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14862273.777457992</v>
      </c>
      <c r="D5" s="11">
        <v>1.8800000000000001E-2</v>
      </c>
      <c r="E5" s="10">
        <f t="shared" si="2"/>
        <v>274254.75757382065</v>
      </c>
      <c r="F5" s="3"/>
      <c r="G5" s="26">
        <v>1.76</v>
      </c>
      <c r="H5" s="10"/>
      <c r="I5" s="10">
        <f t="shared" si="5"/>
        <v>17603.402893772076</v>
      </c>
      <c r="J5" s="10">
        <f t="shared" si="3"/>
        <v>261626593222.13684</v>
      </c>
      <c r="K5" s="11">
        <f t="shared" si="4"/>
        <v>3.673087999999991E-2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14588019.019884171</v>
      </c>
      <c r="D6" s="11">
        <v>1.8800000000000001E-2</v>
      </c>
      <c r="E6" s="10">
        <f t="shared" si="2"/>
        <v>269193.91202769987</v>
      </c>
      <c r="F6" s="3"/>
      <c r="G6" s="26">
        <v>3.14</v>
      </c>
      <c r="H6" s="10"/>
      <c r="I6" s="10">
        <f t="shared" si="5"/>
        <v>17298.941522967842</v>
      </c>
      <c r="J6" s="10">
        <f t="shared" si="3"/>
        <v>252357287960.91891</v>
      </c>
      <c r="K6" s="11">
        <f t="shared" si="4"/>
        <v>5.0790319999999944E-2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14318825.107856471</v>
      </c>
      <c r="D7" s="11">
        <v>1.8800000000000001E-2</v>
      </c>
      <c r="E7" s="10">
        <f t="shared" si="2"/>
        <v>264226.45467972197</v>
      </c>
      <c r="F7" s="3"/>
      <c r="G7" s="26">
        <v>3.09</v>
      </c>
      <c r="H7" s="10"/>
      <c r="I7" s="10">
        <f t="shared" si="5"/>
        <v>16772.29156774078</v>
      </c>
      <c r="J7" s="10">
        <f t="shared" si="3"/>
        <v>240159509616.45605</v>
      </c>
      <c r="K7" s="11">
        <f t="shared" si="4"/>
        <v>5.028091999999984E-2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14054598.653176749</v>
      </c>
      <c r="D8" s="11">
        <v>1.8700000000000001E-2</v>
      </c>
      <c r="E8" s="10">
        <f t="shared" si="2"/>
        <v>257996.4609938208</v>
      </c>
      <c r="F8" s="3"/>
      <c r="G8" s="26">
        <v>2.92</v>
      </c>
      <c r="H8" s="10"/>
      <c r="I8" s="10">
        <f t="shared" si="5"/>
        <v>16269.562098885228</v>
      </c>
      <c r="J8" s="10">
        <f t="shared" si="3"/>
        <v>228662165562.76782</v>
      </c>
      <c r="K8" s="11">
        <f t="shared" si="4"/>
        <v>4.8446039999999968E-2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13796602.192182928</v>
      </c>
      <c r="D9" s="11">
        <v>1.77E-2</v>
      </c>
      <c r="E9" s="10">
        <f t="shared" si="2"/>
        <v>239952.69608100504</v>
      </c>
      <c r="F9" s="3"/>
      <c r="G9" s="26">
        <v>1</v>
      </c>
      <c r="H9" s="10"/>
      <c r="I9" s="10">
        <f t="shared" si="5"/>
        <v>15807.969392620706</v>
      </c>
      <c r="J9" s="10">
        <f t="shared" si="3"/>
        <v>218096265176.19147</v>
      </c>
      <c r="K9" s="11">
        <f t="shared" si="4"/>
        <v>2.7877000000000152E-2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13556649.496101923</v>
      </c>
      <c r="D10" s="11">
        <v>1.5900000000000001E-2</v>
      </c>
      <c r="E10" s="10">
        <f t="shared" si="2"/>
        <v>212177.11092432402</v>
      </c>
      <c r="F10" s="3"/>
      <c r="G10" s="26">
        <v>2.0499999999999998</v>
      </c>
      <c r="H10" s="10"/>
      <c r="I10" s="10">
        <f t="shared" si="5"/>
        <v>15651.454844178916</v>
      </c>
      <c r="J10" s="10">
        <f t="shared" si="3"/>
        <v>212181287426.6001</v>
      </c>
      <c r="K10" s="11">
        <f t="shared" si="4"/>
        <v>3.6725949999999896E-2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13344472.385177599</v>
      </c>
      <c r="D11" s="11">
        <v>1.46E-2</v>
      </c>
      <c r="E11" s="10">
        <f t="shared" si="2"/>
        <v>192025.72129271924</v>
      </c>
      <c r="F11" s="3"/>
      <c r="G11" s="26">
        <v>2.64</v>
      </c>
      <c r="H11" s="10"/>
      <c r="I11" s="10">
        <f t="shared" si="5"/>
        <v>15337.045413208149</v>
      </c>
      <c r="J11" s="10">
        <f t="shared" si="3"/>
        <v>204664778986.7709</v>
      </c>
      <c r="K11" s="11">
        <f t="shared" si="4"/>
        <v>4.1385439999999996E-2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13152446.66388488</v>
      </c>
      <c r="D12" s="11">
        <v>1.9099999999999999E-2</v>
      </c>
      <c r="E12" s="10">
        <f t="shared" si="2"/>
        <v>246503.51415974833</v>
      </c>
      <c r="F12" s="3"/>
      <c r="G12" s="26">
        <v>3.21</v>
      </c>
      <c r="H12" s="10"/>
      <c r="I12" s="10">
        <f t="shared" si="5"/>
        <v>14942.561782159148</v>
      </c>
      <c r="J12" s="10">
        <f t="shared" si="3"/>
        <v>196531246861.6528</v>
      </c>
      <c r="K12" s="11">
        <f t="shared" si="4"/>
        <v>5.1813109999999885E-2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12905943.149725132</v>
      </c>
      <c r="D13" s="11">
        <v>2.1299999999999999E-2</v>
      </c>
      <c r="E13" s="10">
        <f t="shared" si="2"/>
        <v>269163.4084883444</v>
      </c>
      <c r="F13" s="3"/>
      <c r="G13" s="26">
        <v>4.09</v>
      </c>
      <c r="H13" s="10"/>
      <c r="I13" s="10">
        <f t="shared" si="5"/>
        <v>14477.823643212041</v>
      </c>
      <c r="J13" s="10">
        <f t="shared" si="3"/>
        <v>186849968871.04099</v>
      </c>
      <c r="K13" s="11">
        <f t="shared" si="4"/>
        <v>6.3071169999999954E-2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12636779.741236787</v>
      </c>
      <c r="D14" s="11">
        <v>1.5299999999999999E-2</v>
      </c>
      <c r="E14" s="10">
        <f t="shared" si="2"/>
        <v>190429.16383425891</v>
      </c>
      <c r="F14" s="3"/>
      <c r="G14" s="26">
        <v>1.81</v>
      </c>
      <c r="H14" s="10"/>
      <c r="I14" s="10">
        <f t="shared" si="5"/>
        <v>13908.947682978232</v>
      </c>
      <c r="J14" s="10">
        <f t="shared" si="3"/>
        <v>175764308302.18167</v>
      </c>
      <c r="K14" s="11">
        <f t="shared" si="4"/>
        <v>3.3676929999999938E-2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12446350.577402528</v>
      </c>
      <c r="D15" s="11">
        <v>1.2699999999999999E-2</v>
      </c>
      <c r="E15" s="10">
        <f t="shared" si="2"/>
        <v>156086.35561667942</v>
      </c>
      <c r="F15" s="3"/>
      <c r="G15" s="26">
        <v>3</v>
      </c>
      <c r="H15" s="10"/>
      <c r="I15" s="10">
        <f t="shared" si="5"/>
        <v>13661.67143009354</v>
      </c>
      <c r="J15" s="10">
        <f t="shared" si="3"/>
        <v>170037952092.22836</v>
      </c>
      <c r="K15" s="11">
        <f t="shared" si="4"/>
        <v>4.3080999999999925E-2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12290264.221785849</v>
      </c>
      <c r="D16" s="11">
        <v>1.3899999999999999E-2</v>
      </c>
      <c r="E16" s="10">
        <f t="shared" si="2"/>
        <v>168492.62519264594</v>
      </c>
      <c r="F16" s="3"/>
      <c r="G16" s="26">
        <v>3.88</v>
      </c>
      <c r="H16" s="10"/>
      <c r="I16" s="10">
        <f t="shared" si="5"/>
        <v>13263.758669993727</v>
      </c>
      <c r="J16" s="10">
        <f t="shared" si="3"/>
        <v>163015098628.22577</v>
      </c>
      <c r="K16" s="11">
        <f t="shared" si="4"/>
        <v>5.3239319999999868E-2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12121771.596593203</v>
      </c>
      <c r="D17" s="11">
        <v>1.4200000000000001E-2</v>
      </c>
      <c r="E17" s="10">
        <f t="shared" si="2"/>
        <v>169719.14481524751</v>
      </c>
      <c r="F17" s="3"/>
      <c r="G17" s="26">
        <v>5.14</v>
      </c>
      <c r="H17" s="10"/>
      <c r="I17" s="10">
        <f t="shared" si="5"/>
        <v>12768.346813625076</v>
      </c>
      <c r="J17" s="10">
        <f t="shared" si="3"/>
        <v>154774983740.85178</v>
      </c>
      <c r="K17" s="11">
        <f t="shared" si="4"/>
        <v>6.6329880000000063E-2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11952052.451777956</v>
      </c>
      <c r="D18" s="11">
        <v>1.3299999999999999E-2</v>
      </c>
      <c r="E18" s="10">
        <f t="shared" si="2"/>
        <v>156875.84881935082</v>
      </c>
      <c r="F18" s="3"/>
      <c r="G18" s="26">
        <v>5.14</v>
      </c>
      <c r="H18" s="10"/>
      <c r="I18" s="10">
        <f t="shared" si="5"/>
        <v>12144.138114537833</v>
      </c>
      <c r="J18" s="10">
        <f t="shared" si="3"/>
        <v>145147375726.59201</v>
      </c>
      <c r="K18" s="11">
        <f t="shared" si="4"/>
        <v>6.5383619999999976E-2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11795176.602958605</v>
      </c>
      <c r="D19" s="11">
        <v>1.17E-2</v>
      </c>
      <c r="E19" s="10">
        <f t="shared" si="2"/>
        <v>136407.5973654408</v>
      </c>
      <c r="F19" s="3"/>
      <c r="G19" s="26">
        <v>3.89</v>
      </c>
      <c r="H19" s="10"/>
      <c r="I19" s="10">
        <f t="shared" si="5"/>
        <v>11550.445229729727</v>
      </c>
      <c r="J19" s="10">
        <f t="shared" si="3"/>
        <v>136239541327.46289</v>
      </c>
      <c r="K19" s="11">
        <f t="shared" si="4"/>
        <v>5.1055129999999949E-2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11658769.005593164</v>
      </c>
      <c r="D20" s="11">
        <v>1.0500000000000001E-2</v>
      </c>
      <c r="E20" s="10">
        <f t="shared" si="2"/>
        <v>121145.05151779018</v>
      </c>
      <c r="F20" s="3"/>
      <c r="G20" s="26">
        <v>4.28</v>
      </c>
      <c r="H20" s="10"/>
      <c r="I20" s="10">
        <f t="shared" si="5"/>
        <v>11117.956713571784</v>
      </c>
      <c r="J20" s="10">
        <f t="shared" si="3"/>
        <v>129621689137.71715</v>
      </c>
      <c r="K20" s="11">
        <f t="shared" si="4"/>
        <v>5.3749399999999836E-2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11537623.954075374</v>
      </c>
      <c r="D21" s="11">
        <v>1.0800000000000001E-2</v>
      </c>
      <c r="E21" s="10">
        <f t="shared" si="2"/>
        <v>123274.96903839894</v>
      </c>
      <c r="F21" s="3"/>
      <c r="G21" s="26">
        <v>1.69</v>
      </c>
      <c r="H21" s="10"/>
      <c r="I21" s="10">
        <f t="shared" si="5"/>
        <v>10661.638582251424</v>
      </c>
      <c r="J21" s="10">
        <f t="shared" si="3"/>
        <v>123009976696.27823</v>
      </c>
      <c r="K21" s="11">
        <f t="shared" si="4"/>
        <v>2.7882519999999911E-2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11414348.985036975</v>
      </c>
      <c r="D22" s="11">
        <v>1.2200000000000001E-2</v>
      </c>
      <c r="E22" s="10">
        <f t="shared" si="2"/>
        <v>137576.6228190586</v>
      </c>
      <c r="F22" s="3"/>
      <c r="G22" s="26">
        <v>2.68</v>
      </c>
      <c r="H22" s="10"/>
      <c r="I22" s="10">
        <f t="shared" si="5"/>
        <v>10484.451354362694</v>
      </c>
      <c r="J22" s="10">
        <f t="shared" si="3"/>
        <v>119673186675.33936</v>
      </c>
      <c r="K22" s="11">
        <f t="shared" si="4"/>
        <v>3.9326959999999911E-2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11276772.362217916</v>
      </c>
      <c r="D23" s="11">
        <v>1.2699999999999999E-2</v>
      </c>
      <c r="E23" s="10">
        <f t="shared" si="2"/>
        <v>141418.98785441555</v>
      </c>
      <c r="F23" s="3"/>
      <c r="G23" s="26">
        <v>4.49</v>
      </c>
      <c r="H23" s="10"/>
      <c r="I23" s="10">
        <f t="shared" si="5"/>
        <v>10210.801864396859</v>
      </c>
      <c r="J23" s="10">
        <f t="shared" si="3"/>
        <v>115144888260.51367</v>
      </c>
      <c r="K23" s="11">
        <f t="shared" si="4"/>
        <v>5.8170229999999767E-2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11135353.374363501</v>
      </c>
      <c r="D24" s="11">
        <v>1.1900000000000001E-2</v>
      </c>
      <c r="E24" s="10">
        <f t="shared" si="2"/>
        <v>130952.37192897126</v>
      </c>
      <c r="F24" s="3"/>
      <c r="G24" s="26">
        <v>2.66</v>
      </c>
      <c r="H24" s="10"/>
      <c r="I24" s="10">
        <f t="shared" si="5"/>
        <v>9772.0373857755385</v>
      </c>
      <c r="J24" s="10">
        <f t="shared" si="3"/>
        <v>108815089478.10193</v>
      </c>
      <c r="K24" s="11">
        <f t="shared" si="4"/>
        <v>3.881654000000001E-2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11004401.002434529</v>
      </c>
      <c r="D25" s="11">
        <v>1.0800000000000001E-2</v>
      </c>
      <c r="E25" s="10">
        <f t="shared" si="2"/>
        <v>117577.69175533392</v>
      </c>
      <c r="F25" s="3"/>
      <c r="G25" s="26">
        <v>0.89</v>
      </c>
      <c r="H25" s="10"/>
      <c r="I25" s="10">
        <f t="shared" si="5"/>
        <v>9518.8363391540406</v>
      </c>
      <c r="J25" s="10">
        <f t="shared" si="3"/>
        <v>104749092152.59695</v>
      </c>
      <c r="K25" s="11">
        <f t="shared" si="4"/>
        <v>1.9796119999999862E-2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10886823.310679195</v>
      </c>
      <c r="D26" s="11">
        <v>1.01E-2</v>
      </c>
      <c r="E26" s="10">
        <f t="shared" si="2"/>
        <v>108857.45514093712</v>
      </c>
      <c r="F26" s="3"/>
      <c r="G26" s="26">
        <v>-2.09</v>
      </c>
      <c r="H26" s="10"/>
      <c r="I26" s="10">
        <f t="shared" si="5"/>
        <v>9434.8660314739227</v>
      </c>
      <c r="J26" s="10">
        <f t="shared" si="3"/>
        <v>102715719444.58562</v>
      </c>
      <c r="K26" s="11">
        <f t="shared" si="4"/>
        <v>-1.1011090000000001E-2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10777965.855538258</v>
      </c>
      <c r="D27" s="11">
        <v>0.01</v>
      </c>
      <c r="E27" s="10">
        <f t="shared" si="2"/>
        <v>106712.5332231503</v>
      </c>
      <c r="F27" s="3"/>
      <c r="G27" s="26">
        <v>-3.2</v>
      </c>
      <c r="H27" s="10"/>
      <c r="I27" s="10">
        <f t="shared" si="5"/>
        <v>9636.2639479868485</v>
      </c>
      <c r="J27" s="10">
        <f t="shared" si="3"/>
        <v>103859323806.35655</v>
      </c>
      <c r="K27" s="11">
        <f t="shared" si="4"/>
        <v>-2.2320000000000118E-2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10671253.322315108</v>
      </c>
      <c r="D28" s="11">
        <v>1.09E-2</v>
      </c>
      <c r="E28" s="10">
        <f t="shared" si="2"/>
        <v>115062.48017928004</v>
      </c>
      <c r="F28" s="3"/>
      <c r="G28" s="26">
        <v>2.34</v>
      </c>
      <c r="H28" s="10"/>
      <c r="I28" s="10">
        <f t="shared" si="5"/>
        <v>9954.8181280855879</v>
      </c>
      <c r="J28" s="10">
        <f t="shared" si="3"/>
        <v>106230386022.37599</v>
      </c>
      <c r="K28" s="11">
        <f t="shared" si="4"/>
        <v>3.4555059999999971E-2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10556190.842135828</v>
      </c>
      <c r="D29" s="11">
        <v>1.26E-2</v>
      </c>
      <c r="E29" s="10">
        <f t="shared" si="2"/>
        <v>131352.9573483225</v>
      </c>
      <c r="F29" s="3"/>
      <c r="G29" s="26">
        <v>4.41</v>
      </c>
      <c r="H29" s="10"/>
      <c r="I29" s="10">
        <f t="shared" si="5"/>
        <v>9727.2016104021768</v>
      </c>
      <c r="J29" s="10">
        <f t="shared" si="3"/>
        <v>102682196559.33633</v>
      </c>
      <c r="K29" s="11">
        <f t="shared" si="4"/>
        <v>5.7255659999999819E-2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10424837.884787505</v>
      </c>
      <c r="D30" s="11">
        <v>1.46E-2</v>
      </c>
      <c r="E30" s="10">
        <f t="shared" si="2"/>
        <v>150012.45132850111</v>
      </c>
      <c r="F30" s="3"/>
      <c r="G30" s="26">
        <v>4.07</v>
      </c>
      <c r="H30" s="10"/>
      <c r="I30" s="10">
        <f t="shared" si="5"/>
        <v>9316.3505510987234</v>
      </c>
      <c r="J30" s="10">
        <f t="shared" si="3"/>
        <v>97121444173.054932</v>
      </c>
      <c r="K30" s="11">
        <f t="shared" si="4"/>
        <v>5.5894220000000105E-2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10274825.433459004</v>
      </c>
      <c r="D31" s="11">
        <v>1.6299999999999999E-2</v>
      </c>
      <c r="E31" s="10">
        <f t="shared" si="2"/>
        <v>164793.52018634416</v>
      </c>
      <c r="F31" s="3"/>
      <c r="G31" s="26">
        <v>5</v>
      </c>
      <c r="H31" s="10"/>
      <c r="I31" s="10">
        <f t="shared" si="5"/>
        <v>8952.0039887563398</v>
      </c>
      <c r="J31" s="10">
        <f t="shared" si="3"/>
        <v>91980278264.100098</v>
      </c>
      <c r="K31" s="11">
        <f t="shared" si="4"/>
        <v>6.7115000000000258E-2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10110031.91327266</v>
      </c>
      <c r="D32" s="11">
        <v>1.55E-2</v>
      </c>
      <c r="E32" s="10">
        <f t="shared" si="2"/>
        <v>154313.63333897293</v>
      </c>
      <c r="F32" s="3"/>
      <c r="G32" s="26">
        <v>4.74</v>
      </c>
      <c r="H32" s="10"/>
      <c r="I32" s="10">
        <f t="shared" si="5"/>
        <v>8525.7180845298462</v>
      </c>
      <c r="J32" s="10">
        <f t="shared" si="3"/>
        <v>86195281918.162598</v>
      </c>
      <c r="K32" s="11">
        <f t="shared" si="4"/>
        <v>6.3634700000000155E-2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9955718.2799336873</v>
      </c>
      <c r="D33" s="11">
        <v>1.32E-2</v>
      </c>
      <c r="E33" s="10">
        <f t="shared" si="2"/>
        <v>129703.39646182954</v>
      </c>
      <c r="F33" s="3"/>
      <c r="G33" s="26">
        <v>5.9</v>
      </c>
      <c r="H33" s="10"/>
      <c r="I33" s="10">
        <f t="shared" si="5"/>
        <v>8139.8874207846529</v>
      </c>
      <c r="J33" s="10">
        <f t="shared" si="3"/>
        <v>81038425991.708038</v>
      </c>
      <c r="K33" s="11">
        <f t="shared" si="4"/>
        <v>7.297880000000001E-2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9826014.8834718578</v>
      </c>
      <c r="D34" s="11">
        <v>1.2200000000000001E-2</v>
      </c>
      <c r="E34" s="10">
        <f t="shared" si="2"/>
        <v>118432.50501714647</v>
      </c>
      <c r="F34" s="3"/>
      <c r="G34" s="26">
        <v>1.26</v>
      </c>
      <c r="H34" s="10"/>
      <c r="I34" s="10">
        <f t="shared" si="5"/>
        <v>7686.3903878986339</v>
      </c>
      <c r="J34" s="10">
        <f t="shared" ref="J34:J65" si="6">IF(I34="","",I34*C34)</f>
        <v>75526586351.667007</v>
      </c>
      <c r="K34" s="11">
        <f t="shared" ref="K34:K65" si="7">IFERROR(J34/J35-1,"")</f>
        <v>3.8112319999999977E-2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9707582.3784547113</v>
      </c>
      <c r="D35" s="11">
        <v>1.1599999999999999E-2</v>
      </c>
      <c r="E35" s="10">
        <f t="shared" si="2"/>
        <v>111316.68207797036</v>
      </c>
      <c r="F35" s="3"/>
      <c r="G35" s="26">
        <v>-5.87</v>
      </c>
      <c r="H35" s="10"/>
      <c r="I35" s="10">
        <f t="shared" ref="I35:I66" si="8">IF(H35&lt;&gt;"",H35,I34/(1+IF(G34="",0,G34)/100))</f>
        <v>7494.5304094175444</v>
      </c>
      <c r="J35" s="10">
        <f t="shared" si="6"/>
        <v>72753771337.25473</v>
      </c>
      <c r="K35" s="11">
        <f t="shared" si="7"/>
        <v>-2.0467719999999856E-2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9596265.6963767409</v>
      </c>
      <c r="D36" s="11">
        <v>1.0999999999999999E-2</v>
      </c>
      <c r="E36" s="10">
        <f t="shared" si="2"/>
        <v>104410.4081702698</v>
      </c>
      <c r="F36" s="3"/>
      <c r="G36" s="26">
        <v>-1.38</v>
      </c>
      <c r="H36" s="10"/>
      <c r="I36" s="10">
        <f t="shared" si="8"/>
        <v>7739.8847561887269</v>
      </c>
      <c r="J36" s="10">
        <f t="shared" si="6"/>
        <v>74273990579.723129</v>
      </c>
      <c r="K36" s="11">
        <f t="shared" si="7"/>
        <v>4.5576199999999734E-2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9491855.2882064711</v>
      </c>
      <c r="D37" s="11">
        <v>1.0699999999999999E-2</v>
      </c>
      <c r="E37" s="10">
        <f t="shared" si="2"/>
        <v>100487.63390106708</v>
      </c>
      <c r="F37" s="3"/>
      <c r="G37" s="26">
        <v>-3.12</v>
      </c>
      <c r="H37" s="10"/>
      <c r="I37" s="10">
        <f t="shared" si="8"/>
        <v>7483.9342063321665</v>
      </c>
      <c r="J37" s="10">
        <f t="shared" si="6"/>
        <v>71036420472.963272</v>
      </c>
      <c r="K37" s="11">
        <f t="shared" si="7"/>
        <v>3.2733259999999875E-2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9391367.6543054041</v>
      </c>
      <c r="D38" s="11">
        <v>1.0500000000000001E-2</v>
      </c>
      <c r="E38" s="10">
        <f t="shared" si="2"/>
        <v>97584.720801787451</v>
      </c>
      <c r="F38" s="3"/>
      <c r="G38" s="26">
        <v>0.03</v>
      </c>
      <c r="H38" s="10"/>
      <c r="I38" s="10">
        <f t="shared" si="8"/>
        <v>7324.2652244393876</v>
      </c>
      <c r="J38" s="10">
        <f t="shared" si="6"/>
        <v>68784867520.353973</v>
      </c>
      <c r="K38" s="11">
        <f t="shared" si="7"/>
        <v>4.8191649999999919E-2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9293782.9335036166</v>
      </c>
      <c r="D39" s="11">
        <v>9.7999999999999997E-3</v>
      </c>
      <c r="E39" s="10">
        <f t="shared" si="2"/>
        <v>90195.160178584978</v>
      </c>
      <c r="F39" s="3"/>
      <c r="G39" s="26">
        <v>3.74</v>
      </c>
      <c r="H39" s="10"/>
      <c r="I39" s="10">
        <f t="shared" si="8"/>
        <v>7060.8938826177446</v>
      </c>
      <c r="J39" s="10">
        <f t="shared" si="6"/>
        <v>65622415061.552887</v>
      </c>
      <c r="K39" s="11">
        <f t="shared" si="7"/>
        <v>4.7566520000000168E-2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9203587.7733250316</v>
      </c>
      <c r="D40" s="11">
        <v>8.9999999999999993E-3</v>
      </c>
      <c r="E40" s="10">
        <f t="shared" si="2"/>
        <v>82093.448919648305</v>
      </c>
      <c r="F40" s="3"/>
      <c r="G40" s="26">
        <v>3.53</v>
      </c>
      <c r="H40" s="10"/>
      <c r="I40" s="10">
        <f t="shared" si="8"/>
        <v>6806.3368831865664</v>
      </c>
      <c r="J40" s="10">
        <f t="shared" si="6"/>
        <v>62642718919.227089</v>
      </c>
      <c r="K40" s="11">
        <f t="shared" si="7"/>
        <v>4.4617699999999871E-2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9121494.3244053833</v>
      </c>
      <c r="D41" s="11">
        <v>8.8999999999999999E-3</v>
      </c>
      <c r="E41" s="10">
        <f t="shared" si="2"/>
        <v>80465.159567059949</v>
      </c>
      <c r="F41" s="3"/>
      <c r="G41" s="26">
        <v>5.89</v>
      </c>
      <c r="H41" s="10"/>
      <c r="I41" s="10">
        <f t="shared" si="8"/>
        <v>6574.2653174795396</v>
      </c>
      <c r="J41" s="10">
        <f t="shared" si="6"/>
        <v>59967123780.524773</v>
      </c>
      <c r="K41" s="11">
        <f t="shared" si="7"/>
        <v>6.8324209999999663E-2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9041029.1648383234</v>
      </c>
      <c r="D42" s="11">
        <v>9.5999999999999992E-3</v>
      </c>
      <c r="E42" s="10">
        <f t="shared" si="2"/>
        <v>85968.581599097699</v>
      </c>
      <c r="F42" s="3"/>
      <c r="G42" s="26">
        <v>6.3</v>
      </c>
      <c r="H42" s="10"/>
      <c r="I42" s="10">
        <f t="shared" si="8"/>
        <v>6208.5799579559352</v>
      </c>
      <c r="J42" s="10">
        <f t="shared" si="6"/>
        <v>56131952472.110306</v>
      </c>
      <c r="K42" s="11">
        <f t="shared" si="7"/>
        <v>7.320480000000007E-2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8955060.5832392257</v>
      </c>
      <c r="D43" s="11">
        <v>1.04E-2</v>
      </c>
      <c r="E43" s="10">
        <f t="shared" si="2"/>
        <v>92174.020255034789</v>
      </c>
      <c r="F43" s="3"/>
      <c r="G43" s="26">
        <v>3.36</v>
      </c>
      <c r="H43" s="10"/>
      <c r="I43" s="10">
        <f t="shared" si="8"/>
        <v>5840.6208447374747</v>
      </c>
      <c r="J43" s="10">
        <f t="shared" si="6"/>
        <v>52303113508.353951</v>
      </c>
      <c r="K43" s="11">
        <f t="shared" si="7"/>
        <v>4.4349439999999962E-2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8862886.5629841909</v>
      </c>
      <c r="D44" s="11">
        <v>1.03E-2</v>
      </c>
      <c r="E44" s="10">
        <f t="shared" si="2"/>
        <v>90357.053943123668</v>
      </c>
      <c r="F44" s="3"/>
      <c r="G44" s="26">
        <v>6.73</v>
      </c>
      <c r="H44" s="10"/>
      <c r="I44" s="10">
        <f t="shared" si="8"/>
        <v>5650.7554612398162</v>
      </c>
      <c r="J44" s="10">
        <f t="shared" si="6"/>
        <v>50082004648.131905</v>
      </c>
      <c r="K44" s="11">
        <f t="shared" si="7"/>
        <v>7.8293190000000124E-2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8772529.5090410672</v>
      </c>
      <c r="D45" s="11">
        <v>9.4999999999999998E-3</v>
      </c>
      <c r="E45" s="10">
        <f t="shared" si="2"/>
        <v>82554.760114800185</v>
      </c>
      <c r="F45" s="3"/>
      <c r="G45" s="26">
        <v>5.52</v>
      </c>
      <c r="H45" s="10"/>
      <c r="I45" s="10">
        <f t="shared" si="8"/>
        <v>5294.4396713574597</v>
      </c>
      <c r="J45" s="10">
        <f t="shared" si="6"/>
        <v>46445628250.821007</v>
      </c>
      <c r="K45" s="11">
        <f t="shared" si="7"/>
        <v>6.522439999999996E-2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8689974.748926267</v>
      </c>
      <c r="D46" s="11">
        <v>9.2999999999999992E-3</v>
      </c>
      <c r="E46" s="10">
        <f t="shared" si="2"/>
        <v>80072.094684449956</v>
      </c>
      <c r="F46" s="3"/>
      <c r="G46" s="26">
        <v>4.0199999999999996</v>
      </c>
      <c r="H46" s="10"/>
      <c r="I46" s="10">
        <f t="shared" si="8"/>
        <v>5017.4750486708299</v>
      </c>
      <c r="J46" s="10">
        <f t="shared" si="6"/>
        <v>43601731476.317108</v>
      </c>
      <c r="K46" s="11">
        <f t="shared" si="7"/>
        <v>4.9873860000000159E-2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8609902.6542418171</v>
      </c>
      <c r="D47" s="11">
        <v>9.5999999999999992E-3</v>
      </c>
      <c r="E47" s="10">
        <f t="shared" si="2"/>
        <v>81869.121910382062</v>
      </c>
      <c r="F47" s="3"/>
      <c r="G47" s="26">
        <v>2.92</v>
      </c>
      <c r="H47" s="10"/>
      <c r="I47" s="10">
        <f t="shared" si="8"/>
        <v>4823.5676299469624</v>
      </c>
      <c r="J47" s="10">
        <f t="shared" si="6"/>
        <v>41530447739.995262</v>
      </c>
      <c r="K47" s="11">
        <f t="shared" si="7"/>
        <v>3.9080319999999835E-2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8528033.532331435</v>
      </c>
      <c r="D48" s="11">
        <v>9.7999999999999997E-3</v>
      </c>
      <c r="E48" s="10">
        <f t="shared" si="2"/>
        <v>82763.644896859303</v>
      </c>
      <c r="F48" s="3"/>
      <c r="G48" s="26">
        <v>5.07</v>
      </c>
      <c r="H48" s="10"/>
      <c r="I48" s="10">
        <f t="shared" si="8"/>
        <v>4686.7155362873718</v>
      </c>
      <c r="J48" s="10">
        <f t="shared" si="6"/>
        <v>39968467249.957413</v>
      </c>
      <c r="K48" s="11">
        <f t="shared" si="7"/>
        <v>6.0996860000000153E-2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8445269.8874345757</v>
      </c>
      <c r="D49" s="11">
        <v>1.0200000000000001E-2</v>
      </c>
      <c r="E49" s="10">
        <f t="shared" si="2"/>
        <v>85271.978669404052</v>
      </c>
      <c r="F49" s="3"/>
      <c r="G49" s="26">
        <v>5.01</v>
      </c>
      <c r="H49" s="10"/>
      <c r="I49" s="10">
        <f t="shared" si="8"/>
        <v>4460.564896057268</v>
      </c>
      <c r="J49" s="10">
        <f t="shared" si="6"/>
        <v>37670674397.620186</v>
      </c>
      <c r="K49" s="11">
        <f t="shared" si="7"/>
        <v>6.0811019999999827E-2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8359997.9087651717</v>
      </c>
      <c r="D50" s="11">
        <v>1.0800000000000001E-2</v>
      </c>
      <c r="E50" s="10">
        <f t="shared" si="2"/>
        <v>89323.285926654935</v>
      </c>
      <c r="F50" s="3"/>
      <c r="G50" s="26">
        <v>3.07</v>
      </c>
      <c r="H50" s="10"/>
      <c r="I50" s="10">
        <f t="shared" si="8"/>
        <v>4247.7524960073024</v>
      </c>
      <c r="J50" s="10">
        <f t="shared" si="6"/>
        <v>35511201983.57309</v>
      </c>
      <c r="K50" s="11">
        <f t="shared" si="7"/>
        <v>4.1831559999999879E-2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8270674.6228385167</v>
      </c>
      <c r="D51" s="11">
        <v>1.1299999999999999E-2</v>
      </c>
      <c r="E51" s="10">
        <f t="shared" si="2"/>
        <v>92414.341182711534</v>
      </c>
      <c r="F51" s="3"/>
      <c r="G51" s="26">
        <v>6.76</v>
      </c>
      <c r="H51" s="10"/>
      <c r="I51" s="10">
        <f t="shared" si="8"/>
        <v>4121.2307131146817</v>
      </c>
      <c r="J51" s="10">
        <f t="shared" si="6"/>
        <v>34085358273.820282</v>
      </c>
      <c r="K51" s="11">
        <f t="shared" si="7"/>
        <v>7.9663880000000242E-2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8178260.2816558052</v>
      </c>
      <c r="D52" s="11">
        <v>1.0999999999999999E-2</v>
      </c>
      <c r="E52" s="10">
        <f t="shared" si="2"/>
        <v>88982.060433445498</v>
      </c>
      <c r="F52" s="3"/>
      <c r="G52" s="26">
        <v>6.32</v>
      </c>
      <c r="H52" s="10"/>
      <c r="I52" s="10">
        <f t="shared" si="8"/>
        <v>3860.276051999514</v>
      </c>
      <c r="J52" s="10">
        <f t="shared" si="6"/>
        <v>31570342312.294704</v>
      </c>
      <c r="K52" s="11">
        <f t="shared" si="7"/>
        <v>7.4895199999999829E-2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8089278.2212223597</v>
      </c>
      <c r="D53" s="11">
        <v>1.0500000000000001E-2</v>
      </c>
      <c r="E53" s="10">
        <f t="shared" si="2"/>
        <v>84054.845445655286</v>
      </c>
      <c r="F53" s="3"/>
      <c r="G53" s="26">
        <v>6.66</v>
      </c>
      <c r="H53" s="10"/>
      <c r="I53" s="10">
        <f t="shared" si="8"/>
        <v>3630.80892776478</v>
      </c>
      <c r="J53" s="10">
        <f t="shared" si="6"/>
        <v>29370623584.787342</v>
      </c>
      <c r="K53" s="11">
        <f t="shared" si="7"/>
        <v>7.7799299999999905E-2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8005223.3757767044</v>
      </c>
      <c r="D54" s="11">
        <v>1.06E-2</v>
      </c>
      <c r="E54" s="10">
        <f t="shared" si="2"/>
        <v>83965.335229796357</v>
      </c>
      <c r="F54" s="3"/>
      <c r="G54" s="26">
        <v>5.3</v>
      </c>
      <c r="H54" s="10"/>
      <c r="I54" s="10">
        <f t="shared" si="8"/>
        <v>3404.0961257873432</v>
      </c>
      <c r="J54" s="10">
        <f t="shared" si="6"/>
        <v>27250549879.543758</v>
      </c>
      <c r="K54" s="11">
        <f t="shared" si="7"/>
        <v>6.4161799999999936E-2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7921258.040546908</v>
      </c>
      <c r="D55" s="11">
        <v>1.06E-2</v>
      </c>
      <c r="E55" s="10">
        <f t="shared" si="2"/>
        <v>83084.638066293672</v>
      </c>
      <c r="F55" s="3"/>
      <c r="G55" s="26">
        <v>7.43</v>
      </c>
      <c r="H55" s="10"/>
      <c r="I55" s="10">
        <f t="shared" si="8"/>
        <v>3232.7598535492339</v>
      </c>
      <c r="J55" s="10">
        <f t="shared" si="6"/>
        <v>25607524983.084114</v>
      </c>
      <c r="K55" s="11">
        <f t="shared" si="7"/>
        <v>8.5687579999999874E-2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7838173.4024806144</v>
      </c>
      <c r="D56" s="11">
        <v>9.7000000000000003E-3</v>
      </c>
      <c r="E56" s="10">
        <f t="shared" si="2"/>
        <v>75299.873233695515</v>
      </c>
      <c r="F56" s="3"/>
      <c r="G56" s="26">
        <v>3.16</v>
      </c>
      <c r="H56" s="10"/>
      <c r="I56" s="10">
        <f t="shared" si="8"/>
        <v>3009.1779331185271</v>
      </c>
      <c r="J56" s="10">
        <f t="shared" si="6"/>
        <v>23586458438.701229</v>
      </c>
      <c r="K56" s="11">
        <f t="shared" si="7"/>
        <v>4.1606520000000202E-2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7762873.5292469189</v>
      </c>
      <c r="D57" s="11">
        <v>9.1999999999999998E-3</v>
      </c>
      <c r="E57" s="10">
        <f t="shared" si="2"/>
        <v>70767.376604313031</v>
      </c>
      <c r="F57" s="3"/>
      <c r="G57" s="26">
        <v>3.12</v>
      </c>
      <c r="H57" s="10"/>
      <c r="I57" s="10">
        <f t="shared" si="8"/>
        <v>2917.0007106616199</v>
      </c>
      <c r="J57" s="10">
        <f t="shared" si="6"/>
        <v>22644307601.589539</v>
      </c>
      <c r="K57" s="11">
        <f t="shared" si="7"/>
        <v>4.0687039999999897E-2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7692106.1526426058</v>
      </c>
      <c r="D58" s="11">
        <v>1.09E-2</v>
      </c>
      <c r="E58" s="10">
        <f t="shared" si="2"/>
        <v>82939.912022755481</v>
      </c>
      <c r="F58" s="3"/>
      <c r="G58" s="26">
        <v>4.05</v>
      </c>
      <c r="H58" s="10"/>
      <c r="I58" s="10">
        <f t="shared" si="8"/>
        <v>2828.7439009519203</v>
      </c>
      <c r="J58" s="10">
        <f t="shared" si="6"/>
        <v>21758998364.762512</v>
      </c>
      <c r="K58" s="11">
        <f t="shared" si="7"/>
        <v>5.1841449999999956E-2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7609166.2406198503</v>
      </c>
      <c r="D59" s="11">
        <v>1.2500000000000001E-2</v>
      </c>
      <c r="E59" s="10">
        <f t="shared" si="2"/>
        <v>93940.32395826932</v>
      </c>
      <c r="F59" s="3"/>
      <c r="G59" s="26">
        <v>1.79</v>
      </c>
      <c r="H59" s="10"/>
      <c r="I59" s="10">
        <f t="shared" si="8"/>
        <v>2718.6390206169344</v>
      </c>
      <c r="J59" s="10">
        <f t="shared" si="6"/>
        <v>20686576256.110191</v>
      </c>
      <c r="K59" s="11">
        <f t="shared" si="7"/>
        <v>3.062374999999995E-2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7515225.916661581</v>
      </c>
      <c r="D60" s="11">
        <v>1.32E-2</v>
      </c>
      <c r="E60" s="10">
        <f t="shared" si="2"/>
        <v>97908.588728714734</v>
      </c>
      <c r="F60" s="3"/>
      <c r="G60" s="26">
        <v>2.9</v>
      </c>
      <c r="H60" s="10"/>
      <c r="I60" s="10">
        <f t="shared" si="8"/>
        <v>2670.8311431544694</v>
      </c>
      <c r="J60" s="10">
        <f t="shared" si="6"/>
        <v>20071899426.061344</v>
      </c>
      <c r="K60" s="11">
        <f t="shared" si="7"/>
        <v>4.2582799999999921E-2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7417317.3279328663</v>
      </c>
      <c r="D61" s="11">
        <v>1.3100000000000001E-2</v>
      </c>
      <c r="E61" s="10">
        <f t="shared" si="2"/>
        <v>95910.430358228274</v>
      </c>
      <c r="F61" s="3"/>
      <c r="G61" s="26">
        <v>8.09</v>
      </c>
      <c r="H61" s="10"/>
      <c r="I61" s="10">
        <f t="shared" si="8"/>
        <v>2595.5599058838384</v>
      </c>
      <c r="J61" s="10">
        <f t="shared" si="6"/>
        <v>19252091465.599995</v>
      </c>
      <c r="K61" s="11">
        <f t="shared" si="7"/>
        <v>9.5059790000000088E-2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7321406.897574638</v>
      </c>
      <c r="D62" s="11">
        <v>1.03E-2</v>
      </c>
      <c r="E62" s="10">
        <f t="shared" si="2"/>
        <v>74641.681723268703</v>
      </c>
      <c r="F62" s="3"/>
      <c r="G62" s="26">
        <v>9.34</v>
      </c>
      <c r="H62" s="10"/>
      <c r="I62" s="10">
        <f t="shared" si="8"/>
        <v>2401.2951298768048</v>
      </c>
      <c r="J62" s="10">
        <f t="shared" si="6"/>
        <v>17580858726.992424</v>
      </c>
      <c r="K62" s="11">
        <f t="shared" si="7"/>
        <v>0.10466201999999969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7246765.2158513693</v>
      </c>
      <c r="D63" s="11">
        <v>7.4000000000000003E-3</v>
      </c>
      <c r="E63" s="10">
        <f t="shared" si="2"/>
        <v>53232.144726325758</v>
      </c>
      <c r="F63" s="3"/>
      <c r="G63" s="26">
        <v>-0.69</v>
      </c>
      <c r="H63" s="10"/>
      <c r="I63" s="10">
        <f t="shared" si="8"/>
        <v>2196.1726082648665</v>
      </c>
      <c r="J63" s="10">
        <f t="shared" si="6"/>
        <v>15915147265.579411</v>
      </c>
      <c r="K63" s="11">
        <f t="shared" si="7"/>
        <v>4.4894000000006429E-4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7193533.0711250436</v>
      </c>
      <c r="D64" s="11">
        <v>9.4999999999999998E-3</v>
      </c>
      <c r="E64" s="10">
        <f t="shared" si="2"/>
        <v>67695.457331043668</v>
      </c>
      <c r="F64" s="3"/>
      <c r="G64" s="26">
        <v>4.66</v>
      </c>
      <c r="H64" s="10"/>
      <c r="I64" s="10">
        <f t="shared" si="8"/>
        <v>2211.4314855149196</v>
      </c>
      <c r="J64" s="10">
        <f t="shared" si="6"/>
        <v>15908005525.578756</v>
      </c>
      <c r="K64" s="11">
        <f t="shared" si="7"/>
        <v>5.6542700000000057E-2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7125837.6137939999</v>
      </c>
      <c r="D65" s="11">
        <v>1.23E-2</v>
      </c>
      <c r="E65" s="10">
        <f t="shared" si="2"/>
        <v>86582.833793999627</v>
      </c>
      <c r="F65" s="3"/>
      <c r="G65" s="26">
        <v>7.29</v>
      </c>
      <c r="H65" s="10"/>
      <c r="I65" s="10">
        <f t="shared" si="8"/>
        <v>2112.9672133717941</v>
      </c>
      <c r="J65" s="10">
        <f t="shared" si="6"/>
        <v>15056661245.758223</v>
      </c>
      <c r="K65" s="11">
        <f t="shared" si="7"/>
        <v>8.6096669999999875E-2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7039254.7800000003</v>
      </c>
      <c r="D66" s="11">
        <v>1.1299999999999999E-2</v>
      </c>
      <c r="E66" s="10">
        <f t="shared" si="2"/>
        <v>78654.780000000261</v>
      </c>
      <c r="F66" s="14">
        <v>15795087</v>
      </c>
      <c r="G66" s="26">
        <v>5.67</v>
      </c>
      <c r="H66" s="10"/>
      <c r="I66" s="10">
        <f t="shared" si="8"/>
        <v>1969.3980924333994</v>
      </c>
      <c r="J66" s="10">
        <f t="shared" ref="J66:J67" si="9">IF(I66="","",I66*C66)</f>
        <v>13863094935.884689</v>
      </c>
      <c r="K66" s="11">
        <f t="shared" ref="K66" si="10">IFERROR(J66/J67-1,"")</f>
        <v>6.864071000000016E-2</v>
      </c>
    </row>
    <row r="67" spans="1:11" ht="22.5" customHeight="1">
      <c r="A67" s="3">
        <f t="shared" si="0"/>
        <v>1950</v>
      </c>
      <c r="B67" s="3">
        <v>1700</v>
      </c>
      <c r="C67" s="10">
        <v>6960600</v>
      </c>
      <c r="D67" s="11">
        <v>9.7000000000000003E-3</v>
      </c>
      <c r="E67" s="3" t="s">
        <v>72</v>
      </c>
      <c r="F67" s="10">
        <f>SUM(C2)</f>
        <v>15795141.513968688</v>
      </c>
      <c r="G67" s="26">
        <v>7.37</v>
      </c>
      <c r="H67" s="10"/>
      <c r="I67" s="10">
        <f t="shared" ref="I67" si="11">IF(H67&lt;&gt;"",H67,I66/(1+IF(G66="",0,G66)/100))</f>
        <v>1863.7248911075985</v>
      </c>
      <c r="J67" s="10">
        <f t="shared" si="9"/>
        <v>12972643477.04355</v>
      </c>
      <c r="K67" s="11"/>
    </row>
  </sheetData>
  <dataValidations count="1">
    <dataValidation type="custom" allowBlank="1" showDropDown="1" sqref="D2:D67" xr:uid="{00000000-0002-0000-3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M67"/>
  <sheetViews>
    <sheetView topLeftCell="A32" workbookViewId="0">
      <selection activeCell="K25" sqref="K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3348448.3447464439</v>
      </c>
      <c r="D2" s="11">
        <v>7.3000000000000001E-3</v>
      </c>
      <c r="E2" s="10">
        <f t="shared" ref="E2:E66" si="2">SUM(C2-C3)</f>
        <v>24266.527267595753</v>
      </c>
      <c r="F2" s="14"/>
      <c r="G2" s="26">
        <v>1.3</v>
      </c>
      <c r="H2" s="10"/>
      <c r="I2" s="10">
        <f>IF(H2&lt;&gt;"",H2,83496)</f>
        <v>10437</v>
      </c>
      <c r="J2" s="10">
        <f t="shared" ref="J2:J33" si="3">IF(I2="","",I2*C2)</f>
        <v>34947755374.118637</v>
      </c>
      <c r="K2" s="11">
        <f t="shared" ref="K2:K33" si="4">IFERROR(J2/J3-1,"")</f>
        <v>2.0394899999999883E-2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3324181.8174788482</v>
      </c>
      <c r="D3" s="11">
        <v>7.3000000000000001E-3</v>
      </c>
      <c r="E3" s="10">
        <f t="shared" si="2"/>
        <v>24090.665410102345</v>
      </c>
      <c r="F3" s="3"/>
      <c r="G3" s="26">
        <v>0.76</v>
      </c>
      <c r="H3" s="10"/>
      <c r="I3" s="10">
        <f t="shared" ref="I3:I34" si="5">IF(H3&lt;&gt;"",H3,I2/(1+IF(G2="",0,G2)/100))</f>
        <v>10303.060217176704</v>
      </c>
      <c r="J3" s="10">
        <f t="shared" si="3"/>
        <v>34249245438.328472</v>
      </c>
      <c r="K3" s="11">
        <f t="shared" si="4"/>
        <v>1.4955480000000243E-2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3300091.1520687458</v>
      </c>
      <c r="D4" s="11">
        <v>7.1999999999999998E-3</v>
      </c>
      <c r="E4" s="10">
        <f t="shared" si="2"/>
        <v>23590.802516774274</v>
      </c>
      <c r="F4" s="3"/>
      <c r="G4" s="26">
        <v>0.25</v>
      </c>
      <c r="H4" s="10"/>
      <c r="I4" s="10">
        <f t="shared" si="5"/>
        <v>10225.347575602127</v>
      </c>
      <c r="J4" s="10">
        <f t="shared" si="3"/>
        <v>33744579061.072182</v>
      </c>
      <c r="K4" s="11">
        <f t="shared" si="4"/>
        <v>9.7180000000001154E-3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3276500.3495519715</v>
      </c>
      <c r="D5" s="11">
        <v>7.3000000000000001E-3</v>
      </c>
      <c r="E5" s="10">
        <f t="shared" si="2"/>
        <v>23745.113225185778</v>
      </c>
      <c r="F5" s="3"/>
      <c r="G5" s="26">
        <v>0.63</v>
      </c>
      <c r="H5" s="10"/>
      <c r="I5" s="10">
        <f t="shared" si="5"/>
        <v>10199.847955712845</v>
      </c>
      <c r="J5" s="10">
        <f t="shared" si="3"/>
        <v>33419805392.2701</v>
      </c>
      <c r="K5" s="11">
        <f t="shared" si="4"/>
        <v>1.3645990000000108E-2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3252755.2363267858</v>
      </c>
      <c r="D6" s="11">
        <v>7.3000000000000001E-3</v>
      </c>
      <c r="E6" s="10">
        <f t="shared" si="2"/>
        <v>23573.030105416197</v>
      </c>
      <c r="F6" s="3"/>
      <c r="G6" s="26">
        <v>2.93</v>
      </c>
      <c r="H6" s="10"/>
      <c r="I6" s="10">
        <f t="shared" si="5"/>
        <v>10135.991211083023</v>
      </c>
      <c r="J6" s="10">
        <f t="shared" si="3"/>
        <v>32969898487.212582</v>
      </c>
      <c r="K6" s="11">
        <f t="shared" si="4"/>
        <v>3.6813890000000127E-2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3229182.2062213696</v>
      </c>
      <c r="D7" s="11">
        <v>9.2999999999999992E-3</v>
      </c>
      <c r="E7" s="10">
        <f t="shared" si="2"/>
        <v>29754.676030772738</v>
      </c>
      <c r="F7" s="3"/>
      <c r="G7" s="26">
        <v>1.81</v>
      </c>
      <c r="H7" s="10"/>
      <c r="I7" s="10">
        <f t="shared" si="5"/>
        <v>9847.4606150617128</v>
      </c>
      <c r="J7" s="10">
        <f t="shared" si="3"/>
        <v>31799244594.623028</v>
      </c>
      <c r="K7" s="11">
        <f t="shared" si="4"/>
        <v>2.756833000000003E-2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3199427.5301905968</v>
      </c>
      <c r="D8" s="11">
        <v>9.4999999999999998E-3</v>
      </c>
      <c r="E8" s="10">
        <f t="shared" si="2"/>
        <v>30108.530497088563</v>
      </c>
      <c r="F8" s="3"/>
      <c r="G8" s="26">
        <v>2.59</v>
      </c>
      <c r="H8" s="10"/>
      <c r="I8" s="10">
        <f t="shared" si="5"/>
        <v>9672.3903497315714</v>
      </c>
      <c r="J8" s="10">
        <f t="shared" si="3"/>
        <v>30946111967.681046</v>
      </c>
      <c r="K8" s="11">
        <f t="shared" si="4"/>
        <v>3.5646050000000207E-2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3169318.9996935083</v>
      </c>
      <c r="D9" s="11">
        <v>9.4999999999999998E-3</v>
      </c>
      <c r="E9" s="10">
        <f t="shared" si="2"/>
        <v>29825.191180870403</v>
      </c>
      <c r="F9" s="3"/>
      <c r="G9" s="26">
        <v>1.45</v>
      </c>
      <c r="H9" s="10"/>
      <c r="I9" s="10">
        <f t="shared" si="5"/>
        <v>9428.1999704957325</v>
      </c>
      <c r="J9" s="10">
        <f t="shared" si="3"/>
        <v>29880973299.401897</v>
      </c>
      <c r="K9" s="11">
        <f t="shared" si="4"/>
        <v>2.4137749999999958E-2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3139493.8085126379</v>
      </c>
      <c r="D10" s="11">
        <v>9.2999999999999992E-3</v>
      </c>
      <c r="E10" s="10">
        <f t="shared" si="2"/>
        <v>28928.259604842868</v>
      </c>
      <c r="F10" s="3"/>
      <c r="G10" s="26">
        <v>3.78</v>
      </c>
      <c r="H10" s="10"/>
      <c r="I10" s="10">
        <f t="shared" si="5"/>
        <v>9293.4450177385243</v>
      </c>
      <c r="J10" s="10">
        <f t="shared" si="3"/>
        <v>29176713092.942719</v>
      </c>
      <c r="K10" s="11">
        <f t="shared" si="4"/>
        <v>4.7451539999999959E-2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3110565.548907795</v>
      </c>
      <c r="D11" s="11">
        <v>9.1000000000000004E-3</v>
      </c>
      <c r="E11" s="10">
        <f t="shared" si="2"/>
        <v>28050.883455615025</v>
      </c>
      <c r="F11" s="3"/>
      <c r="G11" s="26">
        <v>3.27</v>
      </c>
      <c r="H11" s="10"/>
      <c r="I11" s="10">
        <f t="shared" si="5"/>
        <v>8954.9479839453888</v>
      </c>
      <c r="J11" s="10">
        <f t="shared" si="3"/>
        <v>27854952691.121841</v>
      </c>
      <c r="K11" s="11">
        <f t="shared" si="4"/>
        <v>4.2097569999999918E-2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3082514.66545218</v>
      </c>
      <c r="D12" s="11">
        <v>9.2999999999999992E-3</v>
      </c>
      <c r="E12" s="10">
        <f t="shared" si="2"/>
        <v>28403.236291197594</v>
      </c>
      <c r="F12" s="3"/>
      <c r="G12" s="26">
        <v>2.3199999999999998</v>
      </c>
      <c r="H12" s="10"/>
      <c r="I12" s="10">
        <f t="shared" si="5"/>
        <v>8671.3934191395274</v>
      </c>
      <c r="J12" s="10">
        <f t="shared" si="3"/>
        <v>26729697384.403114</v>
      </c>
      <c r="K12" s="11">
        <f t="shared" si="4"/>
        <v>3.2715760000000094E-2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3054111.4291609824</v>
      </c>
      <c r="D13" s="11">
        <v>9.5999999999999992E-3</v>
      </c>
      <c r="E13" s="10">
        <f t="shared" si="2"/>
        <v>29040.679199628998</v>
      </c>
      <c r="F13" s="3"/>
      <c r="G13" s="26">
        <v>2.57</v>
      </c>
      <c r="H13" s="10"/>
      <c r="I13" s="10">
        <f t="shared" si="5"/>
        <v>8474.7785566258081</v>
      </c>
      <c r="J13" s="10">
        <f t="shared" si="3"/>
        <v>25882918049.399296</v>
      </c>
      <c r="K13" s="11">
        <f t="shared" si="4"/>
        <v>3.5546720000000143E-2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3025070.7499613534</v>
      </c>
      <c r="D14" s="11">
        <v>9.7000000000000003E-3</v>
      </c>
      <c r="E14" s="10">
        <f t="shared" si="2"/>
        <v>29061.291744701564</v>
      </c>
      <c r="F14" s="3"/>
      <c r="G14" s="26">
        <v>1.1399999999999999</v>
      </c>
      <c r="H14" s="10"/>
      <c r="I14" s="10">
        <f t="shared" si="5"/>
        <v>8262.4340027550043</v>
      </c>
      <c r="J14" s="10">
        <f t="shared" si="3"/>
        <v>24994447425.220268</v>
      </c>
      <c r="K14" s="11">
        <f t="shared" si="4"/>
        <v>2.1210579999999979E-2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2996009.4582166518</v>
      </c>
      <c r="D15" s="11">
        <v>9.9000000000000008E-3</v>
      </c>
      <c r="E15" s="10">
        <f t="shared" si="2"/>
        <v>29369.733276903629</v>
      </c>
      <c r="F15" s="3"/>
      <c r="G15" s="26">
        <v>1.48</v>
      </c>
      <c r="H15" s="10"/>
      <c r="I15" s="10">
        <f t="shared" si="5"/>
        <v>8169.3039378633612</v>
      </c>
      <c r="J15" s="10">
        <f t="shared" si="3"/>
        <v>24475311864.88517</v>
      </c>
      <c r="K15" s="11">
        <f t="shared" si="4"/>
        <v>2.4846520000000094E-2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2966639.7249397482</v>
      </c>
      <c r="D16" s="11">
        <v>1.11E-2</v>
      </c>
      <c r="E16" s="10">
        <f t="shared" si="2"/>
        <v>32568.193993503693</v>
      </c>
      <c r="F16" s="3"/>
      <c r="G16" s="26">
        <v>1.32</v>
      </c>
      <c r="H16" s="10"/>
      <c r="I16" s="10">
        <f t="shared" si="5"/>
        <v>8050.161546968232</v>
      </c>
      <c r="J16" s="10">
        <f t="shared" si="3"/>
        <v>23881929037.418373</v>
      </c>
      <c r="K16" s="11">
        <f t="shared" si="4"/>
        <v>2.4446520000000138E-2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2934071.5309462445</v>
      </c>
      <c r="D17" s="11">
        <v>1.15E-2</v>
      </c>
      <c r="E17" s="10">
        <f t="shared" si="2"/>
        <v>33358.203268296551</v>
      </c>
      <c r="F17" s="3"/>
      <c r="G17" s="26">
        <v>3.19</v>
      </c>
      <c r="H17" s="10"/>
      <c r="I17" s="10">
        <f t="shared" si="5"/>
        <v>7945.2838007977016</v>
      </c>
      <c r="J17" s="10">
        <f t="shared" si="3"/>
        <v>23312031005.208908</v>
      </c>
      <c r="K17" s="11">
        <f t="shared" si="4"/>
        <v>4.3766850000000135E-2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2900713.3276779479</v>
      </c>
      <c r="D18" s="11">
        <v>1.1900000000000001E-2</v>
      </c>
      <c r="E18" s="10">
        <f t="shared" si="2"/>
        <v>34112.549263136461</v>
      </c>
      <c r="F18" s="3"/>
      <c r="G18" s="26">
        <v>3.76</v>
      </c>
      <c r="H18" s="10"/>
      <c r="I18" s="10">
        <f t="shared" si="5"/>
        <v>7699.6645031473026</v>
      </c>
      <c r="J18" s="10">
        <f t="shared" si="3"/>
        <v>22334519442.928185</v>
      </c>
      <c r="K18" s="11">
        <f t="shared" si="4"/>
        <v>4.9947439999999954E-2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2866600.7784148115</v>
      </c>
      <c r="D19" s="11">
        <v>1.21E-2</v>
      </c>
      <c r="E19" s="10">
        <f t="shared" si="2"/>
        <v>34271.188043492846</v>
      </c>
      <c r="F19" s="3"/>
      <c r="G19" s="26">
        <v>3.49</v>
      </c>
      <c r="H19" s="10"/>
      <c r="I19" s="10">
        <f t="shared" si="5"/>
        <v>7420.6481333339461</v>
      </c>
      <c r="J19" s="10">
        <f t="shared" si="3"/>
        <v>21272035715.35751</v>
      </c>
      <c r="K19" s="11">
        <f t="shared" si="4"/>
        <v>4.7422290000000089E-2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2832329.5903713186</v>
      </c>
      <c r="D20" s="11">
        <v>1.21E-2</v>
      </c>
      <c r="E20" s="10">
        <f t="shared" si="2"/>
        <v>33861.464325158391</v>
      </c>
      <c r="F20" s="3"/>
      <c r="G20" s="26">
        <v>2.15</v>
      </c>
      <c r="H20" s="10"/>
      <c r="I20" s="10">
        <f t="shared" si="5"/>
        <v>7170.4011337655293</v>
      </c>
      <c r="J20" s="10">
        <f t="shared" si="3"/>
        <v>20308939305.996159</v>
      </c>
      <c r="K20" s="11">
        <f t="shared" si="4"/>
        <v>3.3860149999999978E-2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2798468.1260461602</v>
      </c>
      <c r="D21" s="11">
        <v>1.1900000000000001E-2</v>
      </c>
      <c r="E21" s="10">
        <f t="shared" si="2"/>
        <v>32910.140033550095</v>
      </c>
      <c r="F21" s="3"/>
      <c r="G21" s="26">
        <v>2.2200000000000002</v>
      </c>
      <c r="H21" s="10"/>
      <c r="I21" s="10">
        <f t="shared" si="5"/>
        <v>7019.4822650665965</v>
      </c>
      <c r="J21" s="10">
        <f t="shared" si="3"/>
        <v>19643797380.135174</v>
      </c>
      <c r="K21" s="11">
        <f t="shared" si="4"/>
        <v>3.4364179999999855E-2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2765557.9860126101</v>
      </c>
      <c r="D22" s="11">
        <v>1.15E-2</v>
      </c>
      <c r="E22" s="10">
        <f t="shared" si="2"/>
        <v>31442.330043643247</v>
      </c>
      <c r="F22" s="3"/>
      <c r="G22" s="26">
        <v>2.67</v>
      </c>
      <c r="H22" s="10"/>
      <c r="I22" s="10">
        <f t="shared" si="5"/>
        <v>6867.034107871842</v>
      </c>
      <c r="J22" s="10">
        <f t="shared" si="3"/>
        <v>18991181017.245953</v>
      </c>
      <c r="K22" s="11">
        <f t="shared" si="4"/>
        <v>3.8507049999999987E-2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2734115.6559689669</v>
      </c>
      <c r="D23" s="11">
        <v>1.11E-2</v>
      </c>
      <c r="E23" s="10">
        <f t="shared" si="2"/>
        <v>30015.511602468323</v>
      </c>
      <c r="F23" s="3"/>
      <c r="G23" s="26">
        <v>2.4</v>
      </c>
      <c r="H23" s="10"/>
      <c r="I23" s="10">
        <f t="shared" si="5"/>
        <v>6688.4524280430915</v>
      </c>
      <c r="J23" s="10">
        <f t="shared" si="3"/>
        <v>18287002497.716267</v>
      </c>
      <c r="K23" s="11">
        <f t="shared" si="4"/>
        <v>3.536640000000002E-2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2704100.1443664986</v>
      </c>
      <c r="D24" s="11">
        <v>1.06E-2</v>
      </c>
      <c r="E24" s="10">
        <f t="shared" si="2"/>
        <v>28362.815684034023</v>
      </c>
      <c r="F24" s="3"/>
      <c r="G24" s="26">
        <v>0.53</v>
      </c>
      <c r="H24" s="10"/>
      <c r="I24" s="10">
        <f t="shared" si="5"/>
        <v>6531.6918242608317</v>
      </c>
      <c r="J24" s="10">
        <f t="shared" si="3"/>
        <v>17662348804.941193</v>
      </c>
      <c r="K24" s="11">
        <f t="shared" si="4"/>
        <v>1.5956179999999875E-2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2675737.3286824645</v>
      </c>
      <c r="D25" s="11">
        <v>1.01E-2</v>
      </c>
      <c r="E25" s="10">
        <f t="shared" si="2"/>
        <v>26754.724304220174</v>
      </c>
      <c r="F25" s="3"/>
      <c r="G25" s="26">
        <v>2.09</v>
      </c>
      <c r="H25" s="10"/>
      <c r="I25" s="10">
        <f t="shared" si="5"/>
        <v>6497.2563655235563</v>
      </c>
      <c r="J25" s="10">
        <f t="shared" si="3"/>
        <v>17384951391.251141</v>
      </c>
      <c r="K25" s="11">
        <f t="shared" si="4"/>
        <v>3.1211089999999997E-2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2648982.6043782444</v>
      </c>
      <c r="D26" s="11">
        <v>9.5999999999999992E-3</v>
      </c>
      <c r="E26" s="10">
        <f t="shared" si="2"/>
        <v>25188.424130379688</v>
      </c>
      <c r="F26" s="3"/>
      <c r="G26" s="26">
        <v>7.44</v>
      </c>
      <c r="H26" s="10"/>
      <c r="I26" s="10">
        <f t="shared" si="5"/>
        <v>6364.2436727628137</v>
      </c>
      <c r="J26" s="10">
        <f t="shared" si="3"/>
        <v>16858770779.173002</v>
      </c>
      <c r="K26" s="11">
        <f t="shared" si="4"/>
        <v>8.4714240000000052E-2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2623794.1802478647</v>
      </c>
      <c r="D27" s="11">
        <v>9.4999999999999998E-3</v>
      </c>
      <c r="E27" s="10">
        <f t="shared" si="2"/>
        <v>24691.475693268701</v>
      </c>
      <c r="F27" s="3"/>
      <c r="G27" s="26">
        <v>-4.3499999999999996</v>
      </c>
      <c r="H27" s="10"/>
      <c r="I27" s="10">
        <f t="shared" si="5"/>
        <v>5923.5328301962154</v>
      </c>
      <c r="J27" s="10">
        <f t="shared" si="3"/>
        <v>15542130966.375994</v>
      </c>
      <c r="K27" s="11">
        <f t="shared" si="4"/>
        <v>-3.4413249999999951E-2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2599102.704554596</v>
      </c>
      <c r="D28" s="11">
        <v>9.5999999999999992E-3</v>
      </c>
      <c r="E28" s="10">
        <f t="shared" si="2"/>
        <v>24714.130312722176</v>
      </c>
      <c r="F28" s="3"/>
      <c r="G28" s="26">
        <v>3.89</v>
      </c>
      <c r="H28" s="10"/>
      <c r="I28" s="10">
        <f t="shared" si="5"/>
        <v>6192.9250707749243</v>
      </c>
      <c r="J28" s="10">
        <f t="shared" si="3"/>
        <v>16096048300.555069</v>
      </c>
      <c r="K28" s="11">
        <f t="shared" si="4"/>
        <v>4.8873439999999935E-2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2574388.5742418738</v>
      </c>
      <c r="D29" s="11">
        <v>9.5999999999999992E-3</v>
      </c>
      <c r="E29" s="10">
        <f t="shared" si="2"/>
        <v>24479.130658401642</v>
      </c>
      <c r="F29" s="3"/>
      <c r="G29" s="26">
        <v>3.3</v>
      </c>
      <c r="H29" s="10"/>
      <c r="I29" s="10">
        <f t="shared" si="5"/>
        <v>5961.0405917556309</v>
      </c>
      <c r="J29" s="10">
        <f t="shared" si="3"/>
        <v>15346034790.007715</v>
      </c>
      <c r="K29" s="11">
        <f t="shared" si="4"/>
        <v>4.2916799999999977E-2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2549909.4435834722</v>
      </c>
      <c r="D30" s="11">
        <v>9.4000000000000004E-3</v>
      </c>
      <c r="E30" s="10">
        <f t="shared" si="2"/>
        <v>23745.93696223991</v>
      </c>
      <c r="F30" s="3"/>
      <c r="G30" s="26">
        <v>1.36</v>
      </c>
      <c r="H30" s="10"/>
      <c r="I30" s="10">
        <f t="shared" si="5"/>
        <v>5770.6104470044838</v>
      </c>
      <c r="J30" s="10">
        <f t="shared" si="3"/>
        <v>14714534074.058174</v>
      </c>
      <c r="K30" s="11">
        <f t="shared" si="4"/>
        <v>2.3127840000000122E-2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2526163.5066212323</v>
      </c>
      <c r="D31" s="11">
        <v>9.1999999999999998E-3</v>
      </c>
      <c r="E31" s="10">
        <f t="shared" si="2"/>
        <v>23028.838942643255</v>
      </c>
      <c r="F31" s="3"/>
      <c r="G31" s="26">
        <v>2.2999999999999998</v>
      </c>
      <c r="H31" s="10"/>
      <c r="I31" s="10">
        <f t="shared" si="5"/>
        <v>5693.1831560817718</v>
      </c>
      <c r="J31" s="10">
        <f t="shared" si="3"/>
        <v>14381911525.404463</v>
      </c>
      <c r="K31" s="11">
        <f t="shared" si="4"/>
        <v>3.2411599999999874E-2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2503134.667678589</v>
      </c>
      <c r="D32" s="11">
        <v>8.9999999999999993E-3</v>
      </c>
      <c r="E32" s="10">
        <f t="shared" si="2"/>
        <v>22327.266609620303</v>
      </c>
      <c r="F32" s="3"/>
      <c r="G32" s="26">
        <v>2.5</v>
      </c>
      <c r="H32" s="10"/>
      <c r="I32" s="10">
        <f t="shared" si="5"/>
        <v>5565.183925788634</v>
      </c>
      <c r="J32" s="10">
        <f t="shared" si="3"/>
        <v>13930404816.649158</v>
      </c>
      <c r="K32" s="11">
        <f t="shared" si="4"/>
        <v>3.4224999999999728E-2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2480807.4010689687</v>
      </c>
      <c r="D33" s="11">
        <v>9.1000000000000004E-3</v>
      </c>
      <c r="E33" s="10">
        <f t="shared" si="2"/>
        <v>22371.76429464668</v>
      </c>
      <c r="F33" s="3"/>
      <c r="G33" s="26">
        <v>0.05</v>
      </c>
      <c r="H33" s="10"/>
      <c r="I33" s="10">
        <f t="shared" si="5"/>
        <v>5429.4477324767167</v>
      </c>
      <c r="J33" s="10">
        <f t="shared" si="3"/>
        <v>13469414118.44537</v>
      </c>
      <c r="K33" s="11">
        <f t="shared" si="4"/>
        <v>9.604550000000156E-3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2458435.636774322</v>
      </c>
      <c r="D34" s="11">
        <v>9.2999999999999992E-3</v>
      </c>
      <c r="E34" s="10">
        <f t="shared" si="2"/>
        <v>22652.780562767759</v>
      </c>
      <c r="F34" s="3"/>
      <c r="G34" s="26">
        <v>1.67</v>
      </c>
      <c r="H34" s="10"/>
      <c r="I34" s="10">
        <f t="shared" si="5"/>
        <v>5426.7343652940699</v>
      </c>
      <c r="J34" s="10">
        <f t="shared" ref="J34:J65" si="6">IF(I34="","",I34*C34)</f>
        <v>13341277154.946823</v>
      </c>
      <c r="K34" s="11">
        <f t="shared" ref="K34:K65" si="7">IFERROR(J34/J35-1,"")</f>
        <v>3.9276210000000145E-2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2435782.8562115543</v>
      </c>
      <c r="D35" s="11">
        <v>9.4000000000000004E-3</v>
      </c>
      <c r="E35" s="10">
        <f t="shared" si="2"/>
        <v>22683.137357230764</v>
      </c>
      <c r="F35" s="3"/>
      <c r="G35" s="26">
        <v>-0.69</v>
      </c>
      <c r="H35" s="10"/>
      <c r="I35" s="10">
        <f t="shared" ref="I35:I66" si="8">IF(H35&lt;&gt;"",H35,I34/(1+IF(G34="",0,G34)/100))</f>
        <v>5270.2091534369911</v>
      </c>
      <c r="J35" s="10">
        <f t="shared" si="6"/>
        <v>12837085104.591032</v>
      </c>
      <c r="K35" s="11">
        <f t="shared" si="7"/>
        <v>2.9688939999999997E-2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2413099.7188543235</v>
      </c>
      <c r="D36" s="11">
        <v>9.4999999999999998E-3</v>
      </c>
      <c r="E36" s="10">
        <f t="shared" si="2"/>
        <v>22708.714540977031</v>
      </c>
      <c r="F36" s="3"/>
      <c r="G36" s="26">
        <v>-4.94</v>
      </c>
      <c r="H36" s="10"/>
      <c r="I36" s="10">
        <f t="shared" si="8"/>
        <v>5166.3652126624756</v>
      </c>
      <c r="J36" s="10">
        <f t="shared" si="6"/>
        <v>12466954442.174578</v>
      </c>
      <c r="K36" s="11">
        <f t="shared" si="7"/>
        <v>8.0867000000002243E-3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2390391.0043133465</v>
      </c>
      <c r="D37" s="11">
        <v>9.5999999999999992E-3</v>
      </c>
      <c r="E37" s="10">
        <f t="shared" si="2"/>
        <v>22729.549961775076</v>
      </c>
      <c r="F37" s="3"/>
      <c r="G37" s="26">
        <v>-3.57</v>
      </c>
      <c r="H37" s="10"/>
      <c r="I37" s="10">
        <f t="shared" si="8"/>
        <v>5173.6082642324009</v>
      </c>
      <c r="J37" s="10">
        <f t="shared" si="6"/>
        <v>12366946654.662317</v>
      </c>
      <c r="K37" s="11">
        <f t="shared" si="7"/>
        <v>2.7066079999999992E-2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2367661.4543515714</v>
      </c>
      <c r="D38" s="11">
        <v>9.7999999999999997E-3</v>
      </c>
      <c r="E38" s="10">
        <f t="shared" si="2"/>
        <v>22977.898843974341</v>
      </c>
      <c r="F38" s="3"/>
      <c r="G38" s="26">
        <v>1.66</v>
      </c>
      <c r="H38" s="10"/>
      <c r="I38" s="10">
        <f t="shared" si="8"/>
        <v>5085.6269185416304</v>
      </c>
      <c r="J38" s="10">
        <f t="shared" si="6"/>
        <v>12041042826.243776</v>
      </c>
      <c r="K38" s="11">
        <f t="shared" si="7"/>
        <v>6.3925279999999862E-2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2344683.555507597</v>
      </c>
      <c r="D39" s="11">
        <v>0.01</v>
      </c>
      <c r="E39" s="10">
        <f t="shared" si="2"/>
        <v>23214.688668392133</v>
      </c>
      <c r="F39" s="3"/>
      <c r="G39" s="26">
        <v>-0.21</v>
      </c>
      <c r="H39" s="10"/>
      <c r="I39" s="10">
        <f t="shared" si="8"/>
        <v>4826.9048201799833</v>
      </c>
      <c r="J39" s="10">
        <f t="shared" si="6"/>
        <v>11317564355.876362</v>
      </c>
      <c r="K39" s="11">
        <f t="shared" si="7"/>
        <v>7.8789999999999694E-3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2321468.8668392049</v>
      </c>
      <c r="D40" s="11">
        <v>1.0200000000000001E-2</v>
      </c>
      <c r="E40" s="10">
        <f t="shared" si="2"/>
        <v>23439.895507582463</v>
      </c>
      <c r="F40" s="3"/>
      <c r="G40" s="26">
        <v>5.08</v>
      </c>
      <c r="H40" s="10"/>
      <c r="I40" s="10">
        <f t="shared" si="8"/>
        <v>4837.0626517486553</v>
      </c>
      <c r="J40" s="10">
        <f t="shared" si="6"/>
        <v>11229090352.985191</v>
      </c>
      <c r="K40" s="11">
        <f t="shared" si="7"/>
        <v>6.1518160000000099E-2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2298028.9713316225</v>
      </c>
      <c r="D41" s="11">
        <v>1.04E-2</v>
      </c>
      <c r="E41" s="10">
        <f t="shared" si="2"/>
        <v>23653.504851394333</v>
      </c>
      <c r="F41" s="3"/>
      <c r="G41" s="26">
        <v>4.58</v>
      </c>
      <c r="H41" s="10"/>
      <c r="I41" s="10">
        <f t="shared" si="8"/>
        <v>4603.2191204307719</v>
      </c>
      <c r="J41" s="10">
        <f t="shared" si="6"/>
        <v>10578330900.137583</v>
      </c>
      <c r="K41" s="11">
        <f t="shared" si="7"/>
        <v>5.6676320000000224E-2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2274375.4664802281</v>
      </c>
      <c r="D42" s="11">
        <v>1.0699999999999999E-2</v>
      </c>
      <c r="E42" s="10">
        <f t="shared" si="2"/>
        <v>24078.1809551185</v>
      </c>
      <c r="F42" s="3"/>
      <c r="G42" s="26">
        <v>-0.36</v>
      </c>
      <c r="H42" s="10"/>
      <c r="I42" s="10">
        <f t="shared" si="8"/>
        <v>4401.6247087691445</v>
      </c>
      <c r="J42" s="10">
        <f t="shared" si="6"/>
        <v>10010947250.277721</v>
      </c>
      <c r="K42" s="11">
        <f t="shared" si="7"/>
        <v>7.0614799999999533E-3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2250297.2855251096</v>
      </c>
      <c r="D43" s="11">
        <v>1.0999999999999999E-2</v>
      </c>
      <c r="E43" s="10">
        <f t="shared" si="2"/>
        <v>24483.946726781316</v>
      </c>
      <c r="F43" s="3"/>
      <c r="G43" s="26">
        <v>3.94</v>
      </c>
      <c r="H43" s="10"/>
      <c r="I43" s="10">
        <f t="shared" si="8"/>
        <v>4417.5278088811165</v>
      </c>
      <c r="J43" s="10">
        <f t="shared" si="6"/>
        <v>9940750837.0568619</v>
      </c>
      <c r="K43" s="11">
        <f t="shared" si="7"/>
        <v>5.0833399999999918E-2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2225813.3387983283</v>
      </c>
      <c r="D44" s="11">
        <v>1.11E-2</v>
      </c>
      <c r="E44" s="10">
        <f t="shared" si="2"/>
        <v>24435.296272042207</v>
      </c>
      <c r="F44" s="3"/>
      <c r="G44" s="26">
        <v>4.8899999999999997</v>
      </c>
      <c r="H44" s="10"/>
      <c r="I44" s="10">
        <f t="shared" si="8"/>
        <v>4250.0748594199695</v>
      </c>
      <c r="J44" s="10">
        <f t="shared" si="6"/>
        <v>9459873312.9883976</v>
      </c>
      <c r="K44" s="11">
        <f t="shared" si="7"/>
        <v>6.054279000000018E-2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2201378.0425262861</v>
      </c>
      <c r="D45" s="11">
        <v>1.11E-2</v>
      </c>
      <c r="E45" s="10">
        <f t="shared" si="2"/>
        <v>24167.042104680091</v>
      </c>
      <c r="F45" s="3"/>
      <c r="G45" s="26">
        <v>6.21</v>
      </c>
      <c r="H45" s="10"/>
      <c r="I45" s="10">
        <f t="shared" si="8"/>
        <v>4051.9352268280768</v>
      </c>
      <c r="J45" s="10">
        <f t="shared" si="6"/>
        <v>8919841238.0780945</v>
      </c>
      <c r="K45" s="11">
        <f t="shared" si="7"/>
        <v>7.3889309999999986E-2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2177211.000421606</v>
      </c>
      <c r="D46" s="11">
        <v>1.0999999999999999E-2</v>
      </c>
      <c r="E46" s="10">
        <f t="shared" si="2"/>
        <v>23688.744811708573</v>
      </c>
      <c r="F46" s="3"/>
      <c r="G46" s="26">
        <v>5.1100000000000003</v>
      </c>
      <c r="H46" s="10"/>
      <c r="I46" s="10">
        <f t="shared" si="8"/>
        <v>3815.0223395424882</v>
      </c>
      <c r="J46" s="10">
        <f t="shared" si="6"/>
        <v>8306108604.5060768</v>
      </c>
      <c r="K46" s="11">
        <f t="shared" si="7"/>
        <v>6.2662099999999832E-2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2153522.2556098974</v>
      </c>
      <c r="D47" s="11">
        <v>1.09E-2</v>
      </c>
      <c r="E47" s="10">
        <f t="shared" si="2"/>
        <v>23220.291409781203</v>
      </c>
      <c r="F47" s="3"/>
      <c r="G47" s="26">
        <v>7.12</v>
      </c>
      <c r="H47" s="10"/>
      <c r="I47" s="10">
        <f t="shared" si="8"/>
        <v>3629.5522210469876</v>
      </c>
      <c r="J47" s="10">
        <f t="shared" si="6"/>
        <v>7816321485.9230213</v>
      </c>
      <c r="K47" s="11">
        <f t="shared" si="7"/>
        <v>8.2876079999999908E-2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2130301.9642001162</v>
      </c>
      <c r="D48" s="11">
        <v>1.09E-2</v>
      </c>
      <c r="E48" s="10">
        <f t="shared" si="2"/>
        <v>22969.919289525133</v>
      </c>
      <c r="F48" s="3"/>
      <c r="G48" s="26">
        <v>6.28</v>
      </c>
      <c r="H48" s="10"/>
      <c r="I48" s="10">
        <f t="shared" si="8"/>
        <v>3388.3049113582783</v>
      </c>
      <c r="J48" s="10">
        <f t="shared" si="6"/>
        <v>7218112607.975441</v>
      </c>
      <c r="K48" s="11">
        <f t="shared" si="7"/>
        <v>7.4384519999999954E-2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2107332.0449105911</v>
      </c>
      <c r="D49" s="11">
        <v>1.11E-2</v>
      </c>
      <c r="E49" s="10">
        <f t="shared" si="2"/>
        <v>23134.591730301501</v>
      </c>
      <c r="F49" s="3"/>
      <c r="G49" s="26">
        <v>4.47</v>
      </c>
      <c r="H49" s="10"/>
      <c r="I49" s="10">
        <f t="shared" si="8"/>
        <v>3188.0926904010898</v>
      </c>
      <c r="J49" s="10">
        <f t="shared" si="6"/>
        <v>6718369888.6274366</v>
      </c>
      <c r="K49" s="11">
        <f t="shared" si="7"/>
        <v>5.6296170000000201E-2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2084197.4531802896</v>
      </c>
      <c r="D50" s="11">
        <v>1.1599999999999999E-2</v>
      </c>
      <c r="E50" s="10">
        <f t="shared" si="2"/>
        <v>23899.456758492859</v>
      </c>
      <c r="F50" s="3"/>
      <c r="G50" s="26">
        <v>3.01</v>
      </c>
      <c r="H50" s="10"/>
      <c r="I50" s="10">
        <f t="shared" si="8"/>
        <v>3051.6824833934047</v>
      </c>
      <c r="J50" s="10">
        <f t="shared" si="6"/>
        <v>6360308859.8034353</v>
      </c>
      <c r="K50" s="11">
        <f t="shared" si="7"/>
        <v>4.2049159999999919E-2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2060297.9964217967</v>
      </c>
      <c r="D51" s="11">
        <v>1.2500000000000001E-2</v>
      </c>
      <c r="E51" s="10">
        <f t="shared" si="2"/>
        <v>25435.777733602328</v>
      </c>
      <c r="F51" s="3"/>
      <c r="G51" s="26">
        <v>5.64</v>
      </c>
      <c r="H51" s="10"/>
      <c r="I51" s="10">
        <f t="shared" si="8"/>
        <v>2962.5109051484369</v>
      </c>
      <c r="J51" s="10">
        <f t="shared" si="6"/>
        <v>6103655282.2550478</v>
      </c>
      <c r="K51" s="11">
        <f t="shared" si="7"/>
        <v>6.9605000000000139E-2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2034862.2186881944</v>
      </c>
      <c r="D52" s="11">
        <v>1.3599999999999999E-2</v>
      </c>
      <c r="E52" s="10">
        <f t="shared" si="2"/>
        <v>27302.807985556079</v>
      </c>
      <c r="F52" s="3"/>
      <c r="G52" s="26">
        <v>3.48</v>
      </c>
      <c r="H52" s="10"/>
      <c r="I52" s="10">
        <f t="shared" si="8"/>
        <v>2804.3458019201407</v>
      </c>
      <c r="J52" s="10">
        <f t="shared" si="6"/>
        <v>5706457320.4641409</v>
      </c>
      <c r="K52" s="11">
        <f t="shared" si="7"/>
        <v>4.8873280000000019E-2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2007559.4107026383</v>
      </c>
      <c r="D53" s="11">
        <v>1.47E-2</v>
      </c>
      <c r="E53" s="10">
        <f t="shared" si="2"/>
        <v>29083.594498204999</v>
      </c>
      <c r="F53" s="3"/>
      <c r="G53" s="26">
        <v>6.12</v>
      </c>
      <c r="H53" s="10"/>
      <c r="I53" s="10">
        <f t="shared" si="8"/>
        <v>2710.0365306534027</v>
      </c>
      <c r="J53" s="10">
        <f t="shared" si="6"/>
        <v>5440559340.4611673</v>
      </c>
      <c r="K53" s="11">
        <f t="shared" si="7"/>
        <v>7.6799639999999725E-2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1978475.8162044333</v>
      </c>
      <c r="D54" s="11">
        <v>1.55E-2</v>
      </c>
      <c r="E54" s="10">
        <f t="shared" si="2"/>
        <v>30198.301478255773</v>
      </c>
      <c r="F54" s="3"/>
      <c r="G54" s="26">
        <v>4.1399999999999997</v>
      </c>
      <c r="H54" s="10"/>
      <c r="I54" s="10">
        <f t="shared" si="8"/>
        <v>2553.747201897289</v>
      </c>
      <c r="J54" s="10">
        <f t="shared" si="6"/>
        <v>5052527079.6535263</v>
      </c>
      <c r="K54" s="11">
        <f t="shared" si="7"/>
        <v>5.7541700000000029E-2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1948277.5147261776</v>
      </c>
      <c r="D55" s="11">
        <v>1.61E-2</v>
      </c>
      <c r="E55" s="10">
        <f t="shared" si="2"/>
        <v>30870.2568517779</v>
      </c>
      <c r="F55" s="3"/>
      <c r="G55" s="26">
        <v>2.65</v>
      </c>
      <c r="H55" s="10"/>
      <c r="I55" s="10">
        <f t="shared" si="8"/>
        <v>2452.2250834427587</v>
      </c>
      <c r="J55" s="10">
        <f t="shared" si="6"/>
        <v>4777614991.119051</v>
      </c>
      <c r="K55" s="11">
        <f t="shared" si="7"/>
        <v>4.3026650000000055E-2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1917407.2578743997</v>
      </c>
      <c r="D56" s="11">
        <v>1.6500000000000001E-2</v>
      </c>
      <c r="E56" s="10">
        <f t="shared" si="2"/>
        <v>31123.679050592706</v>
      </c>
      <c r="F56" s="3"/>
      <c r="G56" s="26">
        <v>5.54</v>
      </c>
      <c r="H56" s="10"/>
      <c r="I56" s="10">
        <f t="shared" si="8"/>
        <v>2388.9187369145238</v>
      </c>
      <c r="J56" s="10">
        <f t="shared" si="6"/>
        <v>4580530124.6320515</v>
      </c>
      <c r="K56" s="11">
        <f t="shared" si="7"/>
        <v>7.2814099999999771E-2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1886283.578823807</v>
      </c>
      <c r="D57" s="11">
        <v>1.67E-2</v>
      </c>
      <c r="E57" s="10">
        <f t="shared" si="2"/>
        <v>30983.511130478466</v>
      </c>
      <c r="F57" s="3"/>
      <c r="G57" s="26">
        <v>8.24</v>
      </c>
      <c r="H57" s="10"/>
      <c r="I57" s="10">
        <f t="shared" si="8"/>
        <v>2263.5197431443285</v>
      </c>
      <c r="J57" s="10">
        <f t="shared" si="6"/>
        <v>4269640121.836628</v>
      </c>
      <c r="K57" s="11">
        <f t="shared" si="7"/>
        <v>0.10047607999999975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1855300.0676933285</v>
      </c>
      <c r="D58" s="11">
        <v>1.6799999999999999E-2</v>
      </c>
      <c r="E58" s="10">
        <f t="shared" si="2"/>
        <v>30654.053046073765</v>
      </c>
      <c r="F58" s="3"/>
      <c r="G58" s="26">
        <v>2.83</v>
      </c>
      <c r="H58" s="10"/>
      <c r="I58" s="10">
        <f t="shared" si="8"/>
        <v>2091.2044929271328</v>
      </c>
      <c r="J58" s="10">
        <f t="shared" si="6"/>
        <v>3879811837.2883024</v>
      </c>
      <c r="K58" s="11">
        <f t="shared" si="7"/>
        <v>4.5575439999999912E-2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1824646.0146472547</v>
      </c>
      <c r="D59" s="11">
        <v>1.6899999999999998E-2</v>
      </c>
      <c r="E59" s="10">
        <f t="shared" si="2"/>
        <v>30324.041348744649</v>
      </c>
      <c r="F59" s="3"/>
      <c r="G59" s="26">
        <v>3.67</v>
      </c>
      <c r="H59" s="10"/>
      <c r="I59" s="10">
        <f t="shared" si="8"/>
        <v>2033.6521374376475</v>
      </c>
      <c r="J59" s="10">
        <f t="shared" si="6"/>
        <v>3710695267.7544746</v>
      </c>
      <c r="K59" s="11">
        <f t="shared" si="7"/>
        <v>5.4220229999999869E-2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1794321.9732985101</v>
      </c>
      <c r="D60" s="11">
        <v>1.7100000000000001E-2</v>
      </c>
      <c r="E60" s="10">
        <f t="shared" si="2"/>
        <v>30167.049202049384</v>
      </c>
      <c r="F60" s="3"/>
      <c r="G60" s="26">
        <v>6.11</v>
      </c>
      <c r="H60" s="10"/>
      <c r="I60" s="10">
        <f t="shared" si="8"/>
        <v>1961.6592432117754</v>
      </c>
      <c r="J60" s="10">
        <f t="shared" si="6"/>
        <v>3519848284.2190146</v>
      </c>
      <c r="K60" s="11">
        <f t="shared" si="7"/>
        <v>7.9244809999999832E-2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1764154.9240964607</v>
      </c>
      <c r="D61" s="11">
        <v>1.7100000000000001E-2</v>
      </c>
      <c r="E61" s="10">
        <f t="shared" si="2"/>
        <v>29659.865501965629</v>
      </c>
      <c r="F61" s="3"/>
      <c r="G61" s="26">
        <v>6.9</v>
      </c>
      <c r="H61" s="10"/>
      <c r="I61" s="10">
        <f t="shared" si="8"/>
        <v>1848.703461701796</v>
      </c>
      <c r="J61" s="10">
        <f t="shared" si="6"/>
        <v>3261399315.155396</v>
      </c>
      <c r="K61" s="11">
        <f t="shared" si="7"/>
        <v>8.7279899999999966E-2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1734495.0585944951</v>
      </c>
      <c r="D62" s="11">
        <v>1.7000000000000001E-2</v>
      </c>
      <c r="E62" s="10">
        <f t="shared" si="2"/>
        <v>28993.526053201873</v>
      </c>
      <c r="F62" s="3"/>
      <c r="G62" s="26">
        <v>11.03</v>
      </c>
      <c r="H62" s="10"/>
      <c r="I62" s="10">
        <f t="shared" si="8"/>
        <v>1729.376484286058</v>
      </c>
      <c r="J62" s="10">
        <f t="shared" si="6"/>
        <v>2999594966.4436879</v>
      </c>
      <c r="K62" s="11">
        <f t="shared" si="7"/>
        <v>0.12917509999999988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1705501.5325412932</v>
      </c>
      <c r="D63" s="11">
        <v>1.67E-2</v>
      </c>
      <c r="E63" s="10">
        <f t="shared" si="2"/>
        <v>28014.041106953286</v>
      </c>
      <c r="F63" s="3"/>
      <c r="G63" s="26">
        <v>10.24</v>
      </c>
      <c r="H63" s="10"/>
      <c r="I63" s="10">
        <f t="shared" si="8"/>
        <v>1557.5758662398073</v>
      </c>
      <c r="J63" s="10">
        <f t="shared" si="6"/>
        <v>2656448026.9213238</v>
      </c>
      <c r="K63" s="11">
        <f t="shared" si="7"/>
        <v>0.12081007999999982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1677487.4914343399</v>
      </c>
      <c r="D64" s="11">
        <v>1.6199999999999999E-2</v>
      </c>
      <c r="E64" s="10">
        <f t="shared" si="2"/>
        <v>26742.075734339887</v>
      </c>
      <c r="F64" s="3"/>
      <c r="G64" s="26">
        <v>4.3600000000000003</v>
      </c>
      <c r="H64" s="10"/>
      <c r="I64" s="10">
        <f t="shared" si="8"/>
        <v>1412.895379390246</v>
      </c>
      <c r="J64" s="10">
        <f t="shared" si="6"/>
        <v>2370114325.632514</v>
      </c>
      <c r="K64" s="11">
        <f t="shared" si="7"/>
        <v>6.0506320000000224E-2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1650745.4157</v>
      </c>
      <c r="D65" s="11">
        <v>1.55E-2</v>
      </c>
      <c r="E65" s="10">
        <f t="shared" si="2"/>
        <v>25196.015700000105</v>
      </c>
      <c r="F65" s="3"/>
      <c r="G65" s="26">
        <v>0.08</v>
      </c>
      <c r="H65" s="10"/>
      <c r="I65" s="10">
        <f t="shared" si="8"/>
        <v>1353.8667874571156</v>
      </c>
      <c r="J65" s="10">
        <f t="shared" si="6"/>
        <v>2234889392.8633199</v>
      </c>
      <c r="K65" s="11">
        <f t="shared" si="7"/>
        <v>1.6312399999999894E-2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1625549.4</v>
      </c>
      <c r="D66" s="11">
        <v>1.47E-2</v>
      </c>
      <c r="E66" s="10">
        <f t="shared" si="2"/>
        <v>23549.399999999907</v>
      </c>
      <c r="F66" s="14">
        <v>3347590</v>
      </c>
      <c r="G66" s="26">
        <v>6.84</v>
      </c>
      <c r="H66" s="10"/>
      <c r="I66" s="10">
        <f t="shared" si="8"/>
        <v>1352.7845598092683</v>
      </c>
      <c r="J66" s="10">
        <f t="shared" ref="J66:J67" si="9">IF(I66="","",I66*C66)</f>
        <v>2199018129.5272202</v>
      </c>
      <c r="K66" s="11">
        <f t="shared" ref="K66" si="10">IFERROR(J66/J67-1,"")</f>
        <v>8.4105479999999844E-2</v>
      </c>
    </row>
    <row r="67" spans="1:11" ht="22.5" customHeight="1">
      <c r="A67" s="3">
        <f t="shared" si="0"/>
        <v>1950</v>
      </c>
      <c r="B67" s="3">
        <v>1700</v>
      </c>
      <c r="C67" s="10">
        <v>1602000</v>
      </c>
      <c r="D67" s="11">
        <v>1.3899999999999999E-2</v>
      </c>
      <c r="E67" s="3" t="s">
        <v>72</v>
      </c>
      <c r="F67" s="10">
        <f>SUM(C2)</f>
        <v>3348448.3447464439</v>
      </c>
      <c r="G67" s="26">
        <v>12.41</v>
      </c>
      <c r="H67" s="10"/>
      <c r="I67" s="10">
        <f t="shared" ref="I67" si="11">IF(H67&lt;&gt;"",H67,I66/(1+IF(G66="",0,G66)/100))</f>
        <v>1266.1779855945979</v>
      </c>
      <c r="J67" s="10">
        <f t="shared" si="9"/>
        <v>2028417132.9225459</v>
      </c>
      <c r="K67" s="11"/>
    </row>
  </sheetData>
  <dataValidations count="1">
    <dataValidation type="custom" allowBlank="1" showDropDown="1" sqref="D2:D67" xr:uid="{00000000-0002-0000-3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M68"/>
  <sheetViews>
    <sheetView workbookViewId="0">
      <selection activeCell="K27" sqref="K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833440.93086851214</v>
      </c>
      <c r="D2" s="11">
        <v>2.4500000000000001E-2</v>
      </c>
      <c r="E2" s="10">
        <f t="shared" ref="E2:E66" si="2">SUM(C2-C3)</f>
        <v>19930.993466352927</v>
      </c>
      <c r="F2" s="14"/>
      <c r="G2" s="26">
        <v>0.59</v>
      </c>
      <c r="H2" s="10"/>
      <c r="I2" s="10">
        <f>IF(H2&lt;&gt;"",H2,134288)</f>
        <v>16786</v>
      </c>
      <c r="J2" s="10">
        <f t="shared" ref="J2:J33" si="3">IF(I2="","",I2*C2)</f>
        <v>13990139465.558846</v>
      </c>
      <c r="K2" s="11">
        <f t="shared" ref="K2:K33" si="4">IFERROR(J2/J3-1,"")</f>
        <v>3.0544550000000115E-2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813509.93740215921</v>
      </c>
      <c r="D3" s="11">
        <v>5.4100000000000002E-2</v>
      </c>
      <c r="E3" s="10">
        <f t="shared" si="2"/>
        <v>41752.09905460279</v>
      </c>
      <c r="F3" s="3"/>
      <c r="G3" s="26">
        <v>-0.5</v>
      </c>
      <c r="H3" s="10"/>
      <c r="I3" s="10">
        <f t="shared" ref="I3:I34" si="5">IF(H3&lt;&gt;"",H3,I2/(1+IF(G2="",0,G2)/100))</f>
        <v>16687.543493389003</v>
      </c>
      <c r="J3" s="10">
        <f t="shared" si="3"/>
        <v>13575482462.702698</v>
      </c>
      <c r="K3" s="11">
        <f t="shared" si="4"/>
        <v>4.8829500000000081E-2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771757.83834755642</v>
      </c>
      <c r="D4" s="11">
        <v>4.2000000000000003E-2</v>
      </c>
      <c r="E4" s="10">
        <f t="shared" si="2"/>
        <v>31107.321699229768</v>
      </c>
      <c r="F4" s="3"/>
      <c r="G4" s="26">
        <v>-2.15</v>
      </c>
      <c r="H4" s="10"/>
      <c r="I4" s="10">
        <f t="shared" si="5"/>
        <v>16771.400495868344</v>
      </c>
      <c r="J4" s="10">
        <f t="shared" si="3"/>
        <v>12943459792.752489</v>
      </c>
      <c r="K4" s="11">
        <f t="shared" si="4"/>
        <v>1.9597000000000087E-2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740650.51664832665</v>
      </c>
      <c r="D5" s="11">
        <v>4.5400000000000003E-2</v>
      </c>
      <c r="E5" s="10">
        <f t="shared" si="2"/>
        <v>32165.231926376582</v>
      </c>
      <c r="F5" s="3"/>
      <c r="G5" s="26">
        <v>6.63</v>
      </c>
      <c r="H5" s="10"/>
      <c r="I5" s="10">
        <f t="shared" si="5"/>
        <v>17139.908529247157</v>
      </c>
      <c r="J5" s="10">
        <f t="shared" si="3"/>
        <v>12694682107.491968</v>
      </c>
      <c r="K5" s="11">
        <f t="shared" si="4"/>
        <v>0.11471002000000019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708485.28472195007</v>
      </c>
      <c r="D6" s="11">
        <v>-9.9000000000000008E-3</v>
      </c>
      <c r="E6" s="10">
        <f t="shared" si="2"/>
        <v>-7084.137277797563</v>
      </c>
      <c r="F6" s="3"/>
      <c r="G6" s="26">
        <v>9.6300000000000008</v>
      </c>
      <c r="H6" s="10"/>
      <c r="I6" s="10">
        <f t="shared" si="5"/>
        <v>16074.189748895393</v>
      </c>
      <c r="J6" s="10">
        <f t="shared" si="3"/>
        <v>11388326900.920803</v>
      </c>
      <c r="K6" s="11">
        <f t="shared" si="4"/>
        <v>8.5446629999999857E-2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715569.42199974763</v>
      </c>
      <c r="D7" s="11">
        <v>3.9100000000000003E-2</v>
      </c>
      <c r="E7" s="10">
        <f t="shared" si="2"/>
        <v>26925.959388114745</v>
      </c>
      <c r="F7" s="3"/>
      <c r="G7" s="26">
        <v>2.37</v>
      </c>
      <c r="H7" s="10"/>
      <c r="I7" s="10">
        <f t="shared" si="5"/>
        <v>14662.218141836534</v>
      </c>
      <c r="J7" s="10">
        <f t="shared" si="3"/>
        <v>10491834960.988182</v>
      </c>
      <c r="K7" s="11">
        <f t="shared" si="4"/>
        <v>6.3726669999999874E-2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688643.46261163289</v>
      </c>
      <c r="D8" s="11">
        <v>4.0300000000000002E-2</v>
      </c>
      <c r="E8" s="10">
        <f t="shared" si="2"/>
        <v>26677.238818849204</v>
      </c>
      <c r="F8" s="3"/>
      <c r="G8" s="26">
        <v>7.08</v>
      </c>
      <c r="H8" s="10"/>
      <c r="I8" s="10">
        <f t="shared" si="5"/>
        <v>14322.768527729348</v>
      </c>
      <c r="J8" s="10">
        <f t="shared" si="3"/>
        <v>9863280913.1204567</v>
      </c>
      <c r="K8" s="11">
        <f t="shared" si="4"/>
        <v>0.11395323999999984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661966.22379278368</v>
      </c>
      <c r="D9" s="11">
        <v>4.1500000000000002E-2</v>
      </c>
      <c r="E9" s="10">
        <f t="shared" si="2"/>
        <v>26376.954668651568</v>
      </c>
      <c r="F9" s="3"/>
      <c r="G9" s="26">
        <v>2.48</v>
      </c>
      <c r="H9" s="10"/>
      <c r="I9" s="10">
        <f t="shared" si="5"/>
        <v>13375.764407666557</v>
      </c>
      <c r="J9" s="10">
        <f t="shared" si="3"/>
        <v>8854304255.2849503</v>
      </c>
      <c r="K9" s="11">
        <f t="shared" si="4"/>
        <v>6.7329199999999867E-2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635589.26912413212</v>
      </c>
      <c r="D10" s="11">
        <v>4.2799999999999998E-2</v>
      </c>
      <c r="E10" s="10">
        <f t="shared" si="2"/>
        <v>26086.709549782099</v>
      </c>
      <c r="F10" s="3"/>
      <c r="G10" s="26">
        <v>5.99</v>
      </c>
      <c r="H10" s="10"/>
      <c r="I10" s="10">
        <f t="shared" si="5"/>
        <v>13052.072997332707</v>
      </c>
      <c r="J10" s="10">
        <f t="shared" si="3"/>
        <v>8295757536.9295158</v>
      </c>
      <c r="K10" s="11">
        <f t="shared" si="4"/>
        <v>0.10526371999999995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609502.55957435002</v>
      </c>
      <c r="D11" s="11">
        <v>4.4299999999999999E-2</v>
      </c>
      <c r="E11" s="10">
        <f t="shared" si="2"/>
        <v>25855.56199286005</v>
      </c>
      <c r="F11" s="3"/>
      <c r="G11" s="26">
        <v>7.51</v>
      </c>
      <c r="H11" s="10"/>
      <c r="I11" s="10">
        <f t="shared" si="5"/>
        <v>12314.438152026329</v>
      </c>
      <c r="J11" s="10">
        <f t="shared" si="3"/>
        <v>7505681573.3800764</v>
      </c>
      <c r="K11" s="11">
        <f t="shared" si="4"/>
        <v>0.12272693000000001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583646.99758148997</v>
      </c>
      <c r="D12" s="11">
        <v>4.5900000000000003E-2</v>
      </c>
      <c r="E12" s="10">
        <f t="shared" si="2"/>
        <v>25613.72711443773</v>
      </c>
      <c r="F12" s="3"/>
      <c r="G12" s="26">
        <v>10.61</v>
      </c>
      <c r="H12" s="10"/>
      <c r="I12" s="10">
        <f t="shared" si="5"/>
        <v>11454.225794834276</v>
      </c>
      <c r="J12" s="10">
        <f t="shared" si="3"/>
        <v>6685224494.7754803</v>
      </c>
      <c r="K12" s="11">
        <f t="shared" si="4"/>
        <v>0.15686999000000013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558033.27046705224</v>
      </c>
      <c r="D13" s="11">
        <v>4.7699999999999999E-2</v>
      </c>
      <c r="E13" s="10">
        <f t="shared" si="2"/>
        <v>25406.306195741519</v>
      </c>
      <c r="F13" s="3"/>
      <c r="G13" s="26">
        <v>10.24</v>
      </c>
      <c r="H13" s="10"/>
      <c r="I13" s="10">
        <f t="shared" si="5"/>
        <v>10355.506549890855</v>
      </c>
      <c r="J13" s="10">
        <f t="shared" si="3"/>
        <v>5778717187.3785744</v>
      </c>
      <c r="K13" s="11">
        <f t="shared" si="4"/>
        <v>0.15498447999999998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532626.96427131072</v>
      </c>
      <c r="D14" s="11">
        <v>4.9799999999999997E-2</v>
      </c>
      <c r="E14" s="10">
        <f t="shared" si="2"/>
        <v>25266.548695667065</v>
      </c>
      <c r="F14" s="3"/>
      <c r="G14" s="26">
        <v>17.329999999999998</v>
      </c>
      <c r="H14" s="10"/>
      <c r="I14" s="10">
        <f t="shared" si="5"/>
        <v>9393.601732484447</v>
      </c>
      <c r="J14" s="10">
        <f t="shared" si="3"/>
        <v>5003285574.3469162</v>
      </c>
      <c r="K14" s="11">
        <f t="shared" si="4"/>
        <v>0.23173034000000015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507360.41557564365</v>
      </c>
      <c r="D15" s="11">
        <v>5.1999999999999998E-2</v>
      </c>
      <c r="E15" s="10">
        <f t="shared" si="2"/>
        <v>25078.651720469119</v>
      </c>
      <c r="F15" s="3"/>
      <c r="G15" s="26">
        <v>-0.01</v>
      </c>
      <c r="H15" s="10"/>
      <c r="I15" s="10">
        <f t="shared" si="5"/>
        <v>8006.1380145610219</v>
      </c>
      <c r="J15" s="10">
        <f t="shared" si="3"/>
        <v>4061997510.2236385</v>
      </c>
      <c r="K15" s="11">
        <f t="shared" si="4"/>
        <v>5.189480000000013E-2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482281.76385517453</v>
      </c>
      <c r="D16" s="11">
        <v>4.4600000000000001E-2</v>
      </c>
      <c r="E16" s="10">
        <f t="shared" si="2"/>
        <v>20591.390645166335</v>
      </c>
      <c r="F16" s="3"/>
      <c r="G16" s="26">
        <v>0.21</v>
      </c>
      <c r="H16" s="10"/>
      <c r="I16" s="10">
        <f t="shared" si="5"/>
        <v>8006.9387084318651</v>
      </c>
      <c r="J16" s="10">
        <f t="shared" si="3"/>
        <v>3861600523.3827929</v>
      </c>
      <c r="K16" s="11">
        <f t="shared" si="4"/>
        <v>4.679366000000007E-2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461690.3732100082</v>
      </c>
      <c r="D17" s="11">
        <v>3.6200000000000003E-2</v>
      </c>
      <c r="E17" s="10">
        <f t="shared" si="2"/>
        <v>16129.310471146775</v>
      </c>
      <c r="F17" s="3"/>
      <c r="G17" s="26">
        <v>4.6900000000000004</v>
      </c>
      <c r="H17" s="10"/>
      <c r="I17" s="10">
        <f t="shared" si="5"/>
        <v>7990.1593737469966</v>
      </c>
      <c r="J17" s="10">
        <f t="shared" si="3"/>
        <v>3688979663.272696</v>
      </c>
      <c r="K17" s="11">
        <f t="shared" si="4"/>
        <v>8.4797779999999934E-2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445561.06273886142</v>
      </c>
      <c r="D18" s="11">
        <v>3.7400000000000003E-2</v>
      </c>
      <c r="E18" s="10">
        <f t="shared" si="2"/>
        <v>16063.219343005097</v>
      </c>
      <c r="F18" s="3"/>
      <c r="G18" s="26">
        <v>1.79</v>
      </c>
      <c r="H18" s="10"/>
      <c r="I18" s="10">
        <f t="shared" si="5"/>
        <v>7632.2087818769669</v>
      </c>
      <c r="J18" s="10">
        <f t="shared" si="3"/>
        <v>3400615055.8979726</v>
      </c>
      <c r="K18" s="11">
        <f t="shared" si="4"/>
        <v>5.5969460000000471E-2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429497.84339585633</v>
      </c>
      <c r="D19" s="11">
        <v>3.8600000000000002E-2</v>
      </c>
      <c r="E19" s="10">
        <f t="shared" si="2"/>
        <v>15962.465583554818</v>
      </c>
      <c r="F19" s="3"/>
      <c r="G19" s="26">
        <v>3.66</v>
      </c>
      <c r="H19" s="10"/>
      <c r="I19" s="10">
        <f t="shared" si="5"/>
        <v>7497.9946771558762</v>
      </c>
      <c r="J19" s="10">
        <f t="shared" si="3"/>
        <v>3220372543.6320586</v>
      </c>
      <c r="K19" s="11">
        <f t="shared" si="4"/>
        <v>7.6612759999999946E-2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413535.37781230151</v>
      </c>
      <c r="D20" s="11">
        <v>0.04</v>
      </c>
      <c r="E20" s="10">
        <f t="shared" si="2"/>
        <v>15905.206838934682</v>
      </c>
      <c r="F20" s="3"/>
      <c r="G20" s="26">
        <v>2.4700000000000002</v>
      </c>
      <c r="H20" s="10"/>
      <c r="I20" s="10">
        <f t="shared" si="5"/>
        <v>7233.2574543274904</v>
      </c>
      <c r="J20" s="10">
        <f t="shared" si="3"/>
        <v>2991207854.1889648</v>
      </c>
      <c r="K20" s="11">
        <f t="shared" si="4"/>
        <v>6.5687999999999969E-2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397630.17097336682</v>
      </c>
      <c r="D21" s="11">
        <v>4.1399999999999999E-2</v>
      </c>
      <c r="E21" s="10">
        <f t="shared" si="2"/>
        <v>15807.460224983108</v>
      </c>
      <c r="F21" s="3"/>
      <c r="G21" s="26">
        <v>0.61</v>
      </c>
      <c r="H21" s="10"/>
      <c r="I21" s="10">
        <f t="shared" si="5"/>
        <v>7058.9025610690842</v>
      </c>
      <c r="J21" s="10">
        <f t="shared" si="3"/>
        <v>2806832632.2422371</v>
      </c>
      <c r="K21" s="11">
        <f t="shared" si="4"/>
        <v>4.7752540000000065E-2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381822.71074838372</v>
      </c>
      <c r="D22" s="11">
        <v>4.2799999999999998E-2</v>
      </c>
      <c r="E22" s="10">
        <f t="shared" si="2"/>
        <v>15671.281185299973</v>
      </c>
      <c r="F22" s="3"/>
      <c r="G22" s="26">
        <v>4.8600000000000003</v>
      </c>
      <c r="H22" s="10"/>
      <c r="I22" s="10">
        <f t="shared" si="5"/>
        <v>7016.1043246884847</v>
      </c>
      <c r="J22" s="10">
        <f t="shared" si="3"/>
        <v>2678907972.1460152</v>
      </c>
      <c r="K22" s="11">
        <f t="shared" si="4"/>
        <v>9.3480079999999965E-2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366151.42956308374</v>
      </c>
      <c r="D23" s="11">
        <v>4.4299999999999999E-2</v>
      </c>
      <c r="E23" s="10">
        <f t="shared" si="2"/>
        <v>15532.422033558018</v>
      </c>
      <c r="F23" s="3"/>
      <c r="G23" s="26">
        <v>8.44</v>
      </c>
      <c r="H23" s="10"/>
      <c r="I23" s="10">
        <f t="shared" si="5"/>
        <v>6690.9253525543436</v>
      </c>
      <c r="J23" s="10">
        <f t="shared" si="3"/>
        <v>2449891882.9376531</v>
      </c>
      <c r="K23" s="11">
        <f t="shared" si="4"/>
        <v>0.13243892000000024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350619.00752952573</v>
      </c>
      <c r="D24" s="11">
        <v>4.5999999999999999E-2</v>
      </c>
      <c r="E24" s="10">
        <f t="shared" si="2"/>
        <v>15419.191535715305</v>
      </c>
      <c r="F24" s="3"/>
      <c r="G24" s="26">
        <v>13.99</v>
      </c>
      <c r="H24" s="10"/>
      <c r="I24" s="10">
        <f t="shared" si="5"/>
        <v>6170.1635490172848</v>
      </c>
      <c r="J24" s="10">
        <f t="shared" si="3"/>
        <v>2163376619.8512964</v>
      </c>
      <c r="K24" s="11">
        <f t="shared" si="4"/>
        <v>0.19233539999999993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335199.81599381042</v>
      </c>
      <c r="D25" s="11">
        <v>4.7699999999999999E-2</v>
      </c>
      <c r="E25" s="10">
        <f t="shared" si="2"/>
        <v>15261.077811305528</v>
      </c>
      <c r="F25" s="3"/>
      <c r="G25" s="26">
        <v>22.81</v>
      </c>
      <c r="H25" s="10"/>
      <c r="I25" s="10">
        <f t="shared" si="5"/>
        <v>5412.898981504768</v>
      </c>
      <c r="J25" s="10">
        <f t="shared" si="3"/>
        <v>1814402742.593482</v>
      </c>
      <c r="K25" s="11">
        <f t="shared" si="4"/>
        <v>0.28668037000000002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319938.73818250489</v>
      </c>
      <c r="D26" s="11">
        <v>4.9299999999999997E-2</v>
      </c>
      <c r="E26" s="10">
        <f t="shared" si="2"/>
        <v>15031.906787760847</v>
      </c>
      <c r="F26" s="3"/>
      <c r="G26" s="26">
        <v>21.01</v>
      </c>
      <c r="H26" s="10"/>
      <c r="I26" s="10">
        <f t="shared" si="5"/>
        <v>4407.5392732715318</v>
      </c>
      <c r="J26" s="10">
        <f t="shared" si="3"/>
        <v>1410142553.5803285</v>
      </c>
      <c r="K26" s="11">
        <f t="shared" si="4"/>
        <v>0.2697579299999997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304906.83139474405</v>
      </c>
      <c r="D27" s="11">
        <v>5.0500000000000003E-2</v>
      </c>
      <c r="E27" s="10">
        <f t="shared" si="2"/>
        <v>14657.586849533138</v>
      </c>
      <c r="F27" s="3"/>
      <c r="G27" s="26">
        <v>-26.23</v>
      </c>
      <c r="H27" s="10"/>
      <c r="I27" s="10">
        <f t="shared" si="5"/>
        <v>3642.2934247347589</v>
      </c>
      <c r="J27" s="10">
        <f t="shared" si="3"/>
        <v>1110560147.145786</v>
      </c>
      <c r="K27" s="11">
        <f t="shared" si="4"/>
        <v>-0.22504614999999994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290249.24454521091</v>
      </c>
      <c r="D28" s="11">
        <v>5.3199999999999997E-2</v>
      </c>
      <c r="E28" s="10">
        <f t="shared" si="2"/>
        <v>14661.279728261696</v>
      </c>
      <c r="F28" s="3"/>
      <c r="G28" s="26">
        <v>25.89</v>
      </c>
      <c r="H28" s="10"/>
      <c r="I28" s="10">
        <f t="shared" si="5"/>
        <v>4937.3640026226904</v>
      </c>
      <c r="J28" s="10">
        <f t="shared" si="3"/>
        <v>1433066171.8059547</v>
      </c>
      <c r="K28" s="11">
        <f t="shared" si="4"/>
        <v>0.32587348000000027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275587.96481694921</v>
      </c>
      <c r="D29" s="11">
        <v>5.6500000000000002E-2</v>
      </c>
      <c r="E29" s="10">
        <f t="shared" si="2"/>
        <v>14738.021781502728</v>
      </c>
      <c r="F29" s="3"/>
      <c r="G29" s="26">
        <v>-10.050000000000001</v>
      </c>
      <c r="H29" s="10"/>
      <c r="I29" s="10">
        <f t="shared" si="5"/>
        <v>3921.9667984928824</v>
      </c>
      <c r="J29" s="10">
        <f t="shared" si="3"/>
        <v>1080846848.0762994</v>
      </c>
      <c r="K29" s="11">
        <f t="shared" si="4"/>
        <v>-4.9678250000000035E-2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260849.94303544649</v>
      </c>
      <c r="D30" s="11">
        <v>5.6899999999999999E-2</v>
      </c>
      <c r="E30" s="10">
        <f t="shared" si="2"/>
        <v>14043.298096997722</v>
      </c>
      <c r="F30" s="3"/>
      <c r="G30" s="26">
        <v>8.15</v>
      </c>
      <c r="H30" s="10"/>
      <c r="I30" s="10">
        <f t="shared" si="5"/>
        <v>4360.1632001032604</v>
      </c>
      <c r="J30" s="10">
        <f t="shared" si="3"/>
        <v>1137348322.3721855</v>
      </c>
      <c r="K30" s="11">
        <f t="shared" si="4"/>
        <v>0.14303734999999973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246806.64493844876</v>
      </c>
      <c r="D31" s="11">
        <v>5.74E-2</v>
      </c>
      <c r="E31" s="10">
        <f t="shared" si="2"/>
        <v>13397.674881281389</v>
      </c>
      <c r="F31" s="3"/>
      <c r="G31" s="26">
        <v>8.57</v>
      </c>
      <c r="H31" s="10"/>
      <c r="I31" s="10">
        <f t="shared" si="5"/>
        <v>4031.588719466723</v>
      </c>
      <c r="J31" s="10">
        <f t="shared" si="3"/>
        <v>995022885.62327886</v>
      </c>
      <c r="K31" s="11">
        <f t="shared" si="4"/>
        <v>0.14801917999999992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233408.97005716737</v>
      </c>
      <c r="D32" s="11">
        <v>5.9499999999999997E-2</v>
      </c>
      <c r="E32" s="10">
        <f t="shared" si="2"/>
        <v>13107.912900803611</v>
      </c>
      <c r="F32" s="3"/>
      <c r="G32" s="26">
        <v>-4.26</v>
      </c>
      <c r="H32" s="10"/>
      <c r="I32" s="10">
        <f t="shared" si="5"/>
        <v>3713.3542594332898</v>
      </c>
      <c r="J32" s="10">
        <f t="shared" si="3"/>
        <v>866730193.15171969</v>
      </c>
      <c r="K32" s="11">
        <f t="shared" si="4"/>
        <v>1.4365299999999914E-2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220301.05715636376</v>
      </c>
      <c r="D33" s="11">
        <v>6.0900000000000003E-2</v>
      </c>
      <c r="E33" s="10">
        <f t="shared" si="2"/>
        <v>12646.181902933866</v>
      </c>
      <c r="F33" s="3"/>
      <c r="G33" s="26">
        <v>5.24</v>
      </c>
      <c r="H33" s="10"/>
      <c r="I33" s="10">
        <f t="shared" si="5"/>
        <v>3878.5818460761329</v>
      </c>
      <c r="J33" s="10">
        <f t="shared" si="3"/>
        <v>854455680.95805299</v>
      </c>
      <c r="K33" s="11">
        <f t="shared" si="4"/>
        <v>0.11649115999999982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207654.8752534299</v>
      </c>
      <c r="D34" s="11">
        <v>6.0999999999999999E-2</v>
      </c>
      <c r="E34" s="10">
        <f t="shared" si="2"/>
        <v>11938.687455663719</v>
      </c>
      <c r="F34" s="3"/>
      <c r="G34" s="26">
        <v>6.64</v>
      </c>
      <c r="H34" s="10"/>
      <c r="I34" s="10">
        <f t="shared" si="5"/>
        <v>3685.4635557545921</v>
      </c>
      <c r="J34" s="10">
        <f t="shared" ref="J34:J65" si="6">IF(I34="","",I34*C34)</f>
        <v>765304474.92128205</v>
      </c>
      <c r="K34" s="11">
        <f t="shared" ref="K34:K65" si="7">IFERROR(J34/J35-1,"")</f>
        <v>0.1452433999999998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195716.18779776618</v>
      </c>
      <c r="D35" s="11">
        <v>5.9799999999999999E-2</v>
      </c>
      <c r="E35" s="10">
        <f t="shared" si="2"/>
        <v>11043.430864603171</v>
      </c>
      <c r="F35" s="3"/>
      <c r="G35" s="26">
        <v>-14.45</v>
      </c>
      <c r="H35" s="10"/>
      <c r="I35" s="10">
        <f t="shared" ref="I35:I66" si="8">IF(H35&lt;&gt;"",H35,I34/(1+IF(G34="",0,G34)/100))</f>
        <v>3414.3631237303989</v>
      </c>
      <c r="J35" s="10">
        <f t="shared" si="6"/>
        <v>668246134.33378637</v>
      </c>
      <c r="K35" s="11">
        <f t="shared" si="7"/>
        <v>-6.4726499999999798E-2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184672.75693316301</v>
      </c>
      <c r="D36" s="11">
        <v>5.8599999999999999E-2</v>
      </c>
      <c r="E36" s="10">
        <f t="shared" si="2"/>
        <v>10222.769276670471</v>
      </c>
      <c r="F36" s="3"/>
      <c r="G36" s="26">
        <v>-23.72</v>
      </c>
      <c r="H36" s="10"/>
      <c r="I36" s="10">
        <f t="shared" si="8"/>
        <v>3868.9667124423781</v>
      </c>
      <c r="J36" s="10">
        <f t="shared" si="6"/>
        <v>714492749.26937008</v>
      </c>
      <c r="K36" s="11">
        <f t="shared" si="7"/>
        <v>-0.14168712000000006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174449.98765649254</v>
      </c>
      <c r="D37" s="11">
        <v>5.8099999999999999E-2</v>
      </c>
      <c r="E37" s="10">
        <f t="shared" si="2"/>
        <v>9579.0041421814822</v>
      </c>
      <c r="F37" s="3"/>
      <c r="G37" s="26">
        <v>-24.71</v>
      </c>
      <c r="H37" s="10"/>
      <c r="I37" s="10">
        <f t="shared" si="8"/>
        <v>4771.789235868745</v>
      </c>
      <c r="J37" s="10">
        <f t="shared" si="6"/>
        <v>832438573.29668653</v>
      </c>
      <c r="K37" s="11">
        <f t="shared" si="7"/>
        <v>-0.14727720999999983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164870.98351431105</v>
      </c>
      <c r="D38" s="11">
        <v>5.7099999999999998E-2</v>
      </c>
      <c r="E38" s="10">
        <f t="shared" si="2"/>
        <v>8905.6221347716928</v>
      </c>
      <c r="F38" s="3"/>
      <c r="G38" s="26">
        <v>10.2</v>
      </c>
      <c r="H38" s="10"/>
      <c r="I38" s="10">
        <f t="shared" si="8"/>
        <v>5921.0686634430385</v>
      </c>
      <c r="J38" s="10">
        <f t="shared" si="6"/>
        <v>976212413.99762094</v>
      </c>
      <c r="K38" s="11">
        <f t="shared" si="7"/>
        <v>0.20403689999999997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155965.36137953936</v>
      </c>
      <c r="D39" s="11">
        <v>5.1400000000000001E-2</v>
      </c>
      <c r="E39" s="10">
        <f t="shared" si="2"/>
        <v>7624.7095062852895</v>
      </c>
      <c r="F39" s="3"/>
      <c r="G39" s="26">
        <v>7.35</v>
      </c>
      <c r="H39" s="10"/>
      <c r="I39" s="10">
        <f t="shared" si="8"/>
        <v>5198.4799503450731</v>
      </c>
      <c r="J39" s="10">
        <f t="shared" si="6"/>
        <v>810782804.07985914</v>
      </c>
      <c r="K39" s="11">
        <f t="shared" si="7"/>
        <v>0.12867790000000001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148340.65187325407</v>
      </c>
      <c r="D40" s="11">
        <v>4.6300000000000001E-2</v>
      </c>
      <c r="E40" s="10">
        <f t="shared" si="2"/>
        <v>6564.2475214868318</v>
      </c>
      <c r="F40" s="3"/>
      <c r="G40" s="26">
        <v>-3.85</v>
      </c>
      <c r="H40" s="10"/>
      <c r="I40" s="10">
        <f t="shared" si="8"/>
        <v>4842.5523524406835</v>
      </c>
      <c r="J40" s="10">
        <f t="shared" si="6"/>
        <v>718347372.69141102</v>
      </c>
      <c r="K40" s="11">
        <f t="shared" si="7"/>
        <v>6.0174500000000908E-3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141776.40435176724</v>
      </c>
      <c r="D41" s="11">
        <v>4.3499999999999997E-2</v>
      </c>
      <c r="E41" s="10">
        <f t="shared" si="2"/>
        <v>5910.18072764916</v>
      </c>
      <c r="F41" s="3"/>
      <c r="G41" s="26">
        <v>6.61</v>
      </c>
      <c r="H41" s="10"/>
      <c r="I41" s="10">
        <f t="shared" si="8"/>
        <v>5036.4559047745015</v>
      </c>
      <c r="J41" s="10">
        <f t="shared" si="6"/>
        <v>714050608.85515547</v>
      </c>
      <c r="K41" s="11">
        <f t="shared" si="7"/>
        <v>0.1124753500000002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135866.22362411808</v>
      </c>
      <c r="D42" s="11">
        <v>4.3499999999999997E-2</v>
      </c>
      <c r="E42" s="10">
        <f t="shared" si="2"/>
        <v>5663.80520138875</v>
      </c>
      <c r="F42" s="3"/>
      <c r="G42" s="26">
        <v>-12.27</v>
      </c>
      <c r="H42" s="10"/>
      <c r="I42" s="10">
        <f t="shared" si="8"/>
        <v>4724.1871351416394</v>
      </c>
      <c r="J42" s="10">
        <f t="shared" si="6"/>
        <v>641857465.7453357</v>
      </c>
      <c r="K42" s="11">
        <f t="shared" si="7"/>
        <v>-8.4537449999999903E-2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130202.41842272933</v>
      </c>
      <c r="D43" s="11">
        <v>4.3499999999999997E-2</v>
      </c>
      <c r="E43" s="10">
        <f t="shared" si="2"/>
        <v>5427.7002409091947</v>
      </c>
      <c r="F43" s="3"/>
      <c r="G43" s="26">
        <v>2.99</v>
      </c>
      <c r="H43" s="10"/>
      <c r="I43" s="10">
        <f t="shared" si="8"/>
        <v>5384.9163742638093</v>
      </c>
      <c r="J43" s="10">
        <f t="shared" si="6"/>
        <v>701129134.933303</v>
      </c>
      <c r="K43" s="11">
        <f t="shared" si="7"/>
        <v>7.4700650000000035E-2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124774.71818182014</v>
      </c>
      <c r="D44" s="11">
        <v>4.3400000000000001E-2</v>
      </c>
      <c r="E44" s="10">
        <f t="shared" si="2"/>
        <v>5189.9777353756945</v>
      </c>
      <c r="F44" s="3"/>
      <c r="G44" s="26">
        <v>6.57</v>
      </c>
      <c r="H44" s="10"/>
      <c r="I44" s="10">
        <f t="shared" si="8"/>
        <v>5228.5817790696274</v>
      </c>
      <c r="J44" s="10">
        <f t="shared" si="6"/>
        <v>652394817.97401249</v>
      </c>
      <c r="K44" s="11">
        <f t="shared" si="7"/>
        <v>0.11195138000000004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119584.74044644444</v>
      </c>
      <c r="D45" s="11">
        <v>4.3099999999999999E-2</v>
      </c>
      <c r="E45" s="10">
        <f t="shared" si="2"/>
        <v>4941.1392131547764</v>
      </c>
      <c r="F45" s="3"/>
      <c r="G45" s="26">
        <v>3.9</v>
      </c>
      <c r="H45" s="10"/>
      <c r="I45" s="10">
        <f t="shared" si="8"/>
        <v>4906.241699417873</v>
      </c>
      <c r="J45" s="10">
        <f t="shared" si="6"/>
        <v>586711640.1924088</v>
      </c>
      <c r="K45" s="11">
        <f t="shared" si="7"/>
        <v>8.3780899999999825E-2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114643.60123328966</v>
      </c>
      <c r="D46" s="11">
        <v>4.2700000000000002E-2</v>
      </c>
      <c r="E46" s="10">
        <f t="shared" si="2"/>
        <v>4694.8132470139681</v>
      </c>
      <c r="F46" s="3"/>
      <c r="G46" s="26">
        <v>7.04</v>
      </c>
      <c r="H46" s="10"/>
      <c r="I46" s="10">
        <f t="shared" si="8"/>
        <v>4722.0805576687908</v>
      </c>
      <c r="J46" s="10">
        <f t="shared" si="6"/>
        <v>541356320.44485092</v>
      </c>
      <c r="K46" s="11">
        <f t="shared" si="7"/>
        <v>0.11610608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109948.7879862757</v>
      </c>
      <c r="D47" s="11">
        <v>4.2200000000000001E-2</v>
      </c>
      <c r="E47" s="10">
        <f t="shared" si="2"/>
        <v>4451.9658923631068</v>
      </c>
      <c r="F47" s="3"/>
      <c r="G47" s="26">
        <v>5.0199999999999996</v>
      </c>
      <c r="H47" s="10"/>
      <c r="I47" s="10">
        <f t="shared" si="8"/>
        <v>4411.5102369850438</v>
      </c>
      <c r="J47" s="10">
        <f t="shared" si="6"/>
        <v>485040203.74555343</v>
      </c>
      <c r="K47" s="11">
        <f t="shared" si="7"/>
        <v>9.451843999999987E-2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105496.82209391259</v>
      </c>
      <c r="D48" s="11">
        <v>4.1700000000000001E-2</v>
      </c>
      <c r="E48" s="10">
        <f t="shared" si="2"/>
        <v>4223.1136424269644</v>
      </c>
      <c r="F48" s="3"/>
      <c r="G48" s="26">
        <v>6.29</v>
      </c>
      <c r="H48" s="10"/>
      <c r="I48" s="10">
        <f t="shared" si="8"/>
        <v>4200.6381993763507</v>
      </c>
      <c r="J48" s="10">
        <f t="shared" si="6"/>
        <v>443153980.80050021</v>
      </c>
      <c r="K48" s="11">
        <f t="shared" si="7"/>
        <v>0.10722293000000005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101273.70845148563</v>
      </c>
      <c r="D49" s="11">
        <v>4.1099999999999998E-2</v>
      </c>
      <c r="E49" s="10">
        <f t="shared" si="2"/>
        <v>3998.0303691826412</v>
      </c>
      <c r="F49" s="3"/>
      <c r="G49" s="26">
        <v>6.87</v>
      </c>
      <c r="H49" s="10"/>
      <c r="I49" s="10">
        <f t="shared" si="8"/>
        <v>3952.054002612053</v>
      </c>
      <c r="J49" s="10">
        <f t="shared" si="6"/>
        <v>400239164.84505987</v>
      </c>
      <c r="K49" s="11">
        <f t="shared" si="7"/>
        <v>0.11262357000000001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97275.678082302984</v>
      </c>
      <c r="D50" s="11">
        <v>4.0599999999999997E-2</v>
      </c>
      <c r="E50" s="10">
        <f t="shared" si="2"/>
        <v>3795.3032194325351</v>
      </c>
      <c r="F50" s="3"/>
      <c r="G50" s="26">
        <v>4.67</v>
      </c>
      <c r="H50" s="10"/>
      <c r="I50" s="10">
        <f t="shared" si="8"/>
        <v>3698.0013124469478</v>
      </c>
      <c r="J50" s="10">
        <f t="shared" si="6"/>
        <v>359725585.21752322</v>
      </c>
      <c r="K50" s="11">
        <f t="shared" si="7"/>
        <v>8.9196019999999931E-2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93480.374862870449</v>
      </c>
      <c r="D51" s="11">
        <v>0.04</v>
      </c>
      <c r="E51" s="10">
        <f t="shared" si="2"/>
        <v>3595.399033187321</v>
      </c>
      <c r="F51" s="3"/>
      <c r="G51" s="26">
        <v>1.91</v>
      </c>
      <c r="H51" s="10"/>
      <c r="I51" s="10">
        <f t="shared" si="8"/>
        <v>3533.0097568041924</v>
      </c>
      <c r="J51" s="10">
        <f t="shared" si="6"/>
        <v>330267076.46023464</v>
      </c>
      <c r="K51" s="11">
        <f t="shared" si="7"/>
        <v>5.9863999999999917E-2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89884.975829683128</v>
      </c>
      <c r="D52" s="11">
        <v>3.95E-2</v>
      </c>
      <c r="E52" s="10">
        <f t="shared" si="2"/>
        <v>3415.5426120947523</v>
      </c>
      <c r="F52" s="3"/>
      <c r="G52" s="26">
        <v>4.62</v>
      </c>
      <c r="H52" s="10"/>
      <c r="I52" s="10">
        <f t="shared" si="8"/>
        <v>3466.7939915652955</v>
      </c>
      <c r="J52" s="10">
        <f t="shared" si="6"/>
        <v>311612694.13833725</v>
      </c>
      <c r="K52" s="11">
        <f t="shared" si="7"/>
        <v>8.7524900000000017E-2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86469.433217588376</v>
      </c>
      <c r="D53" s="11">
        <v>3.8899999999999997E-2</v>
      </c>
      <c r="E53" s="10">
        <f t="shared" si="2"/>
        <v>3237.7138821486005</v>
      </c>
      <c r="F53" s="3"/>
      <c r="G53" s="26">
        <v>-0.34</v>
      </c>
      <c r="H53" s="10"/>
      <c r="I53" s="10">
        <f t="shared" si="8"/>
        <v>3313.7010051283651</v>
      </c>
      <c r="J53" s="10">
        <f t="shared" si="6"/>
        <v>286533847.76600266</v>
      </c>
      <c r="K53" s="11">
        <f t="shared" si="7"/>
        <v>3.5367740000000092E-2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83231.719335439775</v>
      </c>
      <c r="D54" s="11">
        <v>3.8399999999999997E-2</v>
      </c>
      <c r="E54" s="10">
        <f t="shared" si="2"/>
        <v>3077.9064161025453</v>
      </c>
      <c r="F54" s="3"/>
      <c r="G54" s="26">
        <v>3.28</v>
      </c>
      <c r="H54" s="10"/>
      <c r="I54" s="10">
        <f t="shared" si="8"/>
        <v>3325.0060256154575</v>
      </c>
      <c r="J54" s="10">
        <f t="shared" si="6"/>
        <v>276745968.31267184</v>
      </c>
      <c r="K54" s="11">
        <f t="shared" si="7"/>
        <v>7.2459519999999999E-2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80153.81291933723</v>
      </c>
      <c r="D55" s="11">
        <v>3.7900000000000003E-2</v>
      </c>
      <c r="E55" s="10">
        <f t="shared" si="2"/>
        <v>2926.8999996559287</v>
      </c>
      <c r="F55" s="3"/>
      <c r="G55" s="26">
        <v>7.41</v>
      </c>
      <c r="H55" s="10"/>
      <c r="I55" s="10">
        <f t="shared" si="8"/>
        <v>3219.4093973813492</v>
      </c>
      <c r="J55" s="10">
        <f t="shared" si="6"/>
        <v>258047938.54846087</v>
      </c>
      <c r="K55" s="11">
        <f t="shared" si="7"/>
        <v>0.11480839000000032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77226.912919681301</v>
      </c>
      <c r="D56" s="11">
        <v>3.7400000000000003E-2</v>
      </c>
      <c r="E56" s="10">
        <f t="shared" si="2"/>
        <v>2784.1589967188047</v>
      </c>
      <c r="F56" s="3"/>
      <c r="G56" s="26">
        <v>2.11</v>
      </c>
      <c r="H56" s="10"/>
      <c r="I56" s="10">
        <f t="shared" si="8"/>
        <v>2997.3088142457395</v>
      </c>
      <c r="J56" s="10">
        <f t="shared" si="6"/>
        <v>231472906.79114893</v>
      </c>
      <c r="K56" s="11">
        <f t="shared" si="7"/>
        <v>5.9289139999999962E-2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74442.753922962496</v>
      </c>
      <c r="D57" s="11">
        <v>3.73E-2</v>
      </c>
      <c r="E57" s="10">
        <f t="shared" si="2"/>
        <v>2676.8675612903753</v>
      </c>
      <c r="F57" s="3"/>
      <c r="G57" s="26">
        <v>4.92</v>
      </c>
      <c r="H57" s="10"/>
      <c r="I57" s="10">
        <f t="shared" si="8"/>
        <v>2935.3724554360392</v>
      </c>
      <c r="J57" s="10">
        <f t="shared" si="6"/>
        <v>218517209.37226728</v>
      </c>
      <c r="K57" s="11">
        <f t="shared" si="7"/>
        <v>8.833516000000019E-2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71765.886361672121</v>
      </c>
      <c r="D58" s="11">
        <v>3.7199999999999997E-2</v>
      </c>
      <c r="E58" s="10">
        <f t="shared" si="2"/>
        <v>2573.9403901409532</v>
      </c>
      <c r="F58" s="3"/>
      <c r="G58" s="26">
        <v>5.12</v>
      </c>
      <c r="H58" s="10"/>
      <c r="I58" s="10">
        <f t="shared" si="8"/>
        <v>2797.7244142547079</v>
      </c>
      <c r="J58" s="10">
        <f t="shared" si="6"/>
        <v>200781172.38467905</v>
      </c>
      <c r="K58" s="11">
        <f t="shared" si="7"/>
        <v>9.0304639999999825E-2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69191.945971531168</v>
      </c>
      <c r="D59" s="11">
        <v>3.7100000000000001E-2</v>
      </c>
      <c r="E59" s="10">
        <f t="shared" si="2"/>
        <v>2475.1915876422718</v>
      </c>
      <c r="F59" s="3"/>
      <c r="G59" s="26">
        <v>4.9400000000000004</v>
      </c>
      <c r="H59" s="10"/>
      <c r="I59" s="10">
        <f t="shared" si="8"/>
        <v>2661.4577761174924</v>
      </c>
      <c r="J59" s="10">
        <f t="shared" si="6"/>
        <v>184151442.65063304</v>
      </c>
      <c r="K59" s="11">
        <f t="shared" si="7"/>
        <v>8.8332740000000021E-2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66716.754383888896</v>
      </c>
      <c r="D60" s="11">
        <v>3.6900000000000002E-2</v>
      </c>
      <c r="E60" s="10">
        <f t="shared" si="2"/>
        <v>2374.2388241541994</v>
      </c>
      <c r="F60" s="3"/>
      <c r="G60" s="26">
        <v>3.56</v>
      </c>
      <c r="H60" s="10"/>
      <c r="I60" s="10">
        <f t="shared" si="8"/>
        <v>2536.170932073082</v>
      </c>
      <c r="J60" s="10">
        <f t="shared" si="6"/>
        <v>169205093.15067837</v>
      </c>
      <c r="K60" s="11">
        <f t="shared" si="7"/>
        <v>7.3813639999999792E-2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64342.515559734697</v>
      </c>
      <c r="D61" s="11">
        <v>3.6700000000000003E-2</v>
      </c>
      <c r="E61" s="10">
        <f t="shared" si="2"/>
        <v>2277.7759439010915</v>
      </c>
      <c r="F61" s="3"/>
      <c r="G61" s="26">
        <v>7.36</v>
      </c>
      <c r="H61" s="10"/>
      <c r="I61" s="10">
        <f t="shared" si="8"/>
        <v>2448.9869950493257</v>
      </c>
      <c r="J61" s="10">
        <f t="shared" si="6"/>
        <v>157573983.83454916</v>
      </c>
      <c r="K61" s="11">
        <f t="shared" si="7"/>
        <v>0.11300111999999984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62064.739615833605</v>
      </c>
      <c r="D62" s="11">
        <v>3.6600000000000001E-2</v>
      </c>
      <c r="E62" s="10">
        <f t="shared" si="2"/>
        <v>2191.3654928993928</v>
      </c>
      <c r="F62" s="3"/>
      <c r="G62" s="26">
        <v>2.35</v>
      </c>
      <c r="H62" s="10"/>
      <c r="I62" s="10">
        <f t="shared" si="8"/>
        <v>2281.0981697553334</v>
      </c>
      <c r="J62" s="10">
        <f t="shared" si="6"/>
        <v>141575763.94401938</v>
      </c>
      <c r="K62" s="11">
        <f t="shared" si="7"/>
        <v>6.0960099999999962E-2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59873.374122934212</v>
      </c>
      <c r="D63" s="11">
        <v>3.6400000000000002E-2</v>
      </c>
      <c r="E63" s="10">
        <f t="shared" si="2"/>
        <v>2102.8471806974194</v>
      </c>
      <c r="F63" s="3"/>
      <c r="G63" s="26">
        <v>11.4</v>
      </c>
      <c r="H63" s="10"/>
      <c r="I63" s="10">
        <f t="shared" si="8"/>
        <v>2228.7231751395539</v>
      </c>
      <c r="J63" s="10">
        <f t="shared" si="6"/>
        <v>133441176.48158434</v>
      </c>
      <c r="K63" s="11">
        <f t="shared" si="7"/>
        <v>0.15454959999999995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57770.526942236793</v>
      </c>
      <c r="D64" s="11">
        <v>3.6200000000000003E-2</v>
      </c>
      <c r="E64" s="10">
        <f t="shared" si="2"/>
        <v>2018.233039286788</v>
      </c>
      <c r="F64" s="3"/>
      <c r="G64" s="26">
        <v>9.92</v>
      </c>
      <c r="H64" s="10"/>
      <c r="I64" s="10">
        <f t="shared" si="8"/>
        <v>2000.6491697841595</v>
      </c>
      <c r="J64" s="10">
        <f t="shared" si="6"/>
        <v>115578556.76497947</v>
      </c>
      <c r="K64" s="11">
        <f t="shared" si="7"/>
        <v>0.13899104000000007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55752.293902950005</v>
      </c>
      <c r="D65" s="11">
        <v>3.5900000000000001E-2</v>
      </c>
      <c r="E65" s="10">
        <f t="shared" si="2"/>
        <v>1932.1434029500015</v>
      </c>
      <c r="F65" s="3"/>
      <c r="G65" s="26">
        <v>6</v>
      </c>
      <c r="H65" s="10"/>
      <c r="I65" s="10">
        <f t="shared" si="8"/>
        <v>1820.095678479039</v>
      </c>
      <c r="J65" s="10">
        <f t="shared" si="6"/>
        <v>101474509.19805257</v>
      </c>
      <c r="K65" s="11">
        <f t="shared" si="7"/>
        <v>9.8054000000000086E-2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53820.150500000003</v>
      </c>
      <c r="D66" s="11">
        <v>3.5700000000000003E-2</v>
      </c>
      <c r="E66" s="10">
        <f t="shared" si="2"/>
        <v>1855.1505000000034</v>
      </c>
      <c r="F66" s="15">
        <v>833491</v>
      </c>
      <c r="G66" s="26">
        <v>8.4</v>
      </c>
      <c r="H66" s="10"/>
      <c r="I66" s="10">
        <f t="shared" si="8"/>
        <v>1717.071394791546</v>
      </c>
      <c r="J66" s="10">
        <f t="shared" ref="J66:J67" si="9">IF(I66="","",I66*C66)</f>
        <v>92413040.886925936</v>
      </c>
      <c r="K66" s="11">
        <f t="shared" ref="K66" si="10">IFERROR(J66/J67-1,"")</f>
        <v>0.12269880000000022</v>
      </c>
    </row>
    <row r="67" spans="1:11" ht="22.5" customHeight="1">
      <c r="A67" s="3">
        <f t="shared" si="0"/>
        <v>1950</v>
      </c>
      <c r="B67" s="3">
        <v>1700</v>
      </c>
      <c r="C67" s="10">
        <v>51965</v>
      </c>
      <c r="D67" s="11">
        <v>3.5400000000000001E-2</v>
      </c>
      <c r="E67" s="3" t="s">
        <v>72</v>
      </c>
      <c r="F67" s="10">
        <f>SUM(C2)</f>
        <v>833440.93086851214</v>
      </c>
      <c r="G67" s="26">
        <v>11.4</v>
      </c>
      <c r="H67" s="10"/>
      <c r="I67" s="10">
        <f t="shared" ref="I67" si="11">IF(H67&lt;&gt;"",H67,I66/(1+IF(G66="",0,G66)/100))</f>
        <v>1584.0142018372194</v>
      </c>
      <c r="J67" s="10">
        <f t="shared" si="9"/>
        <v>82313297.998471111</v>
      </c>
      <c r="K67" s="11"/>
    </row>
    <row r="68" spans="1:11" ht="15.75" customHeight="1">
      <c r="G68" s="26"/>
    </row>
  </sheetData>
  <dataValidations count="1">
    <dataValidation type="custom" allowBlank="1" showDropDown="1" sqref="D2:D67" xr:uid="{00000000-0002-0000-3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M67"/>
  <sheetViews>
    <sheetView workbookViewId="0">
      <selection activeCell="H67" sqref="H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17078344.980818417</v>
      </c>
      <c r="D2" s="11">
        <v>2.0299999999999999E-2</v>
      </c>
      <c r="E2" s="10">
        <f t="shared" ref="E2:E66" si="2">SUM(C2-C3)</f>
        <v>339792.61306538805</v>
      </c>
      <c r="F2" s="14"/>
      <c r="G2" s="26">
        <v>1.32</v>
      </c>
      <c r="H2" s="10"/>
      <c r="I2" s="10">
        <f>IF(H2&lt;&gt;"",H2,74600)</f>
        <v>9325</v>
      </c>
      <c r="J2" s="10">
        <f t="shared" ref="J2:J33" si="3">IF(I2="","",I2*C2)</f>
        <v>159255566946.13174</v>
      </c>
      <c r="K2" s="11">
        <f t="shared" ref="K2:K33" si="4">IFERROR(J2/J3-1,"")</f>
        <v>3.3767960000000263E-2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16738552.367753029</v>
      </c>
      <c r="D3" s="11">
        <v>1.6799999999999999E-2</v>
      </c>
      <c r="E3" s="10">
        <f t="shared" si="2"/>
        <v>276561.44746090658</v>
      </c>
      <c r="F3" s="3"/>
      <c r="G3" s="26">
        <v>1.41</v>
      </c>
      <c r="H3" s="10"/>
      <c r="I3" s="10">
        <f t="shared" ref="I3:I34" si="5">IF(H3&lt;&gt;"",H3,I2/(1+IF(G2="",0,G2)/100))</f>
        <v>9203.5136202131853</v>
      </c>
      <c r="J3" s="10">
        <f t="shared" si="3"/>
        <v>154053494699.26666</v>
      </c>
      <c r="K3" s="11">
        <f t="shared" si="4"/>
        <v>3.1136879999999811E-2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16461990.920292122</v>
      </c>
      <c r="D4" s="11">
        <v>1.67E-2</v>
      </c>
      <c r="E4" s="10">
        <f t="shared" si="2"/>
        <v>270399.5754587166</v>
      </c>
      <c r="F4" s="3"/>
      <c r="G4" s="26">
        <v>2.4900000000000002</v>
      </c>
      <c r="H4" s="10"/>
      <c r="I4" s="10">
        <f t="shared" si="5"/>
        <v>9075.5483879431868</v>
      </c>
      <c r="J4" s="10">
        <f t="shared" si="3"/>
        <v>149401595158.99255</v>
      </c>
      <c r="K4" s="11">
        <f t="shared" si="4"/>
        <v>4.2015829999999754E-2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16191591.344833406</v>
      </c>
      <c r="D5" s="11">
        <v>1.49E-2</v>
      </c>
      <c r="E5" s="10">
        <f t="shared" si="2"/>
        <v>237712.79046016</v>
      </c>
      <c r="F5" s="3"/>
      <c r="G5" s="26">
        <v>2.4</v>
      </c>
      <c r="H5" s="10"/>
      <c r="I5" s="10">
        <f t="shared" si="5"/>
        <v>8855.0574572574769</v>
      </c>
      <c r="J5" s="10">
        <f t="shared" si="3"/>
        <v>143377471682.93268</v>
      </c>
      <c r="K5" s="11">
        <f t="shared" si="4"/>
        <v>3.9257599999999782E-2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15953878.554373246</v>
      </c>
      <c r="D6" s="11">
        <v>1.24E-2</v>
      </c>
      <c r="E6" s="10">
        <f t="shared" si="2"/>
        <v>195405.07119145431</v>
      </c>
      <c r="F6" s="3"/>
      <c r="G6" s="26">
        <v>3.17</v>
      </c>
      <c r="H6" s="10"/>
      <c r="I6" s="10">
        <f t="shared" si="5"/>
        <v>8647.5170481030054</v>
      </c>
      <c r="J6" s="10">
        <f t="shared" si="3"/>
        <v>137961436782.30759</v>
      </c>
      <c r="K6" s="11">
        <f t="shared" si="4"/>
        <v>4.4493080000000296E-2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15758473.483181791</v>
      </c>
      <c r="D7" s="11">
        <v>1.1900000000000001E-2</v>
      </c>
      <c r="E7" s="10">
        <f t="shared" si="2"/>
        <v>185320.52025878429</v>
      </c>
      <c r="F7" s="3"/>
      <c r="G7" s="26">
        <v>3.04</v>
      </c>
      <c r="H7" s="10"/>
      <c r="I7" s="10">
        <f t="shared" si="5"/>
        <v>8381.8135583047442</v>
      </c>
      <c r="J7" s="10">
        <f t="shared" si="3"/>
        <v>132084586699.51892</v>
      </c>
      <c r="K7" s="11">
        <f t="shared" si="4"/>
        <v>4.2661759999999882E-2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15573152.962923007</v>
      </c>
      <c r="D8" s="11">
        <v>1.2E-2</v>
      </c>
      <c r="E8" s="10">
        <f t="shared" si="2"/>
        <v>184661.89284098521</v>
      </c>
      <c r="F8" s="3"/>
      <c r="G8" s="26">
        <v>3.54</v>
      </c>
      <c r="H8" s="10"/>
      <c r="I8" s="10">
        <f t="shared" si="5"/>
        <v>8134.5240278578649</v>
      </c>
      <c r="J8" s="10">
        <f t="shared" si="3"/>
        <v>126680186966.40311</v>
      </c>
      <c r="K8" s="11">
        <f t="shared" si="4"/>
        <v>4.7824800000000112E-2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15388491.070082022</v>
      </c>
      <c r="D9" s="11">
        <v>1.1599999999999999E-2</v>
      </c>
      <c r="E9" s="10">
        <f t="shared" si="2"/>
        <v>176459.56545368955</v>
      </c>
      <c r="F9" s="3"/>
      <c r="G9" s="26">
        <v>3.19</v>
      </c>
      <c r="H9" s="10"/>
      <c r="I9" s="10">
        <f t="shared" si="5"/>
        <v>7856.4072125341554</v>
      </c>
      <c r="J9" s="10">
        <f t="shared" si="3"/>
        <v>120898252233.00984</v>
      </c>
      <c r="K9" s="11">
        <f t="shared" si="4"/>
        <v>4.3870040000000055E-2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15212031.504628332</v>
      </c>
      <c r="D10" s="11">
        <v>1.06E-2</v>
      </c>
      <c r="E10" s="10">
        <f t="shared" si="2"/>
        <v>159556.23782808147</v>
      </c>
      <c r="F10" s="3"/>
      <c r="G10" s="26">
        <v>5.36</v>
      </c>
      <c r="H10" s="10"/>
      <c r="I10" s="10">
        <f t="shared" si="5"/>
        <v>7613.5354322455232</v>
      </c>
      <c r="J10" s="10">
        <f t="shared" si="3"/>
        <v>115817340856.92299</v>
      </c>
      <c r="K10" s="11">
        <f t="shared" si="4"/>
        <v>6.4768160000000075E-2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15052475.266800251</v>
      </c>
      <c r="D11" s="11">
        <v>1.03E-2</v>
      </c>
      <c r="E11" s="10">
        <f t="shared" si="2"/>
        <v>153459.85870339721</v>
      </c>
      <c r="F11" s="3"/>
      <c r="G11" s="26">
        <v>5.6</v>
      </c>
      <c r="H11" s="10"/>
      <c r="I11" s="10">
        <f t="shared" si="5"/>
        <v>7226.2105469300704</v>
      </c>
      <c r="J11" s="10">
        <f t="shared" si="3"/>
        <v>108772355530.356</v>
      </c>
      <c r="K11" s="11">
        <f t="shared" si="4"/>
        <v>6.6876800000000181E-2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14899015.408096854</v>
      </c>
      <c r="D12" s="11">
        <v>1.0200000000000001E-2</v>
      </c>
      <c r="E12" s="10">
        <f t="shared" si="2"/>
        <v>150435.5149105005</v>
      </c>
      <c r="F12" s="3"/>
      <c r="G12" s="26">
        <v>5.28</v>
      </c>
      <c r="H12" s="10"/>
      <c r="I12" s="10">
        <f t="shared" si="5"/>
        <v>6843.0024118655965</v>
      </c>
      <c r="J12" s="10">
        <f t="shared" si="3"/>
        <v>101953998372.02945</v>
      </c>
      <c r="K12" s="11">
        <f t="shared" si="4"/>
        <v>6.3538560000000022E-2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14748579.893186353</v>
      </c>
      <c r="D13" s="11">
        <v>1.01E-2</v>
      </c>
      <c r="E13" s="10">
        <f t="shared" si="2"/>
        <v>147471.19782316871</v>
      </c>
      <c r="F13" s="3"/>
      <c r="G13" s="26">
        <v>4.55</v>
      </c>
      <c r="H13" s="10"/>
      <c r="I13" s="10">
        <f t="shared" si="5"/>
        <v>6499.8123213009085</v>
      </c>
      <c r="J13" s="10">
        <f t="shared" si="3"/>
        <v>95863001311.423492</v>
      </c>
      <c r="K13" s="11">
        <f t="shared" si="4"/>
        <v>5.6059550000000069E-2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14601108.695363184</v>
      </c>
      <c r="D14" s="11">
        <v>0.01</v>
      </c>
      <c r="E14" s="10">
        <f t="shared" si="2"/>
        <v>144565.43262735754</v>
      </c>
      <c r="F14" s="3"/>
      <c r="G14" s="26">
        <v>2.95</v>
      </c>
      <c r="H14" s="10"/>
      <c r="I14" s="10">
        <f t="shared" si="5"/>
        <v>6216.9414837885297</v>
      </c>
      <c r="J14" s="10">
        <f t="shared" si="3"/>
        <v>90774238357.508804</v>
      </c>
      <c r="K14" s="11">
        <f t="shared" si="4"/>
        <v>3.9795000000000025E-2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14456543.262735827</v>
      </c>
      <c r="D15" s="11">
        <v>9.4999999999999998E-3</v>
      </c>
      <c r="E15" s="10">
        <f t="shared" si="2"/>
        <v>136044.73600395396</v>
      </c>
      <c r="F15" s="3"/>
      <c r="G15" s="26">
        <v>3.7</v>
      </c>
      <c r="H15" s="10"/>
      <c r="I15" s="10">
        <f t="shared" si="5"/>
        <v>6038.7969730825926</v>
      </c>
      <c r="J15" s="10">
        <f t="shared" si="3"/>
        <v>87300129696.246658</v>
      </c>
      <c r="K15" s="11">
        <f t="shared" si="4"/>
        <v>4.6851500000000046E-2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14320498.526731873</v>
      </c>
      <c r="D16" s="11">
        <v>8.6E-3</v>
      </c>
      <c r="E16" s="10">
        <f t="shared" si="2"/>
        <v>122106.17423150316</v>
      </c>
      <c r="F16" s="3"/>
      <c r="G16" s="26">
        <v>2.7</v>
      </c>
      <c r="H16" s="10"/>
      <c r="I16" s="10">
        <f t="shared" si="5"/>
        <v>5823.3336288163864</v>
      </c>
      <c r="J16" s="10">
        <f t="shared" si="3"/>
        <v>83393040652.13324</v>
      </c>
      <c r="K16" s="11">
        <f t="shared" si="4"/>
        <v>3.5832199999999981E-2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14198392.35250037</v>
      </c>
      <c r="D17" s="11">
        <v>9.1999999999999998E-3</v>
      </c>
      <c r="E17" s="10">
        <f t="shared" si="2"/>
        <v>129434.41304300912</v>
      </c>
      <c r="F17" s="3"/>
      <c r="G17" s="26">
        <v>4.2</v>
      </c>
      <c r="H17" s="10"/>
      <c r="I17" s="10">
        <f t="shared" si="5"/>
        <v>5670.2372237744758</v>
      </c>
      <c r="J17" s="10">
        <f t="shared" si="3"/>
        <v>80508252834.902451</v>
      </c>
      <c r="K17" s="11">
        <f t="shared" si="4"/>
        <v>5.1586400000000143E-2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14068957.939457361</v>
      </c>
      <c r="D18" s="11">
        <v>1.0999999999999999E-2</v>
      </c>
      <c r="E18" s="10">
        <f t="shared" si="2"/>
        <v>153074.71546392702</v>
      </c>
      <c r="F18" s="3"/>
      <c r="G18" s="26">
        <v>2.4</v>
      </c>
      <c r="H18" s="10"/>
      <c r="I18" s="10">
        <f t="shared" si="5"/>
        <v>5441.6863951770401</v>
      </c>
      <c r="J18" s="10">
        <f t="shared" si="3"/>
        <v>76558857013.46312</v>
      </c>
      <c r="K18" s="11">
        <f t="shared" si="4"/>
        <v>3.526399999999974E-2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13915883.223993434</v>
      </c>
      <c r="D19" s="11">
        <v>1.2200000000000001E-2</v>
      </c>
      <c r="E19" s="10">
        <f t="shared" si="2"/>
        <v>167727.49983473681</v>
      </c>
      <c r="F19" s="3"/>
      <c r="G19" s="26">
        <v>0.5</v>
      </c>
      <c r="H19" s="10"/>
      <c r="I19" s="10">
        <f t="shared" si="5"/>
        <v>5314.1468702900784</v>
      </c>
      <c r="J19" s="10">
        <f t="shared" si="3"/>
        <v>73951047282.106918</v>
      </c>
      <c r="K19" s="11">
        <f t="shared" si="4"/>
        <v>1.7260999999999971E-2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13748155.724158697</v>
      </c>
      <c r="D20" s="11">
        <v>1.21E-2</v>
      </c>
      <c r="E20" s="10">
        <f t="shared" si="2"/>
        <v>164363.88129860722</v>
      </c>
      <c r="F20" s="3"/>
      <c r="G20" s="26">
        <v>2.6</v>
      </c>
      <c r="H20" s="10"/>
      <c r="I20" s="10">
        <f t="shared" si="5"/>
        <v>5287.7083286468451</v>
      </c>
      <c r="J20" s="10">
        <f t="shared" si="3"/>
        <v>72696237526.16774</v>
      </c>
      <c r="K20" s="11">
        <f t="shared" si="4"/>
        <v>3.8414600000000076E-2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13583791.84286009</v>
      </c>
      <c r="D21" s="11">
        <v>1.3100000000000001E-2</v>
      </c>
      <c r="E21" s="10">
        <f t="shared" si="2"/>
        <v>175646.70135373436</v>
      </c>
      <c r="F21" s="3"/>
      <c r="G21" s="26">
        <v>4.3</v>
      </c>
      <c r="H21" s="10"/>
      <c r="I21" s="10">
        <f t="shared" si="5"/>
        <v>5153.711821293221</v>
      </c>
      <c r="J21" s="10">
        <f t="shared" si="3"/>
        <v>70006948598.53447</v>
      </c>
      <c r="K21" s="11">
        <f t="shared" si="4"/>
        <v>5.6663299999999861E-2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13408145.141506355</v>
      </c>
      <c r="D22" s="11">
        <v>1.2200000000000001E-2</v>
      </c>
      <c r="E22" s="10">
        <f t="shared" si="2"/>
        <v>161607.75610193424</v>
      </c>
      <c r="F22" s="3"/>
      <c r="G22" s="26">
        <v>3.1</v>
      </c>
      <c r="H22" s="10"/>
      <c r="I22" s="10">
        <f t="shared" si="5"/>
        <v>4941.2385630807494</v>
      </c>
      <c r="J22" s="10">
        <f t="shared" si="3"/>
        <v>66252843832.594994</v>
      </c>
      <c r="K22" s="11">
        <f t="shared" si="4"/>
        <v>4.3578200000000011E-2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13246537.385404421</v>
      </c>
      <c r="D23" s="11">
        <v>1.6299999999999999E-2</v>
      </c>
      <c r="E23" s="10">
        <f t="shared" si="2"/>
        <v>212455.53417503834</v>
      </c>
      <c r="F23" s="3"/>
      <c r="G23" s="26">
        <v>3.2</v>
      </c>
      <c r="H23" s="10"/>
      <c r="I23" s="10">
        <f t="shared" si="5"/>
        <v>4792.6659195739567</v>
      </c>
      <c r="J23" s="10">
        <f t="shared" si="3"/>
        <v>63486228279.390076</v>
      </c>
      <c r="K23" s="11">
        <f t="shared" si="4"/>
        <v>4.8821600000000132E-2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13034081.851229383</v>
      </c>
      <c r="D24" s="11">
        <v>2.01E-2</v>
      </c>
      <c r="E24" s="10">
        <f t="shared" si="2"/>
        <v>256822.90482277237</v>
      </c>
      <c r="F24" s="3"/>
      <c r="G24" s="26">
        <v>1.23</v>
      </c>
      <c r="H24" s="10"/>
      <c r="I24" s="10">
        <f t="shared" si="5"/>
        <v>4644.0561236181748</v>
      </c>
      <c r="J24" s="10">
        <f t="shared" si="3"/>
        <v>60531007636.942329</v>
      </c>
      <c r="K24" s="11">
        <f t="shared" si="4"/>
        <v>3.2647229999999805E-2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12777258.94640661</v>
      </c>
      <c r="D25" s="11">
        <v>1.8100000000000002E-2</v>
      </c>
      <c r="E25" s="10">
        <f t="shared" si="2"/>
        <v>227156.84798149392</v>
      </c>
      <c r="F25" s="3"/>
      <c r="G25" s="26">
        <v>-2.14</v>
      </c>
      <c r="H25" s="10"/>
      <c r="I25" s="10">
        <f t="shared" si="5"/>
        <v>4587.62829558251</v>
      </c>
      <c r="J25" s="10">
        <f t="shared" si="3"/>
        <v>58617314682.519737</v>
      </c>
      <c r="K25" s="11">
        <f t="shared" si="4"/>
        <v>-3.6873400000000389E-3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12550102.098425116</v>
      </c>
      <c r="D26" s="11">
        <v>2.3099999999999999E-2</v>
      </c>
      <c r="E26" s="10">
        <f t="shared" si="2"/>
        <v>283361.70313128643</v>
      </c>
      <c r="F26" s="3"/>
      <c r="G26" s="26">
        <v>-6.02</v>
      </c>
      <c r="H26" s="10"/>
      <c r="I26" s="10">
        <f t="shared" si="5"/>
        <v>4687.9504348891378</v>
      </c>
      <c r="J26" s="10">
        <f t="shared" si="3"/>
        <v>58834256590.215103</v>
      </c>
      <c r="K26" s="11">
        <f t="shared" si="4"/>
        <v>-3.8490620000000142E-2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12266740.39529383</v>
      </c>
      <c r="D27" s="11">
        <v>2.8199999999999999E-2</v>
      </c>
      <c r="E27" s="10">
        <f t="shared" si="2"/>
        <v>336434.62278475612</v>
      </c>
      <c r="F27" s="3"/>
      <c r="G27" s="26">
        <v>-0.32</v>
      </c>
      <c r="H27" s="10"/>
      <c r="I27" s="10">
        <f t="shared" si="5"/>
        <v>4988.242641933537</v>
      </c>
      <c r="J27" s="10">
        <f t="shared" si="3"/>
        <v>61189477517.333336</v>
      </c>
      <c r="K27" s="11">
        <f t="shared" si="4"/>
        <v>2.4909760000000114E-2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11930305.772509074</v>
      </c>
      <c r="D28" s="11">
        <v>2.98E-2</v>
      </c>
      <c r="E28" s="10">
        <f t="shared" si="2"/>
        <v>345235.10586596467</v>
      </c>
      <c r="F28" s="3"/>
      <c r="G28" s="26">
        <v>2.39</v>
      </c>
      <c r="H28" s="10"/>
      <c r="I28" s="10">
        <f t="shared" si="5"/>
        <v>5004.2562619718465</v>
      </c>
      <c r="J28" s="10">
        <f t="shared" si="3"/>
        <v>59702307369.317398</v>
      </c>
      <c r="K28" s="11">
        <f t="shared" si="4"/>
        <v>5.4412220000000122E-2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11585070.666643109</v>
      </c>
      <c r="D29" s="11">
        <v>3.09E-2</v>
      </c>
      <c r="E29" s="10">
        <f t="shared" si="2"/>
        <v>347248.69880616106</v>
      </c>
      <c r="F29" s="3"/>
      <c r="G29" s="26">
        <v>4.2</v>
      </c>
      <c r="H29" s="10"/>
      <c r="I29" s="10">
        <f t="shared" si="5"/>
        <v>4887.4462955091767</v>
      </c>
      <c r="J29" s="10">
        <f t="shared" si="3"/>
        <v>56621410712.896889</v>
      </c>
      <c r="K29" s="11">
        <f t="shared" si="4"/>
        <v>7.4197799999999869E-2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11237821.967836948</v>
      </c>
      <c r="D30" s="11">
        <v>3.1699999999999999E-2</v>
      </c>
      <c r="E30" s="10">
        <f t="shared" si="2"/>
        <v>345293.16310985014</v>
      </c>
      <c r="F30" s="3"/>
      <c r="G30" s="26">
        <v>2.1</v>
      </c>
      <c r="H30" s="10"/>
      <c r="I30" s="10">
        <f t="shared" si="5"/>
        <v>4690.4475004886535</v>
      </c>
      <c r="J30" s="10">
        <f t="shared" si="3"/>
        <v>52710413959.977295</v>
      </c>
      <c r="K30" s="11">
        <f t="shared" si="4"/>
        <v>5.3365700000000071E-2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10892528.804727098</v>
      </c>
      <c r="D31" s="11">
        <v>3.2500000000000001E-2</v>
      </c>
      <c r="E31" s="10">
        <f t="shared" si="2"/>
        <v>342864.10281223245</v>
      </c>
      <c r="F31" s="3"/>
      <c r="G31" s="26">
        <v>0.02</v>
      </c>
      <c r="H31" s="10"/>
      <c r="I31" s="10">
        <f t="shared" si="5"/>
        <v>4593.9740455324718</v>
      </c>
      <c r="J31" s="10">
        <f t="shared" si="3"/>
        <v>50039994619.131126</v>
      </c>
      <c r="K31" s="11">
        <f t="shared" si="4"/>
        <v>3.270649999999975E-2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10549664.701914866</v>
      </c>
      <c r="D32" s="11">
        <v>3.39E-2</v>
      </c>
      <c r="E32" s="10">
        <f t="shared" si="2"/>
        <v>345907.37343545258</v>
      </c>
      <c r="F32" s="3"/>
      <c r="G32" s="26">
        <v>-1.21</v>
      </c>
      <c r="H32" s="10"/>
      <c r="I32" s="10">
        <f t="shared" si="5"/>
        <v>4593.0554344455832</v>
      </c>
      <c r="J32" s="10">
        <f t="shared" si="3"/>
        <v>48455194790.708817</v>
      </c>
      <c r="K32" s="11">
        <f t="shared" si="4"/>
        <v>2.1389810000000065E-2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10203757.328479413</v>
      </c>
      <c r="D33" s="11">
        <v>3.5200000000000002E-2</v>
      </c>
      <c r="E33" s="10">
        <f t="shared" si="2"/>
        <v>346959.29092201963</v>
      </c>
      <c r="F33" s="3"/>
      <c r="G33" s="26">
        <v>5.0999999999999996</v>
      </c>
      <c r="H33" s="10"/>
      <c r="I33" s="10">
        <f t="shared" si="5"/>
        <v>4649.3121109885442</v>
      </c>
      <c r="J33" s="10">
        <f t="shared" si="3"/>
        <v>47440452524.887451</v>
      </c>
      <c r="K33" s="11">
        <f t="shared" si="4"/>
        <v>8.799519999999994E-2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9856798.0375573933</v>
      </c>
      <c r="D34" s="11">
        <v>3.56E-2</v>
      </c>
      <c r="E34" s="10">
        <f t="shared" si="2"/>
        <v>338839.32998942025</v>
      </c>
      <c r="F34" s="3"/>
      <c r="G34" s="26">
        <v>-3.15</v>
      </c>
      <c r="H34" s="10"/>
      <c r="I34" s="10">
        <f t="shared" si="5"/>
        <v>4423.7032454695955</v>
      </c>
      <c r="J34" s="10">
        <f t="shared" ref="J34:J65" si="6">IF(I34="","",I34*C34)</f>
        <v>43603549468.680977</v>
      </c>
      <c r="K34" s="11">
        <f t="shared" ref="K34:K65" si="7">IFERROR(J34/J35-1,"")</f>
        <v>1.6441399999999939E-2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9517958.7075679731</v>
      </c>
      <c r="D35" s="11">
        <v>3.5200000000000002E-2</v>
      </c>
      <c r="E35" s="10">
        <f t="shared" si="2"/>
        <v>323640.0178771168</v>
      </c>
      <c r="F35" s="3"/>
      <c r="G35" s="26">
        <v>-3.08</v>
      </c>
      <c r="H35" s="10"/>
      <c r="I35" s="10">
        <f t="shared" ref="I35:I66" si="8">IF(H35&lt;&gt;"",H35,I34/(1+IF(G34="",0,G34)/100))</f>
        <v>4507.0843051142083</v>
      </c>
      <c r="J35" s="10">
        <f t="shared" si="6"/>
        <v>42898242307.604729</v>
      </c>
      <c r="K35" s="11">
        <f t="shared" si="7"/>
        <v>3.126623999999989E-2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9194318.6896908563</v>
      </c>
      <c r="D36" s="11">
        <v>3.4599999999999999E-2</v>
      </c>
      <c r="E36" s="10">
        <f t="shared" si="2"/>
        <v>307484.46420191787</v>
      </c>
      <c r="F36" s="3"/>
      <c r="G36" s="26">
        <v>-3.44</v>
      </c>
      <c r="H36" s="10"/>
      <c r="I36" s="10">
        <f t="shared" si="8"/>
        <v>4524.2765560271118</v>
      </c>
      <c r="J36" s="10">
        <f t="shared" si="6"/>
        <v>41597640496.410255</v>
      </c>
      <c r="K36" s="11">
        <f t="shared" si="7"/>
        <v>4.867056000000014E-2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8886834.2254889384</v>
      </c>
      <c r="D37" s="11">
        <v>3.09E-2</v>
      </c>
      <c r="E37" s="10">
        <f t="shared" si="2"/>
        <v>266372.27429198474</v>
      </c>
      <c r="F37" s="3"/>
      <c r="G37" s="26">
        <v>-4.68</v>
      </c>
      <c r="H37" s="10"/>
      <c r="I37" s="10">
        <f t="shared" si="8"/>
        <v>4463.5719771380345</v>
      </c>
      <c r="J37" s="10">
        <f t="shared" si="6"/>
        <v>39667024214.363617</v>
      </c>
      <c r="K37" s="11">
        <f t="shared" si="7"/>
        <v>3.7291579999999991E-2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8620461.9511969537</v>
      </c>
      <c r="D38" s="11">
        <v>2.7400000000000001E-2</v>
      </c>
      <c r="E38" s="10">
        <f t="shared" si="2"/>
        <v>229901.36019349471</v>
      </c>
      <c r="F38" s="3"/>
      <c r="G38" s="26">
        <v>-10.49</v>
      </c>
      <c r="H38" s="10"/>
      <c r="I38" s="10">
        <f t="shared" si="8"/>
        <v>4436.0683533472811</v>
      </c>
      <c r="J38" s="10">
        <f t="shared" si="6"/>
        <v>38240958452.939163</v>
      </c>
      <c r="K38" s="11">
        <f t="shared" si="7"/>
        <v>-4.2360459999999822E-2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8390560.5910034589</v>
      </c>
      <c r="D39" s="11">
        <v>2.7699999999999999E-2</v>
      </c>
      <c r="E39" s="10">
        <f t="shared" si="2"/>
        <v>226154.06088430062</v>
      </c>
      <c r="F39" s="3"/>
      <c r="G39" s="26">
        <v>3.01</v>
      </c>
      <c r="H39" s="10"/>
      <c r="I39" s="10">
        <f t="shared" si="8"/>
        <v>4759.2193470092061</v>
      </c>
      <c r="J39" s="10">
        <f t="shared" si="6"/>
        <v>39932518296.956657</v>
      </c>
      <c r="K39" s="11">
        <f t="shared" si="7"/>
        <v>5.8633769999999918E-2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8164406.5301191583</v>
      </c>
      <c r="D40" s="11">
        <v>2.7400000000000001E-2</v>
      </c>
      <c r="E40" s="10">
        <f t="shared" si="2"/>
        <v>217738.69858406205</v>
      </c>
      <c r="F40" s="3"/>
      <c r="G40" s="26">
        <v>-0.09</v>
      </c>
      <c r="H40" s="10"/>
      <c r="I40" s="10">
        <f t="shared" si="8"/>
        <v>4620.1527492565829</v>
      </c>
      <c r="J40" s="10">
        <f t="shared" si="6"/>
        <v>37720805276.178429</v>
      </c>
      <c r="K40" s="11">
        <f t="shared" si="7"/>
        <v>2.647534000000018E-2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7946667.8315350963</v>
      </c>
      <c r="D41" s="11">
        <v>2.81E-2</v>
      </c>
      <c r="E41" s="10">
        <f t="shared" si="2"/>
        <v>217198.09947100095</v>
      </c>
      <c r="F41" s="3"/>
      <c r="G41" s="26">
        <v>2.25</v>
      </c>
      <c r="H41" s="10"/>
      <c r="I41" s="10">
        <f t="shared" si="8"/>
        <v>4624.3146324257659</v>
      </c>
      <c r="J41" s="10">
        <f t="shared" si="6"/>
        <v>36747892332.394875</v>
      </c>
      <c r="K41" s="11">
        <f t="shared" si="7"/>
        <v>5.1232249999999757E-2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7729469.7320640953</v>
      </c>
      <c r="D42" s="11">
        <v>2.86E-2</v>
      </c>
      <c r="E42" s="10">
        <f t="shared" si="2"/>
        <v>214916.23015461117</v>
      </c>
      <c r="F42" s="3"/>
      <c r="G42" s="26">
        <v>-1.7</v>
      </c>
      <c r="H42" s="10"/>
      <c r="I42" s="10">
        <f t="shared" si="8"/>
        <v>4522.5570977269108</v>
      </c>
      <c r="J42" s="10">
        <f t="shared" si="6"/>
        <v>34956968198.411797</v>
      </c>
      <c r="K42" s="11">
        <f t="shared" si="7"/>
        <v>1.1113799999999951E-2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7514553.5019094842</v>
      </c>
      <c r="D43" s="11">
        <v>2.9000000000000001E-2</v>
      </c>
      <c r="E43" s="10">
        <f t="shared" si="2"/>
        <v>211780.41939297784</v>
      </c>
      <c r="F43" s="3"/>
      <c r="G43" s="26">
        <v>6.11</v>
      </c>
      <c r="H43" s="10"/>
      <c r="I43" s="10">
        <f t="shared" si="8"/>
        <v>4600.7701909734596</v>
      </c>
      <c r="J43" s="10">
        <f t="shared" si="6"/>
        <v>34572733750.060379</v>
      </c>
      <c r="K43" s="11">
        <f t="shared" si="7"/>
        <v>9.1871899999999895E-2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7302773.0825165063</v>
      </c>
      <c r="D44" s="11">
        <v>2.9100000000000001E-2</v>
      </c>
      <c r="E44" s="10">
        <f t="shared" si="2"/>
        <v>206501.50296494924</v>
      </c>
      <c r="F44" s="3"/>
      <c r="G44" s="26">
        <v>4.57</v>
      </c>
      <c r="H44" s="10"/>
      <c r="I44" s="10">
        <f t="shared" si="8"/>
        <v>4335.8497700249363</v>
      </c>
      <c r="J44" s="10">
        <f t="shared" si="6"/>
        <v>31663726990.373489</v>
      </c>
      <c r="K44" s="11">
        <f t="shared" si="7"/>
        <v>7.6129869999999933E-2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7096271.5795515571</v>
      </c>
      <c r="D45" s="11">
        <v>2.9700000000000001E-2</v>
      </c>
      <c r="E45" s="10">
        <f t="shared" si="2"/>
        <v>204680.26212749537</v>
      </c>
      <c r="F45" s="3"/>
      <c r="G45" s="26">
        <v>1.65</v>
      </c>
      <c r="H45" s="10"/>
      <c r="I45" s="10">
        <f t="shared" si="8"/>
        <v>4146.3610691641352</v>
      </c>
      <c r="J45" s="10">
        <f t="shared" si="6"/>
        <v>29423704213.668461</v>
      </c>
      <c r="K45" s="11">
        <f t="shared" si="7"/>
        <v>4.6690050000000038E-2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6891591.3174240617</v>
      </c>
      <c r="D46" s="11">
        <v>3.0800000000000001E-2</v>
      </c>
      <c r="E46" s="10">
        <f t="shared" si="2"/>
        <v>205918.71612016018</v>
      </c>
      <c r="F46" s="3"/>
      <c r="G46" s="26">
        <v>4.28</v>
      </c>
      <c r="H46" s="10"/>
      <c r="I46" s="10">
        <f t="shared" si="8"/>
        <v>4079.0566346917221</v>
      </c>
      <c r="J46" s="10">
        <f t="shared" si="6"/>
        <v>28111191286.922485</v>
      </c>
      <c r="K46" s="11">
        <f t="shared" si="7"/>
        <v>7.4918240000000136E-2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6685672.6013039015</v>
      </c>
      <c r="D47" s="11">
        <v>3.1399999999999997E-2</v>
      </c>
      <c r="E47" s="10">
        <f t="shared" si="2"/>
        <v>203538.99523069896</v>
      </c>
      <c r="F47" s="3"/>
      <c r="G47" s="26">
        <v>5.25</v>
      </c>
      <c r="H47" s="10"/>
      <c r="I47" s="10">
        <f t="shared" si="8"/>
        <v>3911.6385066088628</v>
      </c>
      <c r="J47" s="10">
        <f t="shared" si="6"/>
        <v>26151934389.840183</v>
      </c>
      <c r="K47" s="11">
        <f t="shared" si="7"/>
        <v>8.5548500000000027E-2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6482133.6060732026</v>
      </c>
      <c r="D48" s="11">
        <v>3.1699999999999999E-2</v>
      </c>
      <c r="E48" s="10">
        <f t="shared" si="2"/>
        <v>199169.94796212204</v>
      </c>
      <c r="F48" s="3"/>
      <c r="G48" s="26">
        <v>4.72</v>
      </c>
      <c r="H48" s="10"/>
      <c r="I48" s="10">
        <f t="shared" si="8"/>
        <v>3716.5211464217223</v>
      </c>
      <c r="J48" s="10">
        <f t="shared" si="6"/>
        <v>24090986620.901951</v>
      </c>
      <c r="K48" s="11">
        <f t="shared" si="7"/>
        <v>8.0396240000000008E-2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6282963.6581110805</v>
      </c>
      <c r="D49" s="11">
        <v>3.1699999999999999E-2</v>
      </c>
      <c r="E49" s="10">
        <f t="shared" si="2"/>
        <v>193050.2548823515</v>
      </c>
      <c r="F49" s="3"/>
      <c r="G49" s="26">
        <v>4.1500000000000004</v>
      </c>
      <c r="H49" s="10"/>
      <c r="I49" s="10">
        <f t="shared" si="8"/>
        <v>3549.0079702270077</v>
      </c>
      <c r="J49" s="10">
        <f t="shared" si="6"/>
        <v>22298288099.28286</v>
      </c>
      <c r="K49" s="11">
        <f t="shared" si="7"/>
        <v>7.4515550000000319E-2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6089913.403228729</v>
      </c>
      <c r="D50" s="11">
        <v>3.15E-2</v>
      </c>
      <c r="E50" s="10">
        <f t="shared" si="2"/>
        <v>185974.0884165829</v>
      </c>
      <c r="F50" s="3"/>
      <c r="G50" s="26">
        <v>7.2</v>
      </c>
      <c r="H50" s="10"/>
      <c r="I50" s="10">
        <f t="shared" si="8"/>
        <v>3407.5928662765314</v>
      </c>
      <c r="J50" s="10">
        <f t="shared" si="6"/>
        <v>20751945469.084049</v>
      </c>
      <c r="K50" s="11">
        <f t="shared" si="7"/>
        <v>0.10576799999999986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5903939.3148121461</v>
      </c>
      <c r="D51" s="11">
        <v>3.1199999999999999E-2</v>
      </c>
      <c r="E51" s="10">
        <f t="shared" si="2"/>
        <v>178629.66119291913</v>
      </c>
      <c r="F51" s="3"/>
      <c r="G51" s="26">
        <v>4.4400000000000004</v>
      </c>
      <c r="H51" s="10"/>
      <c r="I51" s="10">
        <f t="shared" si="8"/>
        <v>3178.7246886907942</v>
      </c>
      <c r="J51" s="10">
        <f t="shared" si="6"/>
        <v>18766997660.525581</v>
      </c>
      <c r="K51" s="11">
        <f t="shared" si="7"/>
        <v>7.6985279999999934E-2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5725309.653619227</v>
      </c>
      <c r="D52" s="11">
        <v>3.1E-2</v>
      </c>
      <c r="E52" s="10">
        <f t="shared" si="2"/>
        <v>172148.01092356537</v>
      </c>
      <c r="F52" s="3"/>
      <c r="G52" s="26">
        <v>6.12</v>
      </c>
      <c r="H52" s="10"/>
      <c r="I52" s="10">
        <f t="shared" si="8"/>
        <v>3043.5893227602396</v>
      </c>
      <c r="J52" s="10">
        <f t="shared" si="6"/>
        <v>17425491331.251606</v>
      </c>
      <c r="K52" s="11">
        <f t="shared" si="7"/>
        <v>9.4097199999999992E-2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5553161.6426956616</v>
      </c>
      <c r="D53" s="11">
        <v>3.0800000000000001E-2</v>
      </c>
      <c r="E53" s="10">
        <f t="shared" si="2"/>
        <v>165926.83216436394</v>
      </c>
      <c r="F53" s="3"/>
      <c r="G53" s="26">
        <v>7.94</v>
      </c>
      <c r="H53" s="10"/>
      <c r="I53" s="10">
        <f t="shared" si="8"/>
        <v>2868.0638171506216</v>
      </c>
      <c r="J53" s="10">
        <f t="shared" si="6"/>
        <v>15926821978.204136</v>
      </c>
      <c r="K53" s="11">
        <f t="shared" si="7"/>
        <v>0.11264551999999983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5387234.8105312977</v>
      </c>
      <c r="D54" s="11">
        <v>3.0200000000000001E-2</v>
      </c>
      <c r="E54" s="10">
        <f t="shared" si="2"/>
        <v>157925.15169680212</v>
      </c>
      <c r="F54" s="3"/>
      <c r="G54" s="26">
        <v>7.37</v>
      </c>
      <c r="H54" s="10"/>
      <c r="I54" s="10">
        <f t="shared" si="8"/>
        <v>2657.0908070693181</v>
      </c>
      <c r="J54" s="10">
        <f t="shared" si="6"/>
        <v>14314372090.586531</v>
      </c>
      <c r="K54" s="11">
        <f t="shared" si="7"/>
        <v>0.10612574000000019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5229309.6588344956</v>
      </c>
      <c r="D55" s="11">
        <v>2.8500000000000001E-2</v>
      </c>
      <c r="E55" s="10">
        <f t="shared" si="2"/>
        <v>144905.51801340096</v>
      </c>
      <c r="F55" s="3"/>
      <c r="G55" s="26">
        <v>6.18</v>
      </c>
      <c r="H55" s="10"/>
      <c r="I55" s="10">
        <f t="shared" si="8"/>
        <v>2474.7050452354642</v>
      </c>
      <c r="J55" s="10">
        <f t="shared" si="6"/>
        <v>12940998995.816271</v>
      </c>
      <c r="K55" s="11">
        <f t="shared" si="7"/>
        <v>9.2061300000000124E-2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5084404.1408210946</v>
      </c>
      <c r="D56" s="11">
        <v>2.6599999999999999E-2</v>
      </c>
      <c r="E56" s="10">
        <f t="shared" si="2"/>
        <v>131740.84370333236</v>
      </c>
      <c r="F56" s="3"/>
      <c r="G56" s="26">
        <v>3.84</v>
      </c>
      <c r="H56" s="10"/>
      <c r="I56" s="10">
        <f t="shared" si="8"/>
        <v>2330.6696602330608</v>
      </c>
      <c r="J56" s="10">
        <f t="shared" si="6"/>
        <v>11850066471.375069</v>
      </c>
      <c r="K56" s="11">
        <f t="shared" si="7"/>
        <v>6.6021440000000098E-2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4952663.2971177623</v>
      </c>
      <c r="D57" s="11">
        <v>2.53E-2</v>
      </c>
      <c r="E57" s="10">
        <f t="shared" si="2"/>
        <v>122210.45685855858</v>
      </c>
      <c r="F57" s="3"/>
      <c r="G57" s="26">
        <v>4.17</v>
      </c>
      <c r="H57" s="10"/>
      <c r="I57" s="10">
        <f t="shared" si="8"/>
        <v>2244.4815680210522</v>
      </c>
      <c r="J57" s="10">
        <f t="shared" si="6"/>
        <v>11116161482.99519</v>
      </c>
      <c r="K57" s="11">
        <f t="shared" si="7"/>
        <v>6.805501000000036E-2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4830452.8402592037</v>
      </c>
      <c r="D58" s="11">
        <v>2.46E-2</v>
      </c>
      <c r="E58" s="10">
        <f t="shared" si="2"/>
        <v>115976.12714266684</v>
      </c>
      <c r="F58" s="3"/>
      <c r="G58" s="26">
        <v>4.47</v>
      </c>
      <c r="H58" s="10"/>
      <c r="I58" s="10">
        <f t="shared" si="8"/>
        <v>2154.6333570327847</v>
      </c>
      <c r="J58" s="10">
        <f t="shared" si="6"/>
        <v>10407854819.196238</v>
      </c>
      <c r="K58" s="11">
        <f t="shared" si="7"/>
        <v>7.0399619999999885E-2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4714476.7131165368</v>
      </c>
      <c r="D59" s="11">
        <v>2.4500000000000001E-2</v>
      </c>
      <c r="E59" s="10">
        <f t="shared" si="2"/>
        <v>112742.4885030305</v>
      </c>
      <c r="F59" s="3"/>
      <c r="G59" s="26">
        <v>2.1</v>
      </c>
      <c r="H59" s="10"/>
      <c r="I59" s="10">
        <f t="shared" si="8"/>
        <v>2062.4421910910164</v>
      </c>
      <c r="J59" s="10">
        <f t="shared" si="6"/>
        <v>9723335682.0476437</v>
      </c>
      <c r="K59" s="11">
        <f t="shared" si="7"/>
        <v>4.6014499999999847E-2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4601734.2246135063</v>
      </c>
      <c r="D60" s="11">
        <v>2.3900000000000001E-2</v>
      </c>
      <c r="E60" s="10">
        <f t="shared" si="2"/>
        <v>107414.2474541096</v>
      </c>
      <c r="F60" s="3"/>
      <c r="G60" s="26">
        <v>3.82</v>
      </c>
      <c r="H60" s="10"/>
      <c r="I60" s="10">
        <f t="shared" si="8"/>
        <v>2020.0217346630916</v>
      </c>
      <c r="J60" s="10">
        <f t="shared" si="6"/>
        <v>9295603150.8622913</v>
      </c>
      <c r="K60" s="11">
        <f t="shared" si="7"/>
        <v>6.3012979999999885E-2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4494319.9771593967</v>
      </c>
      <c r="D61" s="11">
        <v>2.3199999999999998E-2</v>
      </c>
      <c r="E61" s="10">
        <f t="shared" si="2"/>
        <v>101904.04952120688</v>
      </c>
      <c r="F61" s="3"/>
      <c r="G61" s="26">
        <v>5.56</v>
      </c>
      <c r="H61" s="10"/>
      <c r="I61" s="10">
        <f t="shared" si="8"/>
        <v>1945.6961420372679</v>
      </c>
      <c r="J61" s="10">
        <f t="shared" si="6"/>
        <v>8744581040.6400604</v>
      </c>
      <c r="K61" s="11">
        <f t="shared" si="7"/>
        <v>8.0089920000000259E-2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4392415.9276381899</v>
      </c>
      <c r="D62" s="11">
        <v>2.24E-2</v>
      </c>
      <c r="E62" s="10">
        <f t="shared" si="2"/>
        <v>96234.464768285863</v>
      </c>
      <c r="F62" s="3"/>
      <c r="G62" s="26">
        <v>5.01</v>
      </c>
      <c r="H62" s="10"/>
      <c r="I62" s="10">
        <f t="shared" si="8"/>
        <v>1843.2134729417087</v>
      </c>
      <c r="J62" s="10">
        <f t="shared" si="6"/>
        <v>8096160216.5864649</v>
      </c>
      <c r="K62" s="11">
        <f t="shared" si="7"/>
        <v>7.362223999999995E-2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4296181.462869904</v>
      </c>
      <c r="D63" s="11">
        <v>2.1899999999999999E-2</v>
      </c>
      <c r="E63" s="10">
        <f t="shared" si="2"/>
        <v>92070.040157403797</v>
      </c>
      <c r="F63" s="3"/>
      <c r="G63" s="26">
        <v>5.88</v>
      </c>
      <c r="H63" s="10"/>
      <c r="I63" s="10">
        <f t="shared" si="8"/>
        <v>1755.274233826977</v>
      </c>
      <c r="J63" s="10">
        <f t="shared" si="6"/>
        <v>7540976625.6206322</v>
      </c>
      <c r="K63" s="11">
        <f t="shared" si="7"/>
        <v>8.1987719999999875E-2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4204111.4227125002</v>
      </c>
      <c r="D64" s="11">
        <v>2.1499999999999998E-2</v>
      </c>
      <c r="E64" s="10">
        <f t="shared" si="2"/>
        <v>88485.94771250058</v>
      </c>
      <c r="F64" s="3"/>
      <c r="G64" s="26">
        <v>4.7</v>
      </c>
      <c r="H64" s="10"/>
      <c r="I64" s="10">
        <f t="shared" si="8"/>
        <v>1657.7958385218899</v>
      </c>
      <c r="J64" s="10">
        <f t="shared" si="6"/>
        <v>6969558421.255125</v>
      </c>
      <c r="K64" s="11">
        <f t="shared" si="7"/>
        <v>6.9510500000000031E-2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4115625.4749999996</v>
      </c>
      <c r="D65" s="11">
        <v>2.1000000000000001E-2</v>
      </c>
      <c r="E65" s="10">
        <f t="shared" si="2"/>
        <v>84650.474999999627</v>
      </c>
      <c r="F65" s="3"/>
      <c r="G65" s="26">
        <v>3.55</v>
      </c>
      <c r="H65" s="10"/>
      <c r="I65" s="10">
        <f t="shared" si="8"/>
        <v>1583.377114156533</v>
      </c>
      <c r="J65" s="10">
        <f t="shared" si="6"/>
        <v>6516587187.5546103</v>
      </c>
      <c r="K65" s="11">
        <f t="shared" si="7"/>
        <v>5.724550000000006E-2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4030975</v>
      </c>
      <c r="D66" s="11">
        <v>2.0500000000000001E-2</v>
      </c>
      <c r="E66" s="10">
        <f t="shared" si="2"/>
        <v>80975</v>
      </c>
      <c r="F66" s="10">
        <v>17079116</v>
      </c>
      <c r="G66" s="26">
        <v>4.6900000000000004</v>
      </c>
      <c r="H66" s="10"/>
      <c r="I66" s="10">
        <f t="shared" si="8"/>
        <v>1529.0942676547879</v>
      </c>
      <c r="J66" s="10">
        <f t="shared" ref="J66:J67" si="9">IF(I66="","",I66*C66)</f>
        <v>6163740765.5597591</v>
      </c>
      <c r="K66" s="11">
        <f t="shared" ref="K66" si="10">IFERROR(J66/J67-1,"")</f>
        <v>6.8361449999999824E-2</v>
      </c>
    </row>
    <row r="67" spans="1:11" ht="22.5" customHeight="1">
      <c r="A67" s="3">
        <f t="shared" si="0"/>
        <v>1950</v>
      </c>
      <c r="B67" s="3">
        <v>1700</v>
      </c>
      <c r="C67" s="10">
        <v>3950000</v>
      </c>
      <c r="D67" s="11">
        <v>2.01E-2</v>
      </c>
      <c r="E67" s="3" t="s">
        <v>72</v>
      </c>
      <c r="F67" s="10">
        <f>SUM(C2)</f>
        <v>17078344.980818417</v>
      </c>
      <c r="G67" s="26">
        <v>4.7</v>
      </c>
      <c r="H67" s="10"/>
      <c r="I67" s="10">
        <f t="shared" ref="I67" si="11">IF(H67&lt;&gt;"",H67,I66/(1+IF(G66="",0,G66)/100))</f>
        <v>1460.5924803274315</v>
      </c>
      <c r="J67" s="10">
        <f t="shared" si="9"/>
        <v>5769340297.293355</v>
      </c>
      <c r="K67" s="11"/>
    </row>
  </sheetData>
  <dataValidations count="1">
    <dataValidation type="custom" allowBlank="1" showDropDown="1" sqref="D2:D67" xr:uid="{00000000-0002-0000-3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M67"/>
  <sheetViews>
    <sheetView topLeftCell="A7" workbookViewId="0">
      <selection activeCell="G31" sqref="G3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20606628.225290135</v>
      </c>
      <c r="D2" s="11">
        <v>1.0200000000000001E-2</v>
      </c>
      <c r="E2" s="10">
        <f t="shared" ref="E2:E66" si="2">SUM(C2-C3)</f>
        <v>208065.34141552076</v>
      </c>
      <c r="F2" s="14"/>
      <c r="G2" s="26">
        <v>3.2</v>
      </c>
      <c r="H2" s="10"/>
      <c r="I2" s="10">
        <f>IF(H2&lt;&gt;"",H2,37776)</f>
        <v>4722</v>
      </c>
      <c r="J2" s="10">
        <f t="shared" ref="J2:J33" si="3">IF(I2="","",I2*C2)</f>
        <v>97304498479.820023</v>
      </c>
      <c r="K2" s="11">
        <f t="shared" ref="K2:K33" si="4">IFERROR(J2/J3-1,"")</f>
        <v>4.2526400000000075E-2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20398562.883874614</v>
      </c>
      <c r="D3" s="11">
        <v>1.09E-2</v>
      </c>
      <c r="E3" s="10">
        <f t="shared" si="2"/>
        <v>219946.91407085955</v>
      </c>
      <c r="F3" s="3"/>
      <c r="G3" s="26">
        <v>4.0999999999999996</v>
      </c>
      <c r="H3" s="10"/>
      <c r="I3" s="10">
        <f t="shared" ref="I3:I34" si="5">IF(H3&lt;&gt;"",H3,I2/(1+IF(G2="",0,G2)/100))</f>
        <v>4575.5813953488368</v>
      </c>
      <c r="J3" s="10">
        <f t="shared" si="3"/>
        <v>93335284823.309998</v>
      </c>
      <c r="K3" s="11">
        <f t="shared" si="4"/>
        <v>5.2346899999999863E-2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20178615.969803754</v>
      </c>
      <c r="D4" s="11">
        <v>1.15E-2</v>
      </c>
      <c r="E4" s="10">
        <f t="shared" si="2"/>
        <v>229415.80193054304</v>
      </c>
      <c r="F4" s="3"/>
      <c r="G4" s="26">
        <v>2.6</v>
      </c>
      <c r="H4" s="10"/>
      <c r="I4" s="10">
        <f t="shared" si="5"/>
        <v>4395.3711770882201</v>
      </c>
      <c r="J4" s="10">
        <f t="shared" si="3"/>
        <v>88692507027.207489</v>
      </c>
      <c r="K4" s="11">
        <f t="shared" si="4"/>
        <v>3.779900000000036E-2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19949200.167873211</v>
      </c>
      <c r="D5" s="11">
        <v>1.23E-2</v>
      </c>
      <c r="E5" s="10">
        <f t="shared" si="2"/>
        <v>242393.71931723878</v>
      </c>
      <c r="F5" s="3"/>
      <c r="G5" s="26">
        <v>2.4</v>
      </c>
      <c r="H5" s="10"/>
      <c r="I5" s="10">
        <f t="shared" si="5"/>
        <v>4283.987502035302</v>
      </c>
      <c r="J5" s="10">
        <f t="shared" si="3"/>
        <v>85462124194.769379</v>
      </c>
      <c r="K5" s="11">
        <f t="shared" si="4"/>
        <v>3.6595199999999828E-2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19706806.448555972</v>
      </c>
      <c r="D6" s="11">
        <v>1.47E-2</v>
      </c>
      <c r="E6" s="10">
        <f t="shared" si="2"/>
        <v>285493.30323619768</v>
      </c>
      <c r="F6" s="3"/>
      <c r="G6" s="26">
        <v>3</v>
      </c>
      <c r="H6" s="10"/>
      <c r="I6" s="10">
        <f t="shared" si="5"/>
        <v>4183.5815449563497</v>
      </c>
      <c r="J6" s="10">
        <f t="shared" si="3"/>
        <v>82445031768.205551</v>
      </c>
      <c r="K6" s="11">
        <f t="shared" si="4"/>
        <v>4.5140999999999876E-2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19421313.145319775</v>
      </c>
      <c r="D7" s="11">
        <v>1.8200000000000001E-2</v>
      </c>
      <c r="E7" s="10">
        <f t="shared" si="2"/>
        <v>347149.77336949483</v>
      </c>
      <c r="F7" s="3"/>
      <c r="G7" s="26">
        <v>4.8</v>
      </c>
      <c r="H7" s="10"/>
      <c r="I7" s="10">
        <f t="shared" si="5"/>
        <v>4061.7296552974267</v>
      </c>
      <c r="J7" s="10">
        <f t="shared" si="3"/>
        <v>78884123547.163071</v>
      </c>
      <c r="K7" s="11">
        <f t="shared" si="4"/>
        <v>6.7073600000000067E-2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19074163.37195028</v>
      </c>
      <c r="D8" s="11">
        <v>1.83E-2</v>
      </c>
      <c r="E8" s="10">
        <f t="shared" si="2"/>
        <v>342784.23814857006</v>
      </c>
      <c r="F8" s="3"/>
      <c r="G8" s="26">
        <v>1.2</v>
      </c>
      <c r="H8" s="10"/>
      <c r="I8" s="10">
        <f t="shared" si="5"/>
        <v>3875.6962359708268</v>
      </c>
      <c r="J8" s="10">
        <f t="shared" si="3"/>
        <v>73925663184.960312</v>
      </c>
      <c r="K8" s="11">
        <f t="shared" si="4"/>
        <v>3.0519599999999869E-2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18731379.13380171</v>
      </c>
      <c r="D9" s="11">
        <v>1.8200000000000001E-2</v>
      </c>
      <c r="E9" s="10">
        <f t="shared" si="2"/>
        <v>334817.42313414812</v>
      </c>
      <c r="F9" s="3"/>
      <c r="G9" s="26">
        <v>2.5</v>
      </c>
      <c r="H9" s="10"/>
      <c r="I9" s="10">
        <f t="shared" si="5"/>
        <v>3829.7393636075362</v>
      </c>
      <c r="J9" s="10">
        <f t="shared" si="3"/>
        <v>71736300003.377243</v>
      </c>
      <c r="K9" s="11">
        <f t="shared" si="4"/>
        <v>4.3654999999999777E-2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18396561.710667562</v>
      </c>
      <c r="D10" s="11">
        <v>1.7899999999999999E-2</v>
      </c>
      <c r="E10" s="10">
        <f t="shared" si="2"/>
        <v>323507.66737493873</v>
      </c>
      <c r="F10" s="3"/>
      <c r="G10" s="26">
        <v>3.1</v>
      </c>
      <c r="H10" s="10"/>
      <c r="I10" s="10">
        <f t="shared" si="5"/>
        <v>3736.331086446377</v>
      </c>
      <c r="J10" s="10">
        <f t="shared" si="3"/>
        <v>68735645403.296356</v>
      </c>
      <c r="K10" s="11">
        <f t="shared" si="4"/>
        <v>4.945490000000019E-2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18073054.043292623</v>
      </c>
      <c r="D11" s="11">
        <v>1.7500000000000002E-2</v>
      </c>
      <c r="E11" s="10">
        <f t="shared" si="2"/>
        <v>310838.76732935756</v>
      </c>
      <c r="F11" s="3"/>
      <c r="G11" s="26">
        <v>2.9</v>
      </c>
      <c r="H11" s="10"/>
      <c r="I11" s="10">
        <f t="shared" si="5"/>
        <v>3623.9874747297549</v>
      </c>
      <c r="J11" s="10">
        <f t="shared" si="3"/>
        <v>65496521483.006416</v>
      </c>
      <c r="K11" s="11">
        <f t="shared" si="4"/>
        <v>4.7007499999999869E-2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17762215.275963265</v>
      </c>
      <c r="D12" s="11">
        <v>1.6199999999999999E-2</v>
      </c>
      <c r="E12" s="10">
        <f t="shared" si="2"/>
        <v>283160.68438358977</v>
      </c>
      <c r="F12" s="3"/>
      <c r="G12" s="26">
        <v>5.4</v>
      </c>
      <c r="H12" s="10"/>
      <c r="I12" s="10">
        <f t="shared" si="5"/>
        <v>3521.8537169385377</v>
      </c>
      <c r="J12" s="10">
        <f t="shared" si="3"/>
        <v>62555923890.713699</v>
      </c>
      <c r="K12" s="11">
        <f t="shared" si="4"/>
        <v>7.1074800000000105E-2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17479054.591579676</v>
      </c>
      <c r="D13" s="11">
        <v>1.49E-2</v>
      </c>
      <c r="E13" s="10">
        <f t="shared" si="2"/>
        <v>256614.35945860296</v>
      </c>
      <c r="F13" s="3"/>
      <c r="G13" s="26">
        <v>4.5</v>
      </c>
      <c r="H13" s="10"/>
      <c r="I13" s="10">
        <f t="shared" si="5"/>
        <v>3341.4171887462403</v>
      </c>
      <c r="J13" s="10">
        <f t="shared" si="3"/>
        <v>58404813455.338226</v>
      </c>
      <c r="K13" s="11">
        <f t="shared" si="4"/>
        <v>6.0570499999999861E-2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17222440.232121073</v>
      </c>
      <c r="D14" s="11">
        <v>1.41E-2</v>
      </c>
      <c r="E14" s="10">
        <f t="shared" si="2"/>
        <v>239460.0209771283</v>
      </c>
      <c r="F14" s="3"/>
      <c r="G14" s="26">
        <v>6.5</v>
      </c>
      <c r="H14" s="10"/>
      <c r="I14" s="10">
        <f t="shared" si="5"/>
        <v>3197.5284102834839</v>
      </c>
      <c r="J14" s="10">
        <f t="shared" si="3"/>
        <v>55069241936.616409</v>
      </c>
      <c r="K14" s="11">
        <f t="shared" si="4"/>
        <v>8.0016499999999935E-2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16982980.211143944</v>
      </c>
      <c r="D15" s="11">
        <v>1.3599999999999999E-2</v>
      </c>
      <c r="E15" s="10">
        <f t="shared" si="2"/>
        <v>227869.50559545867</v>
      </c>
      <c r="F15" s="3"/>
      <c r="G15" s="26">
        <v>5.4</v>
      </c>
      <c r="H15" s="10"/>
      <c r="I15" s="10">
        <f t="shared" si="5"/>
        <v>3002.3740941628957</v>
      </c>
      <c r="J15" s="10">
        <f t="shared" si="3"/>
        <v>50989259827.619682</v>
      </c>
      <c r="K15" s="11">
        <f t="shared" si="4"/>
        <v>6.8334399999999906E-2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16755110.705548486</v>
      </c>
      <c r="D16" s="11">
        <v>1.4500000000000001E-2</v>
      </c>
      <c r="E16" s="10">
        <f t="shared" si="2"/>
        <v>239476.69317935221</v>
      </c>
      <c r="F16" s="3"/>
      <c r="G16" s="26">
        <v>3</v>
      </c>
      <c r="H16" s="10"/>
      <c r="I16" s="10">
        <f t="shared" si="5"/>
        <v>2848.5522715017987</v>
      </c>
      <c r="J16" s="10">
        <f t="shared" si="3"/>
        <v>47727808659.554245</v>
      </c>
      <c r="K16" s="11">
        <f t="shared" si="4"/>
        <v>4.4935000000000169E-2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16515634.012369134</v>
      </c>
      <c r="D17" s="11">
        <v>1.55E-2</v>
      </c>
      <c r="E17" s="10">
        <f t="shared" si="2"/>
        <v>252085.00954379328</v>
      </c>
      <c r="F17" s="3"/>
      <c r="G17" s="26">
        <v>3.8</v>
      </c>
      <c r="H17" s="10"/>
      <c r="I17" s="10">
        <f t="shared" si="5"/>
        <v>2765.5847296133966</v>
      </c>
      <c r="J17" s="10">
        <f t="shared" si="3"/>
        <v>45675385224.491707</v>
      </c>
      <c r="K17" s="11">
        <f t="shared" si="4"/>
        <v>5.4089000000000054E-2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16263549.00282534</v>
      </c>
      <c r="D18" s="11">
        <v>1.61E-2</v>
      </c>
      <c r="E18" s="10">
        <f t="shared" si="2"/>
        <v>257694.2613379471</v>
      </c>
      <c r="F18" s="3"/>
      <c r="G18" s="26">
        <v>3.2</v>
      </c>
      <c r="H18" s="10"/>
      <c r="I18" s="10">
        <f t="shared" si="5"/>
        <v>2664.3398165832336</v>
      </c>
      <c r="J18" s="10">
        <f t="shared" si="3"/>
        <v>43331621167.180099</v>
      </c>
      <c r="K18" s="11">
        <f t="shared" si="4"/>
        <v>4.8615200000000192E-2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16005854.741487393</v>
      </c>
      <c r="D19" s="11">
        <v>1.7600000000000001E-2</v>
      </c>
      <c r="E19" s="10">
        <f t="shared" si="2"/>
        <v>276830.82100056857</v>
      </c>
      <c r="F19" s="3"/>
      <c r="G19" s="26">
        <v>5.0999999999999996</v>
      </c>
      <c r="H19" s="10"/>
      <c r="I19" s="10">
        <f t="shared" si="5"/>
        <v>2581.7246284721255</v>
      </c>
      <c r="J19" s="10">
        <f t="shared" si="3"/>
        <v>41322709385.845345</v>
      </c>
      <c r="K19" s="11">
        <f t="shared" si="4"/>
        <v>6.9497600000000048E-2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15729023.920486825</v>
      </c>
      <c r="D20" s="11">
        <v>1.9099999999999999E-2</v>
      </c>
      <c r="E20" s="10">
        <f t="shared" si="2"/>
        <v>294793.79538935982</v>
      </c>
      <c r="F20" s="3"/>
      <c r="G20" s="26">
        <v>1.1000000000000001</v>
      </c>
      <c r="H20" s="10"/>
      <c r="I20" s="10">
        <f t="shared" si="5"/>
        <v>2456.4458881751907</v>
      </c>
      <c r="J20" s="10">
        <f t="shared" si="3"/>
        <v>38637496134.489075</v>
      </c>
      <c r="K20" s="11">
        <f t="shared" si="4"/>
        <v>3.0310099999999673E-2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15434230.125097465</v>
      </c>
      <c r="D21" s="11">
        <v>2.06E-2</v>
      </c>
      <c r="E21" s="10">
        <f t="shared" si="2"/>
        <v>311527.67056340165</v>
      </c>
      <c r="F21" s="3"/>
      <c r="G21" s="26">
        <v>4.0999999999999996</v>
      </c>
      <c r="H21" s="10"/>
      <c r="I21" s="10">
        <f t="shared" si="5"/>
        <v>2429.7189794017713</v>
      </c>
      <c r="J21" s="10">
        <f t="shared" si="3"/>
        <v>37500841867.403885</v>
      </c>
      <c r="K21" s="11">
        <f t="shared" si="4"/>
        <v>6.244459999999985E-2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15122702.454534063</v>
      </c>
      <c r="D22" s="11">
        <v>2.2100000000000002E-2</v>
      </c>
      <c r="E22" s="10">
        <f t="shared" si="2"/>
        <v>326985.34805322625</v>
      </c>
      <c r="F22" s="3"/>
      <c r="G22" s="26">
        <v>3.8</v>
      </c>
      <c r="H22" s="10"/>
      <c r="I22" s="10">
        <f t="shared" si="5"/>
        <v>2334.0239955828738</v>
      </c>
      <c r="J22" s="10">
        <f t="shared" si="3"/>
        <v>35296750406.942528</v>
      </c>
      <c r="K22" s="11">
        <f t="shared" si="4"/>
        <v>6.0939800000000099E-2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14795717.106480837</v>
      </c>
      <c r="D23" s="11">
        <v>2.29E-2</v>
      </c>
      <c r="E23" s="10">
        <f t="shared" si="2"/>
        <v>331236.60351785086</v>
      </c>
      <c r="F23" s="3"/>
      <c r="G23" s="26">
        <v>-0.9</v>
      </c>
      <c r="H23" s="10"/>
      <c r="I23" s="10">
        <f t="shared" si="5"/>
        <v>2248.5780304266605</v>
      </c>
      <c r="J23" s="10">
        <f t="shared" si="3"/>
        <v>33269324430.04073</v>
      </c>
      <c r="K23" s="11">
        <f t="shared" si="4"/>
        <v>1.3693899999999815E-2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14464480.502962986</v>
      </c>
      <c r="D24" s="11">
        <v>2.29E-2</v>
      </c>
      <c r="E24" s="10">
        <f t="shared" si="2"/>
        <v>323821.10032051243</v>
      </c>
      <c r="F24" s="3"/>
      <c r="G24" s="26">
        <v>-2.1</v>
      </c>
      <c r="H24" s="10"/>
      <c r="I24" s="10">
        <f t="shared" si="5"/>
        <v>2268.9990216212518</v>
      </c>
      <c r="J24" s="10">
        <f t="shared" si="3"/>
        <v>32819892109.482689</v>
      </c>
      <c r="K24" s="11">
        <f t="shared" si="4"/>
        <v>1.4190999999998954E-3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14140659.402642474</v>
      </c>
      <c r="D25" s="11">
        <v>2.1700000000000001E-2</v>
      </c>
      <c r="E25" s="10">
        <f t="shared" si="2"/>
        <v>300335.03869760409</v>
      </c>
      <c r="F25" s="3"/>
      <c r="G25" s="26">
        <v>1.8</v>
      </c>
      <c r="H25" s="10"/>
      <c r="I25" s="10">
        <f t="shared" si="5"/>
        <v>2317.6700935865697</v>
      </c>
      <c r="J25" s="10">
        <f t="shared" si="3"/>
        <v>32773383401.09819</v>
      </c>
      <c r="K25" s="11">
        <f t="shared" si="4"/>
        <v>4.0090600000000087E-2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13840324.363944869</v>
      </c>
      <c r="D26" s="11">
        <v>2.0500000000000001E-2</v>
      </c>
      <c r="E26" s="10">
        <f t="shared" si="2"/>
        <v>278027.09403318912</v>
      </c>
      <c r="F26" s="3"/>
      <c r="G26" s="26">
        <v>-8.1999999999999993</v>
      </c>
      <c r="H26" s="10"/>
      <c r="I26" s="10">
        <f t="shared" si="5"/>
        <v>2276.6896793581236</v>
      </c>
      <c r="J26" s="10">
        <f t="shared" si="3"/>
        <v>31510123638.362072</v>
      </c>
      <c r="K26" s="11">
        <f t="shared" si="4"/>
        <v>-6.3180999999999932E-2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13562297.26991168</v>
      </c>
      <c r="D27" s="11">
        <v>2.0400000000000001E-2</v>
      </c>
      <c r="E27" s="10">
        <f t="shared" si="2"/>
        <v>271139.61613700353</v>
      </c>
      <c r="F27" s="3"/>
      <c r="G27" s="26">
        <v>-18.3</v>
      </c>
      <c r="H27" s="10"/>
      <c r="I27" s="10">
        <f t="shared" si="5"/>
        <v>2480.054116947847</v>
      </c>
      <c r="J27" s="10">
        <f t="shared" si="3"/>
        <v>33635231179.515007</v>
      </c>
      <c r="K27" s="11">
        <f t="shared" si="4"/>
        <v>-0.16633320000000007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13291157.653774677</v>
      </c>
      <c r="D28" s="11">
        <v>2.0299999999999999E-2</v>
      </c>
      <c r="E28" s="10">
        <f t="shared" si="2"/>
        <v>264442.32125024498</v>
      </c>
      <c r="F28" s="3"/>
      <c r="G28" s="26">
        <v>4.4000000000000004</v>
      </c>
      <c r="H28" s="10"/>
      <c r="I28" s="10">
        <f t="shared" si="5"/>
        <v>3035.5619546485277</v>
      </c>
      <c r="J28" s="10">
        <f t="shared" si="3"/>
        <v>40346132507.033997</v>
      </c>
      <c r="K28" s="11">
        <f t="shared" si="4"/>
        <v>6.5193199999999951E-2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13026715.332524432</v>
      </c>
      <c r="D29" s="11">
        <v>2.0299999999999999E-2</v>
      </c>
      <c r="E29" s="10">
        <f t="shared" si="2"/>
        <v>259180.94800573029</v>
      </c>
      <c r="F29" s="3"/>
      <c r="G29" s="26">
        <v>-1</v>
      </c>
      <c r="H29" s="10"/>
      <c r="I29" s="10">
        <f t="shared" si="5"/>
        <v>2907.6263933415016</v>
      </c>
      <c r="J29" s="10">
        <f t="shared" si="3"/>
        <v>37876821319.394455</v>
      </c>
      <c r="K29" s="11">
        <f t="shared" si="4"/>
        <v>1.0097000000000245E-2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12767534.384518702</v>
      </c>
      <c r="D30" s="11">
        <v>2.0500000000000001E-2</v>
      </c>
      <c r="E30" s="10">
        <f t="shared" si="2"/>
        <v>256476.68288352154</v>
      </c>
      <c r="F30" s="3"/>
      <c r="G30" s="26">
        <v>-0.7</v>
      </c>
      <c r="H30" s="10"/>
      <c r="I30" s="10">
        <f t="shared" si="5"/>
        <v>2936.9963569106076</v>
      </c>
      <c r="J30" s="10">
        <f t="shared" si="3"/>
        <v>37498201974.06234</v>
      </c>
      <c r="K30" s="11">
        <f t="shared" si="4"/>
        <v>1.3356499999999993E-2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12511057.70163518</v>
      </c>
      <c r="D31" s="11">
        <v>2.0799999999999999E-2</v>
      </c>
      <c r="E31" s="10">
        <f t="shared" si="2"/>
        <v>254927.50802704878</v>
      </c>
      <c r="F31" s="3"/>
      <c r="G31" s="26">
        <v>0.4</v>
      </c>
      <c r="H31" s="10"/>
      <c r="I31" s="10">
        <f t="shared" si="5"/>
        <v>2957.7002587216593</v>
      </c>
      <c r="J31" s="10">
        <f t="shared" si="3"/>
        <v>37003958601.00798</v>
      </c>
      <c r="K31" s="11">
        <f t="shared" si="4"/>
        <v>2.4883199999999883E-2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12256130.193608131</v>
      </c>
      <c r="D32" s="11">
        <v>2.1100000000000001E-2</v>
      </c>
      <c r="E32" s="10">
        <f t="shared" si="2"/>
        <v>253260.54949087277</v>
      </c>
      <c r="F32" s="3"/>
      <c r="G32" s="26">
        <v>3.7</v>
      </c>
      <c r="H32" s="10"/>
      <c r="I32" s="10">
        <f t="shared" si="5"/>
        <v>2945.9165923522505</v>
      </c>
      <c r="J32" s="10">
        <f t="shared" si="3"/>
        <v>36105537295.379593</v>
      </c>
      <c r="K32" s="11">
        <f t="shared" si="4"/>
        <v>5.8880699999999786E-2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12002869.644117258</v>
      </c>
      <c r="D33" s="11">
        <v>2.1399999999999999E-2</v>
      </c>
      <c r="E33" s="10">
        <f t="shared" si="2"/>
        <v>251479.74386539124</v>
      </c>
      <c r="F33" s="3"/>
      <c r="G33" s="26">
        <v>5.6</v>
      </c>
      <c r="H33" s="10"/>
      <c r="I33" s="10">
        <f t="shared" si="5"/>
        <v>2840.8067428662011</v>
      </c>
      <c r="J33" s="10">
        <f t="shared" si="3"/>
        <v>34097833018.75235</v>
      </c>
      <c r="K33" s="11">
        <f t="shared" si="4"/>
        <v>7.8598400000000179E-2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11751389.900251867</v>
      </c>
      <c r="D34" s="11">
        <v>2.1499999999999998E-2</v>
      </c>
      <c r="E34" s="10">
        <f t="shared" si="2"/>
        <v>247337.13446443155</v>
      </c>
      <c r="F34" s="3"/>
      <c r="G34" s="26">
        <v>4.1</v>
      </c>
      <c r="H34" s="10"/>
      <c r="I34" s="10">
        <f t="shared" si="5"/>
        <v>2690.1579004414784</v>
      </c>
      <c r="J34" s="10">
        <f t="shared" ref="J34:J65" si="6">IF(I34="","",I34*C34)</f>
        <v>31613094381.330757</v>
      </c>
      <c r="K34" s="11">
        <f t="shared" ref="K34:K65" si="7">IFERROR(J34/J35-1,"")</f>
        <v>7.666100000000009E-2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11504052.765787436</v>
      </c>
      <c r="D35" s="11">
        <v>2.1399999999999999E-2</v>
      </c>
      <c r="E35" s="10">
        <f t="shared" si="2"/>
        <v>241028.71469341218</v>
      </c>
      <c r="F35" s="3"/>
      <c r="G35" s="26">
        <v>3.7</v>
      </c>
      <c r="H35" s="10"/>
      <c r="I35" s="10">
        <f t="shared" ref="I35:I66" si="8">IF(H35&lt;&gt;"",H35,I34/(1+IF(G34="",0,G34)/100))</f>
        <v>2552.3319738533951</v>
      </c>
      <c r="J35" s="10">
        <f t="shared" si="6"/>
        <v>29362161703.015854</v>
      </c>
      <c r="K35" s="11">
        <f t="shared" si="7"/>
        <v>8.6769600000000002E-2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11263024.051094024</v>
      </c>
      <c r="D36" s="11">
        <v>2.06E-2</v>
      </c>
      <c r="E36" s="10">
        <f t="shared" si="2"/>
        <v>227335.19052766636</v>
      </c>
      <c r="F36" s="3"/>
      <c r="G36" s="26">
        <v>-1.8</v>
      </c>
      <c r="H36" s="10"/>
      <c r="I36" s="10">
        <f t="shared" si="8"/>
        <v>2398.8082461028148</v>
      </c>
      <c r="J36" s="10">
        <f t="shared" si="6"/>
        <v>27017834969.818676</v>
      </c>
      <c r="K36" s="11">
        <f t="shared" si="7"/>
        <v>5.1217999999999986E-2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11035688.860566357</v>
      </c>
      <c r="D37" s="11">
        <v>1.9599999999999999E-2</v>
      </c>
      <c r="E37" s="10">
        <f t="shared" si="2"/>
        <v>212141.52772371657</v>
      </c>
      <c r="F37" s="3"/>
      <c r="G37" s="26">
        <v>-4.51</v>
      </c>
      <c r="H37" s="10"/>
      <c r="I37" s="10">
        <f t="shared" si="8"/>
        <v>2328.9400447600142</v>
      </c>
      <c r="J37" s="10">
        <f t="shared" si="6"/>
        <v>25701457708.885002</v>
      </c>
      <c r="K37" s="11">
        <f t="shared" si="7"/>
        <v>2.7654840000000069E-2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10823547.332842641</v>
      </c>
      <c r="D38" s="11">
        <v>1.8100000000000002E-2</v>
      </c>
      <c r="E38" s="10">
        <f t="shared" si="2"/>
        <v>192423.34419453144</v>
      </c>
      <c r="F38" s="3"/>
      <c r="G38" s="26">
        <v>-1.22</v>
      </c>
      <c r="H38" s="10"/>
      <c r="I38" s="10">
        <f t="shared" si="8"/>
        <v>2310.6856282964718</v>
      </c>
      <c r="J38" s="10">
        <f t="shared" si="6"/>
        <v>25009815269.1861</v>
      </c>
      <c r="K38" s="11">
        <f t="shared" si="7"/>
        <v>4.3348879999999923E-2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10631123.988648109</v>
      </c>
      <c r="D39" s="11">
        <v>1.6299999999999999E-2</v>
      </c>
      <c r="E39" s="10">
        <f t="shared" si="2"/>
        <v>170508.03996355832</v>
      </c>
      <c r="F39" s="3"/>
      <c r="G39" s="26">
        <v>1.21</v>
      </c>
      <c r="H39" s="10"/>
      <c r="I39" s="10">
        <f t="shared" si="8"/>
        <v>2254.7673968544809</v>
      </c>
      <c r="J39" s="10">
        <f t="shared" si="6"/>
        <v>23970711761.521324</v>
      </c>
      <c r="K39" s="11">
        <f t="shared" si="7"/>
        <v>2.8597229999999918E-2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10460615.948684551</v>
      </c>
      <c r="D40" s="11">
        <v>1.4800000000000001E-2</v>
      </c>
      <c r="E40" s="10">
        <f t="shared" si="2"/>
        <v>152559.23929890618</v>
      </c>
      <c r="F40" s="3"/>
      <c r="G40" s="26">
        <v>5.26</v>
      </c>
      <c r="H40" s="10"/>
      <c r="I40" s="10">
        <f t="shared" si="8"/>
        <v>2227.8108851442357</v>
      </c>
      <c r="J40" s="10">
        <f t="shared" si="6"/>
        <v>23304274075.792839</v>
      </c>
      <c r="K40" s="11">
        <f t="shared" si="7"/>
        <v>6.8178479999999819E-2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10308056.709385645</v>
      </c>
      <c r="D41" s="11">
        <v>1.3899999999999999E-2</v>
      </c>
      <c r="E41" s="10">
        <f t="shared" si="2"/>
        <v>141317.67261116579</v>
      </c>
      <c r="F41" s="3"/>
      <c r="G41" s="26">
        <v>8.39</v>
      </c>
      <c r="H41" s="10"/>
      <c r="I41" s="10">
        <f t="shared" si="8"/>
        <v>2116.4838354020862</v>
      </c>
      <c r="J41" s="10">
        <f t="shared" si="6"/>
        <v>21816835399.822739</v>
      </c>
      <c r="K41" s="11">
        <f t="shared" si="7"/>
        <v>9.8966210000000165E-2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10166739.036774479</v>
      </c>
      <c r="D42" s="11">
        <v>1.32E-2</v>
      </c>
      <c r="E42" s="10">
        <f t="shared" si="2"/>
        <v>132452.58121340722</v>
      </c>
      <c r="F42" s="3"/>
      <c r="G42" s="26">
        <v>-2.0499999999999998</v>
      </c>
      <c r="H42" s="10"/>
      <c r="I42" s="10">
        <f t="shared" si="8"/>
        <v>1952.6559972341415</v>
      </c>
      <c r="J42" s="10">
        <f t="shared" si="6"/>
        <v>19852143952.472145</v>
      </c>
      <c r="K42" s="11">
        <f t="shared" si="7"/>
        <v>-7.5705999999998719E-3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10034286.455561072</v>
      </c>
      <c r="D43" s="11">
        <v>1.12E-2</v>
      </c>
      <c r="E43" s="10">
        <f t="shared" si="2"/>
        <v>111139.24871665798</v>
      </c>
      <c r="F43" s="3"/>
      <c r="G43" s="26">
        <v>7.49</v>
      </c>
      <c r="H43" s="10"/>
      <c r="I43" s="10">
        <f t="shared" si="8"/>
        <v>1993.5232233120382</v>
      </c>
      <c r="J43" s="10">
        <f t="shared" si="6"/>
        <v>20003583078.526436</v>
      </c>
      <c r="K43" s="11">
        <f t="shared" si="7"/>
        <v>8.6938880000000163E-2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9923147.2068444137</v>
      </c>
      <c r="D44" s="11">
        <v>1.0500000000000001E-2</v>
      </c>
      <c r="E44" s="10">
        <f t="shared" si="2"/>
        <v>103110.3866124358</v>
      </c>
      <c r="F44" s="3"/>
      <c r="G44" s="26">
        <v>3.81</v>
      </c>
      <c r="H44" s="10"/>
      <c r="I44" s="10">
        <f t="shared" si="8"/>
        <v>1854.6127298465331</v>
      </c>
      <c r="J44" s="10">
        <f t="shared" si="6"/>
        <v>18403595129.954716</v>
      </c>
      <c r="K44" s="11">
        <f t="shared" si="7"/>
        <v>4.9000050000000073E-2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9820036.8202319779</v>
      </c>
      <c r="D45" s="11">
        <v>1.43E-2</v>
      </c>
      <c r="E45" s="10">
        <f t="shared" si="2"/>
        <v>138446.73817343637</v>
      </c>
      <c r="F45" s="3"/>
      <c r="G45" s="26">
        <v>27.42</v>
      </c>
      <c r="H45" s="10"/>
      <c r="I45" s="10">
        <f t="shared" si="8"/>
        <v>1786.5453519377063</v>
      </c>
      <c r="J45" s="10">
        <f t="shared" si="6"/>
        <v>17543941137.042572</v>
      </c>
      <c r="K45" s="11">
        <f t="shared" si="7"/>
        <v>0.2924210599999999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9681590.0820585415</v>
      </c>
      <c r="D46" s="11">
        <v>2.3300000000000001E-2</v>
      </c>
      <c r="E46" s="10">
        <f t="shared" si="2"/>
        <v>220444.68768881634</v>
      </c>
      <c r="F46" s="3"/>
      <c r="G46" s="26">
        <v>1.33</v>
      </c>
      <c r="H46" s="10"/>
      <c r="I46" s="10">
        <f t="shared" si="8"/>
        <v>1402.0917846003031</v>
      </c>
      <c r="J46" s="10">
        <f t="shared" si="6"/>
        <v>13574477915.922054</v>
      </c>
      <c r="K46" s="11">
        <f t="shared" si="7"/>
        <v>3.6909890000000223E-2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9461145.3943697251</v>
      </c>
      <c r="D47" s="11">
        <v>3.5000000000000003E-2</v>
      </c>
      <c r="E47" s="10">
        <f t="shared" si="2"/>
        <v>319942.11478544958</v>
      </c>
      <c r="F47" s="3"/>
      <c r="G47" s="26">
        <v>8.86</v>
      </c>
      <c r="H47" s="10"/>
      <c r="I47" s="10">
        <f t="shared" si="8"/>
        <v>1383.6887245636069</v>
      </c>
      <c r="J47" s="10">
        <f t="shared" si="6"/>
        <v>13091280203.646288</v>
      </c>
      <c r="K47" s="11">
        <f t="shared" si="7"/>
        <v>0.12670099999999995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9141203.2795842756</v>
      </c>
      <c r="D48" s="11">
        <v>4.6199999999999998E-2</v>
      </c>
      <c r="E48" s="10">
        <f t="shared" si="2"/>
        <v>403673.85922079347</v>
      </c>
      <c r="F48" s="3"/>
      <c r="G48" s="26">
        <v>8.43</v>
      </c>
      <c r="H48" s="10"/>
      <c r="I48" s="10">
        <f t="shared" si="8"/>
        <v>1271.071766088193</v>
      </c>
      <c r="J48" s="10">
        <f t="shared" si="6"/>
        <v>11619125396.752367</v>
      </c>
      <c r="K48" s="11">
        <f t="shared" si="7"/>
        <v>0.13439466000000011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8737529.4203634821</v>
      </c>
      <c r="D49" s="11">
        <v>0.05</v>
      </c>
      <c r="E49" s="10">
        <f t="shared" si="2"/>
        <v>416072.82954111788</v>
      </c>
      <c r="F49" s="3"/>
      <c r="G49" s="26">
        <v>10.8</v>
      </c>
      <c r="H49" s="10"/>
      <c r="I49" s="10">
        <f t="shared" si="8"/>
        <v>1172.2510062604381</v>
      </c>
      <c r="J49" s="10">
        <f t="shared" si="6"/>
        <v>10242577655.251274</v>
      </c>
      <c r="K49" s="11">
        <f t="shared" si="7"/>
        <v>0.16339999999999999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8321456.5908223642</v>
      </c>
      <c r="D50" s="11">
        <v>4.5499999999999999E-2</v>
      </c>
      <c r="E50" s="10">
        <f t="shared" si="2"/>
        <v>362148.51734329853</v>
      </c>
      <c r="F50" s="3"/>
      <c r="G50" s="26">
        <v>9.4499999999999993</v>
      </c>
      <c r="H50" s="10"/>
      <c r="I50" s="10">
        <f t="shared" si="8"/>
        <v>1057.9882727982292</v>
      </c>
      <c r="J50" s="10">
        <f t="shared" si="6"/>
        <v>8804003485.6895943</v>
      </c>
      <c r="K50" s="11">
        <f t="shared" si="7"/>
        <v>0.14429975000000028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7959308.0734790657</v>
      </c>
      <c r="D51" s="11">
        <v>3.85E-2</v>
      </c>
      <c r="E51" s="10">
        <f t="shared" si="2"/>
        <v>295073.04846311361</v>
      </c>
      <c r="F51" s="3"/>
      <c r="G51" s="26">
        <v>-4.8</v>
      </c>
      <c r="H51" s="10"/>
      <c r="I51" s="10">
        <f t="shared" si="8"/>
        <v>966.6407243473999</v>
      </c>
      <c r="J51" s="10">
        <f t="shared" si="6"/>
        <v>7693791321.4519119</v>
      </c>
      <c r="K51" s="11">
        <f t="shared" si="7"/>
        <v>-1.1348000000000136E-2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7664235.0250159521</v>
      </c>
      <c r="D52" s="11">
        <v>3.3399999999999999E-2</v>
      </c>
      <c r="E52" s="10">
        <f t="shared" si="2"/>
        <v>247711.87326836959</v>
      </c>
      <c r="F52" s="3"/>
      <c r="G52" s="26">
        <v>6.21</v>
      </c>
      <c r="H52" s="10"/>
      <c r="I52" s="10">
        <f t="shared" si="8"/>
        <v>1015.3789121296218</v>
      </c>
      <c r="J52" s="10">
        <f t="shared" si="6"/>
        <v>7782102622.0064421</v>
      </c>
      <c r="K52" s="11">
        <f t="shared" si="7"/>
        <v>9.7574140000000087E-2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7416523.1517475825</v>
      </c>
      <c r="D53" s="11">
        <v>3.0300000000000001E-2</v>
      </c>
      <c r="E53" s="10">
        <f t="shared" si="2"/>
        <v>218111.86207701825</v>
      </c>
      <c r="F53" s="3"/>
      <c r="G53" s="26">
        <v>5.84</v>
      </c>
      <c r="H53" s="10"/>
      <c r="I53" s="10">
        <f t="shared" si="8"/>
        <v>956.01065071991502</v>
      </c>
      <c r="J53" s="10">
        <f t="shared" si="6"/>
        <v>7090275124.3815212</v>
      </c>
      <c r="K53" s="11">
        <f t="shared" si="7"/>
        <v>9.0469520000000081E-2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7198411.2896705642</v>
      </c>
      <c r="D54" s="11">
        <v>2.81E-2</v>
      </c>
      <c r="E54" s="10">
        <f t="shared" si="2"/>
        <v>196746.77292067185</v>
      </c>
      <c r="F54" s="3"/>
      <c r="G54" s="26">
        <v>34.31</v>
      </c>
      <c r="H54" s="10"/>
      <c r="I54" s="10">
        <f t="shared" si="8"/>
        <v>903.26025200294316</v>
      </c>
      <c r="J54" s="10">
        <f t="shared" si="6"/>
        <v>6502038795.5286646</v>
      </c>
      <c r="K54" s="11">
        <f t="shared" si="7"/>
        <v>0.38084110999999998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7001664.5167498924</v>
      </c>
      <c r="D55" s="11">
        <v>2.6800000000000001E-2</v>
      </c>
      <c r="E55" s="10">
        <f t="shared" si="2"/>
        <v>182746.9897242859</v>
      </c>
      <c r="F55" s="3"/>
      <c r="G55" s="26">
        <v>-19.690000000000001</v>
      </c>
      <c r="H55" s="10"/>
      <c r="I55" s="10">
        <f t="shared" si="8"/>
        <v>672.51898741936054</v>
      </c>
      <c r="J55" s="10">
        <f t="shared" si="6"/>
        <v>4708752331.0547037</v>
      </c>
      <c r="K55" s="11">
        <f t="shared" si="7"/>
        <v>-0.17537692000000016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6818917.5270256065</v>
      </c>
      <c r="D56" s="11">
        <v>2.5999999999999999E-2</v>
      </c>
      <c r="E56" s="10">
        <f t="shared" si="2"/>
        <v>172799.07963222824</v>
      </c>
      <c r="F56" s="3"/>
      <c r="G56" s="26">
        <v>3.61</v>
      </c>
      <c r="H56" s="10"/>
      <c r="I56" s="10">
        <f t="shared" si="8"/>
        <v>837.40379457024108</v>
      </c>
      <c r="J56" s="10">
        <f t="shared" si="6"/>
        <v>5710187411.9927673</v>
      </c>
      <c r="K56" s="11">
        <f t="shared" si="7"/>
        <v>6.3038600000000056E-2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6646118.4473933782</v>
      </c>
      <c r="D57" s="11">
        <v>2.47E-2</v>
      </c>
      <c r="E57" s="10">
        <f t="shared" si="2"/>
        <v>160202.13296634704</v>
      </c>
      <c r="F57" s="3"/>
      <c r="G57" s="26">
        <v>6.8</v>
      </c>
      <c r="H57" s="10"/>
      <c r="I57" s="10">
        <f t="shared" si="8"/>
        <v>808.22680684320153</v>
      </c>
      <c r="J57" s="10">
        <f t="shared" si="6"/>
        <v>5371571090.6384468</v>
      </c>
      <c r="K57" s="11">
        <f t="shared" si="7"/>
        <v>9.4379599999999897E-2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6485916.3144270312</v>
      </c>
      <c r="D58" s="11">
        <v>2.2800000000000001E-2</v>
      </c>
      <c r="E58" s="10">
        <f t="shared" si="2"/>
        <v>144582.41295359377</v>
      </c>
      <c r="F58" s="3"/>
      <c r="G58" s="26">
        <v>18.32</v>
      </c>
      <c r="H58" s="10"/>
      <c r="I58" s="10">
        <f t="shared" si="8"/>
        <v>756.76667307415869</v>
      </c>
      <c r="J58" s="10">
        <f t="shared" si="6"/>
        <v>4908325311.1063538</v>
      </c>
      <c r="K58" s="11">
        <f t="shared" si="7"/>
        <v>0.21017696000000008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6341333.9014734374</v>
      </c>
      <c r="D59" s="11">
        <v>2.1499999999999998E-2</v>
      </c>
      <c r="E59" s="10">
        <f t="shared" si="2"/>
        <v>133469.0933741359</v>
      </c>
      <c r="F59" s="3"/>
      <c r="G59" s="26">
        <v>3.63</v>
      </c>
      <c r="H59" s="10"/>
      <c r="I59" s="10">
        <f t="shared" si="8"/>
        <v>639.59319901467097</v>
      </c>
      <c r="J59" s="10">
        <f t="shared" si="6"/>
        <v>4055874036.06358</v>
      </c>
      <c r="K59" s="11">
        <f t="shared" si="7"/>
        <v>5.8580450000000228E-2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6207864.8080993015</v>
      </c>
      <c r="D60" s="11">
        <v>2.1399999999999999E-2</v>
      </c>
      <c r="E60" s="10">
        <f t="shared" si="2"/>
        <v>130064.91765549779</v>
      </c>
      <c r="F60" s="3"/>
      <c r="G60" s="26">
        <v>11.37</v>
      </c>
      <c r="H60" s="10"/>
      <c r="I60" s="10">
        <f t="shared" si="8"/>
        <v>617.18922996687343</v>
      </c>
      <c r="J60" s="10">
        <f t="shared" si="6"/>
        <v>3831427300.6492605</v>
      </c>
      <c r="K60" s="11">
        <f t="shared" si="7"/>
        <v>0.13753317999999992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6077799.8904438037</v>
      </c>
      <c r="D61" s="11">
        <v>2.2599999999999999E-2</v>
      </c>
      <c r="E61" s="10">
        <f t="shared" si="2"/>
        <v>134322.58705655206</v>
      </c>
      <c r="F61" s="3"/>
      <c r="G61" s="26">
        <v>9.82</v>
      </c>
      <c r="H61" s="10"/>
      <c r="I61" s="10">
        <f t="shared" si="8"/>
        <v>554.17906973769732</v>
      </c>
      <c r="J61" s="10">
        <f t="shared" si="6"/>
        <v>3368189489.338026</v>
      </c>
      <c r="K61" s="11">
        <f t="shared" si="7"/>
        <v>0.12301932000000027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5943477.3033872517</v>
      </c>
      <c r="D62" s="11">
        <v>2.4400000000000002E-2</v>
      </c>
      <c r="E62" s="10">
        <f t="shared" si="2"/>
        <v>141566.62065857928</v>
      </c>
      <c r="F62" s="3"/>
      <c r="G62" s="26">
        <v>2.94</v>
      </c>
      <c r="H62" s="10"/>
      <c r="I62" s="10">
        <f t="shared" si="8"/>
        <v>504.6249041501523</v>
      </c>
      <c r="J62" s="10">
        <f t="shared" si="6"/>
        <v>2999226664.5403976</v>
      </c>
      <c r="K62" s="11">
        <f t="shared" si="7"/>
        <v>5.4517360000000181E-2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5801910.6827286724</v>
      </c>
      <c r="D63" s="11">
        <v>2.6700000000000002E-2</v>
      </c>
      <c r="E63" s="10">
        <f t="shared" si="2"/>
        <v>150882.45371467341</v>
      </c>
      <c r="F63" s="3"/>
      <c r="G63" s="26">
        <v>5.87</v>
      </c>
      <c r="H63" s="10"/>
      <c r="I63" s="10">
        <f t="shared" si="8"/>
        <v>490.21265217617275</v>
      </c>
      <c r="J63" s="10">
        <f t="shared" si="6"/>
        <v>2844170023.4696918</v>
      </c>
      <c r="K63" s="11">
        <f t="shared" si="7"/>
        <v>8.6967289999999808E-2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5651028.229013999</v>
      </c>
      <c r="D64" s="11">
        <v>2.92E-2</v>
      </c>
      <c r="E64" s="10">
        <f t="shared" si="2"/>
        <v>160328.43401399907</v>
      </c>
      <c r="F64" s="3"/>
      <c r="G64" s="26">
        <v>2.2000000000000002</v>
      </c>
      <c r="H64" s="10"/>
      <c r="I64" s="10">
        <f t="shared" si="8"/>
        <v>463.03263641841198</v>
      </c>
      <c r="J64" s="10">
        <f t="shared" si="6"/>
        <v>2616610499.3552217</v>
      </c>
      <c r="K64" s="11">
        <f t="shared" si="7"/>
        <v>5.1842399999999955E-2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5490699.7949999999</v>
      </c>
      <c r="D65" s="11">
        <v>3.0499999999999999E-2</v>
      </c>
      <c r="E65" s="10">
        <f t="shared" si="2"/>
        <v>162509.79499999993</v>
      </c>
      <c r="F65" s="3"/>
      <c r="G65" s="26">
        <v>4.46</v>
      </c>
      <c r="H65" s="10"/>
      <c r="I65" s="10">
        <f t="shared" si="8"/>
        <v>453.0652019749628</v>
      </c>
      <c r="J65" s="10">
        <f t="shared" si="6"/>
        <v>2487645011.6055617</v>
      </c>
      <c r="K65" s="11">
        <f t="shared" si="7"/>
        <v>7.6460299999999926E-2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5328190</v>
      </c>
      <c r="D66" s="11">
        <v>0.03</v>
      </c>
      <c r="E66" s="10">
        <f t="shared" si="2"/>
        <v>155190</v>
      </c>
      <c r="F66" s="10">
        <v>20605956</v>
      </c>
      <c r="G66" s="26">
        <v>0.67</v>
      </c>
      <c r="H66" s="10"/>
      <c r="I66" s="10">
        <f t="shared" si="8"/>
        <v>433.72123489849014</v>
      </c>
      <c r="J66" s="10">
        <f t="shared" ref="J66:J67" si="9">IF(I66="","",I66*C66)</f>
        <v>2310949146.5737863</v>
      </c>
      <c r="K66" s="11">
        <f t="shared" ref="K66" si="10">IFERROR(J66/J67-1,"")</f>
        <v>3.6901000000000073E-2</v>
      </c>
    </row>
    <row r="67" spans="1:11" ht="22.5" customHeight="1">
      <c r="A67" s="3">
        <f t="shared" si="0"/>
        <v>1950</v>
      </c>
      <c r="B67" s="3">
        <v>1700</v>
      </c>
      <c r="C67" s="10">
        <v>5173000</v>
      </c>
      <c r="D67" s="11">
        <v>2.7799999999999998E-2</v>
      </c>
      <c r="E67" s="3" t="s">
        <v>72</v>
      </c>
      <c r="F67" s="10">
        <f>SUM(C2)</f>
        <v>20606628.225290135</v>
      </c>
      <c r="G67" s="26">
        <v>1.6</v>
      </c>
      <c r="H67" s="10"/>
      <c r="I67" s="10">
        <f t="shared" ref="I67" si="11">IF(H67&lt;&gt;"",H67,I66/(1+IF(G66="",0,G66)/100))</f>
        <v>430.8346427917852</v>
      </c>
      <c r="J67" s="10">
        <f t="shared" si="9"/>
        <v>2228707607.1619048</v>
      </c>
      <c r="K67" s="11"/>
    </row>
  </sheetData>
  <dataValidations count="1">
    <dataValidation type="custom" allowBlank="1" showDropDown="1" sqref="D2:D67" xr:uid="{00000000-0002-0000-3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M69"/>
  <sheetViews>
    <sheetView workbookViewId="0">
      <selection activeCell="L7" sqref="L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238996.80525892126</v>
      </c>
      <c r="D2" s="11">
        <v>1.3100000000000001E-2</v>
      </c>
      <c r="E2" s="10">
        <f t="shared" ref="E2:E66" si="2">SUM(C2-C3)</f>
        <v>3090.3742462658265</v>
      </c>
      <c r="F2" s="14"/>
      <c r="G2" s="26">
        <v>0.39</v>
      </c>
      <c r="H2" s="10"/>
      <c r="I2" s="10">
        <f>IF(H2&lt;&gt;"",H2,25016)</f>
        <v>3127</v>
      </c>
      <c r="J2" s="10">
        <f t="shared" ref="J2:J33" si="3">IF(I2="","",I2*C2)</f>
        <v>747343010.04464674</v>
      </c>
      <c r="K2" s="11">
        <f t="shared" ref="K2:K33" si="4">IFERROR(J2/J3-1,"")</f>
        <v>1.7051090000000046E-2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235906.43101265543</v>
      </c>
      <c r="D3" s="11">
        <v>1.255E-2</v>
      </c>
      <c r="E3" s="10">
        <f t="shared" si="2"/>
        <v>2923.9303829034034</v>
      </c>
      <c r="F3" s="3"/>
      <c r="G3" s="26">
        <v>-2.5099999999999998</v>
      </c>
      <c r="H3" s="10"/>
      <c r="I3" s="10">
        <f t="shared" ref="I3:I34" si="5">IF(H3&lt;&gt;"",H3,I2/(1+IF(G2="",0,G2)/100))</f>
        <v>3114.8520769000897</v>
      </c>
      <c r="J3" s="10">
        <f t="shared" si="3"/>
        <v>734813636.59385753</v>
      </c>
      <c r="K3" s="11">
        <f t="shared" si="4"/>
        <v>-1.2865004999999985E-2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232982.50062975203</v>
      </c>
      <c r="D4" s="11">
        <v>1.3429999999999999E-2</v>
      </c>
      <c r="E4" s="10">
        <f t="shared" si="2"/>
        <v>3087.4899928535451</v>
      </c>
      <c r="F4" s="3"/>
      <c r="G4" s="26">
        <v>-2.12</v>
      </c>
      <c r="H4" s="10"/>
      <c r="I4" s="10">
        <f t="shared" si="5"/>
        <v>3195.0477760796898</v>
      </c>
      <c r="J4" s="10">
        <f t="shared" si="3"/>
        <v>744390220.50257421</v>
      </c>
      <c r="K4" s="11">
        <f t="shared" si="4"/>
        <v>-8.0547159999998508E-3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229895.01063689849</v>
      </c>
      <c r="D5" s="11">
        <v>1.4069999999999999E-2</v>
      </c>
      <c r="E5" s="10">
        <f t="shared" si="2"/>
        <v>3189.7431140465196</v>
      </c>
      <c r="F5" s="3"/>
      <c r="G5" s="26">
        <v>0.91</v>
      </c>
      <c r="H5" s="10"/>
      <c r="I5" s="10">
        <f t="shared" si="5"/>
        <v>3264.2498733956782</v>
      </c>
      <c r="J5" s="10">
        <f t="shared" si="3"/>
        <v>750434759.36579394</v>
      </c>
      <c r="K5" s="11">
        <f t="shared" si="4"/>
        <v>2.3298036999999994E-2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226705.26752285197</v>
      </c>
      <c r="D6" s="11">
        <v>1.5299999999999999E-2</v>
      </c>
      <c r="E6" s="10">
        <f t="shared" si="2"/>
        <v>3416.3208835808618</v>
      </c>
      <c r="F6" s="3"/>
      <c r="G6" s="26">
        <v>3.74</v>
      </c>
      <c r="H6" s="10"/>
      <c r="I6" s="10">
        <f t="shared" si="5"/>
        <v>3234.8130744184696</v>
      </c>
      <c r="J6" s="10">
        <f t="shared" si="3"/>
        <v>733349163.42245841</v>
      </c>
      <c r="K6" s="11">
        <f t="shared" si="4"/>
        <v>5.3272220000000203E-2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223288.9466392711</v>
      </c>
      <c r="D7" s="11">
        <v>2.018E-2</v>
      </c>
      <c r="E7" s="10">
        <f t="shared" si="2"/>
        <v>4416.8391295462789</v>
      </c>
      <c r="F7" s="3"/>
      <c r="G7" s="26">
        <v>2.74</v>
      </c>
      <c r="H7" s="10"/>
      <c r="I7" s="10">
        <f t="shared" si="5"/>
        <v>3118.1926686123666</v>
      </c>
      <c r="J7" s="10">
        <f t="shared" si="3"/>
        <v>696257956.39275312</v>
      </c>
      <c r="K7" s="11">
        <f t="shared" si="4"/>
        <v>4.8132932000000128E-2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218872.10750972482</v>
      </c>
      <c r="D8" s="11">
        <v>2.1420000000000002E-2</v>
      </c>
      <c r="E8" s="10">
        <f t="shared" si="2"/>
        <v>4589.9243630027922</v>
      </c>
      <c r="F8" s="3"/>
      <c r="G8" s="26">
        <v>-1.9</v>
      </c>
      <c r="H8" s="10"/>
      <c r="I8" s="10">
        <f t="shared" si="5"/>
        <v>3035.0327706953149</v>
      </c>
      <c r="J8" s="10">
        <f t="shared" si="3"/>
        <v>664284018.88316298</v>
      </c>
      <c r="K8" s="11">
        <f t="shared" si="4"/>
        <v>2.013020000000143E-3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214282.18314672203</v>
      </c>
      <c r="D9" s="11">
        <v>2.12E-2</v>
      </c>
      <c r="E9" s="10">
        <f t="shared" si="2"/>
        <v>4448.4746207506105</v>
      </c>
      <c r="F9" s="3"/>
      <c r="G9" s="26">
        <v>-3.9</v>
      </c>
      <c r="H9" s="10"/>
      <c r="I9" s="10">
        <f t="shared" si="5"/>
        <v>3093.8152606476197</v>
      </c>
      <c r="J9" s="10">
        <f t="shared" si="3"/>
        <v>662949488.30421674</v>
      </c>
      <c r="K9" s="11">
        <f t="shared" si="4"/>
        <v>-1.8626800000000054E-2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209833.70852597142</v>
      </c>
      <c r="D10" s="11">
        <v>2.0580000000000001E-2</v>
      </c>
      <c r="E10" s="10">
        <f t="shared" si="2"/>
        <v>4231.2976165165892</v>
      </c>
      <c r="F10" s="3"/>
      <c r="G10" s="26">
        <v>-3.76</v>
      </c>
      <c r="H10" s="10"/>
      <c r="I10" s="10">
        <f t="shared" si="5"/>
        <v>3219.370718675983</v>
      </c>
      <c r="J10" s="10">
        <f t="shared" si="3"/>
        <v>675532497.01970339</v>
      </c>
      <c r="K10" s="11">
        <f t="shared" si="4"/>
        <v>-1.7793807999999856E-2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205602.41090945483</v>
      </c>
      <c r="D11" s="11">
        <v>2.001E-2</v>
      </c>
      <c r="E11" s="10">
        <f t="shared" si="2"/>
        <v>4033.3959885669756</v>
      </c>
      <c r="F11" s="3"/>
      <c r="G11" s="26">
        <v>4.0999999999999996</v>
      </c>
      <c r="H11" s="10"/>
      <c r="I11" s="10">
        <f t="shared" si="5"/>
        <v>3345.1482945511043</v>
      </c>
      <c r="J11" s="10">
        <f t="shared" si="3"/>
        <v>687770554.20935822</v>
      </c>
      <c r="K11" s="11">
        <f t="shared" si="4"/>
        <v>6.1830410000000002E-2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201569.01492088786</v>
      </c>
      <c r="D12" s="11">
        <v>2.002E-2</v>
      </c>
      <c r="E12" s="10">
        <f t="shared" si="2"/>
        <v>3956.2083868121845</v>
      </c>
      <c r="F12" s="3"/>
      <c r="G12" s="26">
        <v>0</v>
      </c>
      <c r="H12" s="10"/>
      <c r="I12" s="10">
        <f t="shared" si="5"/>
        <v>3213.3989380894377</v>
      </c>
      <c r="J12" s="10">
        <f t="shared" si="3"/>
        <v>647721658.49851501</v>
      </c>
      <c r="K12" s="11">
        <f t="shared" si="4"/>
        <v>2.0019999999999927E-2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197612.80653407567</v>
      </c>
      <c r="D13" s="11">
        <v>2.018E-2</v>
      </c>
      <c r="E13" s="10">
        <f t="shared" si="2"/>
        <v>3908.9439470070647</v>
      </c>
      <c r="F13" s="3"/>
      <c r="G13" s="26">
        <v>0.1</v>
      </c>
      <c r="H13" s="10"/>
      <c r="I13" s="10">
        <f t="shared" si="5"/>
        <v>3213.3989380894377</v>
      </c>
      <c r="J13" s="10">
        <f t="shared" si="3"/>
        <v>635008782.66947222</v>
      </c>
      <c r="K13" s="11">
        <f t="shared" si="4"/>
        <v>2.1200179999999902E-2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193703.86258706861</v>
      </c>
      <c r="D14" s="11">
        <v>1.9959999999999999E-2</v>
      </c>
      <c r="E14" s="10">
        <f t="shared" si="2"/>
        <v>3790.6673764048319</v>
      </c>
      <c r="F14" s="3"/>
      <c r="G14" s="26">
        <v>3.58</v>
      </c>
      <c r="H14" s="10"/>
      <c r="I14" s="10">
        <f t="shared" si="5"/>
        <v>3210.1887493400982</v>
      </c>
      <c r="J14" s="10">
        <f t="shared" si="3"/>
        <v>621825960.38072801</v>
      </c>
      <c r="K14" s="11">
        <f t="shared" si="4"/>
        <v>5.6474567999999836E-2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189913.19521066378</v>
      </c>
      <c r="D15" s="11">
        <v>2.1049999999999999E-2</v>
      </c>
      <c r="E15" s="10">
        <f t="shared" si="2"/>
        <v>3915.2566075946088</v>
      </c>
      <c r="F15" s="3"/>
      <c r="G15" s="26">
        <v>3.96</v>
      </c>
      <c r="H15" s="10"/>
      <c r="I15" s="10">
        <f t="shared" si="5"/>
        <v>3099.2360970651653</v>
      </c>
      <c r="J15" s="10">
        <f t="shared" si="3"/>
        <v>588585829.90587246</v>
      </c>
      <c r="K15" s="11">
        <f t="shared" si="4"/>
        <v>6.1483579999999982E-2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185997.93860306917</v>
      </c>
      <c r="D16" s="11">
        <v>2.1219999999999999E-2</v>
      </c>
      <c r="E16" s="10">
        <f t="shared" si="2"/>
        <v>3864.8638463378302</v>
      </c>
      <c r="F16" s="3"/>
      <c r="G16" s="26">
        <v>1.47</v>
      </c>
      <c r="H16" s="10"/>
      <c r="I16" s="10">
        <f t="shared" si="5"/>
        <v>2981.1813169153183</v>
      </c>
      <c r="J16" s="10">
        <f t="shared" si="3"/>
        <v>554493579.54823232</v>
      </c>
      <c r="K16" s="11">
        <f t="shared" si="4"/>
        <v>3.623193399999991E-2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182133.07475673134</v>
      </c>
      <c r="D17" s="11">
        <v>1.7219999999999999E-2</v>
      </c>
      <c r="E17" s="10">
        <f t="shared" si="2"/>
        <v>3083.2381857522705</v>
      </c>
      <c r="F17" s="3"/>
      <c r="G17" s="26">
        <v>3.47</v>
      </c>
      <c r="H17" s="10"/>
      <c r="I17" s="10">
        <f t="shared" si="5"/>
        <v>2937.9928224256614</v>
      </c>
      <c r="J17" s="10">
        <f t="shared" si="3"/>
        <v>535105666.36159307</v>
      </c>
      <c r="K17" s="11">
        <f t="shared" si="4"/>
        <v>5.2517533999999921E-2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179049.83657097907</v>
      </c>
      <c r="D18" s="11">
        <v>1.6619999999999999E-2</v>
      </c>
      <c r="E18" s="10">
        <f t="shared" si="2"/>
        <v>2927.1589028444141</v>
      </c>
      <c r="F18" s="3"/>
      <c r="G18" s="26">
        <v>4.26</v>
      </c>
      <c r="H18" s="10"/>
      <c r="I18" s="10">
        <f t="shared" si="5"/>
        <v>2839.4634410221915</v>
      </c>
      <c r="J18" s="10">
        <f t="shared" si="3"/>
        <v>508405465.06429327</v>
      </c>
      <c r="K18" s="11">
        <f t="shared" si="4"/>
        <v>5.9928012000000308E-2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176122.67766813465</v>
      </c>
      <c r="D19" s="11">
        <v>1.738E-2</v>
      </c>
      <c r="E19" s="10">
        <f t="shared" si="2"/>
        <v>3008.7205742909864</v>
      </c>
      <c r="F19" s="3"/>
      <c r="G19" s="26">
        <v>-6.66</v>
      </c>
      <c r="H19" s="10"/>
      <c r="I19" s="10">
        <f t="shared" si="5"/>
        <v>2723.4446969328519</v>
      </c>
      <c r="J19" s="10">
        <f t="shared" si="3"/>
        <v>479660372.50489533</v>
      </c>
      <c r="K19" s="11">
        <f t="shared" si="4"/>
        <v>-5.0377508000000071E-2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173113.95709384367</v>
      </c>
      <c r="D20" s="11">
        <v>1.8190000000000001E-2</v>
      </c>
      <c r="E20" s="10">
        <f t="shared" si="2"/>
        <v>3092.6869047397922</v>
      </c>
      <c r="F20" s="3"/>
      <c r="G20" s="26">
        <v>6.34</v>
      </c>
      <c r="H20" s="10"/>
      <c r="I20" s="10">
        <f t="shared" si="5"/>
        <v>2917.7680489959844</v>
      </c>
      <c r="J20" s="10">
        <f t="shared" si="3"/>
        <v>505106372.84367877</v>
      </c>
      <c r="K20" s="11">
        <f t="shared" si="4"/>
        <v>8.2743245999999715E-2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170021.27018910387</v>
      </c>
      <c r="D21" s="11">
        <v>1.839E-2</v>
      </c>
      <c r="E21" s="10">
        <f t="shared" si="2"/>
        <v>3070.2296357757004</v>
      </c>
      <c r="F21" s="3"/>
      <c r="G21" s="26">
        <v>-0.03</v>
      </c>
      <c r="H21" s="10"/>
      <c r="I21" s="10">
        <f t="shared" si="5"/>
        <v>2743.8104654842814</v>
      </c>
      <c r="J21" s="10">
        <f t="shared" si="3"/>
        <v>466506140.49979389</v>
      </c>
      <c r="K21" s="11">
        <f t="shared" si="4"/>
        <v>1.8084482999999985E-2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166951.04055332817</v>
      </c>
      <c r="D22" s="11">
        <v>1.5469999999999999E-2</v>
      </c>
      <c r="E22" s="10">
        <f t="shared" si="2"/>
        <v>2543.3864096034376</v>
      </c>
      <c r="F22" s="3"/>
      <c r="G22" s="26">
        <v>1.35</v>
      </c>
      <c r="H22" s="10"/>
      <c r="I22" s="10">
        <f t="shared" si="5"/>
        <v>2744.6338556409737</v>
      </c>
      <c r="J22" s="10">
        <f t="shared" si="3"/>
        <v>458219478.13715369</v>
      </c>
      <c r="K22" s="11">
        <f t="shared" si="4"/>
        <v>2.917884500000012E-2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164407.65414372474</v>
      </c>
      <c r="D23" s="11">
        <v>1.4619999999999999E-2</v>
      </c>
      <c r="E23" s="10">
        <f t="shared" si="2"/>
        <v>2369.0050497538759</v>
      </c>
      <c r="F23" s="3"/>
      <c r="G23" s="26">
        <v>0.99</v>
      </c>
      <c r="H23" s="10"/>
      <c r="I23" s="10">
        <f t="shared" si="5"/>
        <v>2708.0748452303637</v>
      </c>
      <c r="J23" s="10">
        <f t="shared" si="3"/>
        <v>445228232.54995453</v>
      </c>
      <c r="K23" s="11">
        <f t="shared" si="4"/>
        <v>2.4664738000000019E-2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162038.64909397086</v>
      </c>
      <c r="D24" s="11">
        <v>1.5089999999999999E-2</v>
      </c>
      <c r="E24" s="10">
        <f t="shared" si="2"/>
        <v>2408.814208422933</v>
      </c>
      <c r="F24" s="3"/>
      <c r="G24" s="26">
        <v>-0.63</v>
      </c>
      <c r="H24" s="10"/>
      <c r="I24" s="10">
        <f t="shared" si="5"/>
        <v>2681.5277207944982</v>
      </c>
      <c r="J24" s="10">
        <f t="shared" si="3"/>
        <v>434511129.38557518</v>
      </c>
      <c r="K24" s="11">
        <f t="shared" si="4"/>
        <v>8.6949330000001268E-3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159629.83488554793</v>
      </c>
      <c r="D25" s="11">
        <v>1.5570000000000001E-2</v>
      </c>
      <c r="E25" s="10">
        <f t="shared" si="2"/>
        <v>2447.3315765215666</v>
      </c>
      <c r="F25" s="3"/>
      <c r="G25" s="26">
        <v>-3.12</v>
      </c>
      <c r="H25" s="10"/>
      <c r="I25" s="10">
        <f t="shared" si="5"/>
        <v>2698.5284500296852</v>
      </c>
      <c r="J25" s="10">
        <f t="shared" si="3"/>
        <v>430765650.91219223</v>
      </c>
      <c r="K25" s="11">
        <f t="shared" si="4"/>
        <v>-1.6115783999999911E-2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157182.50330902636</v>
      </c>
      <c r="D26" s="11">
        <v>1.7559999999999999E-2</v>
      </c>
      <c r="E26" s="10">
        <f t="shared" si="2"/>
        <v>2712.4933744511509</v>
      </c>
      <c r="F26" s="3"/>
      <c r="G26" s="26">
        <v>2.91</v>
      </c>
      <c r="H26" s="10"/>
      <c r="I26" s="10">
        <f t="shared" si="5"/>
        <v>2785.4339905343572</v>
      </c>
      <c r="J26" s="10">
        <f t="shared" si="3"/>
        <v>437821487.43424112</v>
      </c>
      <c r="K26" s="11">
        <f t="shared" si="4"/>
        <v>4.7170995999999965E-2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154470.00993457521</v>
      </c>
      <c r="D27" s="11">
        <v>2.248E-2</v>
      </c>
      <c r="E27" s="10">
        <f t="shared" si="2"/>
        <v>3396.140583022905</v>
      </c>
      <c r="F27" s="3"/>
      <c r="G27" s="26">
        <v>-5.41</v>
      </c>
      <c r="H27" s="10"/>
      <c r="I27" s="10">
        <f t="shared" si="5"/>
        <v>2706.6698965449009</v>
      </c>
      <c r="J27" s="10">
        <f t="shared" si="3"/>
        <v>418099325.8089065</v>
      </c>
      <c r="K27" s="11">
        <f t="shared" si="4"/>
        <v>-3.2836167999999999E-2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151073.8693515523</v>
      </c>
      <c r="D28" s="11">
        <v>2.367E-2</v>
      </c>
      <c r="E28" s="10">
        <f t="shared" si="2"/>
        <v>3493.2336471238232</v>
      </c>
      <c r="F28" s="3"/>
      <c r="G28" s="26">
        <v>2.73</v>
      </c>
      <c r="H28" s="10"/>
      <c r="I28" s="10">
        <f t="shared" si="5"/>
        <v>2861.4757337402484</v>
      </c>
      <c r="J28" s="10">
        <f t="shared" si="3"/>
        <v>432294211.15171158</v>
      </c>
      <c r="K28" s="11">
        <f t="shared" si="4"/>
        <v>5.1616191000000144E-2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147580.63570442848</v>
      </c>
      <c r="D29" s="11">
        <v>2.3959999999999999E-2</v>
      </c>
      <c r="E29" s="10">
        <f t="shared" si="2"/>
        <v>3453.2911749268533</v>
      </c>
      <c r="F29" s="3"/>
      <c r="G29" s="26">
        <v>1.54</v>
      </c>
      <c r="H29" s="10"/>
      <c r="I29" s="10">
        <f t="shared" si="5"/>
        <v>2785.4334018692184</v>
      </c>
      <c r="J29" s="10">
        <f t="shared" si="3"/>
        <v>411076032.16020805</v>
      </c>
      <c r="K29" s="11">
        <f t="shared" si="4"/>
        <v>3.9728983999999912E-2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144127.34452950163</v>
      </c>
      <c r="D30" s="11">
        <v>2.4049999999999998E-2</v>
      </c>
      <c r="E30" s="10">
        <f t="shared" si="2"/>
        <v>3384.8568291924312</v>
      </c>
      <c r="F30" s="3"/>
      <c r="G30" s="26">
        <v>2.08</v>
      </c>
      <c r="H30" s="10"/>
      <c r="I30" s="10">
        <f t="shared" si="5"/>
        <v>2743.188302018139</v>
      </c>
      <c r="J30" s="10">
        <f t="shared" si="3"/>
        <v>395368445.51426691</v>
      </c>
      <c r="K30" s="11">
        <f t="shared" si="4"/>
        <v>4.5350240000000097E-2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140742.4877003092</v>
      </c>
      <c r="D31" s="11">
        <v>2.452E-2</v>
      </c>
      <c r="E31" s="10">
        <f t="shared" si="2"/>
        <v>3368.4123281259381</v>
      </c>
      <c r="F31" s="3"/>
      <c r="G31" s="26">
        <v>-5.41</v>
      </c>
      <c r="H31" s="10"/>
      <c r="I31" s="10">
        <f t="shared" si="5"/>
        <v>2687.2926156133808</v>
      </c>
      <c r="J31" s="10">
        <f t="shared" si="3"/>
        <v>378216247.90009797</v>
      </c>
      <c r="K31" s="11">
        <f t="shared" si="4"/>
        <v>-3.0906532000000153E-2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137374.07537218326</v>
      </c>
      <c r="D32" s="11">
        <v>2.1909999999999999E-2</v>
      </c>
      <c r="E32" s="10">
        <f t="shared" si="2"/>
        <v>2945.3337293935474</v>
      </c>
      <c r="F32" s="3"/>
      <c r="G32" s="26">
        <v>-2.91</v>
      </c>
      <c r="H32" s="10"/>
      <c r="I32" s="10">
        <f t="shared" si="5"/>
        <v>2840.9901846002549</v>
      </c>
      <c r="J32" s="10">
        <f t="shared" si="3"/>
        <v>390278399.75090826</v>
      </c>
      <c r="K32" s="11">
        <f t="shared" si="4"/>
        <v>-7.8275809999998058E-3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134428.74164278971</v>
      </c>
      <c r="D33" s="11">
        <v>1.6570000000000001E-2</v>
      </c>
      <c r="E33" s="10">
        <f t="shared" si="2"/>
        <v>2191.1764551590313</v>
      </c>
      <c r="F33" s="3"/>
      <c r="G33" s="26">
        <v>-2.38</v>
      </c>
      <c r="H33" s="10"/>
      <c r="I33" s="10">
        <f t="shared" si="5"/>
        <v>2926.1408843343856</v>
      </c>
      <c r="J33" s="10">
        <f t="shared" si="3"/>
        <v>393357436.95059133</v>
      </c>
      <c r="K33" s="11">
        <f t="shared" si="4"/>
        <v>-7.624366000000049E-3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132237.56518763068</v>
      </c>
      <c r="D34" s="11">
        <v>1.6150000000000001E-2</v>
      </c>
      <c r="E34" s="10">
        <f t="shared" si="2"/>
        <v>2101.6943145994592</v>
      </c>
      <c r="F34" s="3"/>
      <c r="G34" s="26">
        <v>-0.9</v>
      </c>
      <c r="H34" s="10"/>
      <c r="I34" s="10">
        <f t="shared" si="5"/>
        <v>2997.480930479805</v>
      </c>
      <c r="J34" s="10">
        <f t="shared" ref="J34:J65" si="6">IF(I34="","",I34*C34)</f>
        <v>396379579.94300306</v>
      </c>
      <c r="K34" s="11">
        <f t="shared" ref="K34:K65" si="7">IFERROR(J34/J35-1,"")</f>
        <v>2.021459999999986E-2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130135.87087303122</v>
      </c>
      <c r="D35" s="11">
        <v>1.6379999999999999E-2</v>
      </c>
      <c r="E35" s="10">
        <f t="shared" si="2"/>
        <v>2097.2722455186595</v>
      </c>
      <c r="F35" s="3"/>
      <c r="G35" s="26">
        <v>-0.4</v>
      </c>
      <c r="H35" s="10"/>
      <c r="I35" s="10">
        <f t="shared" ref="I35:I66" si="8">IF(H35&lt;&gt;"",H35,I34/(1+IF(G34="",0,G34)/100))</f>
        <v>2985.538775378292</v>
      </c>
      <c r="J35" s="10">
        <f t="shared" si="6"/>
        <v>388525688.55905718</v>
      </c>
      <c r="K35" s="11">
        <f t="shared" si="7"/>
        <v>3.9756739999999846E-2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128038.59862751256</v>
      </c>
      <c r="D36" s="11">
        <v>1.5949999999999999E-2</v>
      </c>
      <c r="E36" s="10">
        <f t="shared" si="2"/>
        <v>2010.1536966472922</v>
      </c>
      <c r="F36" s="3"/>
      <c r="G36" s="26">
        <v>-25</v>
      </c>
      <c r="H36" s="10"/>
      <c r="I36" s="10">
        <f t="shared" si="8"/>
        <v>2918.4152251987216</v>
      </c>
      <c r="J36" s="10">
        <f t="shared" si="6"/>
        <v>373669795.64764082</v>
      </c>
      <c r="K36" s="11">
        <f t="shared" si="7"/>
        <v>-0.21141960999999998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126028.44493086527</v>
      </c>
      <c r="D37" s="11">
        <v>1.5650000000000001E-2</v>
      </c>
      <c r="E37" s="10">
        <f t="shared" si="2"/>
        <v>1941.9535894924775</v>
      </c>
      <c r="F37" s="3"/>
      <c r="G37" s="26">
        <v>-15.01</v>
      </c>
      <c r="H37" s="10"/>
      <c r="I37" s="10">
        <f t="shared" si="8"/>
        <v>3759.8753223379563</v>
      </c>
      <c r="J37" s="10">
        <f t="shared" si="6"/>
        <v>473851240.00818843</v>
      </c>
      <c r="K37" s="11">
        <f t="shared" si="7"/>
        <v>-8.2969615000000108E-2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124086.49134137279</v>
      </c>
      <c r="D38" s="11">
        <v>1.6539999999999999E-2</v>
      </c>
      <c r="E38" s="10">
        <f t="shared" si="2"/>
        <v>2018.996366878142</v>
      </c>
      <c r="F38" s="3"/>
      <c r="G38" s="26">
        <v>0.64</v>
      </c>
      <c r="H38" s="10"/>
      <c r="I38" s="10">
        <f t="shared" si="8"/>
        <v>4164.2212009502227</v>
      </c>
      <c r="J38" s="10">
        <f t="shared" si="6"/>
        <v>516723597.99527085</v>
      </c>
      <c r="K38" s="11">
        <f t="shared" si="7"/>
        <v>6.0657836000000298E-2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122067.49497449465</v>
      </c>
      <c r="D39" s="11">
        <v>-6.3600000000000002E-3</v>
      </c>
      <c r="E39" s="10">
        <f t="shared" si="2"/>
        <v>-781.318453401429</v>
      </c>
      <c r="F39" s="3"/>
      <c r="G39" s="26">
        <v>7.02</v>
      </c>
      <c r="H39" s="10"/>
      <c r="I39" s="10">
        <f t="shared" si="8"/>
        <v>3991.0113100922199</v>
      </c>
      <c r="J39" s="10">
        <f t="shared" si="6"/>
        <v>487172753.03783333</v>
      </c>
      <c r="K39" s="11">
        <f t="shared" si="7"/>
        <v>6.3393527999999755E-2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122848.81342789608</v>
      </c>
      <c r="D40" s="11">
        <v>-7.0400000000000003E-3</v>
      </c>
      <c r="E40" s="10">
        <f t="shared" si="2"/>
        <v>-870.98739781299082</v>
      </c>
      <c r="F40" s="3"/>
      <c r="G40" s="26">
        <v>9.93</v>
      </c>
      <c r="H40" s="10"/>
      <c r="I40" s="10">
        <f t="shared" si="8"/>
        <v>3729.2200617568865</v>
      </c>
      <c r="J40" s="10">
        <f t="shared" si="6"/>
        <v>458130259.59833884</v>
      </c>
      <c r="K40" s="11">
        <f t="shared" si="7"/>
        <v>9.1560928000000041E-2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123719.80082570907</v>
      </c>
      <c r="D41" s="11">
        <v>-6.0200000000000002E-3</v>
      </c>
      <c r="E41" s="10">
        <f t="shared" si="2"/>
        <v>-749.30401111769606</v>
      </c>
      <c r="F41" s="3"/>
      <c r="G41" s="26">
        <v>2.87</v>
      </c>
      <c r="H41" s="10"/>
      <c r="I41" s="10">
        <f t="shared" si="8"/>
        <v>3392.3588299434973</v>
      </c>
      <c r="J41" s="10">
        <f t="shared" si="6"/>
        <v>419701958.76994497</v>
      </c>
      <c r="K41" s="11">
        <f t="shared" si="7"/>
        <v>2.250722599999988E-2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124469.10483682677</v>
      </c>
      <c r="D42" s="11">
        <v>-4.6899999999999997E-3</v>
      </c>
      <c r="E42" s="10">
        <f t="shared" si="2"/>
        <v>-586.51083751264377</v>
      </c>
      <c r="F42" s="3"/>
      <c r="G42" s="26">
        <v>-0.65</v>
      </c>
      <c r="H42" s="10"/>
      <c r="I42" s="10">
        <f t="shared" si="8"/>
        <v>3297.7144259196048</v>
      </c>
      <c r="J42" s="10">
        <f t="shared" si="6"/>
        <v>410463562.60170329</v>
      </c>
      <c r="K42" s="11">
        <f t="shared" si="7"/>
        <v>-1.1159514999999898E-2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125055.61567433941</v>
      </c>
      <c r="D43" s="11">
        <v>-2.9199999999999999E-3</v>
      </c>
      <c r="E43" s="10">
        <f t="shared" si="2"/>
        <v>-366.23179460933898</v>
      </c>
      <c r="F43" s="3"/>
      <c r="G43" s="26">
        <v>25.82</v>
      </c>
      <c r="H43" s="10"/>
      <c r="I43" s="10">
        <f t="shared" si="8"/>
        <v>3319.2898096825411</v>
      </c>
      <c r="J43" s="10">
        <f t="shared" si="6"/>
        <v>415095830.75141108</v>
      </c>
      <c r="K43" s="11">
        <f t="shared" si="7"/>
        <v>0.254526056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125421.84746894875</v>
      </c>
      <c r="D44" s="11">
        <v>1.5959999999999998E-2</v>
      </c>
      <c r="E44" s="10">
        <f t="shared" si="2"/>
        <v>1970.2869065754785</v>
      </c>
      <c r="F44" s="3"/>
      <c r="G44" s="26">
        <v>17.12</v>
      </c>
      <c r="H44" s="10"/>
      <c r="I44" s="10">
        <f t="shared" si="8"/>
        <v>2638.1257428727872</v>
      </c>
      <c r="J44" s="10">
        <f t="shared" si="6"/>
        <v>330878604.52649784</v>
      </c>
      <c r="K44" s="11">
        <f t="shared" si="7"/>
        <v>0.18989235199999999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123451.56056237327</v>
      </c>
      <c r="D45" s="11">
        <v>1.874E-2</v>
      </c>
      <c r="E45" s="10">
        <f t="shared" si="2"/>
        <v>2270.9251084073185</v>
      </c>
      <c r="F45" s="3"/>
      <c r="G45" s="26">
        <v>15.12</v>
      </c>
      <c r="H45" s="10"/>
      <c r="I45" s="10">
        <f t="shared" si="8"/>
        <v>2252.4980728080491</v>
      </c>
      <c r="J45" s="10">
        <f t="shared" si="6"/>
        <v>278074402.25189197</v>
      </c>
      <c r="K45" s="11">
        <f t="shared" si="7"/>
        <v>0.17277348800000003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121180.63545396595</v>
      </c>
      <c r="D46" s="11">
        <v>1.9300000000000001E-2</v>
      </c>
      <c r="E46" s="10">
        <f t="shared" si="2"/>
        <v>2294.5023685485648</v>
      </c>
      <c r="F46" s="3"/>
      <c r="G46" s="26">
        <v>10.57</v>
      </c>
      <c r="H46" s="10"/>
      <c r="I46" s="10">
        <f t="shared" si="8"/>
        <v>1956.6522522655048</v>
      </c>
      <c r="J46" s="10">
        <f t="shared" si="6"/>
        <v>237108363.29196757</v>
      </c>
      <c r="K46" s="11">
        <f t="shared" si="7"/>
        <v>0.12704000999999998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118886.13308541739</v>
      </c>
      <c r="D47" s="11">
        <v>2.0029999999999999E-2</v>
      </c>
      <c r="E47" s="10">
        <f t="shared" si="2"/>
        <v>2334.5286370998074</v>
      </c>
      <c r="F47" s="3"/>
      <c r="G47" s="26">
        <v>5.92</v>
      </c>
      <c r="H47" s="10"/>
      <c r="I47" s="10">
        <f t="shared" si="8"/>
        <v>1769.6050034055395</v>
      </c>
      <c r="J47" s="10">
        <f t="shared" si="6"/>
        <v>210381495.94349146</v>
      </c>
      <c r="K47" s="11">
        <f t="shared" si="7"/>
        <v>8.0415775999999939E-2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116551.60444831758</v>
      </c>
      <c r="D48" s="11">
        <v>2.0369999999999999E-2</v>
      </c>
      <c r="E48" s="10">
        <f t="shared" si="2"/>
        <v>2326.7600797869673</v>
      </c>
      <c r="F48" s="3"/>
      <c r="G48" s="26">
        <v>6.34</v>
      </c>
      <c r="H48" s="10"/>
      <c r="I48" s="10">
        <f t="shared" si="8"/>
        <v>1670.6995878073449</v>
      </c>
      <c r="J48" s="10">
        <f t="shared" si="6"/>
        <v>194722717.51008889</v>
      </c>
      <c r="K48" s="11">
        <f t="shared" si="7"/>
        <v>8.5061457999999757E-2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114224.84436853061</v>
      </c>
      <c r="D49" s="11">
        <v>9.2599999999999991E-3</v>
      </c>
      <c r="E49" s="10">
        <f t="shared" si="2"/>
        <v>1048.017417565934</v>
      </c>
      <c r="F49" s="3"/>
      <c r="G49" s="26">
        <v>5.81</v>
      </c>
      <c r="H49" s="10"/>
      <c r="I49" s="10">
        <f t="shared" si="8"/>
        <v>1571.0923338417765</v>
      </c>
      <c r="J49" s="10">
        <f t="shared" si="6"/>
        <v>179457777.32166848</v>
      </c>
      <c r="K49" s="11">
        <f t="shared" si="7"/>
        <v>6.7898006000000288E-2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113176.82695096468</v>
      </c>
      <c r="D50" s="11">
        <v>1.004E-2</v>
      </c>
      <c r="E50" s="10">
        <f t="shared" si="2"/>
        <v>1125.0003391822975</v>
      </c>
      <c r="F50" s="3"/>
      <c r="G50" s="26">
        <v>6.83</v>
      </c>
      <c r="H50" s="10"/>
      <c r="I50" s="10">
        <f t="shared" si="8"/>
        <v>1484.8240561778437</v>
      </c>
      <c r="J50" s="10">
        <f t="shared" si="6"/>
        <v>168047675.25866926</v>
      </c>
      <c r="K50" s="11">
        <f t="shared" si="7"/>
        <v>7.9025732000000071E-2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112051.82661178238</v>
      </c>
      <c r="D51" s="11">
        <v>1.0840000000000001E-2</v>
      </c>
      <c r="E51" s="10">
        <f t="shared" si="2"/>
        <v>1201.6162799965532</v>
      </c>
      <c r="F51" s="3"/>
      <c r="G51" s="26">
        <v>5.92</v>
      </c>
      <c r="H51" s="10"/>
      <c r="I51" s="10">
        <f t="shared" si="8"/>
        <v>1389.8942770549879</v>
      </c>
      <c r="J51" s="10">
        <f t="shared" si="6"/>
        <v>155740192.54127413</v>
      </c>
      <c r="K51" s="11">
        <f t="shared" si="7"/>
        <v>7.0681728000000055E-2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110850.21033178583</v>
      </c>
      <c r="D52" s="11">
        <v>2.5860000000000001E-2</v>
      </c>
      <c r="E52" s="10">
        <f t="shared" si="2"/>
        <v>2794.3251897724695</v>
      </c>
      <c r="F52" s="3"/>
      <c r="G52" s="26">
        <v>6.67</v>
      </c>
      <c r="H52" s="10"/>
      <c r="I52" s="10">
        <f t="shared" si="8"/>
        <v>1312.2113642890747</v>
      </c>
      <c r="J52" s="10">
        <f t="shared" si="6"/>
        <v>145458905.73120356</v>
      </c>
      <c r="K52" s="11">
        <f t="shared" si="7"/>
        <v>9.428486200000008E-2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108055.88514201336</v>
      </c>
      <c r="D53" s="11">
        <v>2.5340000000000001E-2</v>
      </c>
      <c r="E53" s="10">
        <f t="shared" si="2"/>
        <v>2670.4665081813</v>
      </c>
      <c r="F53" s="3"/>
      <c r="G53" s="26">
        <v>4.32</v>
      </c>
      <c r="H53" s="10"/>
      <c r="I53" s="10">
        <f t="shared" si="8"/>
        <v>1230.1597115300222</v>
      </c>
      <c r="J53" s="10">
        <f t="shared" si="6"/>
        <v>132925996.49542035</v>
      </c>
      <c r="K53" s="11">
        <f t="shared" si="7"/>
        <v>6.9634687999999834E-2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105385.41863383206</v>
      </c>
      <c r="D54" s="11">
        <v>2.5059999999999999E-2</v>
      </c>
      <c r="E54" s="10">
        <f t="shared" si="2"/>
        <v>2576.3941534776823</v>
      </c>
      <c r="F54" s="3"/>
      <c r="G54" s="29">
        <v>7.02</v>
      </c>
      <c r="H54" s="10"/>
      <c r="I54" s="10">
        <f t="shared" si="8"/>
        <v>1179.2175148869078</v>
      </c>
      <c r="J54" s="10">
        <f t="shared" si="6"/>
        <v>124272331.46670386</v>
      </c>
      <c r="K54" s="11">
        <f t="shared" si="7"/>
        <v>9.7019211999999966E-2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102809.02448035438</v>
      </c>
      <c r="D55" s="11">
        <v>2.4889999999999999E-2</v>
      </c>
      <c r="E55" s="10">
        <f t="shared" si="2"/>
        <v>2496.7719651045772</v>
      </c>
      <c r="F55" s="3"/>
      <c r="G55" s="29">
        <v>5.89</v>
      </c>
      <c r="H55" s="10"/>
      <c r="I55" s="10">
        <f t="shared" si="8"/>
        <v>1101.8664874667425</v>
      </c>
      <c r="J55" s="10">
        <f t="shared" si="6"/>
        <v>113281818.68405041</v>
      </c>
      <c r="K55" s="11">
        <f t="shared" si="7"/>
        <v>8.525602099999996E-2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100312.2525152498</v>
      </c>
      <c r="D56" s="11">
        <v>2.479E-2</v>
      </c>
      <c r="E56" s="10">
        <f t="shared" si="2"/>
        <v>2426.5856808253884</v>
      </c>
      <c r="F56" s="3"/>
      <c r="G56" s="29">
        <v>7.02</v>
      </c>
      <c r="H56" s="10"/>
      <c r="I56" s="10">
        <f t="shared" si="8"/>
        <v>1040.5765298581005</v>
      </c>
      <c r="J56" s="10">
        <f t="shared" si="6"/>
        <v>104382575.62456815</v>
      </c>
      <c r="K56" s="11">
        <f t="shared" si="7"/>
        <v>9.6730258000000235E-2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97885.66683442441</v>
      </c>
      <c r="D57" s="11">
        <v>2.4070000000000001E-2</v>
      </c>
      <c r="E57" s="10">
        <f t="shared" si="2"/>
        <v>2300.7294430113107</v>
      </c>
      <c r="F57" s="3"/>
      <c r="G57" s="29">
        <v>3.17</v>
      </c>
      <c r="H57" s="10"/>
      <c r="I57" s="10">
        <f t="shared" si="8"/>
        <v>972.31968777621046</v>
      </c>
      <c r="J57" s="10">
        <f t="shared" si="6"/>
        <v>95176161.014213696</v>
      </c>
      <c r="K57" s="11">
        <f t="shared" si="7"/>
        <v>5.6533018999999962E-2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95584.937391413099</v>
      </c>
      <c r="D58" s="11">
        <v>2.3699999999999999E-2</v>
      </c>
      <c r="E58" s="10">
        <f t="shared" si="2"/>
        <v>2212.9168859788042</v>
      </c>
      <c r="F58" s="3"/>
      <c r="G58" s="29">
        <v>4.51</v>
      </c>
      <c r="H58" s="10"/>
      <c r="I58" s="10">
        <f t="shared" si="8"/>
        <v>942.44420643230626</v>
      </c>
      <c r="J58" s="10">
        <f t="shared" si="6"/>
        <v>90083470.466731995</v>
      </c>
      <c r="K58" s="11">
        <f t="shared" si="7"/>
        <v>6.9868869999999861E-2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93372.020505434295</v>
      </c>
      <c r="D59" s="11">
        <v>2.274E-2</v>
      </c>
      <c r="E59" s="10">
        <f t="shared" si="2"/>
        <v>2076.0699163947575</v>
      </c>
      <c r="F59" s="3"/>
      <c r="G59" s="29">
        <v>4.0599999999999996</v>
      </c>
      <c r="H59" s="10"/>
      <c r="I59" s="10">
        <f t="shared" si="8"/>
        <v>901.77419044331293</v>
      </c>
      <c r="J59" s="10">
        <f t="shared" si="6"/>
        <v>84200478.20134443</v>
      </c>
      <c r="K59" s="11">
        <f t="shared" si="7"/>
        <v>6.4263244000000164E-2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91295.950589039538</v>
      </c>
      <c r="D60" s="11">
        <v>2.2759999999999999E-2</v>
      </c>
      <c r="E60" s="10">
        <f t="shared" si="2"/>
        <v>2031.6553594259894</v>
      </c>
      <c r="F60" s="3"/>
      <c r="G60" s="29">
        <v>4.16</v>
      </c>
      <c r="H60" s="10"/>
      <c r="I60" s="10">
        <f t="shared" si="8"/>
        <v>866.59061161187094</v>
      </c>
      <c r="J60" s="10">
        <f t="shared" si="6"/>
        <v>79116213.658642918</v>
      </c>
      <c r="K60" s="11">
        <f t="shared" si="7"/>
        <v>6.5306815999999879E-2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89264.295229613548</v>
      </c>
      <c r="D61" s="11">
        <v>2.247E-2</v>
      </c>
      <c r="E61" s="10">
        <f t="shared" si="2"/>
        <v>1961.6895496292418</v>
      </c>
      <c r="F61" s="3"/>
      <c r="G61" s="29">
        <v>4.82</v>
      </c>
      <c r="H61" s="10"/>
      <c r="I61" s="10">
        <f t="shared" si="8"/>
        <v>831.98023388236447</v>
      </c>
      <c r="J61" s="10">
        <f t="shared" si="6"/>
        <v>74266129.222478315</v>
      </c>
      <c r="K61" s="11">
        <f t="shared" si="7"/>
        <v>7.1753053999999983E-2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87302.605679984306</v>
      </c>
      <c r="D62" s="11">
        <v>2.2239999999999999E-2</v>
      </c>
      <c r="E62" s="10">
        <f t="shared" si="2"/>
        <v>1899.368005872253</v>
      </c>
      <c r="F62" s="3"/>
      <c r="G62" s="29">
        <v>4.74</v>
      </c>
      <c r="H62" s="10"/>
      <c r="I62" s="10">
        <f t="shared" si="8"/>
        <v>793.7227951558524</v>
      </c>
      <c r="J62" s="10">
        <f t="shared" si="6"/>
        <v>69294068.204706341</v>
      </c>
      <c r="K62" s="11">
        <f t="shared" si="7"/>
        <v>7.0694176000000164E-2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85403.237674112053</v>
      </c>
      <c r="D63" s="11">
        <v>2.1440000000000001E-2</v>
      </c>
      <c r="E63" s="10">
        <f t="shared" si="2"/>
        <v>1792.6118183475774</v>
      </c>
      <c r="F63" s="3"/>
      <c r="G63" s="29">
        <v>4.71</v>
      </c>
      <c r="H63" s="10"/>
      <c r="I63" s="10">
        <f t="shared" si="8"/>
        <v>757.80293598992967</v>
      </c>
      <c r="J63" s="10">
        <f t="shared" si="6"/>
        <v>64718824.252487883</v>
      </c>
      <c r="K63" s="11">
        <f t="shared" si="7"/>
        <v>6.9549823999999649E-2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83610.625855764476</v>
      </c>
      <c r="D64" s="11">
        <v>2.1239999999999998E-2</v>
      </c>
      <c r="E64" s="10">
        <f t="shared" si="2"/>
        <v>1738.9543037644762</v>
      </c>
      <c r="F64" s="3"/>
      <c r="G64" s="26">
        <v>4.32</v>
      </c>
      <c r="H64" s="10"/>
      <c r="I64" s="10">
        <f t="shared" si="8"/>
        <v>723.71591633075138</v>
      </c>
      <c r="J64" s="10">
        <f t="shared" si="6"/>
        <v>60510340.706192203</v>
      </c>
      <c r="K64" s="11">
        <f t="shared" si="7"/>
        <v>6.535756799999981E-2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81871.671552</v>
      </c>
      <c r="D65" s="11">
        <v>2.0799999999999999E-2</v>
      </c>
      <c r="E65" s="10">
        <f t="shared" si="2"/>
        <v>1668.2315519999975</v>
      </c>
      <c r="F65" s="3"/>
      <c r="G65" s="29">
        <v>10.26</v>
      </c>
      <c r="H65" s="10"/>
      <c r="I65" s="10">
        <f t="shared" si="8"/>
        <v>693.7460854397541</v>
      </c>
      <c r="J65" s="10">
        <f t="shared" si="6"/>
        <v>56798151.647609279</v>
      </c>
      <c r="K65" s="11">
        <f t="shared" si="7"/>
        <v>0.12553407999999999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80203.44</v>
      </c>
      <c r="D66" s="11">
        <v>2.0400000000000001E-2</v>
      </c>
      <c r="E66" s="10">
        <f t="shared" si="2"/>
        <v>1603.4400000000023</v>
      </c>
      <c r="F66" s="10">
        <v>239092</v>
      </c>
      <c r="G66" s="29">
        <v>8.68</v>
      </c>
      <c r="H66" s="10"/>
      <c r="I66" s="10">
        <f t="shared" si="8"/>
        <v>629.19108057296762</v>
      </c>
      <c r="J66" s="10">
        <f t="shared" ref="J66:J67" si="9">IF(I66="","",I66*C66)</f>
        <v>50463289.079269178</v>
      </c>
      <c r="K66" s="11">
        <f t="shared" ref="K66" si="10">IFERROR(J66/J67-1,"")</f>
        <v>0.10897072000000008</v>
      </c>
    </row>
    <row r="67" spans="1:11" ht="22.5" customHeight="1">
      <c r="A67" s="3">
        <f t="shared" si="0"/>
        <v>1950</v>
      </c>
      <c r="B67" s="3">
        <v>1700</v>
      </c>
      <c r="C67" s="10">
        <v>78600</v>
      </c>
      <c r="D67" s="11">
        <v>2.0209999999999999E-2</v>
      </c>
      <c r="E67" s="3" t="s">
        <v>72</v>
      </c>
      <c r="F67" s="10">
        <f>SUM(C2)</f>
        <v>238996.80525892126</v>
      </c>
      <c r="G67" s="29">
        <v>8.08</v>
      </c>
      <c r="H67" s="10"/>
      <c r="I67" s="10">
        <f t="shared" ref="I67" si="11">IF(H67&lt;&gt;"",H67,I66/(1+IF(G66="",0,G66)/100))</f>
        <v>578.93916136636699</v>
      </c>
      <c r="J67" s="10">
        <f t="shared" si="9"/>
        <v>45504618.083396442</v>
      </c>
      <c r="K67" s="11"/>
    </row>
    <row r="68" spans="1:11" ht="15.75" customHeight="1">
      <c r="G68" s="29"/>
    </row>
    <row r="69" spans="1:11" ht="15.75" customHeight="1">
      <c r="G69" s="29"/>
    </row>
  </sheetData>
  <dataValidations count="1">
    <dataValidation type="custom" allowBlank="1" showDropDown="1" sqref="D2:D67" xr:uid="{00000000-0002-0000-3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M67"/>
  <sheetViews>
    <sheetView workbookViewId="0">
      <selection activeCell="K24" sqref="K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22832299.420154601</v>
      </c>
      <c r="D2" s="11">
        <v>8.2500000000000004E-3</v>
      </c>
      <c r="E2" s="10">
        <f t="shared" ref="E2:E66" si="2">SUM(C2-C3)</f>
        <v>186825.16262462363</v>
      </c>
      <c r="F2" s="14">
        <v>22833760</v>
      </c>
      <c r="G2" s="26">
        <v>2.96</v>
      </c>
      <c r="H2" s="10"/>
      <c r="I2" s="10">
        <f>IF(H2&lt;&gt;"",H2,23496)</f>
        <v>2937</v>
      </c>
      <c r="J2" s="10">
        <f t="shared" ref="J2:J33" si="3">IF(I2="","",I2*C2)</f>
        <v>67058463396.994064</v>
      </c>
      <c r="K2" s="11">
        <f t="shared" ref="K2:K33" si="4">IFERROR(J2/J3-1,"")</f>
        <v>3.8094199999999967E-2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22645474.257529978</v>
      </c>
      <c r="D3" s="11">
        <v>8.6199999999999992E-3</v>
      </c>
      <c r="E3" s="10">
        <f t="shared" si="2"/>
        <v>193535.71027731895</v>
      </c>
      <c r="F3" s="3"/>
      <c r="G3" s="26">
        <v>5.3</v>
      </c>
      <c r="H3" s="10"/>
      <c r="I3" s="10">
        <f t="shared" ref="I3:I34" si="5">IF(H3&lt;&gt;"",H3,I2/(1+IF(G2="",0,G2)/100))</f>
        <v>2852.5641025641025</v>
      </c>
      <c r="J3" s="10">
        <f t="shared" si="3"/>
        <v>64597666952.569489</v>
      </c>
      <c r="K3" s="11">
        <f t="shared" si="4"/>
        <v>6.20768599999999E-2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22451938.547252659</v>
      </c>
      <c r="D4" s="11">
        <v>8.9700000000000005E-3</v>
      </c>
      <c r="E4" s="10">
        <f t="shared" si="2"/>
        <v>199603.44585949555</v>
      </c>
      <c r="F4" s="3"/>
      <c r="G4" s="26">
        <v>8.2899999999999991</v>
      </c>
      <c r="H4" s="10"/>
      <c r="I4" s="10">
        <f t="shared" si="5"/>
        <v>2708.9877517227947</v>
      </c>
      <c r="J4" s="10">
        <f t="shared" si="3"/>
        <v>60822026526.940331</v>
      </c>
      <c r="K4" s="11">
        <f t="shared" si="4"/>
        <v>9.2613612999999928E-2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22252335.101393163</v>
      </c>
      <c r="D5" s="11">
        <v>8.8400000000000006E-3</v>
      </c>
      <c r="E5" s="10">
        <f t="shared" si="2"/>
        <v>194986.95759120956</v>
      </c>
      <c r="F5" s="3"/>
      <c r="G5" s="26">
        <v>-0.71</v>
      </c>
      <c r="H5" s="10"/>
      <c r="I5" s="10">
        <f t="shared" si="5"/>
        <v>2501.6047204015094</v>
      </c>
      <c r="J5" s="10">
        <f t="shared" si="3"/>
        <v>55666546529.601341</v>
      </c>
      <c r="K5" s="11">
        <f t="shared" si="4"/>
        <v>1.6772360000001374E-3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22057348.143801954</v>
      </c>
      <c r="D6" s="11">
        <v>6.3600000000000002E-3</v>
      </c>
      <c r="E6" s="10">
        <f t="shared" si="2"/>
        <v>139398.16188498959</v>
      </c>
      <c r="F6" s="3"/>
      <c r="G6" s="26">
        <v>4.29</v>
      </c>
      <c r="H6" s="10"/>
      <c r="I6" s="10">
        <f t="shared" si="5"/>
        <v>2519.4931215646184</v>
      </c>
      <c r="J6" s="10">
        <f t="shared" si="3"/>
        <v>55573336928.265121</v>
      </c>
      <c r="K6" s="11">
        <f t="shared" si="4"/>
        <v>4.9532843999999798E-2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21917949.981916964</v>
      </c>
      <c r="D7" s="11">
        <v>6.0499999999999998E-3</v>
      </c>
      <c r="E7" s="10">
        <f t="shared" si="2"/>
        <v>131806.17006172612</v>
      </c>
      <c r="F7" s="3"/>
      <c r="G7" s="26">
        <v>11.1</v>
      </c>
      <c r="H7" s="10"/>
      <c r="I7" s="10">
        <f t="shared" si="5"/>
        <v>2415.8530267183992</v>
      </c>
      <c r="J7" s="10">
        <f t="shared" si="3"/>
        <v>52950545803.276581</v>
      </c>
      <c r="K7" s="11">
        <f t="shared" si="4"/>
        <v>0.11772155000000017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21786143.811855238</v>
      </c>
      <c r="D8" s="11">
        <v>5.7299999999999999E-3</v>
      </c>
      <c r="E8" s="10">
        <f t="shared" si="2"/>
        <v>124123.37709119916</v>
      </c>
      <c r="F8" s="3"/>
      <c r="G8" s="26">
        <v>-0.26</v>
      </c>
      <c r="H8" s="10"/>
      <c r="I8" s="10">
        <f t="shared" si="5"/>
        <v>2174.4851725638155</v>
      </c>
      <c r="J8" s="10">
        <f t="shared" si="3"/>
        <v>47373646686.222137</v>
      </c>
      <c r="K8" s="11">
        <f t="shared" si="4"/>
        <v>3.1151020000002028E-3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21662020.434764039</v>
      </c>
      <c r="D9" s="11">
        <v>6.5500000000000003E-3</v>
      </c>
      <c r="E9" s="10">
        <f t="shared" si="2"/>
        <v>140962.92667796463</v>
      </c>
      <c r="F9" s="3"/>
      <c r="G9" s="26">
        <v>6.5</v>
      </c>
      <c r="H9" s="10"/>
      <c r="I9" s="10">
        <f t="shared" si="5"/>
        <v>2180.153571850627</v>
      </c>
      <c r="J9" s="10">
        <f t="shared" si="3"/>
        <v>47226531224.352089</v>
      </c>
      <c r="K9" s="11">
        <f t="shared" si="4"/>
        <v>7.1975750000000005E-2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21521057.508086074</v>
      </c>
      <c r="D10" s="11">
        <v>6.7600000000000004E-3</v>
      </c>
      <c r="E10" s="10">
        <f t="shared" si="2"/>
        <v>144505.49163123593</v>
      </c>
      <c r="F10" s="3"/>
      <c r="G10" s="26">
        <v>5.42</v>
      </c>
      <c r="H10" s="10"/>
      <c r="I10" s="10">
        <f t="shared" si="5"/>
        <v>2047.0925557282883</v>
      </c>
      <c r="J10" s="10">
        <f t="shared" si="3"/>
        <v>44055596616.203392</v>
      </c>
      <c r="K10" s="11">
        <f t="shared" si="4"/>
        <v>6.1326392000000229E-2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21376552.016454838</v>
      </c>
      <c r="D11" s="11">
        <v>6.96E-3</v>
      </c>
      <c r="E11" s="10">
        <f t="shared" si="2"/>
        <v>147752.44501720741</v>
      </c>
      <c r="F11" s="3"/>
      <c r="G11" s="26">
        <v>4.8099999999999996</v>
      </c>
      <c r="H11" s="10"/>
      <c r="I11" s="10">
        <f t="shared" si="5"/>
        <v>1941.8445795183914</v>
      </c>
      <c r="J11" s="10">
        <f t="shared" si="3"/>
        <v>41509941661.945763</v>
      </c>
      <c r="K11" s="11">
        <f t="shared" si="4"/>
        <v>5.5394775999999979E-2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21228799.571437631</v>
      </c>
      <c r="D12" s="11">
        <v>6.43E-3</v>
      </c>
      <c r="E12" s="10">
        <f t="shared" si="2"/>
        <v>135629.08621994779</v>
      </c>
      <c r="F12" s="3"/>
      <c r="G12" s="26">
        <v>2.13</v>
      </c>
      <c r="H12" s="10"/>
      <c r="I12" s="10">
        <f t="shared" si="5"/>
        <v>1852.7283460723131</v>
      </c>
      <c r="J12" s="10">
        <f t="shared" si="3"/>
        <v>39331198719.090271</v>
      </c>
      <c r="K12" s="11">
        <f t="shared" si="4"/>
        <v>2.7866959000000024E-2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21093170.485217683</v>
      </c>
      <c r="D13" s="11">
        <v>6.3600000000000002E-3</v>
      </c>
      <c r="E13" s="10">
        <f t="shared" si="2"/>
        <v>133304.74610078335</v>
      </c>
      <c r="F13" s="3"/>
      <c r="G13" s="26">
        <v>4.0599999999999996</v>
      </c>
      <c r="H13" s="10"/>
      <c r="I13" s="10">
        <f t="shared" si="5"/>
        <v>1814.0882660063771</v>
      </c>
      <c r="J13" s="10">
        <f t="shared" si="3"/>
        <v>38264873070.105438</v>
      </c>
      <c r="K13" s="11">
        <f t="shared" si="4"/>
        <v>4.7218215999999869E-2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20959865.7391169</v>
      </c>
      <c r="D14" s="11">
        <v>7.2399999999999999E-3</v>
      </c>
      <c r="E14" s="10">
        <f t="shared" si="2"/>
        <v>150658.65925817564</v>
      </c>
      <c r="F14" s="3"/>
      <c r="G14" s="26">
        <v>4.32</v>
      </c>
      <c r="H14" s="10"/>
      <c r="I14" s="10">
        <f t="shared" si="5"/>
        <v>1743.3098846880428</v>
      </c>
      <c r="J14" s="10">
        <f t="shared" si="3"/>
        <v>36539541124.73674</v>
      </c>
      <c r="K14" s="11">
        <f t="shared" si="4"/>
        <v>5.0752767999999948E-2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20809207.079858724</v>
      </c>
      <c r="D15" s="11">
        <v>7.43E-3</v>
      </c>
      <c r="E15" s="10">
        <f t="shared" si="2"/>
        <v>153472.11081995815</v>
      </c>
      <c r="F15" s="3"/>
      <c r="G15" s="26">
        <v>-0.02</v>
      </c>
      <c r="H15" s="10"/>
      <c r="I15" s="10">
        <f t="shared" si="5"/>
        <v>1671.1176041871577</v>
      </c>
      <c r="J15" s="10">
        <f t="shared" si="3"/>
        <v>34774632280.32795</v>
      </c>
      <c r="K15" s="11">
        <f t="shared" si="4"/>
        <v>7.2285139999999082E-3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20655734.969038766</v>
      </c>
      <c r="D16" s="11">
        <v>1.345E-2</v>
      </c>
      <c r="E16" s="10">
        <f t="shared" si="2"/>
        <v>274132.55250241235</v>
      </c>
      <c r="F16" s="3"/>
      <c r="G16" s="26">
        <v>-0.83</v>
      </c>
      <c r="H16" s="10"/>
      <c r="I16" s="10">
        <f t="shared" si="5"/>
        <v>1671.4518945660709</v>
      </c>
      <c r="J16" s="10">
        <f t="shared" si="3"/>
        <v>34525067347.654488</v>
      </c>
      <c r="K16" s="11">
        <f t="shared" si="4"/>
        <v>5.0383649999998781E-3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20381602.416536354</v>
      </c>
      <c r="D17" s="11">
        <v>1.8190000000000001E-2</v>
      </c>
      <c r="E17" s="10">
        <f t="shared" si="2"/>
        <v>364118.04079473764</v>
      </c>
      <c r="F17" s="3"/>
      <c r="G17" s="26">
        <v>-2.31</v>
      </c>
      <c r="H17" s="10"/>
      <c r="I17" s="10">
        <f t="shared" si="5"/>
        <v>1685.4410553252706</v>
      </c>
      <c r="J17" s="10">
        <f t="shared" si="3"/>
        <v>34351989486.147118</v>
      </c>
      <c r="K17" s="11">
        <f t="shared" si="4"/>
        <v>-5.3301890000001517E-3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20017484.375741616</v>
      </c>
      <c r="D18" s="11">
        <v>1.8249999999999999E-2</v>
      </c>
      <c r="E18" s="10">
        <f t="shared" si="2"/>
        <v>358771.50980337337</v>
      </c>
      <c r="F18" s="3"/>
      <c r="G18" s="26">
        <v>-1.37</v>
      </c>
      <c r="H18" s="10"/>
      <c r="I18" s="10">
        <f t="shared" si="5"/>
        <v>1725.2953785702432</v>
      </c>
      <c r="J18" s="10">
        <f t="shared" si="3"/>
        <v>34536073284.069061</v>
      </c>
      <c r="K18" s="11">
        <f t="shared" si="4"/>
        <v>4.2999749999999004E-3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19658712.865938243</v>
      </c>
      <c r="D19" s="11">
        <v>1.8919999999999999E-2</v>
      </c>
      <c r="E19" s="10">
        <f t="shared" si="2"/>
        <v>365036.35950177908</v>
      </c>
      <c r="F19" s="3"/>
      <c r="G19" s="26">
        <v>7.0000000000000007E-2</v>
      </c>
      <c r="H19" s="10"/>
      <c r="I19" s="10">
        <f t="shared" si="5"/>
        <v>1749.2602439118355</v>
      </c>
      <c r="J19" s="10">
        <f t="shared" si="3"/>
        <v>34388204862.863869</v>
      </c>
      <c r="K19" s="11">
        <f t="shared" si="4"/>
        <v>1.9633243999999994E-2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19293676.506436463</v>
      </c>
      <c r="D20" s="11">
        <v>1.8839999999999999E-2</v>
      </c>
      <c r="E20" s="10">
        <f t="shared" si="2"/>
        <v>356771.29419856146</v>
      </c>
      <c r="F20" s="3"/>
      <c r="G20" s="26">
        <v>4.24</v>
      </c>
      <c r="H20" s="10"/>
      <c r="I20" s="10">
        <f t="shared" si="5"/>
        <v>1748.0366182790403</v>
      </c>
      <c r="J20" s="10">
        <f t="shared" si="3"/>
        <v>33726053034.480965</v>
      </c>
      <c r="K20" s="11">
        <f t="shared" si="4"/>
        <v>6.203881599999983E-2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18936905.212237902</v>
      </c>
      <c r="D21" s="11">
        <v>1.9130000000000001E-2</v>
      </c>
      <c r="E21" s="10">
        <f t="shared" si="2"/>
        <v>355462.98971683159</v>
      </c>
      <c r="F21" s="3"/>
      <c r="G21" s="26">
        <v>1.57</v>
      </c>
      <c r="H21" s="10"/>
      <c r="I21" s="10">
        <f t="shared" si="5"/>
        <v>1676.9345915953957</v>
      </c>
      <c r="J21" s="10">
        <f t="shared" si="3"/>
        <v>31755951408.164886</v>
      </c>
      <c r="K21" s="11">
        <f t="shared" si="4"/>
        <v>3.513034100000012E-2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18581442.22252107</v>
      </c>
      <c r="D22" s="11">
        <v>1.932E-2</v>
      </c>
      <c r="E22" s="10">
        <f t="shared" si="2"/>
        <v>352189.16899413988</v>
      </c>
      <c r="F22" s="3"/>
      <c r="G22" s="26">
        <v>6.82</v>
      </c>
      <c r="H22" s="10"/>
      <c r="I22" s="10">
        <f t="shared" si="5"/>
        <v>1651.0136768685593</v>
      </c>
      <c r="J22" s="10">
        <f t="shared" si="3"/>
        <v>30678215245.325207</v>
      </c>
      <c r="K22" s="11">
        <f t="shared" si="4"/>
        <v>8.8837623999999948E-2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18229253.053526931</v>
      </c>
      <c r="D23" s="11">
        <v>1.3729999999999999E-2</v>
      </c>
      <c r="E23" s="10">
        <f t="shared" si="2"/>
        <v>246897.73847565427</v>
      </c>
      <c r="F23" s="3"/>
      <c r="G23" s="26">
        <v>5.32</v>
      </c>
      <c r="H23" s="10"/>
      <c r="I23" s="10">
        <f t="shared" si="5"/>
        <v>1545.6035170085745</v>
      </c>
      <c r="J23" s="10">
        <f t="shared" si="3"/>
        <v>28175197631.97052</v>
      </c>
      <c r="K23" s="11">
        <f t="shared" si="4"/>
        <v>6.7660435999999935E-2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17982355.315051276</v>
      </c>
      <c r="D24" s="11">
        <v>1.542E-2</v>
      </c>
      <c r="E24" s="10">
        <f t="shared" si="2"/>
        <v>273077.07053051144</v>
      </c>
      <c r="F24" s="3"/>
      <c r="G24" s="26">
        <v>4.9400000000000004</v>
      </c>
      <c r="H24" s="10"/>
      <c r="I24" s="10">
        <f t="shared" si="5"/>
        <v>1467.5308744859235</v>
      </c>
      <c r="J24" s="10">
        <f t="shared" si="3"/>
        <v>26389661620.813793</v>
      </c>
      <c r="K24" s="11">
        <f t="shared" si="4"/>
        <v>6.5581748000000273E-2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17709278.244520765</v>
      </c>
      <c r="D25" s="11">
        <v>1.857E-2</v>
      </c>
      <c r="E25" s="10">
        <f t="shared" si="2"/>
        <v>322865.68129902706</v>
      </c>
      <c r="F25" s="3"/>
      <c r="G25" s="26">
        <v>1.7</v>
      </c>
      <c r="H25" s="10"/>
      <c r="I25" s="10">
        <f t="shared" si="5"/>
        <v>1398.4475647855188</v>
      </c>
      <c r="J25" s="10">
        <f t="shared" si="3"/>
        <v>24765497035.159229</v>
      </c>
      <c r="K25" s="11">
        <f t="shared" si="4"/>
        <v>3.588568999999997E-2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17386412.563221738</v>
      </c>
      <c r="D26" s="11">
        <v>1.3180000000000001E-2</v>
      </c>
      <c r="E26" s="10">
        <f t="shared" si="2"/>
        <v>226171.97100540996</v>
      </c>
      <c r="F26" s="3"/>
      <c r="G26" s="26">
        <v>3.49</v>
      </c>
      <c r="H26" s="10"/>
      <c r="I26" s="10">
        <f t="shared" si="5"/>
        <v>1375.0713518048367</v>
      </c>
      <c r="J26" s="10">
        <f t="shared" si="3"/>
        <v>23907557826.345909</v>
      </c>
      <c r="K26" s="11">
        <f t="shared" si="4"/>
        <v>4.8539981999999871E-2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17160240.592216328</v>
      </c>
      <c r="D27" s="11">
        <v>1.7600000000000001E-3</v>
      </c>
      <c r="E27" s="10">
        <f t="shared" si="2"/>
        <v>30148.961270462722</v>
      </c>
      <c r="F27" s="3"/>
      <c r="G27" s="26">
        <v>-4.12</v>
      </c>
      <c r="H27" s="10"/>
      <c r="I27" s="10">
        <f t="shared" si="5"/>
        <v>1328.6997311864304</v>
      </c>
      <c r="J27" s="10">
        <f t="shared" si="3"/>
        <v>22800807061.972305</v>
      </c>
      <c r="K27" s="11">
        <f t="shared" si="4"/>
        <v>-3.9512512000000166E-2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17130091.630945865</v>
      </c>
      <c r="D28" s="11">
        <v>1.102E-2</v>
      </c>
      <c r="E28" s="10">
        <f t="shared" si="2"/>
        <v>186715.99945898727</v>
      </c>
      <c r="F28" s="3"/>
      <c r="G28" s="26">
        <v>6.94</v>
      </c>
      <c r="H28" s="10"/>
      <c r="I28" s="10">
        <f t="shared" si="5"/>
        <v>1385.7944630646959</v>
      </c>
      <c r="J28" s="10">
        <f t="shared" si="3"/>
        <v>23738786133.955666</v>
      </c>
      <c r="K28" s="11">
        <f t="shared" si="4"/>
        <v>8.1184788000000063E-2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16943375.631486878</v>
      </c>
      <c r="D29" s="11">
        <v>0.01</v>
      </c>
      <c r="E29" s="10">
        <f t="shared" si="2"/>
        <v>167756.19437115826</v>
      </c>
      <c r="F29" s="3"/>
      <c r="G29" s="26">
        <v>5.92</v>
      </c>
      <c r="H29" s="10"/>
      <c r="I29" s="10">
        <f t="shared" si="5"/>
        <v>1295.8616636101515</v>
      </c>
      <c r="J29" s="10">
        <f t="shared" si="3"/>
        <v>21956270932.990288</v>
      </c>
      <c r="K29" s="11">
        <f t="shared" si="4"/>
        <v>6.9791999999999854E-2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16775619.43711572</v>
      </c>
      <c r="D30" s="11">
        <v>1.026E-2</v>
      </c>
      <c r="E30" s="10">
        <f t="shared" si="2"/>
        <v>170369.86065449193</v>
      </c>
      <c r="F30" s="3"/>
      <c r="G30" s="26">
        <v>7.58</v>
      </c>
      <c r="H30" s="10"/>
      <c r="I30" s="10">
        <f t="shared" si="5"/>
        <v>1223.434350085113</v>
      </c>
      <c r="J30" s="10">
        <f t="shared" si="3"/>
        <v>20523869063.322861</v>
      </c>
      <c r="K30" s="11">
        <f t="shared" si="4"/>
        <v>8.6837708000000013E-2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16605249.576461228</v>
      </c>
      <c r="D31" s="11">
        <v>1.3180000000000001E-2</v>
      </c>
      <c r="E31" s="10">
        <f t="shared" si="2"/>
        <v>216010.17530720867</v>
      </c>
      <c r="F31" s="3"/>
      <c r="G31" s="26">
        <v>4.96</v>
      </c>
      <c r="H31" s="10"/>
      <c r="I31" s="10">
        <f t="shared" si="5"/>
        <v>1137.2321528956245</v>
      </c>
      <c r="J31" s="10">
        <f t="shared" si="3"/>
        <v>18884023725.20816</v>
      </c>
      <c r="K31" s="11">
        <f t="shared" si="4"/>
        <v>6.3433728000000134E-2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16389239.401154019</v>
      </c>
      <c r="D32" s="11">
        <v>1.074E-2</v>
      </c>
      <c r="E32" s="10">
        <f t="shared" si="2"/>
        <v>174150.05952905118</v>
      </c>
      <c r="F32" s="3"/>
      <c r="G32" s="26">
        <v>4.5199999999999996</v>
      </c>
      <c r="H32" s="10"/>
      <c r="I32" s="10">
        <f t="shared" si="5"/>
        <v>1083.4909993289104</v>
      </c>
      <c r="J32" s="10">
        <f t="shared" si="3"/>
        <v>17757593376.99712</v>
      </c>
      <c r="K32" s="11">
        <f t="shared" si="4"/>
        <v>5.6425447999999712E-2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16215089.341624968</v>
      </c>
      <c r="D33" s="11">
        <v>2.4399999999999999E-3</v>
      </c>
      <c r="E33" s="10">
        <f t="shared" si="2"/>
        <v>39468.51481741108</v>
      </c>
      <c r="F33" s="3"/>
      <c r="G33" s="26">
        <v>2.82</v>
      </c>
      <c r="H33" s="10"/>
      <c r="I33" s="10">
        <f t="shared" si="5"/>
        <v>1036.6350931198915</v>
      </c>
      <c r="J33" s="10">
        <f t="shared" si="3"/>
        <v>16809130649.602758</v>
      </c>
      <c r="K33" s="11">
        <f t="shared" si="4"/>
        <v>3.0708807999999976E-2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16175620.826807557</v>
      </c>
      <c r="D34" s="11">
        <v>4.45E-3</v>
      </c>
      <c r="E34" s="10">
        <f t="shared" si="2"/>
        <v>71662.61404678598</v>
      </c>
      <c r="F34" s="3"/>
      <c r="G34" s="26">
        <v>-4.34</v>
      </c>
      <c r="H34" s="10"/>
      <c r="I34" s="10">
        <f t="shared" si="5"/>
        <v>1008.2037474420264</v>
      </c>
      <c r="J34" s="10">
        <f t="shared" ref="J34:J65" si="6">IF(I34="","",I34*C34)</f>
        <v>16308321534.788668</v>
      </c>
      <c r="K34" s="11">
        <f t="shared" ref="K34:K65" si="7">IFERROR(J34/J35-1,"")</f>
        <v>-2.6085279999999877E-2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16103958.212760771</v>
      </c>
      <c r="D35" s="11">
        <v>8.8999999999999999E-3</v>
      </c>
      <c r="E35" s="10">
        <f t="shared" si="2"/>
        <v>142060.88620633259</v>
      </c>
      <c r="F35" s="3"/>
      <c r="G35" s="26">
        <v>-4.1</v>
      </c>
      <c r="H35" s="10"/>
      <c r="I35" s="10">
        <f t="shared" ref="I35:I66" si="8">IF(H35&lt;&gt;"",H35,I34/(1+IF(G34="",0,G34)/100))</f>
        <v>1039.8140959591856</v>
      </c>
      <c r="J35" s="10">
        <f t="shared" si="6"/>
        <v>16745122750.366343</v>
      </c>
      <c r="K35" s="11">
        <f t="shared" si="7"/>
        <v>-5.2246000000000237E-3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15961897.326554438</v>
      </c>
      <c r="D36" s="11">
        <v>1.5779999999999999E-2</v>
      </c>
      <c r="E36" s="10">
        <f t="shared" si="2"/>
        <v>247965.83887557127</v>
      </c>
      <c r="F36" s="3"/>
      <c r="G36" s="26">
        <v>-4.63</v>
      </c>
      <c r="H36" s="10"/>
      <c r="I36" s="10">
        <f t="shared" si="8"/>
        <v>1054.5781906279772</v>
      </c>
      <c r="J36" s="10">
        <f t="shared" si="6"/>
        <v>16833068801.627325</v>
      </c>
      <c r="K36" s="11">
        <f t="shared" si="7"/>
        <v>1.7506825999999975E-2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15713931.487678867</v>
      </c>
      <c r="D37" s="11">
        <v>1.7819999999999999E-2</v>
      </c>
      <c r="E37" s="10">
        <f t="shared" si="2"/>
        <v>275119.62735104188</v>
      </c>
      <c r="F37" s="3"/>
      <c r="G37" s="26">
        <v>-3.59</v>
      </c>
      <c r="H37" s="10"/>
      <c r="I37" s="10">
        <f t="shared" si="8"/>
        <v>1052.7884502625309</v>
      </c>
      <c r="J37" s="10">
        <f t="shared" si="6"/>
        <v>16543445578.445021</v>
      </c>
      <c r="K37" s="11">
        <f t="shared" si="7"/>
        <v>3.5224721999999931E-2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15438811.860327825</v>
      </c>
      <c r="D38" s="11">
        <v>1.866E-2</v>
      </c>
      <c r="E38" s="10">
        <f t="shared" si="2"/>
        <v>282810.97649236768</v>
      </c>
      <c r="F38" s="3"/>
      <c r="G38" s="26">
        <v>-1.84</v>
      </c>
      <c r="H38" s="10"/>
      <c r="I38" s="10">
        <f t="shared" si="8"/>
        <v>1035.0884379731895</v>
      </c>
      <c r="J38" s="10">
        <f t="shared" si="6"/>
        <v>15980535652.66868</v>
      </c>
      <c r="K38" s="11">
        <f t="shared" si="7"/>
        <v>3.7607075999999795E-2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15156000.883835457</v>
      </c>
      <c r="D39" s="11">
        <v>1.865E-2</v>
      </c>
      <c r="E39" s="10">
        <f t="shared" si="2"/>
        <v>277484.33366075903</v>
      </c>
      <c r="F39" s="3"/>
      <c r="G39" s="26">
        <v>12.03</v>
      </c>
      <c r="H39" s="10"/>
      <c r="I39" s="10">
        <f t="shared" si="8"/>
        <v>1016.1873532036025</v>
      </c>
      <c r="J39" s="10">
        <f t="shared" si="6"/>
        <v>15401336423.296213</v>
      </c>
      <c r="K39" s="11">
        <f t="shared" si="7"/>
        <v>0.14119359500000006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14878516.550174698</v>
      </c>
      <c r="D40" s="11">
        <v>1.813E-2</v>
      </c>
      <c r="E40" s="10">
        <f t="shared" si="2"/>
        <v>264944.06908220612</v>
      </c>
      <c r="F40" s="3"/>
      <c r="G40" s="26">
        <v>11.49</v>
      </c>
      <c r="H40" s="10"/>
      <c r="I40" s="10">
        <f t="shared" si="8"/>
        <v>907.0671723677608</v>
      </c>
      <c r="J40" s="10">
        <f t="shared" si="6"/>
        <v>13495813936.193895</v>
      </c>
      <c r="K40" s="11">
        <f t="shared" si="7"/>
        <v>0.13511313700000005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14613572.481092492</v>
      </c>
      <c r="D41" s="11">
        <v>1.8159999999999999E-2</v>
      </c>
      <c r="E41" s="10">
        <f t="shared" si="2"/>
        <v>260649.08880396001</v>
      </c>
      <c r="F41" s="3"/>
      <c r="G41" s="26">
        <v>7.53</v>
      </c>
      <c r="H41" s="10"/>
      <c r="I41" s="10">
        <f t="shared" si="8"/>
        <v>813.58612643982497</v>
      </c>
      <c r="J41" s="10">
        <f t="shared" si="6"/>
        <v>11889399828.339663</v>
      </c>
      <c r="K41" s="11">
        <f t="shared" si="7"/>
        <v>9.4827447999999981E-2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14352923.392288532</v>
      </c>
      <c r="D42" s="11">
        <v>1.8079999999999999E-2</v>
      </c>
      <c r="E42" s="10">
        <f t="shared" si="2"/>
        <v>254892.40033452958</v>
      </c>
      <c r="F42" s="3"/>
      <c r="G42" s="26">
        <v>-6.85</v>
      </c>
      <c r="H42" s="10"/>
      <c r="I42" s="10">
        <f t="shared" si="8"/>
        <v>756.61315580751887</v>
      </c>
      <c r="J42" s="10">
        <f t="shared" si="6"/>
        <v>10859610662.902985</v>
      </c>
      <c r="K42" s="11">
        <f t="shared" si="7"/>
        <v>-5.1658479999999951E-2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14098030.991954003</v>
      </c>
      <c r="D43" s="11">
        <v>1.8159999999999999E-2</v>
      </c>
      <c r="E43" s="10">
        <f t="shared" si="2"/>
        <v>251453.84106023051</v>
      </c>
      <c r="F43" s="3"/>
      <c r="G43" s="26">
        <v>8.3800000000000008</v>
      </c>
      <c r="H43" s="10"/>
      <c r="I43" s="10">
        <f t="shared" si="8"/>
        <v>812.25244853195795</v>
      </c>
      <c r="J43" s="10">
        <f t="shared" si="6"/>
        <v>11451160192.694067</v>
      </c>
      <c r="K43" s="11">
        <f t="shared" si="7"/>
        <v>0.10348180800000017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13846577.150893772</v>
      </c>
      <c r="D44" s="11">
        <v>1.899E-2</v>
      </c>
      <c r="E44" s="10">
        <f t="shared" si="2"/>
        <v>258046.20270608552</v>
      </c>
      <c r="F44" s="3"/>
      <c r="G44" s="26">
        <v>7.3</v>
      </c>
      <c r="H44" s="10"/>
      <c r="I44" s="10">
        <f t="shared" si="8"/>
        <v>749.44865153345438</v>
      </c>
      <c r="J44" s="10">
        <f t="shared" si="6"/>
        <v>10377298574.091278</v>
      </c>
      <c r="K44" s="11">
        <f t="shared" si="7"/>
        <v>9.3376269999999817E-2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13588530.948187687</v>
      </c>
      <c r="D45" s="11">
        <v>1.9939999999999999E-2</v>
      </c>
      <c r="E45" s="10">
        <f t="shared" si="2"/>
        <v>265658.08489407599</v>
      </c>
      <c r="F45" s="3"/>
      <c r="G45" s="26">
        <v>6.63</v>
      </c>
      <c r="H45" s="10"/>
      <c r="I45" s="10">
        <f t="shared" si="8"/>
        <v>698.46099863322877</v>
      </c>
      <c r="J45" s="10">
        <f t="shared" si="6"/>
        <v>9491058896.029707</v>
      </c>
      <c r="K45" s="11">
        <f t="shared" si="7"/>
        <v>8.7562022000000184E-2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13322872.863293611</v>
      </c>
      <c r="D46" s="11">
        <v>2.0650000000000002E-2</v>
      </c>
      <c r="E46" s="10">
        <f t="shared" si="2"/>
        <v>269551.09452507086</v>
      </c>
      <c r="F46" s="3"/>
      <c r="G46" s="26">
        <v>5.54</v>
      </c>
      <c r="H46" s="10"/>
      <c r="I46" s="10">
        <f t="shared" si="8"/>
        <v>655.03235359019857</v>
      </c>
      <c r="J46" s="10">
        <f t="shared" si="6"/>
        <v>8726912768.226202</v>
      </c>
      <c r="K46" s="11">
        <f t="shared" si="7"/>
        <v>7.7194010000000146E-2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13053321.76876854</v>
      </c>
      <c r="D47" s="11">
        <v>2.2009999999999998E-2</v>
      </c>
      <c r="E47" s="10">
        <f t="shared" si="2"/>
        <v>281116.24360876717</v>
      </c>
      <c r="F47" s="3"/>
      <c r="G47" s="26">
        <v>5.55</v>
      </c>
      <c r="H47" s="10"/>
      <c r="I47" s="10">
        <f t="shared" si="8"/>
        <v>620.64843053837274</v>
      </c>
      <c r="J47" s="10">
        <f t="shared" si="6"/>
        <v>8101523669.0985699</v>
      </c>
      <c r="K47" s="11">
        <f t="shared" si="7"/>
        <v>7.8731555000000286E-2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12772205.525159772</v>
      </c>
      <c r="D48" s="11">
        <v>2.298E-2</v>
      </c>
      <c r="E48" s="10">
        <f t="shared" si="2"/>
        <v>286912.04419262521</v>
      </c>
      <c r="F48" s="3"/>
      <c r="G48" s="26">
        <v>4.7</v>
      </c>
      <c r="H48" s="10"/>
      <c r="I48" s="10">
        <f t="shared" si="8"/>
        <v>588.01367175591918</v>
      </c>
      <c r="J48" s="10">
        <f t="shared" si="6"/>
        <v>7510231467.2704353</v>
      </c>
      <c r="K48" s="11">
        <f t="shared" si="7"/>
        <v>7.1060059999999758E-2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12485293.480967147</v>
      </c>
      <c r="D49" s="11">
        <v>2.3810000000000001E-2</v>
      </c>
      <c r="E49" s="10">
        <f t="shared" si="2"/>
        <v>290361.33440953866</v>
      </c>
      <c r="F49" s="3"/>
      <c r="G49" s="26">
        <v>4.53</v>
      </c>
      <c r="H49" s="10"/>
      <c r="I49" s="10">
        <f t="shared" si="8"/>
        <v>561.61764255579681</v>
      </c>
      <c r="J49" s="10">
        <f t="shared" si="6"/>
        <v>7011961091.3980274</v>
      </c>
      <c r="K49" s="11">
        <f t="shared" si="7"/>
        <v>7.0188593000000132E-2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12194932.146557609</v>
      </c>
      <c r="D50" s="11">
        <v>2.427E-2</v>
      </c>
      <c r="E50" s="10">
        <f t="shared" si="2"/>
        <v>288957.99271379039</v>
      </c>
      <c r="F50" s="3"/>
      <c r="G50" s="26">
        <v>9.15</v>
      </c>
      <c r="H50" s="10"/>
      <c r="I50" s="10">
        <f t="shared" si="8"/>
        <v>537.27890802238289</v>
      </c>
      <c r="J50" s="10">
        <f t="shared" si="6"/>
        <v>6552079827.1095257</v>
      </c>
      <c r="K50" s="11">
        <f t="shared" si="7"/>
        <v>0.11799070499999997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11905974.153843818</v>
      </c>
      <c r="D51" s="11">
        <v>2.4029999999999999E-2</v>
      </c>
      <c r="E51" s="10">
        <f t="shared" si="2"/>
        <v>279386.89190440439</v>
      </c>
      <c r="F51" s="3"/>
      <c r="G51" s="26">
        <v>1.99</v>
      </c>
      <c r="H51" s="10"/>
      <c r="I51" s="10">
        <f t="shared" si="8"/>
        <v>492.23903620923767</v>
      </c>
      <c r="J51" s="10">
        <f t="shared" si="6"/>
        <v>5860585242.6201754</v>
      </c>
      <c r="K51" s="11">
        <f t="shared" si="7"/>
        <v>4.4408197000000094E-2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11626587.261939414</v>
      </c>
      <c r="D52" s="11">
        <v>2.4289999999999999E-2</v>
      </c>
      <c r="E52" s="10">
        <f t="shared" si="2"/>
        <v>275712.7420872096</v>
      </c>
      <c r="F52" s="3"/>
      <c r="G52" s="26">
        <v>6.17</v>
      </c>
      <c r="H52" s="10"/>
      <c r="I52" s="10">
        <f t="shared" si="8"/>
        <v>482.63460751959764</v>
      </c>
      <c r="J52" s="10">
        <f t="shared" si="6"/>
        <v>5611393379.9584827</v>
      </c>
      <c r="K52" s="11">
        <f t="shared" si="7"/>
        <v>8.7488693000000284E-2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11350874.519852204</v>
      </c>
      <c r="D53" s="11">
        <v>2.4590000000000001E-2</v>
      </c>
      <c r="E53" s="10">
        <f t="shared" si="2"/>
        <v>272419.21592360362</v>
      </c>
      <c r="F53" s="3"/>
      <c r="G53" s="26">
        <v>4.21</v>
      </c>
      <c r="H53" s="10"/>
      <c r="I53" s="10">
        <f t="shared" si="8"/>
        <v>454.58661346858582</v>
      </c>
      <c r="J53" s="10">
        <f t="shared" si="6"/>
        <v>5159955607.8864737</v>
      </c>
      <c r="K53" s="11">
        <f t="shared" si="7"/>
        <v>6.7725238999999826E-2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11078455.303928601</v>
      </c>
      <c r="D54" s="11">
        <v>2.4510000000000001E-2</v>
      </c>
      <c r="E54" s="10">
        <f t="shared" si="2"/>
        <v>265036.88543722406</v>
      </c>
      <c r="F54" s="3"/>
      <c r="G54" s="26">
        <v>4.71</v>
      </c>
      <c r="H54" s="10"/>
      <c r="I54" s="10">
        <f t="shared" si="8"/>
        <v>436.22168071066676</v>
      </c>
      <c r="J54" s="10">
        <f t="shared" si="6"/>
        <v>4832662392.3577347</v>
      </c>
      <c r="K54" s="11">
        <f t="shared" si="7"/>
        <v>7.2764420999999802E-2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10813418.418491377</v>
      </c>
      <c r="D55" s="11">
        <v>2.443E-2</v>
      </c>
      <c r="E55" s="10">
        <f t="shared" si="2"/>
        <v>257871.99902750179</v>
      </c>
      <c r="F55" s="3"/>
      <c r="G55" s="26">
        <v>3.3</v>
      </c>
      <c r="H55" s="10"/>
      <c r="I55" s="10">
        <f t="shared" si="8"/>
        <v>416.59982877534793</v>
      </c>
      <c r="J55" s="10">
        <f t="shared" si="6"/>
        <v>4504868261.6197014</v>
      </c>
      <c r="K55" s="11">
        <f t="shared" si="7"/>
        <v>5.823618999999991E-2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10555546.419463875</v>
      </c>
      <c r="D56" s="11">
        <v>2.4340000000000001E-2</v>
      </c>
      <c r="E56" s="10">
        <f t="shared" si="2"/>
        <v>250817.11135926656</v>
      </c>
      <c r="F56" s="3"/>
      <c r="G56" s="26">
        <v>6.9</v>
      </c>
      <c r="H56" s="10"/>
      <c r="I56" s="10">
        <f t="shared" si="8"/>
        <v>403.29121856277635</v>
      </c>
      <c r="J56" s="10">
        <f t="shared" si="6"/>
        <v>4256959178.1015368</v>
      </c>
      <c r="K56" s="11">
        <f t="shared" si="7"/>
        <v>9.5019460000000056E-2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10304729.308104608</v>
      </c>
      <c r="D57" s="11">
        <v>2.4330000000000001E-2</v>
      </c>
      <c r="E57" s="10">
        <f t="shared" si="2"/>
        <v>244759.07575311139</v>
      </c>
      <c r="F57" s="3"/>
      <c r="G57" s="26">
        <v>0.86</v>
      </c>
      <c r="H57" s="10"/>
      <c r="I57" s="10">
        <f t="shared" si="8"/>
        <v>377.26026058257844</v>
      </c>
      <c r="J57" s="10">
        <f t="shared" si="6"/>
        <v>3887564864.0084777</v>
      </c>
      <c r="K57" s="11">
        <f t="shared" si="7"/>
        <v>3.313923799999996E-2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10059970.232351497</v>
      </c>
      <c r="D58" s="11">
        <v>2.4119999999999999E-2</v>
      </c>
      <c r="E58" s="10">
        <f t="shared" si="2"/>
        <v>236931.68964996003</v>
      </c>
      <c r="F58" s="3"/>
      <c r="G58" s="26">
        <v>-0.3</v>
      </c>
      <c r="H58" s="10"/>
      <c r="I58" s="10">
        <f t="shared" si="8"/>
        <v>374.04348659783705</v>
      </c>
      <c r="J58" s="10">
        <f t="shared" si="6"/>
        <v>3762866340.7792068</v>
      </c>
      <c r="K58" s="11">
        <f t="shared" si="7"/>
        <v>2.1047639999999923E-2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9823038.5427015368</v>
      </c>
      <c r="D59" s="11">
        <v>2.3369999999999998E-2</v>
      </c>
      <c r="E59" s="10">
        <f t="shared" si="2"/>
        <v>224322.00547498278</v>
      </c>
      <c r="F59" s="3"/>
      <c r="G59" s="26">
        <v>5.65</v>
      </c>
      <c r="H59" s="10"/>
      <c r="I59" s="10">
        <f t="shared" si="8"/>
        <v>375.16899357857278</v>
      </c>
      <c r="J59" s="10">
        <f t="shared" si="6"/>
        <v>3685299483.9488659</v>
      </c>
      <c r="K59" s="11">
        <f t="shared" si="7"/>
        <v>8.1190404999999854E-2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9598716.537226554</v>
      </c>
      <c r="D60" s="11">
        <v>2.2270000000000002E-2</v>
      </c>
      <c r="E60" s="10">
        <f t="shared" si="2"/>
        <v>209106.61301225238</v>
      </c>
      <c r="F60" s="3"/>
      <c r="G60" s="26">
        <v>4.58</v>
      </c>
      <c r="H60" s="10"/>
      <c r="I60" s="10">
        <f t="shared" si="8"/>
        <v>355.10553107295107</v>
      </c>
      <c r="J60" s="10">
        <f t="shared" si="6"/>
        <v>3408557333.5705533</v>
      </c>
      <c r="K60" s="11">
        <f t="shared" si="7"/>
        <v>6.9089965999999947E-2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9389609.9242143016</v>
      </c>
      <c r="D61" s="11">
        <v>2.1250000000000002E-2</v>
      </c>
      <c r="E61" s="10">
        <f t="shared" si="2"/>
        <v>195377.44028352946</v>
      </c>
      <c r="F61" s="3"/>
      <c r="G61" s="26">
        <v>4.17</v>
      </c>
      <c r="H61" s="10"/>
      <c r="I61" s="10">
        <f t="shared" si="8"/>
        <v>339.55395971787249</v>
      </c>
      <c r="J61" s="10">
        <f t="shared" si="6"/>
        <v>3188279229.9731989</v>
      </c>
      <c r="K61" s="11">
        <f t="shared" si="7"/>
        <v>6.3836125000000132E-2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9194232.4839307722</v>
      </c>
      <c r="D62" s="11">
        <v>2.095E-2</v>
      </c>
      <c r="E62" s="10">
        <f t="shared" si="2"/>
        <v>188666.60516024195</v>
      </c>
      <c r="F62" s="3"/>
      <c r="G62" s="26">
        <v>4.66</v>
      </c>
      <c r="H62" s="10"/>
      <c r="I62" s="10">
        <f t="shared" si="8"/>
        <v>325.96137056529949</v>
      </c>
      <c r="J62" s="10">
        <f t="shared" si="6"/>
        <v>2996964621.7580724</v>
      </c>
      <c r="K62" s="11">
        <f t="shared" si="7"/>
        <v>6.852627E-2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9005565.8787705302</v>
      </c>
      <c r="D63" s="11">
        <v>2.0619999999999999E-2</v>
      </c>
      <c r="E63" s="10">
        <f t="shared" si="2"/>
        <v>181943.10166393779</v>
      </c>
      <c r="F63" s="3"/>
      <c r="G63" s="26">
        <v>1.72</v>
      </c>
      <c r="H63" s="10"/>
      <c r="I63" s="10">
        <f t="shared" si="8"/>
        <v>311.44789849541326</v>
      </c>
      <c r="J63" s="10">
        <f t="shared" si="6"/>
        <v>2804764567.705081</v>
      </c>
      <c r="K63" s="11">
        <f t="shared" si="7"/>
        <v>3.8174663999999803E-2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8823622.7771065924</v>
      </c>
      <c r="D64" s="11">
        <v>2.0230000000000001E-2</v>
      </c>
      <c r="E64" s="10">
        <f t="shared" si="2"/>
        <v>174962.39944019169</v>
      </c>
      <c r="F64" s="3"/>
      <c r="G64" s="26">
        <v>2.81</v>
      </c>
      <c r="H64" s="10"/>
      <c r="I64" s="10">
        <f t="shared" si="8"/>
        <v>306.18157539855804</v>
      </c>
      <c r="J64" s="10">
        <f t="shared" si="6"/>
        <v>2701630722.6170964</v>
      </c>
      <c r="K64" s="11">
        <f t="shared" si="7"/>
        <v>4.8898463000000225E-2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8648660.3776664007</v>
      </c>
      <c r="D65" s="11">
        <v>1.9689999999999999E-2</v>
      </c>
      <c r="E65" s="10">
        <f t="shared" si="2"/>
        <v>167003.81766640022</v>
      </c>
      <c r="F65" s="3"/>
      <c r="G65" s="26">
        <v>-1.65</v>
      </c>
      <c r="H65" s="10"/>
      <c r="I65" s="10">
        <f t="shared" si="8"/>
        <v>297.81302927590508</v>
      </c>
      <c r="J65" s="10">
        <f t="shared" si="6"/>
        <v>2575683746.2513242</v>
      </c>
      <c r="K65" s="11">
        <f t="shared" si="7"/>
        <v>2.8651150000000847E-3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8481656.5600000005</v>
      </c>
      <c r="D66" s="11">
        <v>1.8939999999999999E-2</v>
      </c>
      <c r="E66" s="10">
        <f t="shared" si="2"/>
        <v>157656.56000000052</v>
      </c>
      <c r="F66" s="23">
        <f>SUM(F2)</f>
        <v>22833760</v>
      </c>
      <c r="G66" s="26">
        <v>1.91</v>
      </c>
      <c r="H66" s="10"/>
      <c r="I66" s="10">
        <f t="shared" si="8"/>
        <v>302.80938411378247</v>
      </c>
      <c r="J66" s="10">
        <f t="shared" ref="J66:J67" si="9">IF(I66="","",I66*C66)</f>
        <v>2568325199.1982231</v>
      </c>
      <c r="K66" s="11">
        <f t="shared" ref="K66" si="10">IFERROR(J66/J67-1,"")</f>
        <v>3.8401754000000121E-2</v>
      </c>
    </row>
    <row r="67" spans="1:11" ht="22.5" customHeight="1">
      <c r="A67" s="3">
        <f t="shared" si="0"/>
        <v>1950</v>
      </c>
      <c r="B67" s="3">
        <v>1700</v>
      </c>
      <c r="C67" s="10">
        <v>8324000</v>
      </c>
      <c r="D67" s="11">
        <v>1.7899999999999999E-2</v>
      </c>
      <c r="E67" s="3" t="s">
        <v>72</v>
      </c>
      <c r="F67" s="10">
        <f>SUM(C2)</f>
        <v>22832299.420154601</v>
      </c>
      <c r="G67" s="26">
        <v>-1.6</v>
      </c>
      <c r="H67" s="10"/>
      <c r="I67" s="10">
        <f t="shared" ref="I67" si="11">IF(H67&lt;&gt;"",H67,I66/(1+IF(G66="",0,G66)/100))</f>
        <v>297.13412237639341</v>
      </c>
      <c r="J67" s="10">
        <f t="shared" si="9"/>
        <v>2473344434.6610985</v>
      </c>
      <c r="K67" s="11"/>
    </row>
  </sheetData>
  <dataValidations count="1">
    <dataValidation type="custom" allowBlank="1" showDropDown="1" sqref="D2:D67" xr:uid="{00000000-0002-0000-3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M67"/>
  <sheetViews>
    <sheetView workbookViewId="0">
      <selection activeCell="K42" sqref="K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5" t="s">
        <v>75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>SUM(C3*(1+E1))</f>
        <v>1724704.1780236477</v>
      </c>
      <c r="D2" s="11">
        <v>1.917E-2</v>
      </c>
      <c r="E2" s="10">
        <f t="shared" ref="E2:E66" si="1">SUM(C2-C3)</f>
        <v>17076.278990333201</v>
      </c>
      <c r="F2" s="14">
        <v>1724423</v>
      </c>
      <c r="G2" s="26">
        <v>3.98</v>
      </c>
      <c r="H2" s="10"/>
      <c r="I2" s="10">
        <f>IF(H2&lt;&gt;"",H2,19552)</f>
        <v>2444</v>
      </c>
      <c r="J2" s="10">
        <f t="shared" ref="J2:J33" si="2">IF(I2="","",I2*C2)</f>
        <v>4215177011.0897951</v>
      </c>
      <c r="K2" s="11">
        <f t="shared" ref="K2:K33" si="3">IFERROR(J2/J3-1,"")</f>
        <v>5.0198000000000187E-2</v>
      </c>
    </row>
    <row r="3" spans="1:13" ht="22.5" customHeight="1">
      <c r="A3" s="3">
        <f t="shared" si="0"/>
        <v>2014</v>
      </c>
      <c r="B3" s="3">
        <v>1764</v>
      </c>
      <c r="C3" s="10">
        <f t="shared" ref="C3:C66" si="4">SUM(C4*(1+D3))</f>
        <v>1707627.8990333145</v>
      </c>
      <c r="D3" s="11">
        <v>1.983E-2</v>
      </c>
      <c r="E3" s="10">
        <f t="shared" si="1"/>
        <v>33203.829302757047</v>
      </c>
      <c r="F3" s="3"/>
      <c r="G3" s="26">
        <v>6.01</v>
      </c>
      <c r="H3" s="10"/>
      <c r="I3" s="10">
        <f t="shared" ref="I3:I34" si="5">IF(H3&lt;&gt;"",H3,I2/(1+IF(G2="",0,G2)/100))</f>
        <v>2350.4520100019231</v>
      </c>
      <c r="J3" s="10">
        <f t="shared" si="2"/>
        <v>4013697427.6182151</v>
      </c>
      <c r="K3" s="11">
        <f t="shared" si="3"/>
        <v>8.1121782999999947E-2</v>
      </c>
    </row>
    <row r="4" spans="1:13" ht="22.5" customHeight="1">
      <c r="A4" s="3">
        <f t="shared" si="0"/>
        <v>2013</v>
      </c>
      <c r="B4" s="3">
        <v>1763</v>
      </c>
      <c r="C4" s="10">
        <f t="shared" si="4"/>
        <v>1674424.0697305575</v>
      </c>
      <c r="D4" s="11">
        <v>2.2630000000000001E-2</v>
      </c>
      <c r="E4" s="10">
        <f t="shared" si="1"/>
        <v>37053.691655830946</v>
      </c>
      <c r="F4" s="3"/>
      <c r="G4" s="26">
        <v>3.53</v>
      </c>
      <c r="H4" s="10"/>
      <c r="I4" s="10">
        <f t="shared" si="5"/>
        <v>2217.198386946442</v>
      </c>
      <c r="J4" s="10">
        <f t="shared" si="2"/>
        <v>3712530346.4708891</v>
      </c>
      <c r="K4" s="11">
        <f t="shared" si="3"/>
        <v>5.8728838999999811E-2</v>
      </c>
    </row>
    <row r="5" spans="1:13" ht="22.5" customHeight="1">
      <c r="A5" s="3">
        <f t="shared" si="0"/>
        <v>2012</v>
      </c>
      <c r="B5" s="3">
        <v>1762</v>
      </c>
      <c r="C5" s="10">
        <f t="shared" si="4"/>
        <v>1637370.3780747266</v>
      </c>
      <c r="D5" s="11">
        <v>2.5520000000000001E-2</v>
      </c>
      <c r="E5" s="10">
        <f t="shared" si="1"/>
        <v>40745.857758470811</v>
      </c>
      <c r="F5" s="3"/>
      <c r="G5" s="26">
        <v>4.67</v>
      </c>
      <c r="H5" s="10"/>
      <c r="I5" s="10">
        <f t="shared" si="5"/>
        <v>2141.5999101192333</v>
      </c>
      <c r="J5" s="10">
        <f t="shared" si="2"/>
        <v>3506592254.5167294</v>
      </c>
      <c r="K5" s="11">
        <f t="shared" si="3"/>
        <v>7.3411783999999924E-2</v>
      </c>
    </row>
    <row r="6" spans="1:13" ht="22.5" customHeight="1">
      <c r="A6" s="3">
        <f t="shared" si="0"/>
        <v>2011</v>
      </c>
      <c r="B6" s="3">
        <v>1761</v>
      </c>
      <c r="C6" s="10">
        <f t="shared" si="4"/>
        <v>1596624.5203162557</v>
      </c>
      <c r="D6" s="11">
        <v>7.6299999999999996E-3</v>
      </c>
      <c r="E6" s="10">
        <f t="shared" si="1"/>
        <v>12089.998402204365</v>
      </c>
      <c r="F6" s="3"/>
      <c r="G6" s="26">
        <v>3.42</v>
      </c>
      <c r="H6" s="10"/>
      <c r="I6" s="10">
        <f t="shared" si="5"/>
        <v>2046.0494029991721</v>
      </c>
      <c r="J6" s="10">
        <f t="shared" si="2"/>
        <v>3266772646.6069145</v>
      </c>
      <c r="K6" s="11">
        <f t="shared" si="3"/>
        <v>4.2090946000000073E-2</v>
      </c>
    </row>
    <row r="7" spans="1:13" ht="22.5" customHeight="1">
      <c r="A7" s="3">
        <f t="shared" si="0"/>
        <v>2010</v>
      </c>
      <c r="B7" s="3">
        <v>1760</v>
      </c>
      <c r="C7" s="10">
        <f t="shared" si="4"/>
        <v>1584534.5219140514</v>
      </c>
      <c r="D7" s="11">
        <v>3.1900000000000001E-3</v>
      </c>
      <c r="E7" s="10">
        <f t="shared" si="1"/>
        <v>5038.5920163735282</v>
      </c>
      <c r="F7" s="3"/>
      <c r="G7" s="26">
        <v>4.82</v>
      </c>
      <c r="H7" s="10"/>
      <c r="I7" s="10">
        <f t="shared" si="5"/>
        <v>1978.3885157601742</v>
      </c>
      <c r="J7" s="10">
        <f t="shared" si="2"/>
        <v>3134824900.9802971</v>
      </c>
      <c r="K7" s="11">
        <f t="shared" si="3"/>
        <v>5.1543757999999773E-2</v>
      </c>
    </row>
    <row r="8" spans="1:13" ht="22.5" customHeight="1">
      <c r="A8" s="3">
        <f t="shared" si="0"/>
        <v>2009</v>
      </c>
      <c r="B8" s="3">
        <v>1759</v>
      </c>
      <c r="C8" s="10">
        <f t="shared" si="4"/>
        <v>1579495.9298976779</v>
      </c>
      <c r="D8" s="11">
        <v>2.2000000000000001E-3</v>
      </c>
      <c r="E8" s="10">
        <f t="shared" si="1"/>
        <v>3467.2630670273211</v>
      </c>
      <c r="F8" s="3"/>
      <c r="G8" s="26">
        <v>4.53</v>
      </c>
      <c r="H8" s="10"/>
      <c r="I8" s="10">
        <f t="shared" si="5"/>
        <v>1887.4151075750565</v>
      </c>
      <c r="J8" s="10">
        <f t="shared" si="2"/>
        <v>2981164480.4421897</v>
      </c>
      <c r="K8" s="11">
        <f t="shared" si="3"/>
        <v>4.7599659999999933E-2</v>
      </c>
    </row>
    <row r="9" spans="1:13" ht="22.5" customHeight="1">
      <c r="A9" s="3">
        <f t="shared" si="0"/>
        <v>2008</v>
      </c>
      <c r="B9" s="3">
        <v>1758</v>
      </c>
      <c r="C9" s="10">
        <f t="shared" si="4"/>
        <v>1576028.6668306505</v>
      </c>
      <c r="D9" s="11">
        <v>-8.9999999999999998E-4</v>
      </c>
      <c r="E9" s="10">
        <f t="shared" si="1"/>
        <v>-1419.7035333276726</v>
      </c>
      <c r="F9" s="3"/>
      <c r="G9" s="26">
        <v>6.1</v>
      </c>
      <c r="H9" s="10"/>
      <c r="I9" s="10">
        <f t="shared" si="5"/>
        <v>1805.6204989716414</v>
      </c>
      <c r="J9" s="10">
        <f t="shared" si="2"/>
        <v>2845709667.79637</v>
      </c>
      <c r="K9" s="11">
        <f t="shared" si="3"/>
        <v>6.0045099999999962E-2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4"/>
        <v>1577448.3703639782</v>
      </c>
      <c r="D10" s="11">
        <v>-1.1999999999999999E-3</v>
      </c>
      <c r="E10" s="10">
        <f t="shared" si="1"/>
        <v>-1895.2122991958167</v>
      </c>
      <c r="F10" s="3"/>
      <c r="G10" s="26">
        <v>3.41</v>
      </c>
      <c r="H10" s="10"/>
      <c r="I10" s="10">
        <f t="shared" si="5"/>
        <v>1701.810083856401</v>
      </c>
      <c r="J10" s="10">
        <f t="shared" si="2"/>
        <v>2684517543.4482646</v>
      </c>
      <c r="K10" s="11">
        <f t="shared" si="3"/>
        <v>3.2859079999999929E-2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4"/>
        <v>1579343.582663174</v>
      </c>
      <c r="D11" s="11">
        <v>-1.49E-3</v>
      </c>
      <c r="E11" s="10">
        <f t="shared" si="1"/>
        <v>-2356.7334710399155</v>
      </c>
      <c r="F11" s="3"/>
      <c r="G11" s="26">
        <v>3.36</v>
      </c>
      <c r="H11" s="10"/>
      <c r="I11" s="10">
        <f t="shared" si="5"/>
        <v>1645.6919870964132</v>
      </c>
      <c r="J11" s="10">
        <f t="shared" si="2"/>
        <v>2599113078.8609271</v>
      </c>
      <c r="K11" s="11">
        <f t="shared" si="3"/>
        <v>3.2059936000000011E-2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4"/>
        <v>1581700.3161342139</v>
      </c>
      <c r="D12" s="11">
        <v>-1.5900000000000001E-3</v>
      </c>
      <c r="E12" s="10">
        <f t="shared" si="1"/>
        <v>-2518.9085672753863</v>
      </c>
      <c r="F12" s="3"/>
      <c r="G12" s="26">
        <v>3.48</v>
      </c>
      <c r="H12" s="10"/>
      <c r="I12" s="10">
        <f t="shared" si="5"/>
        <v>1592.1942599617</v>
      </c>
      <c r="J12" s="10">
        <f t="shared" si="2"/>
        <v>2518374164.3285017</v>
      </c>
      <c r="K12" s="11">
        <f t="shared" si="3"/>
        <v>3.3154667999999887E-2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4"/>
        <v>1584219.2247014893</v>
      </c>
      <c r="D13" s="11">
        <v>-5.9999999999999995E-4</v>
      </c>
      <c r="E13" s="10">
        <f t="shared" si="1"/>
        <v>-951.10219613858499</v>
      </c>
      <c r="F13" s="3"/>
      <c r="G13" s="26">
        <v>4.68</v>
      </c>
      <c r="H13" s="10"/>
      <c r="I13" s="10">
        <f t="shared" si="5"/>
        <v>1538.6492655215502</v>
      </c>
      <c r="J13" s="10">
        <f t="shared" si="2"/>
        <v>2437557746.5120664</v>
      </c>
      <c r="K13" s="11">
        <f t="shared" si="3"/>
        <v>4.6171919999999922E-2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4"/>
        <v>1585170.3268976279</v>
      </c>
      <c r="D14" s="11">
        <v>8.0000000000000004E-4</v>
      </c>
      <c r="E14" s="10">
        <f t="shared" si="1"/>
        <v>1267.1225634671282</v>
      </c>
      <c r="F14" s="3"/>
      <c r="G14" s="26">
        <v>3.95</v>
      </c>
      <c r="H14" s="10"/>
      <c r="I14" s="10">
        <f t="shared" si="5"/>
        <v>1469.8598256797386</v>
      </c>
      <c r="J14" s="10">
        <f t="shared" si="2"/>
        <v>2329978180.3664417</v>
      </c>
      <c r="K14" s="11">
        <f t="shared" si="3"/>
        <v>4.0331600000000023E-2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4"/>
        <v>1583903.2043341608</v>
      </c>
      <c r="D15" s="11">
        <v>-5.2599999999999999E-3</v>
      </c>
      <c r="E15" s="10">
        <f t="shared" si="1"/>
        <v>-8375.3853819065262</v>
      </c>
      <c r="F15" s="3"/>
      <c r="G15" s="26">
        <v>0.12</v>
      </c>
      <c r="H15" s="10"/>
      <c r="I15" s="10">
        <f t="shared" si="5"/>
        <v>1414.0065663104747</v>
      </c>
      <c r="J15" s="10">
        <f t="shared" si="2"/>
        <v>2239649531.3287048</v>
      </c>
      <c r="K15" s="11">
        <f t="shared" si="3"/>
        <v>-4.0663120000000719E-3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4"/>
        <v>1592278.5897160673</v>
      </c>
      <c r="D16" s="11">
        <v>-4.4400000000000004E-3</v>
      </c>
      <c r="E16" s="10">
        <f t="shared" si="1"/>
        <v>-7101.2464726779144</v>
      </c>
      <c r="F16" s="3"/>
      <c r="G16" s="26">
        <v>4.8</v>
      </c>
      <c r="H16" s="10"/>
      <c r="I16" s="10">
        <f t="shared" si="5"/>
        <v>1412.3117921598828</v>
      </c>
      <c r="J16" s="10">
        <f t="shared" si="2"/>
        <v>2248793828.6597099</v>
      </c>
      <c r="K16" s="11">
        <f t="shared" si="3"/>
        <v>4.334688000000031E-2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4"/>
        <v>1599379.8361887452</v>
      </c>
      <c r="D17" s="11">
        <v>-2.8500000000000001E-3</v>
      </c>
      <c r="E17" s="10">
        <f t="shared" si="1"/>
        <v>-4571.2606259218883</v>
      </c>
      <c r="F17" s="3"/>
      <c r="G17" s="26">
        <v>6.2</v>
      </c>
      <c r="H17" s="10"/>
      <c r="I17" s="10">
        <f t="shared" si="5"/>
        <v>1347.6257558777506</v>
      </c>
      <c r="J17" s="10">
        <f t="shared" si="2"/>
        <v>2155365460.6794906</v>
      </c>
      <c r="K17" s="11">
        <f t="shared" si="3"/>
        <v>5.8973299999999895E-2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4"/>
        <v>1603951.0968146671</v>
      </c>
      <c r="D18" s="11">
        <v>-9.7999999999999997E-4</v>
      </c>
      <c r="E18" s="10">
        <f t="shared" si="1"/>
        <v>-1573.4140206186567</v>
      </c>
      <c r="F18" s="3"/>
      <c r="G18" s="26">
        <v>4.41</v>
      </c>
      <c r="H18" s="10"/>
      <c r="I18" s="10">
        <f t="shared" si="5"/>
        <v>1268.9508059112529</v>
      </c>
      <c r="J18" s="10">
        <f t="shared" si="2"/>
        <v>2035335036.94521</v>
      </c>
      <c r="K18" s="11">
        <f t="shared" si="3"/>
        <v>4.307678199999998E-2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4"/>
        <v>1605524.5108352858</v>
      </c>
      <c r="D19" s="11">
        <v>-1.1800000000000001E-3</v>
      </c>
      <c r="E19" s="10">
        <f t="shared" si="1"/>
        <v>-1896.7570961590391</v>
      </c>
      <c r="F19" s="3"/>
      <c r="G19" s="26">
        <v>3.02</v>
      </c>
      <c r="H19" s="10"/>
      <c r="I19" s="10">
        <f t="shared" si="5"/>
        <v>1215.353707414283</v>
      </c>
      <c r="J19" s="10">
        <f t="shared" si="2"/>
        <v>1951280166.5881677</v>
      </c>
      <c r="K19" s="11">
        <f t="shared" si="3"/>
        <v>2.898436400000004E-2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4"/>
        <v>1607421.2679314448</v>
      </c>
      <c r="D20" s="11">
        <v>1.3699999999999999E-3</v>
      </c>
      <c r="E20" s="10">
        <f t="shared" si="1"/>
        <v>2199.1542956810445</v>
      </c>
      <c r="F20" s="3"/>
      <c r="G20" s="26">
        <v>5.05</v>
      </c>
      <c r="H20" s="10"/>
      <c r="I20" s="10">
        <f t="shared" si="5"/>
        <v>1179.7259827356659</v>
      </c>
      <c r="J20" s="10">
        <f t="shared" si="2"/>
        <v>1896316634.9806337</v>
      </c>
      <c r="K20" s="11">
        <f t="shared" si="3"/>
        <v>5.1939184999999943E-2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4"/>
        <v>1605222.1136357638</v>
      </c>
      <c r="D21" s="11">
        <v>1.3699999999999999E-3</v>
      </c>
      <c r="E21" s="10">
        <f t="shared" si="1"/>
        <v>2196.145576241659</v>
      </c>
      <c r="F21" s="3"/>
      <c r="G21" s="26">
        <v>5.33</v>
      </c>
      <c r="H21" s="10"/>
      <c r="I21" s="10">
        <f t="shared" si="5"/>
        <v>1123.0137865165786</v>
      </c>
      <c r="J21" s="10">
        <f t="shared" si="2"/>
        <v>1802686564.0342448</v>
      </c>
      <c r="K21" s="11">
        <f t="shared" si="3"/>
        <v>5.4743020999999947E-2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4"/>
        <v>1603025.9680595221</v>
      </c>
      <c r="D22" s="11">
        <v>2.2599999999999999E-3</v>
      </c>
      <c r="E22" s="10">
        <f t="shared" si="1"/>
        <v>3614.6695346659981</v>
      </c>
      <c r="F22" s="3"/>
      <c r="G22" s="26">
        <v>3.47</v>
      </c>
      <c r="H22" s="10"/>
      <c r="I22" s="10">
        <f t="shared" si="5"/>
        <v>1066.1860690369115</v>
      </c>
      <c r="J22" s="10">
        <f t="shared" si="2"/>
        <v>1709123955.4494715</v>
      </c>
      <c r="K22" s="11">
        <f t="shared" si="3"/>
        <v>3.703842199999996E-2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4"/>
        <v>1599411.2985248561</v>
      </c>
      <c r="D23" s="11">
        <v>3.0599999999999998E-3</v>
      </c>
      <c r="E23" s="10">
        <f t="shared" si="1"/>
        <v>4879.2680133653339</v>
      </c>
      <c r="F23" s="3"/>
      <c r="G23" s="26">
        <v>8.2200000000000006</v>
      </c>
      <c r="H23" s="10"/>
      <c r="I23" s="10">
        <f t="shared" si="5"/>
        <v>1030.4301430723026</v>
      </c>
      <c r="J23" s="10">
        <f t="shared" si="2"/>
        <v>1648081613.1704247</v>
      </c>
      <c r="K23" s="11">
        <f t="shared" si="3"/>
        <v>8.5511531999999946E-2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4"/>
        <v>1594532.0305114908</v>
      </c>
      <c r="D24" s="11">
        <v>3.96E-3</v>
      </c>
      <c r="E24" s="10">
        <f t="shared" si="1"/>
        <v>6289.4406558284536</v>
      </c>
      <c r="F24" s="3"/>
      <c r="G24" s="26">
        <v>3.85</v>
      </c>
      <c r="H24" s="10"/>
      <c r="I24" s="10">
        <f t="shared" si="5"/>
        <v>952.16239426381685</v>
      </c>
      <c r="J24" s="10">
        <f t="shared" si="2"/>
        <v>1518253435.9021666</v>
      </c>
      <c r="K24" s="11">
        <f t="shared" si="3"/>
        <v>4.2612460000000185E-2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4"/>
        <v>1588242.5898556623</v>
      </c>
      <c r="D25" s="11">
        <v>1.217E-2</v>
      </c>
      <c r="E25" s="10">
        <f t="shared" si="1"/>
        <v>19096.507818393642</v>
      </c>
      <c r="F25" s="3"/>
      <c r="G25" s="26">
        <v>4.1100000000000003</v>
      </c>
      <c r="H25" s="10"/>
      <c r="I25" s="10">
        <f t="shared" si="5"/>
        <v>916.86316250728635</v>
      </c>
      <c r="J25" s="10">
        <f t="shared" si="2"/>
        <v>1456201123.7638254</v>
      </c>
      <c r="K25" s="11">
        <f t="shared" si="3"/>
        <v>5.3770187000000025E-2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4"/>
        <v>1569146.0820372687</v>
      </c>
      <c r="D26" s="11">
        <v>2.2339999999999999E-2</v>
      </c>
      <c r="E26" s="10">
        <f t="shared" si="1"/>
        <v>34288.713610650739</v>
      </c>
      <c r="F26" s="3"/>
      <c r="G26" s="26">
        <v>19.37</v>
      </c>
      <c r="H26" s="10"/>
      <c r="I26" s="10">
        <f t="shared" si="5"/>
        <v>880.66771924626494</v>
      </c>
      <c r="J26" s="10">
        <f t="shared" si="2"/>
        <v>1381896301.2319739</v>
      </c>
      <c r="K26" s="11">
        <f t="shared" si="3"/>
        <v>0.22036725800000023</v>
      </c>
    </row>
    <row r="27" spans="1:13" ht="22.5" customHeight="1">
      <c r="A27" s="3">
        <f t="shared" si="0"/>
        <v>1990</v>
      </c>
      <c r="B27" s="3">
        <v>1740</v>
      </c>
      <c r="C27" s="10">
        <f t="shared" si="4"/>
        <v>1534857.3684266179</v>
      </c>
      <c r="D27" s="11">
        <v>2.453E-2</v>
      </c>
      <c r="E27" s="10">
        <f t="shared" si="1"/>
        <v>36748.607895820402</v>
      </c>
      <c r="F27" s="3"/>
      <c r="G27" s="26">
        <v>-25.64</v>
      </c>
      <c r="H27" s="10"/>
      <c r="I27" s="10">
        <f t="shared" si="5"/>
        <v>737.76302190354772</v>
      </c>
      <c r="J27" s="10">
        <f t="shared" si="2"/>
        <v>1132361010.3213484</v>
      </c>
      <c r="K27" s="11">
        <f t="shared" si="3"/>
        <v>-0.23815949200000008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4"/>
        <v>1498108.7605307975</v>
      </c>
      <c r="D28" s="11">
        <v>2.4170000000000001E-2</v>
      </c>
      <c r="E28" s="10">
        <f t="shared" si="1"/>
        <v>35354.764093880309</v>
      </c>
      <c r="F28" s="3"/>
      <c r="G28" s="26">
        <v>4.33</v>
      </c>
      <c r="H28" s="10"/>
      <c r="I28" s="10">
        <f t="shared" si="5"/>
        <v>992.15037910643855</v>
      </c>
      <c r="J28" s="10">
        <f t="shared" si="2"/>
        <v>1486349174.7033076</v>
      </c>
      <c r="K28" s="11">
        <f t="shared" si="3"/>
        <v>6.8516561000000031E-2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4"/>
        <v>1462753.9964369172</v>
      </c>
      <c r="D29" s="11">
        <v>2.4549999999999999E-2</v>
      </c>
      <c r="E29" s="10">
        <f t="shared" si="1"/>
        <v>35050.129922918743</v>
      </c>
      <c r="F29" s="3"/>
      <c r="G29" s="26">
        <v>7.7</v>
      </c>
      <c r="H29" s="10"/>
      <c r="I29" s="10">
        <f t="shared" si="5"/>
        <v>950.97323790514588</v>
      </c>
      <c r="J29" s="10">
        <f t="shared" si="2"/>
        <v>1391039904.2503073</v>
      </c>
      <c r="K29" s="11">
        <f t="shared" si="3"/>
        <v>0.10344034999999985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4"/>
        <v>1427703.8665139985</v>
      </c>
      <c r="D30" s="11">
        <v>2.3699999999999999E-2</v>
      </c>
      <c r="E30" s="10">
        <f t="shared" si="1"/>
        <v>33053.220314918319</v>
      </c>
      <c r="F30" s="3"/>
      <c r="G30" s="26">
        <v>1.7</v>
      </c>
      <c r="H30" s="10"/>
      <c r="I30" s="10">
        <f t="shared" si="5"/>
        <v>882.98350780422095</v>
      </c>
      <c r="J30" s="10">
        <f t="shared" si="2"/>
        <v>1260638968.1601796</v>
      </c>
      <c r="K30" s="11">
        <f t="shared" si="3"/>
        <v>4.1102900000000053E-2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4"/>
        <v>1394650.6461990802</v>
      </c>
      <c r="D31" s="11">
        <v>2.2540000000000001E-2</v>
      </c>
      <c r="E31" s="10">
        <f t="shared" si="1"/>
        <v>30742.489844238153</v>
      </c>
      <c r="F31" s="3"/>
      <c r="G31" s="26">
        <v>4.57</v>
      </c>
      <c r="H31" s="10"/>
      <c r="I31" s="10">
        <f t="shared" si="5"/>
        <v>868.22370482224289</v>
      </c>
      <c r="J31" s="10">
        <f t="shared" si="2"/>
        <v>1210868750.9757004</v>
      </c>
      <c r="K31" s="11">
        <f t="shared" si="3"/>
        <v>6.9270077999999957E-2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4"/>
        <v>1363908.156354842</v>
      </c>
      <c r="D32" s="11">
        <v>2.1520000000000001E-2</v>
      </c>
      <c r="E32" s="10">
        <f t="shared" si="1"/>
        <v>28732.970010138117</v>
      </c>
      <c r="F32" s="3"/>
      <c r="G32" s="26">
        <v>6.14</v>
      </c>
      <c r="H32" s="10"/>
      <c r="I32" s="10">
        <f t="shared" si="5"/>
        <v>830.2799128069646</v>
      </c>
      <c r="J32" s="10">
        <f t="shared" si="2"/>
        <v>1132425545.135006</v>
      </c>
      <c r="K32" s="11">
        <f t="shared" si="3"/>
        <v>8.4241327999999838E-2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4"/>
        <v>1335175.1863447039</v>
      </c>
      <c r="D33" s="11">
        <v>1.958E-2</v>
      </c>
      <c r="E33" s="10">
        <f t="shared" si="1"/>
        <v>25640.68552602944</v>
      </c>
      <c r="F33" s="3"/>
      <c r="G33" s="26">
        <v>9.68</v>
      </c>
      <c r="H33" s="10"/>
      <c r="I33" s="10">
        <f t="shared" si="5"/>
        <v>782.24977652813709</v>
      </c>
      <c r="J33" s="10">
        <f t="shared" si="2"/>
        <v>1044440491.1440585</v>
      </c>
      <c r="K33" s="11">
        <f t="shared" si="3"/>
        <v>0.11827534399999995</v>
      </c>
    </row>
    <row r="34" spans="1:13" ht="22.5" customHeight="1">
      <c r="A34" s="3">
        <f t="shared" si="0"/>
        <v>1983</v>
      </c>
      <c r="B34" s="3">
        <v>1733</v>
      </c>
      <c r="C34" s="10">
        <f t="shared" si="4"/>
        <v>1309534.5008186745</v>
      </c>
      <c r="D34" s="11">
        <v>1.9109999999999999E-2</v>
      </c>
      <c r="E34" s="10">
        <f t="shared" si="1"/>
        <v>24555.940291671082</v>
      </c>
      <c r="F34" s="3"/>
      <c r="G34" s="26">
        <v>-4.28</v>
      </c>
      <c r="H34" s="10"/>
      <c r="I34" s="10">
        <f t="shared" si="5"/>
        <v>713.21095598845466</v>
      </c>
      <c r="J34" s="10">
        <f t="shared" ref="J34:J65" si="6">IF(I34="","",I34*C34)</f>
        <v>933974353.22875059</v>
      </c>
      <c r="K34" s="11">
        <f t="shared" ref="K34:K39" si="7">IFERROR(J34/J35-1,"")</f>
        <v>-1.1259477999999934E-2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4"/>
        <v>1284978.5605270034</v>
      </c>
      <c r="D35" s="11">
        <v>2.4510000000000001E-2</v>
      </c>
      <c r="E35" s="10">
        <f t="shared" si="1"/>
        <v>30741.353933604201</v>
      </c>
      <c r="F35" s="3"/>
      <c r="G35" s="26">
        <v>1.08</v>
      </c>
      <c r="H35" s="10"/>
      <c r="I35" s="10">
        <f t="shared" ref="I35:I66" si="8">IF(H35&lt;&gt;"",H35,I34/(1+IF(G34="",0,G34)/100))</f>
        <v>735.11745618269913</v>
      </c>
      <c r="J35" s="10">
        <f t="shared" si="6"/>
        <v>944610170.66391718</v>
      </c>
      <c r="K35" s="11">
        <f t="shared" si="7"/>
        <v>6.3236478000000096E-2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4"/>
        <v>1254237.2065933992</v>
      </c>
      <c r="D36" s="11">
        <v>2.6030000000000001E-2</v>
      </c>
      <c r="E36" s="10">
        <f t="shared" si="1"/>
        <v>31819.532067898661</v>
      </c>
      <c r="F36" s="3"/>
      <c r="G36" s="26">
        <v>3.54</v>
      </c>
      <c r="H36" s="10"/>
      <c r="I36" s="10">
        <f t="shared" si="8"/>
        <v>708.34212389930531</v>
      </c>
      <c r="J36" s="10">
        <f t="shared" si="6"/>
        <v>888429046.79190016</v>
      </c>
      <c r="K36" s="11">
        <f t="shared" si="7"/>
        <v>0.11160090199999972</v>
      </c>
    </row>
    <row r="37" spans="1:13" ht="22.5" customHeight="1">
      <c r="A37" s="3">
        <f t="shared" si="0"/>
        <v>1980</v>
      </c>
      <c r="B37" s="3">
        <v>1730</v>
      </c>
      <c r="C37" s="10">
        <f t="shared" si="4"/>
        <v>1222417.6745255005</v>
      </c>
      <c r="D37" s="11">
        <v>2.3140000000000001E-2</v>
      </c>
      <c r="E37" s="10">
        <f t="shared" si="1"/>
        <v>27646.993557597278</v>
      </c>
      <c r="F37" s="3"/>
      <c r="G37" s="26">
        <v>-7.62</v>
      </c>
      <c r="H37" s="10"/>
      <c r="I37" s="10">
        <f t="shared" si="8"/>
        <v>653.81403350498931</v>
      </c>
      <c r="J37" s="10">
        <f t="shared" si="6"/>
        <v>799233830.40930676</v>
      </c>
      <c r="K37" s="11" t="str">
        <f t="shared" si="7"/>
        <v/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4"/>
        <v>1194770.6809679032</v>
      </c>
      <c r="D38" s="11">
        <v>2.478E-2</v>
      </c>
      <c r="E38" s="10">
        <f t="shared" si="1"/>
        <v>28890.510621191468</v>
      </c>
      <c r="F38" s="3"/>
      <c r="G38" s="26"/>
      <c r="H38" s="10"/>
      <c r="I38" s="10"/>
      <c r="J38" s="10" t="str">
        <f t="shared" si="6"/>
        <v/>
      </c>
      <c r="K38" s="11" t="str">
        <f t="shared" si="7"/>
        <v/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4"/>
        <v>1165880.1703467118</v>
      </c>
      <c r="D39" s="11">
        <v>2.1100000000000001E-2</v>
      </c>
      <c r="E39" s="10">
        <f t="shared" si="1"/>
        <v>24091.735965444706</v>
      </c>
      <c r="F39" s="3"/>
      <c r="G39" s="26"/>
      <c r="H39" s="10"/>
      <c r="I39" s="10"/>
      <c r="J39" s="10" t="str">
        <f t="shared" si="6"/>
        <v/>
      </c>
      <c r="K39" s="11" t="str">
        <f t="shared" si="7"/>
        <v/>
      </c>
    </row>
    <row r="40" spans="1:13" ht="22.5" customHeight="1">
      <c r="A40" s="3">
        <f t="shared" si="0"/>
        <v>1977</v>
      </c>
      <c r="B40" s="3">
        <v>1727</v>
      </c>
      <c r="C40" s="10">
        <f t="shared" si="4"/>
        <v>1141788.4343812671</v>
      </c>
      <c r="D40" s="11">
        <v>1.619E-2</v>
      </c>
      <c r="E40" s="10">
        <f t="shared" si="1"/>
        <v>18191.041786115384</v>
      </c>
      <c r="F40" s="3"/>
      <c r="G40" s="26"/>
      <c r="H40" s="10"/>
      <c r="I40" s="10"/>
      <c r="J40" s="10" t="str">
        <f t="shared" si="6"/>
        <v/>
      </c>
      <c r="K40" s="11" t="str">
        <f>IFERROR(J40/J41-1,"")</f>
        <v/>
      </c>
    </row>
    <row r="41" spans="1:13" ht="22.5" customHeight="1">
      <c r="A41" s="3">
        <f t="shared" si="0"/>
        <v>1976</v>
      </c>
      <c r="B41" s="3">
        <v>1726</v>
      </c>
      <c r="C41" s="10">
        <f t="shared" si="4"/>
        <v>1123597.3925951517</v>
      </c>
      <c r="D41" s="11">
        <v>1.1469999999999999E-2</v>
      </c>
      <c r="E41" s="10">
        <f t="shared" si="1"/>
        <v>12741.51689428906</v>
      </c>
      <c r="F41" s="3"/>
      <c r="G41" s="26"/>
      <c r="H41" s="10"/>
      <c r="I41" s="10"/>
      <c r="J41" s="10"/>
      <c r="K41" s="11" t="str">
        <f>IFERROR(J41/J42-1,"")</f>
        <v/>
      </c>
    </row>
    <row r="42" spans="1:13" ht="22.5" customHeight="1">
      <c r="A42" s="3">
        <f t="shared" si="0"/>
        <v>1975</v>
      </c>
      <c r="B42" s="3">
        <v>1725</v>
      </c>
      <c r="C42" s="10">
        <f t="shared" si="4"/>
        <v>1110855.8757008626</v>
      </c>
      <c r="D42" s="11">
        <v>1.0449999999999999E-2</v>
      </c>
      <c r="E42" s="10">
        <f t="shared" si="1"/>
        <v>11488.390223241178</v>
      </c>
      <c r="F42" s="3"/>
      <c r="G42" s="26"/>
      <c r="H42" s="10"/>
      <c r="I42" s="10"/>
      <c r="J42" s="10"/>
      <c r="K42" s="11" t="str">
        <f>IFERROR(J42/J43-1,"")</f>
        <v/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4"/>
        <v>1099367.4854776214</v>
      </c>
      <c r="D43" s="11">
        <v>7.9399999999999991E-3</v>
      </c>
      <c r="E43" s="10">
        <f t="shared" si="1"/>
        <v>8660.2157218607608</v>
      </c>
      <c r="F43" s="3"/>
      <c r="G43" s="26"/>
      <c r="H43" s="10"/>
      <c r="I43" s="10"/>
      <c r="J43" s="10"/>
      <c r="K43" s="11" t="str">
        <f>IFERROR(J43/J44-1,"")</f>
        <v/>
      </c>
    </row>
    <row r="44" spans="1:13" ht="22.5" customHeight="1">
      <c r="A44" s="3">
        <f t="shared" si="0"/>
        <v>1973</v>
      </c>
      <c r="B44" s="3">
        <v>1723</v>
      </c>
      <c r="C44" s="10">
        <f t="shared" si="4"/>
        <v>1090707.2697557607</v>
      </c>
      <c r="D44" s="11">
        <v>8.7399999999999995E-3</v>
      </c>
      <c r="E44" s="10">
        <f t="shared" si="1"/>
        <v>9450.1869041232858</v>
      </c>
      <c r="F44" s="3"/>
      <c r="G44" s="26"/>
      <c r="H44" s="10"/>
      <c r="I44" s="10"/>
      <c r="J44" s="10"/>
      <c r="K44" s="11" t="str">
        <f>IFERROR(J44/J45-1,"")</f>
        <v/>
      </c>
    </row>
    <row r="45" spans="1:13" ht="22.5" customHeight="1">
      <c r="A45" s="3">
        <f t="shared" si="0"/>
        <v>1972</v>
      </c>
      <c r="B45" s="3">
        <v>1722</v>
      </c>
      <c r="C45" s="10">
        <f t="shared" si="4"/>
        <v>1081257.0828516374</v>
      </c>
      <c r="D45" s="11">
        <v>7.0499999999999998E-3</v>
      </c>
      <c r="E45" s="10">
        <f t="shared" si="1"/>
        <v>7569.4974768918473</v>
      </c>
      <c r="F45" s="3"/>
      <c r="G45" s="26"/>
      <c r="H45" s="10"/>
      <c r="I45" s="10"/>
      <c r="J45" s="10"/>
      <c r="K45" s="11" t="str">
        <f>IFERROR(J45/J46-1,"")</f>
        <v/>
      </c>
    </row>
    <row r="46" spans="1:13" ht="22.5" customHeight="1">
      <c r="A46" s="3">
        <f t="shared" si="0"/>
        <v>1971</v>
      </c>
      <c r="B46" s="3">
        <v>1721</v>
      </c>
      <c r="C46" s="10">
        <f t="shared" si="4"/>
        <v>1073687.5853747455</v>
      </c>
      <c r="D46" s="11">
        <v>7.6899999999999998E-3</v>
      </c>
      <c r="E46" s="10">
        <f t="shared" si="1"/>
        <v>8193.6483755239751</v>
      </c>
      <c r="F46" s="3"/>
      <c r="G46" s="26"/>
      <c r="H46" s="10"/>
      <c r="I46" s="10"/>
      <c r="J46" s="10"/>
      <c r="K46" s="11" t="str">
        <f>IFERROR(J46/J47-1,"")</f>
        <v/>
      </c>
    </row>
    <row r="47" spans="1:13" ht="22.5" customHeight="1">
      <c r="A47" s="3">
        <f t="shared" si="0"/>
        <v>1970</v>
      </c>
      <c r="B47" s="3">
        <v>1720</v>
      </c>
      <c r="C47" s="10">
        <f t="shared" si="4"/>
        <v>1065493.9369992216</v>
      </c>
      <c r="D47" s="11">
        <v>7.9000000000000008E-3</v>
      </c>
      <c r="E47" s="10">
        <f t="shared" si="1"/>
        <v>8351.4258381722029</v>
      </c>
      <c r="F47" s="3"/>
      <c r="G47" s="26"/>
      <c r="H47" s="10"/>
      <c r="I47" s="10"/>
      <c r="J47" s="10"/>
      <c r="K47" s="11" t="str">
        <f>IFERROR(J47/J48-1,"")</f>
        <v/>
      </c>
    </row>
    <row r="48" spans="1:13" ht="22.5" customHeight="1">
      <c r="A48" s="3">
        <f t="shared" si="0"/>
        <v>1969</v>
      </c>
      <c r="B48" s="3">
        <v>1719</v>
      </c>
      <c r="C48" s="10">
        <f t="shared" si="4"/>
        <v>1057142.5111610494</v>
      </c>
      <c r="D48" s="11">
        <v>3.1E-2</v>
      </c>
      <c r="E48" s="10">
        <f t="shared" si="1"/>
        <v>31786.050287092687</v>
      </c>
      <c r="F48" s="3"/>
      <c r="G48" s="26"/>
      <c r="H48" s="10"/>
      <c r="I48" s="10"/>
      <c r="J48" s="10"/>
      <c r="K48" s="11" t="str">
        <f>IFERROR(J48/J49-1,"")</f>
        <v/>
      </c>
    </row>
    <row r="49" spans="1:11" ht="22.5" customHeight="1">
      <c r="A49" s="3">
        <f t="shared" si="0"/>
        <v>1968</v>
      </c>
      <c r="B49" s="3">
        <v>1718</v>
      </c>
      <c r="C49" s="10">
        <f t="shared" si="4"/>
        <v>1025356.4608739567</v>
      </c>
      <c r="D49" s="11">
        <v>4.7730000000000002E-2</v>
      </c>
      <c r="E49" s="10">
        <f t="shared" si="1"/>
        <v>46710.759334479342</v>
      </c>
      <c r="F49" s="3"/>
      <c r="G49" s="26"/>
      <c r="H49" s="10"/>
      <c r="I49" s="10"/>
      <c r="J49" s="10"/>
      <c r="K49" s="11" t="str">
        <f>IFERROR(J49/J50-1,"")</f>
        <v/>
      </c>
    </row>
    <row r="50" spans="1:11" ht="22.5" customHeight="1">
      <c r="A50" s="3">
        <f t="shared" si="0"/>
        <v>1967</v>
      </c>
      <c r="B50" s="3">
        <v>1717</v>
      </c>
      <c r="C50" s="10">
        <f t="shared" si="4"/>
        <v>978645.70153947733</v>
      </c>
      <c r="D50" s="11">
        <v>1.3860000000000001E-2</v>
      </c>
      <c r="E50" s="10">
        <f t="shared" si="1"/>
        <v>13378.60199962242</v>
      </c>
      <c r="F50" s="3"/>
      <c r="G50" s="26"/>
      <c r="H50" s="10"/>
      <c r="I50" s="10"/>
      <c r="J50" s="10"/>
      <c r="K50" s="11" t="str">
        <f>IFERROR(J50/J51-1,"")</f>
        <v/>
      </c>
    </row>
    <row r="51" spans="1:11" ht="22.5" customHeight="1">
      <c r="A51" s="3">
        <f t="shared" si="0"/>
        <v>1966</v>
      </c>
      <c r="B51" s="3">
        <v>1716</v>
      </c>
      <c r="C51" s="10">
        <f t="shared" si="4"/>
        <v>965267.09953985491</v>
      </c>
      <c r="D51" s="11">
        <v>1.6049999999999998E-2</v>
      </c>
      <c r="E51" s="10">
        <f t="shared" si="1"/>
        <v>15247.80960347876</v>
      </c>
      <c r="F51" s="3"/>
      <c r="G51" s="26"/>
      <c r="H51" s="10"/>
      <c r="I51" s="10"/>
      <c r="J51" s="10"/>
      <c r="K51" s="11" t="str">
        <f>IFERROR(J51/J52-1,"")</f>
        <v/>
      </c>
    </row>
    <row r="52" spans="1:11" ht="22.5" customHeight="1">
      <c r="A52" s="3">
        <f t="shared" si="0"/>
        <v>1965</v>
      </c>
      <c r="B52" s="3">
        <v>1715</v>
      </c>
      <c r="C52" s="10">
        <f t="shared" si="4"/>
        <v>950019.28993637615</v>
      </c>
      <c r="D52" s="11">
        <v>5.6090000000000001E-2</v>
      </c>
      <c r="E52" s="10">
        <f t="shared" si="1"/>
        <v>50456.478115057689</v>
      </c>
      <c r="F52" s="3"/>
      <c r="G52" s="26"/>
      <c r="H52" s="10"/>
      <c r="I52" s="10"/>
      <c r="J52" s="10"/>
      <c r="K52" s="11" t="str">
        <f>IFERROR(J52/J53-1,"")</f>
        <v/>
      </c>
    </row>
    <row r="53" spans="1:11" ht="22.5" customHeight="1">
      <c r="A53" s="3">
        <f t="shared" si="0"/>
        <v>1964</v>
      </c>
      <c r="B53" s="3">
        <v>1714</v>
      </c>
      <c r="C53" s="10">
        <f t="shared" si="4"/>
        <v>899562.81182131846</v>
      </c>
      <c r="D53" s="11">
        <v>5.5690000000000003E-2</v>
      </c>
      <c r="E53" s="10">
        <f t="shared" si="1"/>
        <v>47453.942909688689</v>
      </c>
      <c r="F53" s="3"/>
      <c r="G53" s="26"/>
      <c r="H53" s="10"/>
      <c r="I53" s="10"/>
      <c r="J53" s="10"/>
      <c r="K53" s="11" t="str">
        <f>IFERROR(J53/J54-1,"")</f>
        <v/>
      </c>
    </row>
    <row r="54" spans="1:11" ht="22.5" customHeight="1">
      <c r="A54" s="3">
        <f t="shared" si="0"/>
        <v>1963</v>
      </c>
      <c r="B54" s="3">
        <v>1713</v>
      </c>
      <c r="C54" s="10">
        <f t="shared" si="4"/>
        <v>852108.86891162978</v>
      </c>
      <c r="D54" s="11">
        <v>5.1479999999999998E-2</v>
      </c>
      <c r="E54" s="10">
        <f t="shared" si="1"/>
        <v>41718.876794205047</v>
      </c>
      <c r="F54" s="3"/>
      <c r="G54" s="26"/>
      <c r="H54" s="10"/>
      <c r="I54" s="10"/>
      <c r="J54" s="10"/>
      <c r="K54" s="11" t="str">
        <f>IFERROR(J54/J55-1,"")</f>
        <v/>
      </c>
    </row>
    <row r="55" spans="1:11" ht="22.5" customHeight="1">
      <c r="A55" s="3">
        <f t="shared" si="0"/>
        <v>1962</v>
      </c>
      <c r="B55" s="3">
        <v>1712</v>
      </c>
      <c r="C55" s="10">
        <f t="shared" si="4"/>
        <v>810389.99211742473</v>
      </c>
      <c r="D55" s="11">
        <v>4.5600000000000002E-2</v>
      </c>
      <c r="E55" s="10">
        <f t="shared" si="1"/>
        <v>35342.180222412571</v>
      </c>
      <c r="F55" s="3"/>
      <c r="G55" s="26"/>
      <c r="H55" s="10"/>
      <c r="I55" s="10"/>
      <c r="J55" s="10"/>
      <c r="K55" s="11" t="str">
        <f>IFERROR(J55/J56-1,"")</f>
        <v/>
      </c>
    </row>
    <row r="56" spans="1:11" ht="22.5" customHeight="1">
      <c r="A56" s="3">
        <f t="shared" si="0"/>
        <v>1961</v>
      </c>
      <c r="B56" s="3">
        <v>1711</v>
      </c>
      <c r="C56" s="10">
        <f t="shared" si="4"/>
        <v>775047.81189501216</v>
      </c>
      <c r="D56" s="11">
        <v>3.8339999999999999E-2</v>
      </c>
      <c r="E56" s="10">
        <f t="shared" si="1"/>
        <v>28618.11459450156</v>
      </c>
      <c r="F56" s="3"/>
      <c r="G56" s="26"/>
      <c r="H56" s="10"/>
      <c r="I56" s="10"/>
      <c r="J56" s="10"/>
      <c r="K56" s="11" t="str">
        <f>IFERROR(J56/J57-1,"")</f>
        <v/>
      </c>
    </row>
    <row r="57" spans="1:11" ht="22.5" customHeight="1">
      <c r="A57" s="3">
        <f t="shared" si="0"/>
        <v>1960</v>
      </c>
      <c r="B57" s="3">
        <v>1710</v>
      </c>
      <c r="C57" s="10">
        <f t="shared" si="4"/>
        <v>746429.6973005106</v>
      </c>
      <c r="D57" s="11">
        <v>3.2340000000000001E-2</v>
      </c>
      <c r="E57" s="10">
        <f t="shared" si="1"/>
        <v>23383.319846851402</v>
      </c>
      <c r="F57" s="3"/>
      <c r="G57" s="26"/>
      <c r="H57" s="10"/>
      <c r="I57" s="10"/>
      <c r="J57" s="10"/>
      <c r="K57" s="11" t="str">
        <f>IFERROR(J57/J58-1,"")</f>
        <v/>
      </c>
    </row>
    <row r="58" spans="1:11" ht="22.5" customHeight="1">
      <c r="A58" s="3">
        <f t="shared" si="0"/>
        <v>1959</v>
      </c>
      <c r="B58" s="3">
        <v>1709</v>
      </c>
      <c r="C58" s="10">
        <f t="shared" si="4"/>
        <v>723046.3774536592</v>
      </c>
      <c r="D58" s="11">
        <v>3.5709999999999999E-2</v>
      </c>
      <c r="E58" s="10">
        <f t="shared" si="1"/>
        <v>24929.744946819148</v>
      </c>
      <c r="F58" s="3"/>
      <c r="G58" s="26"/>
      <c r="H58" s="10"/>
      <c r="I58" s="10"/>
      <c r="J58" s="10"/>
      <c r="K58" s="11" t="str">
        <f>IFERROR(J58/J59-1,"")</f>
        <v/>
      </c>
    </row>
    <row r="59" spans="1:11" ht="22.5" customHeight="1">
      <c r="A59" s="3">
        <f t="shared" si="0"/>
        <v>1958</v>
      </c>
      <c r="B59" s="3">
        <v>1708</v>
      </c>
      <c r="C59" s="10">
        <f t="shared" si="4"/>
        <v>698116.63250684005</v>
      </c>
      <c r="D59" s="11">
        <v>3.5839999999999997E-2</v>
      </c>
      <c r="E59" s="10">
        <f t="shared" si="1"/>
        <v>24154.792351178941</v>
      </c>
      <c r="F59" s="3"/>
      <c r="G59" s="26"/>
      <c r="H59" s="10"/>
      <c r="I59" s="10"/>
      <c r="J59" s="10"/>
      <c r="K59" s="11" t="str">
        <f>IFERROR(J59/J60-1,"")</f>
        <v/>
      </c>
    </row>
    <row r="60" spans="1:11" ht="22.5" customHeight="1">
      <c r="A60" s="3">
        <f t="shared" si="0"/>
        <v>1957</v>
      </c>
      <c r="B60" s="3">
        <v>1707</v>
      </c>
      <c r="C60" s="10">
        <f t="shared" si="4"/>
        <v>673961.84015566111</v>
      </c>
      <c r="D60" s="11">
        <v>2.9819999999999999E-2</v>
      </c>
      <c r="E60" s="10">
        <f t="shared" si="1"/>
        <v>19515.587261309498</v>
      </c>
      <c r="F60" s="3"/>
      <c r="G60" s="26"/>
      <c r="H60" s="10"/>
      <c r="I60" s="10"/>
      <c r="J60" s="10"/>
      <c r="K60" s="11" t="str">
        <f>IFERROR(J60/J61-1,"")</f>
        <v/>
      </c>
    </row>
    <row r="61" spans="1:11" ht="22.5" customHeight="1">
      <c r="A61" s="3">
        <f t="shared" si="0"/>
        <v>1956</v>
      </c>
      <c r="B61" s="3">
        <v>1706</v>
      </c>
      <c r="C61" s="10">
        <f t="shared" si="4"/>
        <v>654446.25289435161</v>
      </c>
      <c r="D61" s="11">
        <v>3.7310000000000003E-2</v>
      </c>
      <c r="E61" s="10">
        <f t="shared" si="1"/>
        <v>23539.144224473159</v>
      </c>
      <c r="F61" s="3"/>
      <c r="G61" s="26"/>
      <c r="H61" s="10"/>
      <c r="I61" s="10"/>
      <c r="J61" s="10"/>
      <c r="K61" s="11" t="str">
        <f>IFERROR(J61/J62-1,"")</f>
        <v/>
      </c>
    </row>
    <row r="62" spans="1:11" ht="22.5" customHeight="1">
      <c r="A62" s="3">
        <f t="shared" si="0"/>
        <v>1955</v>
      </c>
      <c r="B62" s="3">
        <v>1705</v>
      </c>
      <c r="C62" s="10">
        <f t="shared" si="4"/>
        <v>630907.10866987845</v>
      </c>
      <c r="D62" s="11">
        <v>3.1669999999999997E-2</v>
      </c>
      <c r="E62" s="10">
        <f t="shared" si="1"/>
        <v>19367.460652704001</v>
      </c>
      <c r="F62" s="3"/>
      <c r="G62" s="26"/>
      <c r="H62" s="10"/>
      <c r="I62" s="10"/>
      <c r="J62" s="10"/>
      <c r="K62" s="11" t="str">
        <f>IFERROR(J62/J63-1,"")</f>
        <v/>
      </c>
    </row>
    <row r="63" spans="1:11" ht="22.5" customHeight="1">
      <c r="A63" s="3">
        <f t="shared" si="0"/>
        <v>1954</v>
      </c>
      <c r="B63" s="3">
        <v>1704</v>
      </c>
      <c r="C63" s="10">
        <f t="shared" si="4"/>
        <v>611539.64801717445</v>
      </c>
      <c r="D63" s="11">
        <v>2.3019999999999999E-2</v>
      </c>
      <c r="E63" s="10">
        <f t="shared" si="1"/>
        <v>13760.867526886403</v>
      </c>
      <c r="F63" s="3"/>
      <c r="G63" s="26"/>
      <c r="H63" s="10"/>
      <c r="I63" s="10"/>
      <c r="J63" s="10"/>
      <c r="K63" s="11" t="str">
        <f>IFERROR(J63/J64-1,"")</f>
        <v/>
      </c>
    </row>
    <row r="64" spans="1:11" ht="22.5" customHeight="1">
      <c r="A64" s="3">
        <f t="shared" si="0"/>
        <v>1953</v>
      </c>
      <c r="B64" s="3">
        <v>1703</v>
      </c>
      <c r="C64" s="10">
        <f t="shared" si="4"/>
        <v>597778.78049028805</v>
      </c>
      <c r="D64" s="11">
        <v>2.247E-2</v>
      </c>
      <c r="E64" s="10">
        <f t="shared" si="1"/>
        <v>13136.902987487963</v>
      </c>
      <c r="F64" s="3"/>
      <c r="G64" s="26"/>
      <c r="H64" s="10"/>
      <c r="I64" s="10"/>
      <c r="J64" s="10"/>
      <c r="K64" s="11" t="str">
        <f>IFERROR(J64/J65-1,"")</f>
        <v/>
      </c>
    </row>
    <row r="65" spans="1:11" ht="22.5" customHeight="1">
      <c r="A65" s="3">
        <f t="shared" si="0"/>
        <v>1952</v>
      </c>
      <c r="B65" s="3">
        <v>1702</v>
      </c>
      <c r="C65" s="10">
        <f t="shared" si="4"/>
        <v>584641.87750280008</v>
      </c>
      <c r="D65" s="11">
        <v>2.5229999999999999E-2</v>
      </c>
      <c r="E65" s="10">
        <f t="shared" si="1"/>
        <v>14387.517502800096</v>
      </c>
      <c r="F65" s="3"/>
      <c r="G65" s="26"/>
      <c r="H65" s="10"/>
      <c r="I65" s="10"/>
      <c r="J65" s="10"/>
      <c r="K65" s="11" t="str">
        <f>IFERROR(J65/J66-1,"")</f>
        <v/>
      </c>
    </row>
    <row r="66" spans="1:11" ht="22.5" customHeight="1">
      <c r="A66" s="3">
        <f t="shared" si="0"/>
        <v>1951</v>
      </c>
      <c r="B66" s="3">
        <v>1701</v>
      </c>
      <c r="C66" s="10">
        <f t="shared" si="4"/>
        <v>570254.36</v>
      </c>
      <c r="D66" s="11">
        <v>2.9340000000000001E-2</v>
      </c>
      <c r="E66" s="10">
        <f t="shared" si="1"/>
        <v>16254.359999999986</v>
      </c>
      <c r="F66" s="23">
        <f>SUM(F2)</f>
        <v>1724423</v>
      </c>
      <c r="G66" s="26"/>
      <c r="H66" s="10"/>
      <c r="I66" s="10"/>
      <c r="J66" s="10"/>
      <c r="K66" s="11" t="str">
        <f>IFERROR(J66/J67-1,"")</f>
        <v/>
      </c>
    </row>
    <row r="67" spans="1:11" ht="22.5" customHeight="1">
      <c r="A67" s="3">
        <f t="shared" si="0"/>
        <v>1950</v>
      </c>
      <c r="B67" s="3">
        <v>1700</v>
      </c>
      <c r="C67" s="10">
        <v>554000</v>
      </c>
      <c r="D67" s="11">
        <v>3.0530000000000002E-2</v>
      </c>
      <c r="E67" s="3" t="s">
        <v>72</v>
      </c>
      <c r="F67" s="10">
        <f>SUM(C2)</f>
        <v>1724704.1780236477</v>
      </c>
      <c r="G67" s="26"/>
      <c r="H67" s="10"/>
      <c r="I67" s="10"/>
      <c r="J67" s="10"/>
      <c r="K67" s="11"/>
    </row>
  </sheetData>
  <dataValidations count="1">
    <dataValidation type="custom" allowBlank="1" showDropDown="1" sqref="D2:D67" xr:uid="{00000000-0002-0000-3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M67"/>
  <sheetViews>
    <sheetView topLeftCell="A34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15105606.015821232</v>
      </c>
      <c r="D2" s="11">
        <v>1.09E-2</v>
      </c>
      <c r="E2" s="10">
        <f t="shared" ref="E2:E66" si="2">SUM(C2-C3)</f>
        <v>162875.75979073159</v>
      </c>
      <c r="F2" s="14">
        <v>15105090</v>
      </c>
      <c r="G2" s="26">
        <v>0.12</v>
      </c>
      <c r="H2" s="10"/>
      <c r="I2" s="10">
        <f>IF(H2&lt;&gt;"",H2,29144)</f>
        <v>3643</v>
      </c>
      <c r="J2" s="10">
        <f t="shared" ref="J2:J33" si="3">IF(I2="","",I2*C2)</f>
        <v>55029722715.636749</v>
      </c>
      <c r="K2" s="11">
        <f t="shared" ref="K2:K33" si="4">IFERROR(J2/J3-1,"")</f>
        <v>1.2113079999999998E-2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14942730.2560305</v>
      </c>
      <c r="D3" s="11">
        <v>1.0999999999999999E-2</v>
      </c>
      <c r="E3" s="10">
        <f t="shared" si="2"/>
        <v>162581.63483316824</v>
      </c>
      <c r="F3" s="3"/>
      <c r="G3" s="26">
        <v>4.2300000000000004</v>
      </c>
      <c r="H3" s="10"/>
      <c r="I3" s="10">
        <f t="shared" ref="I3:I34" si="5">IF(H3&lt;&gt;"",H3,I2/(1+IF(G2="",0,G2)/100))</f>
        <v>3638.6336396324409</v>
      </c>
      <c r="J3" s="10">
        <f t="shared" si="3"/>
        <v>54371120977.546051</v>
      </c>
      <c r="K3" s="11">
        <f t="shared" si="4"/>
        <v>5.3765299999999794E-2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14780148.621197332</v>
      </c>
      <c r="D4" s="11">
        <v>9.5999999999999992E-3</v>
      </c>
      <c r="E4" s="10">
        <f t="shared" si="2"/>
        <v>140540.24045512639</v>
      </c>
      <c r="F4" s="3"/>
      <c r="G4" s="26">
        <v>7.21</v>
      </c>
      <c r="H4" s="10"/>
      <c r="I4" s="10">
        <f t="shared" si="5"/>
        <v>3490.9657868487393</v>
      </c>
      <c r="J4" s="10">
        <f t="shared" si="3"/>
        <v>51596993161.13945</v>
      </c>
      <c r="K4" s="11">
        <f t="shared" si="4"/>
        <v>8.2392160000000159E-2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14639608.380742205</v>
      </c>
      <c r="D5" s="11">
        <v>9.5999999999999992E-3</v>
      </c>
      <c r="E5" s="10">
        <f t="shared" si="2"/>
        <v>139203.88317663036</v>
      </c>
      <c r="F5" s="3"/>
      <c r="G5" s="26">
        <v>5.78</v>
      </c>
      <c r="H5" s="10"/>
      <c r="I5" s="10">
        <f t="shared" si="5"/>
        <v>3256.1941860355741</v>
      </c>
      <c r="J5" s="10">
        <f t="shared" si="3"/>
        <v>47669407695.210434</v>
      </c>
      <c r="K5" s="11">
        <f t="shared" si="4"/>
        <v>6.7954880000000051E-2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14500404.497565575</v>
      </c>
      <c r="D6" s="11">
        <v>1.1900000000000001E-2</v>
      </c>
      <c r="E6" s="10">
        <f t="shared" si="2"/>
        <v>170525.55936459266</v>
      </c>
      <c r="F6" s="3"/>
      <c r="G6" s="26">
        <v>8.48</v>
      </c>
      <c r="H6" s="10"/>
      <c r="I6" s="10">
        <f t="shared" si="5"/>
        <v>3078.2701701981223</v>
      </c>
      <c r="J6" s="10">
        <f t="shared" si="3"/>
        <v>44636162620.662804</v>
      </c>
      <c r="K6" s="11">
        <f t="shared" si="4"/>
        <v>9.7709120000000205E-2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14329878.938200982</v>
      </c>
      <c r="D7" s="11">
        <v>1.7100000000000001E-2</v>
      </c>
      <c r="E7" s="10">
        <f t="shared" si="2"/>
        <v>240921.17770448886</v>
      </c>
      <c r="F7" s="3"/>
      <c r="G7" s="26">
        <v>4.03</v>
      </c>
      <c r="H7" s="10"/>
      <c r="I7" s="10">
        <f t="shared" si="5"/>
        <v>2837.6384312298323</v>
      </c>
      <c r="J7" s="10">
        <f t="shared" si="3"/>
        <v>40663015189.910049</v>
      </c>
      <c r="K7" s="11">
        <f t="shared" si="4"/>
        <v>5.8089129999999933E-2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14088957.760496493</v>
      </c>
      <c r="D8" s="11">
        <v>1.8100000000000002E-2</v>
      </c>
      <c r="E8" s="10">
        <f t="shared" si="2"/>
        <v>250476.51062271558</v>
      </c>
      <c r="F8" s="3"/>
      <c r="G8" s="26">
        <v>1.0900000000000001</v>
      </c>
      <c r="H8" s="10"/>
      <c r="I8" s="10">
        <f t="shared" si="5"/>
        <v>2727.7116516676269</v>
      </c>
      <c r="J8" s="10">
        <f t="shared" si="3"/>
        <v>38430614243.159317</v>
      </c>
      <c r="K8" s="11">
        <f t="shared" si="4"/>
        <v>2.9197289999999931E-2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13838481.249873778</v>
      </c>
      <c r="D9" s="11">
        <v>1.47E-2</v>
      </c>
      <c r="E9" s="10">
        <f t="shared" si="2"/>
        <v>200478.63838882744</v>
      </c>
      <c r="F9" s="3"/>
      <c r="G9" s="26">
        <v>6.56</v>
      </c>
      <c r="H9" s="10"/>
      <c r="I9" s="10">
        <f t="shared" si="5"/>
        <v>2698.3001797088014</v>
      </c>
      <c r="J9" s="10">
        <f t="shared" si="3"/>
        <v>37340376443.43129</v>
      </c>
      <c r="K9" s="11">
        <f t="shared" si="4"/>
        <v>8.1264319999999834E-2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13638002.61148495</v>
      </c>
      <c r="D10" s="11">
        <v>1.3299999999999999E-2</v>
      </c>
      <c r="E10" s="10">
        <f t="shared" si="2"/>
        <v>179004.67258733884</v>
      </c>
      <c r="F10" s="3"/>
      <c r="G10" s="26">
        <v>1.9</v>
      </c>
      <c r="H10" s="10"/>
      <c r="I10" s="10">
        <f t="shared" si="5"/>
        <v>2532.1886070840856</v>
      </c>
      <c r="J10" s="10">
        <f t="shared" si="3"/>
        <v>34533994836.185196</v>
      </c>
      <c r="K10" s="11">
        <f t="shared" si="4"/>
        <v>3.2552699999999879E-2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13458997.938897612</v>
      </c>
      <c r="D11" s="11">
        <v>1.1299999999999999E-2</v>
      </c>
      <c r="E11" s="10">
        <f t="shared" si="2"/>
        <v>150387.30021709017</v>
      </c>
      <c r="F11" s="3"/>
      <c r="G11" s="26">
        <v>4.34</v>
      </c>
      <c r="H11" s="10"/>
      <c r="I11" s="10">
        <f t="shared" si="5"/>
        <v>2484.974099199299</v>
      </c>
      <c r="J11" s="10">
        <f t="shared" si="3"/>
        <v>33445261279.337315</v>
      </c>
      <c r="K11" s="11">
        <f t="shared" si="4"/>
        <v>5.5190419999999962E-2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13308610.638680521</v>
      </c>
      <c r="D12" s="11">
        <v>9.9000000000000008E-3</v>
      </c>
      <c r="E12" s="10">
        <f t="shared" si="2"/>
        <v>130463.6551370807</v>
      </c>
      <c r="F12" s="3"/>
      <c r="G12" s="26">
        <v>5.4</v>
      </c>
      <c r="H12" s="10"/>
      <c r="I12" s="10">
        <f t="shared" si="5"/>
        <v>2381.6121326426096</v>
      </c>
      <c r="J12" s="10">
        <f t="shared" si="3"/>
        <v>31695948565.69804</v>
      </c>
      <c r="K12" s="11">
        <f t="shared" si="4"/>
        <v>6.4434600000000009E-2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13178146.983543441</v>
      </c>
      <c r="D13" s="11">
        <v>8.9999999999999993E-3</v>
      </c>
      <c r="E13" s="10">
        <f t="shared" si="2"/>
        <v>117545.41412476636</v>
      </c>
      <c r="F13" s="3"/>
      <c r="G13" s="26">
        <v>6.83</v>
      </c>
      <c r="H13" s="10"/>
      <c r="I13" s="10">
        <f t="shared" si="5"/>
        <v>2259.5940537406163</v>
      </c>
      <c r="J13" s="10">
        <f t="shared" si="3"/>
        <v>29777262563.334599</v>
      </c>
      <c r="K13" s="11">
        <f t="shared" si="4"/>
        <v>7.7914699999999781E-2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13060601.569418674</v>
      </c>
      <c r="D14" s="11">
        <v>8.3999999999999995E-3</v>
      </c>
      <c r="E14" s="10">
        <f t="shared" si="2"/>
        <v>108795.1737238355</v>
      </c>
      <c r="F14" s="3"/>
      <c r="G14" s="26">
        <v>2.88</v>
      </c>
      <c r="H14" s="10"/>
      <c r="I14" s="10">
        <f t="shared" si="5"/>
        <v>2115.1306316021869</v>
      </c>
      <c r="J14" s="10">
        <f t="shared" si="3"/>
        <v>27624878446.629036</v>
      </c>
      <c r="K14" s="11">
        <f t="shared" si="4"/>
        <v>3.7441920000000017E-2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12951806.395694839</v>
      </c>
      <c r="D15" s="11">
        <v>7.4999999999999997E-3</v>
      </c>
      <c r="E15" s="10">
        <f t="shared" si="2"/>
        <v>96415.432226017118</v>
      </c>
      <c r="F15" s="3"/>
      <c r="G15" s="26">
        <v>4.93</v>
      </c>
      <c r="H15" s="10"/>
      <c r="I15" s="10">
        <f t="shared" si="5"/>
        <v>2055.9201318061691</v>
      </c>
      <c r="J15" s="10">
        <f t="shared" si="3"/>
        <v>26627879512.164917</v>
      </c>
      <c r="K15" s="11">
        <f t="shared" si="4"/>
        <v>5.716975000000013E-2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12855390.963468822</v>
      </c>
      <c r="D16" s="11">
        <v>6.4999999999999997E-3</v>
      </c>
      <c r="E16" s="10">
        <f t="shared" si="2"/>
        <v>83020.408606603742</v>
      </c>
      <c r="F16" s="3"/>
      <c r="G16" s="26">
        <v>4.21</v>
      </c>
      <c r="H16" s="10"/>
      <c r="I16" s="10">
        <f t="shared" si="5"/>
        <v>1959.3253900754496</v>
      </c>
      <c r="J16" s="10">
        <f t="shared" si="3"/>
        <v>25187893914.070957</v>
      </c>
      <c r="K16" s="11">
        <f t="shared" si="4"/>
        <v>4.8873649999999769E-2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12772370.554862218</v>
      </c>
      <c r="D17" s="11">
        <v>6.1999999999999998E-3</v>
      </c>
      <c r="E17" s="10">
        <f t="shared" si="2"/>
        <v>78700.752772953361</v>
      </c>
      <c r="F17" s="3"/>
      <c r="G17" s="26">
        <v>1.0900000000000001</v>
      </c>
      <c r="H17" s="10"/>
      <c r="I17" s="10">
        <f t="shared" si="5"/>
        <v>1880.1702236593892</v>
      </c>
      <c r="J17" s="10">
        <f t="shared" si="3"/>
        <v>24014230802.795895</v>
      </c>
      <c r="K17" s="11">
        <f t="shared" si="4"/>
        <v>1.716757999999996E-2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12693669.802089265</v>
      </c>
      <c r="D18" s="11">
        <v>6.6E-3</v>
      </c>
      <c r="E18" s="10">
        <f t="shared" si="2"/>
        <v>83228.909888524562</v>
      </c>
      <c r="F18" s="3"/>
      <c r="G18" s="26">
        <v>2.25</v>
      </c>
      <c r="H18" s="10"/>
      <c r="I18" s="10">
        <f t="shared" si="5"/>
        <v>1859.8973426247792</v>
      </c>
      <c r="J18" s="10">
        <f t="shared" si="3"/>
        <v>23608922733.062229</v>
      </c>
      <c r="K18" s="11">
        <f t="shared" si="4"/>
        <v>2.9248499999999789E-2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12610440.89220074</v>
      </c>
      <c r="D19" s="11">
        <v>7.3000000000000001E-3</v>
      </c>
      <c r="E19" s="10">
        <f t="shared" si="2"/>
        <v>91389.078241901472</v>
      </c>
      <c r="F19" s="3"/>
      <c r="G19" s="26">
        <v>3.27</v>
      </c>
      <c r="H19" s="10"/>
      <c r="I19" s="10">
        <f t="shared" si="5"/>
        <v>1818.9705062345029</v>
      </c>
      <c r="J19" s="10">
        <f t="shared" si="3"/>
        <v>22938020053.526657</v>
      </c>
      <c r="K19" s="11">
        <f t="shared" si="4"/>
        <v>4.0238710000000122E-2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12519051.813958839</v>
      </c>
      <c r="D20" s="11">
        <v>7.9000000000000008E-3</v>
      </c>
      <c r="E20" s="10">
        <f t="shared" si="2"/>
        <v>98125.319307744503</v>
      </c>
      <c r="F20" s="3"/>
      <c r="G20" s="26">
        <v>4.33</v>
      </c>
      <c r="H20" s="10"/>
      <c r="I20" s="10">
        <f t="shared" si="5"/>
        <v>1761.3735898465218</v>
      </c>
      <c r="J20" s="10">
        <f t="shared" si="3"/>
        <v>22050727235.02729</v>
      </c>
      <c r="K20" s="11">
        <f t="shared" si="4"/>
        <v>5.1542069999999773E-2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12420926.494651094</v>
      </c>
      <c r="D21" s="11">
        <v>8.8999999999999999E-3</v>
      </c>
      <c r="E21" s="10">
        <f t="shared" si="2"/>
        <v>109571.06333868019</v>
      </c>
      <c r="F21" s="3"/>
      <c r="G21" s="26">
        <v>1.73</v>
      </c>
      <c r="H21" s="10"/>
      <c r="I21" s="10">
        <f t="shared" si="5"/>
        <v>1688.2714366400096</v>
      </c>
      <c r="J21" s="10">
        <f t="shared" si="3"/>
        <v>20969895417.524563</v>
      </c>
      <c r="K21" s="11">
        <f t="shared" si="4"/>
        <v>2.6353970000000171E-2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12311355.431312414</v>
      </c>
      <c r="D22" s="11">
        <v>9.7999999999999997E-3</v>
      </c>
      <c r="E22" s="10">
        <f t="shared" si="2"/>
        <v>119480.37554650567</v>
      </c>
      <c r="F22" s="3"/>
      <c r="G22" s="26">
        <v>2.25</v>
      </c>
      <c r="H22" s="10"/>
      <c r="I22" s="10">
        <f t="shared" si="5"/>
        <v>1659.5610308070475</v>
      </c>
      <c r="J22" s="10">
        <f t="shared" si="3"/>
        <v>20431445710.220772</v>
      </c>
      <c r="K22" s="11">
        <f t="shared" si="4"/>
        <v>3.2520499999999952E-2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12191875.055765908</v>
      </c>
      <c r="D23" s="11">
        <v>1.0699999999999999E-2</v>
      </c>
      <c r="E23" s="10">
        <f t="shared" si="2"/>
        <v>129071.99277401157</v>
      </c>
      <c r="F23" s="3"/>
      <c r="G23" s="26">
        <v>4.26</v>
      </c>
      <c r="H23" s="10"/>
      <c r="I23" s="10">
        <f t="shared" si="5"/>
        <v>1623.0425729164278</v>
      </c>
      <c r="J23" s="10">
        <f t="shared" si="3"/>
        <v>19787932259.185917</v>
      </c>
      <c r="K23" s="11">
        <f t="shared" si="4"/>
        <v>5.3755819999999899E-2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12062803.062991897</v>
      </c>
      <c r="D24" s="11">
        <v>1.1900000000000001E-2</v>
      </c>
      <c r="E24" s="10">
        <f t="shared" si="2"/>
        <v>141859.23159363866</v>
      </c>
      <c r="F24" s="3"/>
      <c r="G24" s="26">
        <v>1.97</v>
      </c>
      <c r="H24" s="10"/>
      <c r="I24" s="10">
        <f t="shared" si="5"/>
        <v>1556.7260434648263</v>
      </c>
      <c r="J24" s="10">
        <f t="shared" si="3"/>
        <v>18778479685.346764</v>
      </c>
      <c r="K24" s="11">
        <f t="shared" si="4"/>
        <v>3.1834429999999969E-2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11920943.831398258</v>
      </c>
      <c r="D25" s="11">
        <v>1.37E-2</v>
      </c>
      <c r="E25" s="10">
        <f t="shared" si="2"/>
        <v>161109.72722714394</v>
      </c>
      <c r="F25" s="3"/>
      <c r="G25" s="26">
        <v>2.11</v>
      </c>
      <c r="H25" s="10"/>
      <c r="I25" s="10">
        <f t="shared" si="5"/>
        <v>1526.6510184023009</v>
      </c>
      <c r="J25" s="10">
        <f t="shared" si="3"/>
        <v>18199121040.520779</v>
      </c>
      <c r="K25" s="11">
        <f t="shared" si="4"/>
        <v>3.5089069999999944E-2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11759834.104171114</v>
      </c>
      <c r="D26" s="11">
        <v>1.5599999999999999E-2</v>
      </c>
      <c r="E26" s="10">
        <f t="shared" si="2"/>
        <v>180635.49825233407</v>
      </c>
      <c r="F26" s="3"/>
      <c r="G26" s="26">
        <v>4.29</v>
      </c>
      <c r="H26" s="10"/>
      <c r="I26" s="10">
        <f t="shared" si="5"/>
        <v>1495.1043173071207</v>
      </c>
      <c r="J26" s="10">
        <f t="shared" si="3"/>
        <v>17582178739.96175</v>
      </c>
      <c r="K26" s="11">
        <f t="shared" si="4"/>
        <v>5.9169240000000123E-2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11579198.60591878</v>
      </c>
      <c r="D27" s="11">
        <v>1.7299999999999999E-2</v>
      </c>
      <c r="E27" s="10">
        <f t="shared" si="2"/>
        <v>196913.53178255819</v>
      </c>
      <c r="F27" s="3"/>
      <c r="G27" s="26">
        <v>-3.68</v>
      </c>
      <c r="H27" s="10"/>
      <c r="I27" s="10">
        <f t="shared" si="5"/>
        <v>1433.6027589482412</v>
      </c>
      <c r="J27" s="10">
        <f t="shared" si="3"/>
        <v>16599971067.854792</v>
      </c>
      <c r="K27" s="11">
        <f t="shared" si="4"/>
        <v>-2.0136639999999706E-2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11382285.074136222</v>
      </c>
      <c r="D28" s="11">
        <v>1.8200000000000001E-2</v>
      </c>
      <c r="E28" s="10">
        <f t="shared" si="2"/>
        <v>203454.71258031763</v>
      </c>
      <c r="F28" s="3"/>
      <c r="G28" s="26">
        <v>1.01</v>
      </c>
      <c r="H28" s="10"/>
      <c r="I28" s="10">
        <f t="shared" si="5"/>
        <v>1488.3749573798184</v>
      </c>
      <c r="J28" s="10">
        <f t="shared" si="3"/>
        <v>16941108062.102442</v>
      </c>
      <c r="K28" s="11">
        <f t="shared" si="4"/>
        <v>2.8483819999999938E-2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11178830.361555904</v>
      </c>
      <c r="D29" s="11">
        <v>1.8499999999999999E-2</v>
      </c>
      <c r="E29" s="10">
        <f t="shared" si="2"/>
        <v>203051.90151083283</v>
      </c>
      <c r="F29" s="3"/>
      <c r="G29" s="26">
        <v>5.89</v>
      </c>
      <c r="H29" s="10"/>
      <c r="I29" s="10">
        <f t="shared" si="5"/>
        <v>1473.4926812987014</v>
      </c>
      <c r="J29" s="10">
        <f t="shared" si="3"/>
        <v>16471924723.232342</v>
      </c>
      <c r="K29" s="11">
        <f t="shared" si="4"/>
        <v>7.8489649999999855E-2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10975778.460045071</v>
      </c>
      <c r="D30" s="11">
        <v>1.8800000000000001E-2</v>
      </c>
      <c r="E30" s="10">
        <f t="shared" si="2"/>
        <v>202536.94056620263</v>
      </c>
      <c r="F30" s="3"/>
      <c r="G30" s="26">
        <v>-0.26</v>
      </c>
      <c r="H30" s="10"/>
      <c r="I30" s="10">
        <f t="shared" si="5"/>
        <v>1391.5314772865252</v>
      </c>
      <c r="J30" s="10">
        <f t="shared" si="3"/>
        <v>15273141214.876141</v>
      </c>
      <c r="K30" s="11">
        <f t="shared" si="4"/>
        <v>1.6151119999999963E-2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10773241.519478869</v>
      </c>
      <c r="D31" s="11">
        <v>1.9400000000000001E-2</v>
      </c>
      <c r="E31" s="10">
        <f t="shared" si="2"/>
        <v>205023.43091808073</v>
      </c>
      <c r="F31" s="3"/>
      <c r="G31" s="26">
        <v>3.46</v>
      </c>
      <c r="H31" s="10"/>
      <c r="I31" s="10">
        <f t="shared" si="5"/>
        <v>1395.1588904015694</v>
      </c>
      <c r="J31" s="10">
        <f t="shared" si="3"/>
        <v>15030383684.344255</v>
      </c>
      <c r="K31" s="11">
        <f t="shared" si="4"/>
        <v>5.467124000000001E-2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10568218.088560788</v>
      </c>
      <c r="D32" s="11">
        <v>1.9800000000000002E-2</v>
      </c>
      <c r="E32" s="10">
        <f t="shared" si="2"/>
        <v>205187.99583595246</v>
      </c>
      <c r="F32" s="3"/>
      <c r="G32" s="26">
        <v>3.94</v>
      </c>
      <c r="H32" s="10"/>
      <c r="I32" s="10">
        <f t="shared" si="5"/>
        <v>1348.5007639682674</v>
      </c>
      <c r="J32" s="10">
        <f t="shared" si="3"/>
        <v>14251250166.207485</v>
      </c>
      <c r="K32" s="11">
        <f t="shared" si="4"/>
        <v>5.9980120000000303E-2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10363030.092724836</v>
      </c>
      <c r="D33" s="11">
        <v>2.0199999999999999E-2</v>
      </c>
      <c r="E33" s="10">
        <f t="shared" si="2"/>
        <v>205188.40214961953</v>
      </c>
      <c r="F33" s="3"/>
      <c r="G33" s="26">
        <v>2.63</v>
      </c>
      <c r="H33" s="10"/>
      <c r="I33" s="10">
        <f t="shared" si="5"/>
        <v>1297.3838406467839</v>
      </c>
      <c r="J33" s="10">
        <f t="shared" si="3"/>
        <v>13444827782.437544</v>
      </c>
      <c r="K33" s="11">
        <f t="shared" si="4"/>
        <v>4.7031260000000019E-2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10157841.690575216</v>
      </c>
      <c r="D34" s="11">
        <v>2.0400000000000001E-2</v>
      </c>
      <c r="E34" s="10">
        <f t="shared" si="2"/>
        <v>203077.19569554552</v>
      </c>
      <c r="F34" s="3"/>
      <c r="G34" s="26">
        <v>-1.64</v>
      </c>
      <c r="H34" s="10"/>
      <c r="I34" s="10">
        <f t="shared" si="5"/>
        <v>1264.1370365846087</v>
      </c>
      <c r="J34" s="10">
        <f t="shared" ref="J34:J65" si="6">IF(I34="","",I34*C34)</f>
        <v>12840903892.819345</v>
      </c>
      <c r="K34" s="11">
        <f t="shared" ref="K34:K65" si="7">IFERROR(J34/J35-1,"")</f>
        <v>1.6930639999999997E-2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9954764.4948796704</v>
      </c>
      <c r="D35" s="11">
        <v>2.1100000000000001E-2</v>
      </c>
      <c r="E35" s="10">
        <f t="shared" si="2"/>
        <v>205705.1521319747</v>
      </c>
      <c r="F35" s="3"/>
      <c r="G35" s="26">
        <v>-2.09</v>
      </c>
      <c r="H35" s="10"/>
      <c r="I35" s="10">
        <f t="shared" ref="I35:I66" si="8">IF(H35&lt;&gt;"",H35,I34/(1+IF(G34="",0,G34)/100))</f>
        <v>1268.4497657882889</v>
      </c>
      <c r="J35" s="10">
        <f t="shared" si="6"/>
        <v>12627118692.007692</v>
      </c>
      <c r="K35" s="11">
        <f t="shared" si="7"/>
        <v>2.7328709999999923E-2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9749059.3427476957</v>
      </c>
      <c r="D36" s="11">
        <v>2.2100000000000002E-2</v>
      </c>
      <c r="E36" s="10">
        <f t="shared" si="2"/>
        <v>210795.62809384987</v>
      </c>
      <c r="F36" s="3"/>
      <c r="G36" s="26">
        <v>0.81</v>
      </c>
      <c r="H36" s="10"/>
      <c r="I36" s="10">
        <f t="shared" si="8"/>
        <v>1260.7591350643961</v>
      </c>
      <c r="J36" s="10">
        <f t="shared" si="6"/>
        <v>12291215624.654055</v>
      </c>
      <c r="K36" s="11">
        <f t="shared" si="7"/>
        <v>7.943981E-2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9538263.7146538459</v>
      </c>
      <c r="D37" s="11">
        <v>2.24E-2</v>
      </c>
      <c r="E37" s="10">
        <f t="shared" si="2"/>
        <v>208976.04382653162</v>
      </c>
      <c r="F37" s="3"/>
      <c r="G37" s="26">
        <v>-1.59</v>
      </c>
      <c r="H37" s="10"/>
      <c r="I37" s="10">
        <f t="shared" si="8"/>
        <v>1193.7876480109801</v>
      </c>
      <c r="J37" s="10">
        <f t="shared" si="6"/>
        <v>11386661406.025089</v>
      </c>
      <c r="K37" s="11">
        <f t="shared" si="7"/>
        <v>6.0331039999999891E-2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9329287.6708273143</v>
      </c>
      <c r="D38" s="11">
        <v>2.2700000000000001E-2</v>
      </c>
      <c r="E38" s="10">
        <f t="shared" si="2"/>
        <v>207074.24477146752</v>
      </c>
      <c r="F38" s="3"/>
      <c r="G38" s="26">
        <v>0.03</v>
      </c>
      <c r="H38" s="10"/>
      <c r="I38" s="10">
        <f t="shared" si="8"/>
        <v>1151.082487716691</v>
      </c>
      <c r="J38" s="10">
        <f t="shared" si="6"/>
        <v>10738779660.760559</v>
      </c>
      <c r="K38" s="11">
        <f t="shared" si="7"/>
        <v>6.0846710000000082E-2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9122213.4260558467</v>
      </c>
      <c r="D39" s="11">
        <v>2.29E-2</v>
      </c>
      <c r="E39" s="10">
        <f t="shared" si="2"/>
        <v>204222.00357481465</v>
      </c>
      <c r="F39" s="3"/>
      <c r="G39" s="26">
        <v>5.71</v>
      </c>
      <c r="H39" s="10"/>
      <c r="I39" s="10">
        <f t="shared" si="8"/>
        <v>1109.6910129342436</v>
      </c>
      <c r="J39" s="10">
        <f t="shared" si="6"/>
        <v>10122838256.962269</v>
      </c>
      <c r="K39" s="11">
        <f t="shared" si="7"/>
        <v>8.1307589999999541E-2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8917991.4224810321</v>
      </c>
      <c r="D40" s="11">
        <v>2.3599999999999999E-2</v>
      </c>
      <c r="E40" s="10">
        <f t="shared" si="2"/>
        <v>205612.15081140399</v>
      </c>
      <c r="F40" s="3"/>
      <c r="G40" s="26">
        <v>1.6</v>
      </c>
      <c r="H40" s="10"/>
      <c r="I40" s="10">
        <f t="shared" si="8"/>
        <v>1049.7502723812731</v>
      </c>
      <c r="J40" s="10">
        <f t="shared" si="6"/>
        <v>9361663924.8433208</v>
      </c>
      <c r="K40" s="11">
        <f t="shared" si="7"/>
        <v>3.9977600000000058E-2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8712379.2716696281</v>
      </c>
      <c r="D41" s="11">
        <v>2.4400000000000002E-2</v>
      </c>
      <c r="E41" s="10">
        <f t="shared" si="2"/>
        <v>207518.60037948005</v>
      </c>
      <c r="F41" s="3"/>
      <c r="G41" s="26">
        <v>7.4</v>
      </c>
      <c r="H41" s="10"/>
      <c r="I41" s="10">
        <f t="shared" si="8"/>
        <v>1033.2187720288121</v>
      </c>
      <c r="J41" s="10">
        <f t="shared" si="6"/>
        <v>9001793812.5237694</v>
      </c>
      <c r="K41" s="11">
        <f t="shared" si="7"/>
        <v>0.10020560000000001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8504860.671290148</v>
      </c>
      <c r="D42" s="11">
        <v>2.4799999999999999E-2</v>
      </c>
      <c r="E42" s="10">
        <f t="shared" si="2"/>
        <v>205816.30039812252</v>
      </c>
      <c r="F42" s="3"/>
      <c r="G42" s="26">
        <v>-3.78</v>
      </c>
      <c r="H42" s="10"/>
      <c r="I42" s="10">
        <f t="shared" si="8"/>
        <v>962.02865179591436</v>
      </c>
      <c r="J42" s="10">
        <f t="shared" si="6"/>
        <v>8181919645.3133564</v>
      </c>
      <c r="K42" s="11">
        <f t="shared" si="7"/>
        <v>-1.3937440000000079E-2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8299044.3708920255</v>
      </c>
      <c r="D43" s="11">
        <v>2.4899999999999999E-2</v>
      </c>
      <c r="E43" s="10">
        <f t="shared" si="2"/>
        <v>201625.72430013772</v>
      </c>
      <c r="F43" s="3"/>
      <c r="G43" s="26">
        <v>11.21</v>
      </c>
      <c r="H43" s="10"/>
      <c r="I43" s="10">
        <f t="shared" si="8"/>
        <v>999.82192038652511</v>
      </c>
      <c r="J43" s="10">
        <f t="shared" si="6"/>
        <v>8297566480.2782459</v>
      </c>
      <c r="K43" s="11">
        <f t="shared" si="7"/>
        <v>0.13979129000000001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8097418.6465918878</v>
      </c>
      <c r="D44" s="11">
        <v>2.4799999999999999E-2</v>
      </c>
      <c r="E44" s="10">
        <f t="shared" si="2"/>
        <v>195956.26701354235</v>
      </c>
      <c r="F44" s="3"/>
      <c r="G44" s="26">
        <v>13.95</v>
      </c>
      <c r="H44" s="10"/>
      <c r="I44" s="10">
        <f t="shared" si="8"/>
        <v>899.03958311889676</v>
      </c>
      <c r="J44" s="10">
        <f t="shared" si="6"/>
        <v>7279899884.3711519</v>
      </c>
      <c r="K44" s="11">
        <f t="shared" si="7"/>
        <v>0.1677595999999999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7901462.3795783455</v>
      </c>
      <c r="D45" s="11">
        <v>2.4899999999999999E-2</v>
      </c>
      <c r="E45" s="10">
        <f t="shared" si="2"/>
        <v>191966.44867938384</v>
      </c>
      <c r="F45" s="3"/>
      <c r="G45" s="26">
        <v>5.0199999999999996</v>
      </c>
      <c r="H45" s="10"/>
      <c r="I45" s="10">
        <f t="shared" si="8"/>
        <v>788.97725591829465</v>
      </c>
      <c r="J45" s="10">
        <f t="shared" si="6"/>
        <v>6234074105.9813614</v>
      </c>
      <c r="K45" s="11">
        <f t="shared" si="7"/>
        <v>7.6349980000000039E-2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7709495.9308989616</v>
      </c>
      <c r="D46" s="11">
        <v>2.5000000000000001E-2</v>
      </c>
      <c r="E46" s="10">
        <f t="shared" si="2"/>
        <v>188036.48611948639</v>
      </c>
      <c r="F46" s="3"/>
      <c r="G46" s="26">
        <v>6.29</v>
      </c>
      <c r="H46" s="10"/>
      <c r="I46" s="10">
        <f t="shared" si="8"/>
        <v>751.26381252932265</v>
      </c>
      <c r="J46" s="10">
        <f t="shared" si="6"/>
        <v>5791865305.7264528</v>
      </c>
      <c r="K46" s="11">
        <f t="shared" si="7"/>
        <v>8.9472499999999844E-2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7521459.4447794752</v>
      </c>
      <c r="D47" s="11">
        <v>2.4899999999999999E-2</v>
      </c>
      <c r="E47" s="10">
        <f t="shared" si="2"/>
        <v>182734.25717143994</v>
      </c>
      <c r="F47" s="3"/>
      <c r="G47" s="26">
        <v>6.87</v>
      </c>
      <c r="H47" s="10"/>
      <c r="I47" s="10">
        <f t="shared" si="8"/>
        <v>706.8057319873202</v>
      </c>
      <c r="J47" s="10">
        <f t="shared" si="6"/>
        <v>5316210648.4802999</v>
      </c>
      <c r="K47" s="11">
        <f t="shared" si="7"/>
        <v>9.5310629999999952E-2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7338725.1876080353</v>
      </c>
      <c r="D48" s="11">
        <v>2.4899999999999999E-2</v>
      </c>
      <c r="E48" s="10">
        <f t="shared" si="2"/>
        <v>178294.71867639758</v>
      </c>
      <c r="F48" s="3"/>
      <c r="G48" s="26">
        <v>4.67</v>
      </c>
      <c r="H48" s="10"/>
      <c r="I48" s="10">
        <f t="shared" si="8"/>
        <v>661.36963786593071</v>
      </c>
      <c r="J48" s="10">
        <f t="shared" si="6"/>
        <v>4853610019.7259111</v>
      </c>
      <c r="K48" s="11">
        <f t="shared" si="7"/>
        <v>7.2762830000000056E-2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7160430.4689316377</v>
      </c>
      <c r="D49" s="11">
        <v>2.47E-2</v>
      </c>
      <c r="E49" s="10">
        <f t="shared" si="2"/>
        <v>172599.42674208153</v>
      </c>
      <c r="F49" s="3"/>
      <c r="G49" s="26">
        <v>1.91</v>
      </c>
      <c r="H49" s="10"/>
      <c r="I49" s="10">
        <f t="shared" si="8"/>
        <v>631.86169663316207</v>
      </c>
      <c r="J49" s="10">
        <f t="shared" si="6"/>
        <v>4524401744.7229328</v>
      </c>
      <c r="K49" s="11">
        <f t="shared" si="7"/>
        <v>4.4271769999999711E-2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6987831.0421895562</v>
      </c>
      <c r="D50" s="11">
        <v>2.47E-2</v>
      </c>
      <c r="E50" s="10">
        <f t="shared" si="2"/>
        <v>168438.98384120408</v>
      </c>
      <c r="F50" s="3"/>
      <c r="G50" s="26">
        <v>4.62</v>
      </c>
      <c r="H50" s="10"/>
      <c r="I50" s="10">
        <f t="shared" si="8"/>
        <v>620.01932747832609</v>
      </c>
      <c r="J50" s="10">
        <f t="shared" si="6"/>
        <v>4332590303.3105392</v>
      </c>
      <c r="K50" s="11">
        <f t="shared" si="7"/>
        <v>7.2041139999999837E-2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6819392.0583483521</v>
      </c>
      <c r="D51" s="11">
        <v>2.4899999999999999E-2</v>
      </c>
      <c r="E51" s="10">
        <f t="shared" si="2"/>
        <v>165677.49268501624</v>
      </c>
      <c r="F51" s="3"/>
      <c r="G51" s="26">
        <v>-0.34</v>
      </c>
      <c r="H51" s="10"/>
      <c r="I51" s="10">
        <f t="shared" si="8"/>
        <v>592.63938776364569</v>
      </c>
      <c r="J51" s="10">
        <f t="shared" si="6"/>
        <v>4041440334.3798351</v>
      </c>
      <c r="K51" s="11">
        <f t="shared" si="7"/>
        <v>2.1415340000000116E-2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6653714.5656633358</v>
      </c>
      <c r="D52" s="11">
        <v>2.53E-2</v>
      </c>
      <c r="E52" s="10">
        <f t="shared" si="2"/>
        <v>164185.09559278563</v>
      </c>
      <c r="F52" s="3"/>
      <c r="G52" s="26">
        <v>3.28</v>
      </c>
      <c r="H52" s="10"/>
      <c r="I52" s="10">
        <f t="shared" si="8"/>
        <v>594.66123596592979</v>
      </c>
      <c r="J52" s="10">
        <f t="shared" si="6"/>
        <v>3956706127.3818688</v>
      </c>
      <c r="K52" s="11">
        <f t="shared" si="7"/>
        <v>5.8929840000000011E-2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6489529.4700705502</v>
      </c>
      <c r="D53" s="11">
        <v>2.5899999999999999E-2</v>
      </c>
      <c r="E53" s="10">
        <f t="shared" si="2"/>
        <v>163835.4744856488</v>
      </c>
      <c r="F53" s="3"/>
      <c r="G53" s="26">
        <v>7.41</v>
      </c>
      <c r="H53" s="10"/>
      <c r="I53" s="10">
        <f t="shared" si="8"/>
        <v>575.77579005221708</v>
      </c>
      <c r="J53" s="10">
        <f t="shared" si="6"/>
        <v>3736513957.6970167</v>
      </c>
      <c r="K53" s="11">
        <f t="shared" si="7"/>
        <v>0.10191919000000005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6325693.9955849014</v>
      </c>
      <c r="D54" s="11">
        <v>2.6499999999999999E-2</v>
      </c>
      <c r="E54" s="10">
        <f t="shared" si="2"/>
        <v>163303.35205357987</v>
      </c>
      <c r="F54" s="3"/>
      <c r="G54" s="26">
        <v>2.11</v>
      </c>
      <c r="H54" s="10"/>
      <c r="I54" s="10">
        <f t="shared" si="8"/>
        <v>536.05417563747983</v>
      </c>
      <c r="J54" s="10">
        <f t="shared" si="6"/>
        <v>3390914680.1382203</v>
      </c>
      <c r="K54" s="11">
        <f t="shared" si="7"/>
        <v>4.8159149999999817E-2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6162390.6435313215</v>
      </c>
      <c r="D55" s="11">
        <v>2.46E-2</v>
      </c>
      <c r="E55" s="10">
        <f t="shared" si="2"/>
        <v>147955.11402583495</v>
      </c>
      <c r="F55" s="3"/>
      <c r="G55" s="26">
        <v>4.92</v>
      </c>
      <c r="H55" s="10"/>
      <c r="I55" s="10">
        <f t="shared" si="8"/>
        <v>524.97715761186942</v>
      </c>
      <c r="J55" s="10">
        <f t="shared" si="6"/>
        <v>3235114324.1350522</v>
      </c>
      <c r="K55" s="11">
        <f t="shared" si="7"/>
        <v>7.5010319999999853E-2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6014435.5295054866</v>
      </c>
      <c r="D56" s="11">
        <v>2.5100000000000001E-2</v>
      </c>
      <c r="E56" s="10">
        <f t="shared" si="2"/>
        <v>147265.95628776401</v>
      </c>
      <c r="F56" s="3"/>
      <c r="G56" s="26">
        <v>5.12</v>
      </c>
      <c r="H56" s="10"/>
      <c r="I56" s="10">
        <f t="shared" si="8"/>
        <v>500.35947160872041</v>
      </c>
      <c r="J56" s="10">
        <f t="shared" si="6"/>
        <v>3009379783.5680799</v>
      </c>
      <c r="K56" s="11">
        <f t="shared" si="7"/>
        <v>7.758511999999973E-2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5867169.5732177226</v>
      </c>
      <c r="D57" s="11">
        <v>2.7900000000000001E-2</v>
      </c>
      <c r="E57" s="10">
        <f t="shared" si="2"/>
        <v>159250.93014181778</v>
      </c>
      <c r="F57" s="3"/>
      <c r="G57" s="26">
        <v>6.55</v>
      </c>
      <c r="H57" s="10"/>
      <c r="I57" s="10">
        <f t="shared" si="8"/>
        <v>475.98884285456666</v>
      </c>
      <c r="J57" s="10">
        <f t="shared" si="6"/>
        <v>2792707255.9874253</v>
      </c>
      <c r="K57" s="11">
        <f t="shared" si="7"/>
        <v>9.5227450000000102E-2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5707918.6430759048</v>
      </c>
      <c r="D58" s="11">
        <v>2.81E-2</v>
      </c>
      <c r="E58" s="10">
        <f t="shared" si="2"/>
        <v>156008.67023677938</v>
      </c>
      <c r="F58" s="3"/>
      <c r="G58" s="26">
        <v>5.33</v>
      </c>
      <c r="H58" s="10"/>
      <c r="I58" s="10">
        <f t="shared" si="8"/>
        <v>446.72814908922254</v>
      </c>
      <c r="J58" s="10">
        <f t="shared" si="6"/>
        <v>2549887930.5731654</v>
      </c>
      <c r="K58" s="11">
        <f t="shared" si="7"/>
        <v>8.2897729999999781E-2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5551909.9728391254</v>
      </c>
      <c r="D59" s="11">
        <v>2.8299999999999999E-2</v>
      </c>
      <c r="E59" s="10">
        <f t="shared" si="2"/>
        <v>152794.9550047135</v>
      </c>
      <c r="F59" s="3"/>
      <c r="G59" s="26">
        <v>2.93</v>
      </c>
      <c r="H59" s="10"/>
      <c r="I59" s="10">
        <f t="shared" si="8"/>
        <v>424.12242389558776</v>
      </c>
      <c r="J59" s="10">
        <f t="shared" si="6"/>
        <v>2354689514.9306169</v>
      </c>
      <c r="K59" s="11">
        <f t="shared" si="7"/>
        <v>5.842919000000002E-2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5399115.0178344119</v>
      </c>
      <c r="D60" s="11">
        <v>2.8500000000000001E-2</v>
      </c>
      <c r="E60" s="10">
        <f t="shared" si="2"/>
        <v>149610.86826279107</v>
      </c>
      <c r="F60" s="3"/>
      <c r="G60" s="26">
        <v>4.4800000000000004</v>
      </c>
      <c r="H60" s="10"/>
      <c r="I60" s="10">
        <f t="shared" si="8"/>
        <v>412.04937714523243</v>
      </c>
      <c r="J60" s="10">
        <f t="shared" si="6"/>
        <v>2224701980.2341399</v>
      </c>
      <c r="K60" s="11">
        <f t="shared" si="7"/>
        <v>7.4576799999999999E-2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5249504.1495716209</v>
      </c>
      <c r="D61" s="11">
        <v>2.87E-2</v>
      </c>
      <c r="E61" s="10">
        <f t="shared" si="2"/>
        <v>146457.44054895081</v>
      </c>
      <c r="F61" s="3"/>
      <c r="G61" s="26">
        <v>3.75</v>
      </c>
      <c r="H61" s="10"/>
      <c r="I61" s="10">
        <f t="shared" si="8"/>
        <v>394.38110369949504</v>
      </c>
      <c r="J61" s="10">
        <f t="shared" si="6"/>
        <v>2070305240.3831348</v>
      </c>
      <c r="K61" s="11">
        <f t="shared" si="7"/>
        <v>6.7276250000000148E-2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5103046.7090226701</v>
      </c>
      <c r="D62" s="11">
        <v>2.8899999999999999E-2</v>
      </c>
      <c r="E62" s="10">
        <f t="shared" si="2"/>
        <v>143335.64961682819</v>
      </c>
      <c r="F62" s="3"/>
      <c r="G62" s="26">
        <v>2.64</v>
      </c>
      <c r="H62" s="10"/>
      <c r="I62" s="10">
        <f t="shared" si="8"/>
        <v>380.12636501156146</v>
      </c>
      <c r="J62" s="10">
        <f t="shared" si="6"/>
        <v>1939802595.9849989</v>
      </c>
      <c r="K62" s="11">
        <f t="shared" si="7"/>
        <v>5.6062959999999773E-2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4959711.0594058419</v>
      </c>
      <c r="D63" s="11">
        <v>2.9000000000000001E-2</v>
      </c>
      <c r="E63" s="10">
        <f t="shared" si="2"/>
        <v>139778.05706780311</v>
      </c>
      <c r="F63" s="3"/>
      <c r="G63" s="26">
        <v>8.07</v>
      </c>
      <c r="H63" s="10"/>
      <c r="I63" s="10">
        <f t="shared" si="8"/>
        <v>370.34914751710977</v>
      </c>
      <c r="J63" s="10">
        <f t="shared" si="6"/>
        <v>1836824762.782135</v>
      </c>
      <c r="K63" s="11">
        <f t="shared" si="7"/>
        <v>0.11204030000000009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4819933.0023380388</v>
      </c>
      <c r="D64" s="11">
        <v>2.9100000000000001E-2</v>
      </c>
      <c r="E64" s="10">
        <f t="shared" si="2"/>
        <v>136293.89793803915</v>
      </c>
      <c r="F64" s="3"/>
      <c r="G64" s="26">
        <v>2.1</v>
      </c>
      <c r="H64" s="10"/>
      <c r="I64" s="10">
        <f t="shared" si="8"/>
        <v>342.6937610040805</v>
      </c>
      <c r="J64" s="10">
        <f t="shared" si="6"/>
        <v>1651760968.358912</v>
      </c>
      <c r="K64" s="11">
        <f t="shared" si="7"/>
        <v>5.0711099999999787E-2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4683639.1043999996</v>
      </c>
      <c r="D65" s="11">
        <v>2.92E-2</v>
      </c>
      <c r="E65" s="10">
        <f t="shared" si="2"/>
        <v>132882.1043999996</v>
      </c>
      <c r="F65" s="3"/>
      <c r="G65" s="26">
        <v>1.34</v>
      </c>
      <c r="H65" s="10"/>
      <c r="I65" s="10">
        <f t="shared" si="8"/>
        <v>335.64521156129337</v>
      </c>
      <c r="J65" s="10">
        <f t="shared" si="6"/>
        <v>1572041038.0730844</v>
      </c>
      <c r="K65" s="11">
        <f t="shared" si="7"/>
        <v>4.2991279999999854E-2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4550757</v>
      </c>
      <c r="D66" s="11">
        <v>0.01</v>
      </c>
      <c r="E66" s="10">
        <f t="shared" si="2"/>
        <v>45057</v>
      </c>
      <c r="F66" s="23">
        <f>SUM(F2)</f>
        <v>15105090</v>
      </c>
      <c r="G66" s="26">
        <v>1.06</v>
      </c>
      <c r="H66" s="10"/>
      <c r="I66" s="10">
        <f t="shared" si="8"/>
        <v>331.20703726198275</v>
      </c>
      <c r="J66" s="10">
        <f t="shared" ref="J66:J67" si="9">IF(I66="","",I66*C66)</f>
        <v>1507242743.2692289</v>
      </c>
      <c r="K66" s="11">
        <f t="shared" ref="K66" si="10">IFERROR(J66/J67-1,"")</f>
        <v>2.0705999999999891E-2</v>
      </c>
    </row>
    <row r="67" spans="1:11" ht="22.5" customHeight="1">
      <c r="A67" s="3">
        <f t="shared" si="0"/>
        <v>1950</v>
      </c>
      <c r="B67" s="3">
        <v>1700</v>
      </c>
      <c r="C67" s="10">
        <v>4505700</v>
      </c>
      <c r="D67" s="11">
        <v>0.01</v>
      </c>
      <c r="E67" s="3" t="s">
        <v>72</v>
      </c>
      <c r="F67" s="10">
        <f>SUM(C2)</f>
        <v>15105606.015821232</v>
      </c>
      <c r="G67" s="26">
        <v>14.55</v>
      </c>
      <c r="H67" s="10"/>
      <c r="I67" s="10">
        <f t="shared" ref="I67" si="11">IF(H67&lt;&gt;"",H67,I66/(1+IF(G66="",0,G66)/100))</f>
        <v>327.7330667543863</v>
      </c>
      <c r="J67" s="10">
        <f t="shared" si="9"/>
        <v>1476666878.8752384</v>
      </c>
      <c r="K67" s="11"/>
    </row>
  </sheetData>
  <dataValidations count="1">
    <dataValidation type="custom" allowBlank="1" showDropDown="1" sqref="D2:D67" xr:uid="{00000000-0002-0000-3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M67"/>
  <sheetViews>
    <sheetView workbookViewId="0">
      <selection activeCell="J6" sqref="J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8003951.7140036738</v>
      </c>
      <c r="D2" s="11">
        <v>1.222E-2</v>
      </c>
      <c r="E2" s="10">
        <f t="shared" ref="E2:E66" si="2">SUM(C2-C3)</f>
        <v>96627.501872245222</v>
      </c>
      <c r="F2" s="14">
        <v>8002152</v>
      </c>
      <c r="G2" s="29">
        <v>0.7</v>
      </c>
      <c r="H2" s="10"/>
      <c r="I2" s="10">
        <f>IF(H2&lt;&gt;"",H2,165080)</f>
        <v>20635</v>
      </c>
      <c r="J2" s="10">
        <f t="shared" ref="J2:J33" si="3">IF(I2="","",I2*C2)</f>
        <v>165161543618.46582</v>
      </c>
      <c r="K2" s="11">
        <f t="shared" ref="K2:K33" si="4">IFERROR(J2/J3-1,"")</f>
        <v>1.9305539999999954E-2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7907324.2121314285</v>
      </c>
      <c r="D3" s="11">
        <v>1.235E-2</v>
      </c>
      <c r="E3" s="10">
        <f t="shared" si="2"/>
        <v>96464.122111743316</v>
      </c>
      <c r="F3" s="3"/>
      <c r="G3" s="29">
        <v>1.57</v>
      </c>
      <c r="H3" s="10"/>
      <c r="I3" s="10">
        <f>IF(H3&lt;&gt;"",H3,I2/(1+IF(G2="",0,G2)/100))</f>
        <v>20491.559086395235</v>
      </c>
      <c r="J3" s="10">
        <f t="shared" si="3"/>
        <v>162033401308.1748</v>
      </c>
      <c r="K3" s="11">
        <f t="shared" si="4"/>
        <v>2.8243894999999908E-2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7810860.0900196852</v>
      </c>
      <c r="D4" s="11">
        <v>1.434E-2</v>
      </c>
      <c r="E4" s="10">
        <f t="shared" si="2"/>
        <v>110424.24994664732</v>
      </c>
      <c r="F4" s="3"/>
      <c r="G4" s="29">
        <v>2.56</v>
      </c>
      <c r="H4" s="10"/>
      <c r="I4" s="10">
        <f>IF(H4&lt;&gt;"",H4,I3/(1+IF(G3="",0,G3)/100))</f>
        <v>20174.81449876463</v>
      </c>
      <c r="J4" s="10">
        <f t="shared" si="3"/>
        <v>157582653391.95114</v>
      </c>
      <c r="K4" s="11">
        <f t="shared" si="4"/>
        <v>4.0307104000000038E-2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7700435.8400730379</v>
      </c>
      <c r="D5" s="11">
        <v>2.026E-2</v>
      </c>
      <c r="E5" s="10">
        <f t="shared" si="2"/>
        <v>152912.81645843107</v>
      </c>
      <c r="F5" s="3"/>
      <c r="G5" s="26">
        <v>0.03</v>
      </c>
      <c r="H5" s="10"/>
      <c r="I5" s="10">
        <f>IF(H5&lt;&gt;"",H5,I4/(1+IF(G4="",0,G4)/100))</f>
        <v>19671.230985534934</v>
      </c>
      <c r="J5" s="10">
        <f t="shared" si="3"/>
        <v>151477052099.36847</v>
      </c>
      <c r="K5" s="11">
        <f t="shared" si="4"/>
        <v>2.0566077999999877E-2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7547523.0236146068</v>
      </c>
      <c r="D6" s="11">
        <v>2.2179999999999998E-2</v>
      </c>
      <c r="E6" s="10">
        <f t="shared" si="2"/>
        <v>163771.60643308703</v>
      </c>
      <c r="F6" s="3"/>
      <c r="G6" s="26">
        <v>-0.36</v>
      </c>
      <c r="H6" s="10"/>
      <c r="I6" s="10">
        <f>IF(H6&lt;&gt;"",H6,I5/(1+IF(G5="",0,G5)/100))</f>
        <v>19665.331386119098</v>
      </c>
      <c r="J6" s="10">
        <f t="shared" si="3"/>
        <v>148424541403.74484</v>
      </c>
      <c r="K6" s="11">
        <f t="shared" si="4"/>
        <v>1.8500152000000103E-2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7383751.4171815198</v>
      </c>
      <c r="D7" s="11">
        <v>1.881E-2</v>
      </c>
      <c r="E7" s="10">
        <f t="shared" si="2"/>
        <v>136324.10769150686</v>
      </c>
      <c r="F7" s="3"/>
      <c r="G7" s="26">
        <v>-0.41</v>
      </c>
      <c r="H7" s="10"/>
      <c r="I7" s="10">
        <f>IF(H7&lt;&gt;"",H7,I6/(1+IF(G6="",0,G6)/100))</f>
        <v>19736.382362624547</v>
      </c>
      <c r="J7" s="10">
        <f t="shared" si="3"/>
        <v>145728541240.06534</v>
      </c>
      <c r="K7" s="11">
        <f t="shared" si="4"/>
        <v>1.4632878999999877E-2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7247427.3094900129</v>
      </c>
      <c r="D8" s="11">
        <v>2.443E-2</v>
      </c>
      <c r="E8" s="10">
        <f t="shared" si="2"/>
        <v>172832.35474443436</v>
      </c>
      <c r="F8" s="3"/>
      <c r="G8" s="26">
        <v>-1.95</v>
      </c>
      <c r="H8" s="10"/>
      <c r="I8" s="10">
        <f>IF(H8&lt;&gt;"",H8,I7/(1+IF(G7="",0,G7)/100))</f>
        <v>19817.634664750021</v>
      </c>
      <c r="J8" s="10">
        <f t="shared" si="3"/>
        <v>143626866678.80527</v>
      </c>
      <c r="K8" s="11">
        <f t="shared" si="4"/>
        <v>4.4536150000002994E-3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7074594.9547455786</v>
      </c>
      <c r="D9" s="11">
        <v>4.2090000000000002E-2</v>
      </c>
      <c r="E9" s="10">
        <f t="shared" si="2"/>
        <v>285742.78771050554</v>
      </c>
      <c r="F9" s="3"/>
      <c r="G9" s="26">
        <v>-1.84</v>
      </c>
      <c r="H9" s="10"/>
      <c r="I9" s="10">
        <f>IF(H9&lt;&gt;"",H9,I8/(1+IF(G8="",0,G8)/100))</f>
        <v>20211.76406399798</v>
      </c>
      <c r="J9" s="10">
        <f t="shared" si="3"/>
        <v>142990044073.66809</v>
      </c>
      <c r="K9" s="11">
        <f t="shared" si="4"/>
        <v>2.2915543999999732E-2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6788852.167035073</v>
      </c>
      <c r="D10" s="11">
        <v>4.7480000000000001E-2</v>
      </c>
      <c r="E10" s="10">
        <f t="shared" si="2"/>
        <v>307723.96694049053</v>
      </c>
      <c r="F10" s="3"/>
      <c r="G10" s="26">
        <v>-1.1599999999999999</v>
      </c>
      <c r="H10" s="10"/>
      <c r="I10" s="10">
        <f>IF(H10&lt;&gt;"",H10,I9/(1+IF(G9="",0,G9)/100))</f>
        <v>20590.631687039506</v>
      </c>
      <c r="J10" s="10">
        <f t="shared" si="3"/>
        <v>139786754549.1792</v>
      </c>
      <c r="K10" s="11">
        <f t="shared" si="4"/>
        <v>3.5329232000000044E-2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6481128.2000945825</v>
      </c>
      <c r="D11" s="11">
        <v>3.6470000000000002E-2</v>
      </c>
      <c r="E11" s="10">
        <f t="shared" si="2"/>
        <v>228049.77033339068</v>
      </c>
      <c r="F11" s="3"/>
      <c r="G11" s="26">
        <v>-1.41</v>
      </c>
      <c r="H11" s="10"/>
      <c r="I11" s="10">
        <f>IF(H11&lt;&gt;"",H11,I10/(1+IF(G10="",0,G10)/100))</f>
        <v>20832.286207041183</v>
      </c>
      <c r="J11" s="10">
        <f t="shared" si="3"/>
        <v>135016717608.89603</v>
      </c>
      <c r="K11" s="11">
        <f t="shared" si="4"/>
        <v>2.1855773000000189E-2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6253078.4297611918</v>
      </c>
      <c r="D12" s="11">
        <v>2.733E-2</v>
      </c>
      <c r="E12" s="10">
        <f t="shared" si="2"/>
        <v>166350.28032411542</v>
      </c>
      <c r="F12" s="3"/>
      <c r="G12" s="26">
        <v>-1.99</v>
      </c>
      <c r="H12" s="10"/>
      <c r="I12" s="10">
        <f>IF(H12&lt;&gt;"",H12,I11/(1+IF(G11="",0,G11)/100))</f>
        <v>21130.222342064288</v>
      </c>
      <c r="J12" s="10">
        <f t="shared" si="3"/>
        <v>132128937543.22021</v>
      </c>
      <c r="K12" s="11">
        <f t="shared" si="4"/>
        <v>6.886133000000072E-3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6086728.1494370764</v>
      </c>
      <c r="D13" s="11">
        <v>1.7860000000000001E-2</v>
      </c>
      <c r="E13" s="10">
        <f t="shared" si="2"/>
        <v>106801.49013513234</v>
      </c>
      <c r="F13" s="3"/>
      <c r="G13" s="26">
        <v>8.75</v>
      </c>
      <c r="H13" s="10"/>
      <c r="I13" s="10">
        <f>IF(H13&lt;&gt;"",H13,I12/(1+IF(G12="",0,G12)/100))</f>
        <v>21559.251445836435</v>
      </c>
      <c r="J13" s="10">
        <f t="shared" si="3"/>
        <v>131225302656.16461</v>
      </c>
      <c r="K13" s="11">
        <f t="shared" si="4"/>
        <v>0.10692274999999984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5979926.6593019441</v>
      </c>
      <c r="D14" s="11">
        <v>-1.33E-3</v>
      </c>
      <c r="E14" s="10">
        <f t="shared" si="2"/>
        <v>-7963.8944364720955</v>
      </c>
      <c r="F14" s="3"/>
      <c r="G14" s="26">
        <v>0.05</v>
      </c>
      <c r="H14" s="10"/>
      <c r="I14" s="10">
        <f>IF(H14&lt;&gt;"",H14,I13/(1+IF(G13="",0,G13)/100))</f>
        <v>19824.599030654193</v>
      </c>
      <c r="J14" s="10">
        <f t="shared" si="3"/>
        <v>118549648253.38049</v>
      </c>
      <c r="K14" s="11">
        <f t="shared" si="4"/>
        <v>-8.3066499999995269E-4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5987890.5537384162</v>
      </c>
      <c r="D15" s="11">
        <v>-2.8500000000000001E-3</v>
      </c>
      <c r="E15" s="10">
        <f t="shared" si="2"/>
        <v>-17114.263729784638</v>
      </c>
      <c r="F15" s="3"/>
      <c r="G15" s="26">
        <v>0.92</v>
      </c>
      <c r="H15" s="10"/>
      <c r="I15" s="10">
        <f>IF(H15&lt;&gt;"",H15,I14/(1+IF(G14="",0,G14)/100))</f>
        <v>19814.691684811787</v>
      </c>
      <c r="J15" s="10">
        <f t="shared" si="3"/>
        <v>118648205164.72365</v>
      </c>
      <c r="K15" s="11">
        <f t="shared" si="4"/>
        <v>6.3237800000000011E-3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6005004.8174682008</v>
      </c>
      <c r="D16" s="11">
        <v>1.78E-2</v>
      </c>
      <c r="E16" s="10">
        <f t="shared" si="2"/>
        <v>105019.73447723966</v>
      </c>
      <c r="F16" s="3"/>
      <c r="G16" s="26">
        <v>6.31</v>
      </c>
      <c r="H16" s="10"/>
      <c r="I16" s="10">
        <f>IF(H16&lt;&gt;"",H16,I15/(1+IF(G15="",0,G15)/100))</f>
        <v>19634.058348010094</v>
      </c>
      <c r="J16" s="10">
        <f t="shared" si="3"/>
        <v>117902614966.25237</v>
      </c>
      <c r="K16" s="11">
        <f t="shared" si="4"/>
        <v>8.2023179999999973E-2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5899985.0829909611</v>
      </c>
      <c r="D17" s="11">
        <v>2.1950000000000001E-2</v>
      </c>
      <c r="E17" s="10">
        <f t="shared" si="2"/>
        <v>126723.10051533952</v>
      </c>
      <c r="F17" s="3"/>
      <c r="G17" s="26">
        <v>3.27</v>
      </c>
      <c r="H17" s="10"/>
      <c r="I17" s="10">
        <f>IF(H17&lt;&gt;"",H17,I16/(1+IF(G16="",0,G16)/100))</f>
        <v>18468.684364603607</v>
      </c>
      <c r="J17" s="10">
        <f t="shared" si="3"/>
        <v>108964962253.62968</v>
      </c>
      <c r="K17" s="11">
        <f t="shared" si="4"/>
        <v>5.5367764999999958E-2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5773261.9824756216</v>
      </c>
      <c r="D18" s="11">
        <v>1.23E-2</v>
      </c>
      <c r="E18" s="10">
        <f t="shared" si="2"/>
        <v>70148.298315173015</v>
      </c>
      <c r="F18" s="3"/>
      <c r="G18" s="26">
        <v>5.39</v>
      </c>
      <c r="H18" s="10"/>
      <c r="I18" s="10">
        <f>IF(H18&lt;&gt;"",H18,I17/(1+IF(G17="",0,G17)/100))</f>
        <v>17883.881441467616</v>
      </c>
      <c r="J18" s="10">
        <f t="shared" si="3"/>
        <v>103248332825.12631</v>
      </c>
      <c r="K18" s="11">
        <f t="shared" si="4"/>
        <v>6.6862970000000077E-2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5703113.6841604486</v>
      </c>
      <c r="D19" s="11">
        <v>2.0889999999999999E-2</v>
      </c>
      <c r="E19" s="10">
        <f t="shared" si="2"/>
        <v>116700.17814075202</v>
      </c>
      <c r="F19" s="3"/>
      <c r="G19" s="26">
        <v>5.53</v>
      </c>
      <c r="H19" s="10"/>
      <c r="I19" s="10">
        <f>IF(H19&lt;&gt;"",H19,I18/(1+IF(G18="",0,G18)/100))</f>
        <v>16969.239435874006</v>
      </c>
      <c r="J19" s="10">
        <f t="shared" si="3"/>
        <v>96777501636.528168</v>
      </c>
      <c r="K19" s="11">
        <f t="shared" si="4"/>
        <v>7.7345216999999966E-2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5586413.5060196966</v>
      </c>
      <c r="D20" s="11">
        <v>3.3750000000000002E-2</v>
      </c>
      <c r="E20" s="10">
        <f t="shared" si="2"/>
        <v>182385.93066811562</v>
      </c>
      <c r="F20" s="3"/>
      <c r="G20" s="26">
        <v>4.88</v>
      </c>
      <c r="H20" s="10"/>
      <c r="I20" s="10">
        <f>IF(H20&lt;&gt;"",H20,I19/(1+IF(G19="",0,G19)/100))</f>
        <v>16080.014627000859</v>
      </c>
      <c r="J20" s="10">
        <f t="shared" si="3"/>
        <v>89829610889.271866</v>
      </c>
      <c r="K20" s="11">
        <f t="shared" si="4"/>
        <v>8.4196999999999855E-2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5404027.575351581</v>
      </c>
      <c r="D21" s="11">
        <v>3.712E-2</v>
      </c>
      <c r="E21" s="10">
        <f t="shared" si="2"/>
        <v>193417.83361332398</v>
      </c>
      <c r="F21" s="3"/>
      <c r="G21" s="26">
        <v>2.31</v>
      </c>
      <c r="H21" s="10"/>
      <c r="I21" s="10">
        <f>IF(H21&lt;&gt;"",H21,I20/(1+IF(G20="",0,G20)/100))</f>
        <v>15331.821726736136</v>
      </c>
      <c r="J21" s="10">
        <f t="shared" si="3"/>
        <v>82853587391.65657</v>
      </c>
      <c r="K21" s="11">
        <f t="shared" si="4"/>
        <v>6.1077471999999799E-2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5210609.741738257</v>
      </c>
      <c r="D22" s="11">
        <v>3.5619999999999999E-2</v>
      </c>
      <c r="E22" s="10">
        <f t="shared" si="2"/>
        <v>179218.16786149051</v>
      </c>
      <c r="F22" s="3"/>
      <c r="G22" s="26">
        <v>4.55</v>
      </c>
      <c r="H22" s="10"/>
      <c r="I22" s="10">
        <f>IF(H22&lt;&gt;"",H22,I21/(1+IF(G21="",0,G21)/100))</f>
        <v>14985.653139220152</v>
      </c>
      <c r="J22" s="10">
        <f t="shared" si="3"/>
        <v>78084390233.531021</v>
      </c>
      <c r="K22" s="11">
        <f t="shared" si="4"/>
        <v>8.2740710000000162E-2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5031391.5738767665</v>
      </c>
      <c r="D23" s="11">
        <v>3.0949999999999998E-2</v>
      </c>
      <c r="E23" s="10">
        <f t="shared" si="2"/>
        <v>151046.67463163659</v>
      </c>
      <c r="F23" s="3"/>
      <c r="G23" s="26">
        <v>4.1900000000000004</v>
      </c>
      <c r="H23" s="10"/>
      <c r="I23" s="10">
        <f>IF(H23&lt;&gt;"",H23,I22/(1+IF(G22="",0,G22)/100))</f>
        <v>14333.47980795806</v>
      </c>
      <c r="J23" s="10">
        <f t="shared" si="3"/>
        <v>72117349530.092957</v>
      </c>
      <c r="K23" s="11">
        <f t="shared" si="4"/>
        <v>7.4146805000000038E-2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4880344.8992451299</v>
      </c>
      <c r="D24" s="11">
        <v>2.836E-2</v>
      </c>
      <c r="E24" s="10">
        <f t="shared" si="2"/>
        <v>134589.61972713005</v>
      </c>
      <c r="F24" s="3"/>
      <c r="G24" s="26">
        <v>4.6399999999999997</v>
      </c>
      <c r="H24" s="10"/>
      <c r="I24" s="10">
        <f>IF(H24&lt;&gt;"",H24,I23/(1+IF(G23="",0,G23)/100))</f>
        <v>13757.059034416028</v>
      </c>
      <c r="J24" s="10">
        <f t="shared" si="3"/>
        <v>67139192887.226395</v>
      </c>
      <c r="K24" s="11">
        <f t="shared" si="4"/>
        <v>7.6075903999999861E-2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4745755.2795179999</v>
      </c>
      <c r="D25" s="11">
        <v>2.751E-2</v>
      </c>
      <c r="E25" s="10">
        <f t="shared" si="2"/>
        <v>127060.29891635105</v>
      </c>
      <c r="F25" s="3"/>
      <c r="G25" s="26">
        <v>4.5599999999999996</v>
      </c>
      <c r="H25" s="10"/>
      <c r="I25" s="10">
        <f>IF(H25&lt;&gt;"",H25,I24/(1+IF(G24="",0,G24)/100))</f>
        <v>13147.036539006143</v>
      </c>
      <c r="J25" s="10">
        <f t="shared" si="3"/>
        <v>62392618065.004456</v>
      </c>
      <c r="K25" s="11">
        <f t="shared" si="4"/>
        <v>7.4364455999999857E-2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4618694.9806016488</v>
      </c>
      <c r="D26" s="11">
        <v>2.92E-2</v>
      </c>
      <c r="E26" s="10">
        <f t="shared" si="2"/>
        <v>131039.53889775369</v>
      </c>
      <c r="F26" s="3"/>
      <c r="G26" s="26">
        <v>2.2999999999999998</v>
      </c>
      <c r="H26" s="10"/>
      <c r="I26" s="10">
        <f>IF(H26&lt;&gt;"",H26,I25/(1+IF(G25="",0,G25)/100))</f>
        <v>12573.676873571292</v>
      </c>
      <c r="J26" s="10">
        <f t="shared" si="3"/>
        <v>58073978263.670761</v>
      </c>
      <c r="K26" s="11">
        <f t="shared" si="4"/>
        <v>5.2871600000000019E-2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4487655.4417038951</v>
      </c>
      <c r="D27" s="11">
        <v>3.3500000000000002E-2</v>
      </c>
      <c r="E27" s="10">
        <f t="shared" si="2"/>
        <v>145463.43231454398</v>
      </c>
      <c r="F27" s="3"/>
      <c r="G27" s="26">
        <v>-9.84</v>
      </c>
      <c r="H27" s="10"/>
      <c r="I27" s="10">
        <f>IF(H27&lt;&gt;"",H27,I26/(1+IF(G26="",0,G26)/100))</f>
        <v>12290.984236140072</v>
      </c>
      <c r="J27" s="10">
        <f t="shared" si="3"/>
        <v>55157702291.210785</v>
      </c>
      <c r="K27" s="11">
        <f t="shared" si="4"/>
        <v>-6.8196399999999824E-2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4342192.0093893511</v>
      </c>
      <c r="D28" s="11">
        <v>3.4049999999999997E-2</v>
      </c>
      <c r="E28" s="10">
        <f t="shared" si="2"/>
        <v>142983.0645710621</v>
      </c>
      <c r="F28" s="3"/>
      <c r="G28" s="26">
        <v>4.33</v>
      </c>
      <c r="H28" s="10"/>
      <c r="I28" s="10">
        <f>IF(H28&lt;&gt;"",H28,I27/(1+IF(G27="",0,G27)/100))</f>
        <v>13632.41374904622</v>
      </c>
      <c r="J28" s="10">
        <f t="shared" si="3"/>
        <v>59194558049.798019</v>
      </c>
      <c r="K28" s="11">
        <f t="shared" si="4"/>
        <v>7.8824364999999785E-2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4199208.944818289</v>
      </c>
      <c r="D29" s="11">
        <v>2.7789999999999999E-2</v>
      </c>
      <c r="E29" s="10">
        <f t="shared" si="2"/>
        <v>113540.71996857319</v>
      </c>
      <c r="F29" s="3"/>
      <c r="G29" s="26">
        <v>5.89</v>
      </c>
      <c r="H29" s="10"/>
      <c r="I29" s="10">
        <f>IF(H29&lt;&gt;"",H29,I28/(1+IF(G28="",0,G28)/100))</f>
        <v>13066.62872524319</v>
      </c>
      <c r="J29" s="10">
        <f t="shared" si="3"/>
        <v>54869504221.660805</v>
      </c>
      <c r="K29" s="11">
        <f t="shared" si="4"/>
        <v>8.8326830999999828E-2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4085668.2248497158</v>
      </c>
      <c r="D30" s="11">
        <v>2.002E-2</v>
      </c>
      <c r="E30" s="10">
        <f t="shared" si="2"/>
        <v>80189.680458707735</v>
      </c>
      <c r="F30" s="3"/>
      <c r="G30" s="26">
        <v>5.77</v>
      </c>
      <c r="H30" s="10"/>
      <c r="I30" s="10">
        <f>IF(H30&lt;&gt;"",H30,I29/(1+IF(G29="",0,G29)/100))</f>
        <v>12339.813698407017</v>
      </c>
      <c r="J30" s="10">
        <f t="shared" si="3"/>
        <v>50416384728.146805</v>
      </c>
      <c r="K30" s="11">
        <f t="shared" si="4"/>
        <v>7.8875153999999892E-2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4005478.5443910081</v>
      </c>
      <c r="D31" s="11">
        <v>6.6400000000000001E-3</v>
      </c>
      <c r="E31" s="10">
        <f t="shared" si="2"/>
        <v>26420.94247671077</v>
      </c>
      <c r="F31" s="3"/>
      <c r="G31" s="26">
        <v>4.9800000000000004</v>
      </c>
      <c r="H31" s="10"/>
      <c r="I31" s="10">
        <f>IF(H31&lt;&gt;"",H31,I30/(1+IF(G30="",0,G30)/100))</f>
        <v>11666.648102871341</v>
      </c>
      <c r="J31" s="10">
        <f t="shared" si="3"/>
        <v>46730508661.011215</v>
      </c>
      <c r="K31" s="11">
        <f t="shared" si="4"/>
        <v>5.6770672000000078E-2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3979057.6019142973</v>
      </c>
      <c r="D32" s="11">
        <v>3.6999999999999999E-4</v>
      </c>
      <c r="E32" s="10">
        <f t="shared" si="2"/>
        <v>1471.7067811992019</v>
      </c>
      <c r="F32" s="3"/>
      <c r="G32" s="26">
        <v>3.1</v>
      </c>
      <c r="H32" s="10"/>
      <c r="I32" s="10">
        <f>IF(H32&lt;&gt;"",H32,I31/(1+IF(G31="",0,G31)/100))</f>
        <v>11113.210233255229</v>
      </c>
      <c r="J32" s="10">
        <f t="shared" si="3"/>
        <v>44220103660.305984</v>
      </c>
      <c r="K32" s="11">
        <f t="shared" si="4"/>
        <v>3.1381469999999911E-2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3977585.8951330981</v>
      </c>
      <c r="D33" s="11">
        <v>0.01</v>
      </c>
      <c r="E33" s="10">
        <f t="shared" si="2"/>
        <v>39382.038565674331</v>
      </c>
      <c r="F33" s="3"/>
      <c r="G33" s="26">
        <v>5.93</v>
      </c>
      <c r="H33" s="10"/>
      <c r="I33" s="10">
        <f>IF(H33&lt;&gt;"",H33,I32/(1+IF(G32="",0,G32)/100))</f>
        <v>10779.059392100127</v>
      </c>
      <c r="J33" s="10">
        <f t="shared" si="3"/>
        <v>42874634600.819412</v>
      </c>
      <c r="K33" s="11">
        <f t="shared" si="4"/>
        <v>6.9892999999999983E-2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3938203.8565674238</v>
      </c>
      <c r="D34" s="11">
        <v>1.5890000000000001E-2</v>
      </c>
      <c r="E34" s="10">
        <f t="shared" si="2"/>
        <v>61599.247242177837</v>
      </c>
      <c r="F34" s="3"/>
      <c r="G34" s="26">
        <v>-3.64</v>
      </c>
      <c r="H34" s="10"/>
      <c r="I34" s="10">
        <f>IF(H34&lt;&gt;"",H34,I33/(1+IF(G33="",0,G33)/100))</f>
        <v>10175.643719531887</v>
      </c>
      <c r="J34" s="10">
        <f t="shared" ref="J34:J65" si="5">IF(I34="","",I34*C34)</f>
        <v>40073759339.316559</v>
      </c>
      <c r="K34" s="11">
        <f t="shared" ref="K34:K65" si="6">IFERROR(J34/J35-1,"")</f>
        <v>-7.8818260000000917E-3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3876604.609325246</v>
      </c>
      <c r="D35" s="11">
        <v>2.8330000000000001E-2</v>
      </c>
      <c r="E35" s="10">
        <f t="shared" si="2"/>
        <v>106798.60412725899</v>
      </c>
      <c r="F35" s="3"/>
      <c r="G35" s="26">
        <v>-4.26</v>
      </c>
      <c r="H35" s="10"/>
      <c r="I35" s="10">
        <f>IF(H35&lt;&gt;"",H35,I34/(1+IF(G34="",0,G34)/100))</f>
        <v>10419.459061572687</v>
      </c>
      <c r="J35" s="10">
        <f t="shared" si="5"/>
        <v>40392123024.768379</v>
      </c>
      <c r="K35" s="11">
        <f t="shared" si="6"/>
        <v>1.228805200000016E-2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3769806.005197987</v>
      </c>
      <c r="D36" s="11">
        <v>4.614E-2</v>
      </c>
      <c r="E36" s="10">
        <f t="shared" si="2"/>
        <v>166267.27692262549</v>
      </c>
      <c r="F36" s="3"/>
      <c r="G36" s="26">
        <v>-3.65</v>
      </c>
      <c r="H36" s="10"/>
      <c r="I36" s="10">
        <f>IF(H36&lt;&gt;"",H36,I35/(1+IF(G35="",0,G35)/100))</f>
        <v>10584.578485953562</v>
      </c>
      <c r="J36" s="10">
        <f t="shared" si="5"/>
        <v>39901807538.837151</v>
      </c>
      <c r="K36" s="11">
        <f t="shared" si="6"/>
        <v>5.8170610000000122E-2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3603538.7282753615</v>
      </c>
      <c r="D37" s="11">
        <v>2.947E-2</v>
      </c>
      <c r="E37" s="10">
        <f t="shared" si="2"/>
        <v>103156.27101544989</v>
      </c>
      <c r="F37" s="3"/>
      <c r="G37" s="26">
        <v>-1.06</v>
      </c>
      <c r="H37" s="10"/>
      <c r="I37" s="10">
        <f>IF(H37&lt;&gt;"",H37,I36/(1+IF(G36="",0,G36)/100))</f>
        <v>10464.239729069264</v>
      </c>
      <c r="J37" s="10">
        <f t="shared" si="5"/>
        <v>37708293125.658768</v>
      </c>
      <c r="K37" s="11">
        <f t="shared" si="6"/>
        <v>7.31195280000001E-2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3500382.4572599116</v>
      </c>
      <c r="D38" s="11">
        <v>1.124E-2</v>
      </c>
      <c r="E38" s="10">
        <f t="shared" si="2"/>
        <v>38906.984315890353</v>
      </c>
      <c r="F38" s="3"/>
      <c r="G38" s="26">
        <v>4.21</v>
      </c>
      <c r="H38" s="10"/>
      <c r="I38" s="10">
        <f>IF(H38&lt;&gt;"",H38,I37/(1+IF(G37="",0,G37)/100))</f>
        <v>10038.602963420246</v>
      </c>
      <c r="J38" s="10">
        <f t="shared" si="5"/>
        <v>35138949708.553589</v>
      </c>
      <c r="K38" s="11">
        <f t="shared" si="6"/>
        <v>9.1229083999999849E-2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3461475.4729440212</v>
      </c>
      <c r="D39" s="11">
        <v>1.197E-2</v>
      </c>
      <c r="E39" s="10">
        <f t="shared" si="2"/>
        <v>40943.764549482614</v>
      </c>
      <c r="F39" s="3"/>
      <c r="G39" s="26">
        <v>6.93</v>
      </c>
      <c r="H39" s="10"/>
      <c r="I39" s="10">
        <f>IF(H39&lt;&gt;"",H39,I38/(1+IF(G38="",0,G38)/100))</f>
        <v>9302.7550397741143</v>
      </c>
      <c r="J39" s="10">
        <f t="shared" si="5"/>
        <v>32201258400.984478</v>
      </c>
      <c r="K39" s="11">
        <f t="shared" si="6"/>
        <v>8.2099520999999731E-2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3420531.7083945386</v>
      </c>
      <c r="D40" s="11">
        <v>1.2800000000000001E-2</v>
      </c>
      <c r="E40" s="10">
        <f t="shared" si="2"/>
        <v>43229.468668492977</v>
      </c>
      <c r="F40" s="3"/>
      <c r="G40" s="26">
        <v>5.95</v>
      </c>
      <c r="H40" s="10"/>
      <c r="I40" s="10">
        <f>IF(H40&lt;&gt;"",H40,I39/(1+IF(G39="",0,G39)/100))</f>
        <v>8699.8550825531802</v>
      </c>
      <c r="J40" s="10">
        <f t="shared" si="5"/>
        <v>29758130168.310539</v>
      </c>
      <c r="K40" s="11">
        <f t="shared" si="6"/>
        <v>7.3061600000000171E-2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3377302.2397260456</v>
      </c>
      <c r="D41" s="11">
        <v>1.38E-2</v>
      </c>
      <c r="E41" s="10">
        <f t="shared" si="2"/>
        <v>45972.352444485761</v>
      </c>
      <c r="F41" s="3"/>
      <c r="G41" s="26">
        <v>6.24</v>
      </c>
      <c r="H41" s="10"/>
      <c r="I41" s="10">
        <f>IF(H41&lt;&gt;"",H41,I40/(1+IF(G40="",0,G40)/100))</f>
        <v>8211.2837022682197</v>
      </c>
      <c r="J41" s="10">
        <f t="shared" si="5"/>
        <v>27731986838.696434</v>
      </c>
      <c r="K41" s="11">
        <f t="shared" si="6"/>
        <v>7.7061119999999983E-2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3331329.8872815599</v>
      </c>
      <c r="D42" s="11">
        <v>1.4409999999999999E-2</v>
      </c>
      <c r="E42" s="10">
        <f t="shared" si="2"/>
        <v>47322.545790880919</v>
      </c>
      <c r="F42" s="3"/>
      <c r="G42" s="26">
        <v>8.65</v>
      </c>
      <c r="H42" s="10"/>
      <c r="I42" s="10">
        <f>IF(H42&lt;&gt;"",H42,I41/(1+IF(G41="",0,G41)/100))</f>
        <v>7728.9944486711402</v>
      </c>
      <c r="J42" s="10">
        <f t="shared" si="5"/>
        <v>25747830205.491432</v>
      </c>
      <c r="K42" s="11">
        <f t="shared" si="6"/>
        <v>0.1021564650000002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3284007.341490679</v>
      </c>
      <c r="D43" s="11">
        <v>1.5310000000000001E-2</v>
      </c>
      <c r="E43" s="10">
        <f t="shared" si="2"/>
        <v>49520.001180153806</v>
      </c>
      <c r="F43" s="3"/>
      <c r="G43" s="26">
        <v>2.92</v>
      </c>
      <c r="H43" s="10"/>
      <c r="I43" s="10">
        <f>IF(H43&lt;&gt;"",H43,I42/(1+IF(G42="",0,G42)/100))</f>
        <v>7113.6626310825031</v>
      </c>
      <c r="J43" s="10">
        <f t="shared" si="5"/>
        <v>23361320305.362839</v>
      </c>
      <c r="K43" s="11">
        <f t="shared" si="6"/>
        <v>4.4957051999999775E-2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3234487.3403105251</v>
      </c>
      <c r="D44" s="11">
        <v>1.6209999999999999E-2</v>
      </c>
      <c r="E44" s="10">
        <f t="shared" si="2"/>
        <v>51594.689863742329</v>
      </c>
      <c r="F44" s="3"/>
      <c r="G44" s="26">
        <v>6.34</v>
      </c>
      <c r="H44" s="10"/>
      <c r="I44" s="10">
        <f>IF(H44&lt;&gt;"",H44,I43/(1+IF(G43="",0,G43)/100))</f>
        <v>6911.8369909468556</v>
      </c>
      <c r="J44" s="10">
        <f t="shared" si="5"/>
        <v>22356249245.507599</v>
      </c>
      <c r="K44" s="11">
        <f t="shared" si="6"/>
        <v>8.063771399999986E-2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3182892.6504467828</v>
      </c>
      <c r="D45" s="11">
        <v>1.661E-2</v>
      </c>
      <c r="E45" s="10">
        <f t="shared" si="2"/>
        <v>52004.059495697729</v>
      </c>
      <c r="F45" s="3"/>
      <c r="G45" s="26">
        <v>7.17</v>
      </c>
      <c r="H45" s="10"/>
      <c r="I45" s="10">
        <f>IF(H45&lt;&gt;"",H45,I44/(1+IF(G44="",0,G44)/100))</f>
        <v>6499.7526715693593</v>
      </c>
      <c r="J45" s="10">
        <f t="shared" si="5"/>
        <v>20688015008.059956</v>
      </c>
      <c r="K45" s="11">
        <f t="shared" si="6"/>
        <v>8.9500937000000169E-2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3130888.5909510851</v>
      </c>
      <c r="D46" s="11">
        <v>1.685E-2</v>
      </c>
      <c r="E46" s="10">
        <f t="shared" si="2"/>
        <v>51881.273302380927</v>
      </c>
      <c r="F46" s="3"/>
      <c r="G46" s="26">
        <v>6.37</v>
      </c>
      <c r="H46" s="10"/>
      <c r="I46" s="10">
        <f>IF(H46&lt;&gt;"",H46,I45/(1+IF(G45="",0,G45)/100))</f>
        <v>6064.8993856203779</v>
      </c>
      <c r="J46" s="10">
        <f t="shared" si="5"/>
        <v>18988524291.705086</v>
      </c>
      <c r="K46" s="11">
        <f t="shared" si="6"/>
        <v>8.1623345000000125E-2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3079007.3176487042</v>
      </c>
      <c r="D47" s="11">
        <v>1.8120000000000001E-2</v>
      </c>
      <c r="E47" s="10">
        <f t="shared" si="2"/>
        <v>54798.660860992968</v>
      </c>
      <c r="F47" s="3"/>
      <c r="G47" s="26">
        <v>8.4</v>
      </c>
      <c r="H47" s="10"/>
      <c r="I47" s="10">
        <f>IF(H47&lt;&gt;"",H47,I46/(1+IF(G46="",0,G46)/100))</f>
        <v>5701.7010300088159</v>
      </c>
      <c r="J47" s="10">
        <f t="shared" si="5"/>
        <v>17555579194.442299</v>
      </c>
      <c r="K47" s="11">
        <f t="shared" si="6"/>
        <v>0.10364207999999997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3024208.6567877112</v>
      </c>
      <c r="D48" s="11">
        <v>1.9939999999999999E-2</v>
      </c>
      <c r="E48" s="10">
        <f t="shared" si="2"/>
        <v>59123.792199881747</v>
      </c>
      <c r="F48" s="3"/>
      <c r="G48" s="26">
        <v>9.3800000000000008</v>
      </c>
      <c r="H48" s="10"/>
      <c r="I48" s="10">
        <f>IF(H48&lt;&gt;"",H48,I47/(1+IF(G47="",0,G47)/100))</f>
        <v>5259.8717989011211</v>
      </c>
      <c r="J48" s="10">
        <f t="shared" si="5"/>
        <v>15906949827.830322</v>
      </c>
      <c r="K48" s="11">
        <f t="shared" si="6"/>
        <v>0.11561037200000013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2965084.8645878294</v>
      </c>
      <c r="D49" s="11">
        <v>2.1499999999999998E-2</v>
      </c>
      <c r="E49" s="10">
        <f t="shared" si="2"/>
        <v>62407.562005519867</v>
      </c>
      <c r="F49" s="3"/>
      <c r="G49" s="26">
        <v>5.18</v>
      </c>
      <c r="H49" s="10"/>
      <c r="I49" s="10">
        <f>IF(H49&lt;&gt;"",H49,I48/(1+IF(G48="",0,G48)/100))</f>
        <v>4808.8058135866895</v>
      </c>
      <c r="J49" s="10">
        <f t="shared" si="5"/>
        <v>14258517334.607857</v>
      </c>
      <c r="K49" s="11">
        <f t="shared" si="6"/>
        <v>7.4413700000000027E-2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2902677.3025823096</v>
      </c>
      <c r="D50" s="11">
        <v>2.3199999999999998E-2</v>
      </c>
      <c r="E50" s="10">
        <f t="shared" si="2"/>
        <v>65815.200762226246</v>
      </c>
      <c r="F50" s="3"/>
      <c r="G50" s="26">
        <v>6.22</v>
      </c>
      <c r="H50" s="10"/>
      <c r="I50" s="10">
        <f>IF(H50&lt;&gt;"",H50,I49/(1+IF(G49="",0,G49)/100))</f>
        <v>4571.9773850415377</v>
      </c>
      <c r="J50" s="10">
        <f t="shared" si="5"/>
        <v>13270974983.479692</v>
      </c>
      <c r="K50" s="11">
        <f t="shared" si="6"/>
        <v>8.6843040000000205E-2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2836862.1018200833</v>
      </c>
      <c r="D51" s="11">
        <v>2.479E-2</v>
      </c>
      <c r="E51" s="10">
        <f t="shared" si="2"/>
        <v>68624.607484577224</v>
      </c>
      <c r="F51" s="3"/>
      <c r="G51" s="26">
        <v>7.5</v>
      </c>
      <c r="H51" s="10"/>
      <c r="I51" s="10">
        <f>IF(H51&lt;&gt;"",H51,I50/(1+IF(G50="",0,G50)/100))</f>
        <v>4304.2528573164545</v>
      </c>
      <c r="J51" s="10">
        <f t="shared" si="5"/>
        <v>12210571807.571856</v>
      </c>
      <c r="K51" s="11">
        <f t="shared" si="6"/>
        <v>0.10164924999999991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2768237.4943355061</v>
      </c>
      <c r="D52" s="11">
        <v>2.6169999999999999E-2</v>
      </c>
      <c r="E52" s="10">
        <f t="shared" si="2"/>
        <v>70597.245316819288</v>
      </c>
      <c r="F52" s="3"/>
      <c r="G52" s="26">
        <v>9.1999999999999993</v>
      </c>
      <c r="H52" s="10"/>
      <c r="I52" s="10">
        <f>IF(H52&lt;&gt;"",H52,I51/(1+IF(G51="",0,G51)/100))</f>
        <v>4003.9561463408882</v>
      </c>
      <c r="J52" s="10">
        <f t="shared" si="5"/>
        <v>11083901529.975948</v>
      </c>
      <c r="K52" s="11">
        <f t="shared" si="6"/>
        <v>0.12057764000000026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2697640.2490186868</v>
      </c>
      <c r="D53" s="11">
        <v>2.7320000000000001E-2</v>
      </c>
      <c r="E53" s="10">
        <f t="shared" si="2"/>
        <v>71739.605578778312</v>
      </c>
      <c r="F53" s="3"/>
      <c r="G53" s="26">
        <v>7.06</v>
      </c>
      <c r="H53" s="10"/>
      <c r="I53" s="10">
        <f>IF(H53&lt;&gt;"",H53,I52/(1+IF(G52="",0,G52)/100))</f>
        <v>3666.6265076381756</v>
      </c>
      <c r="J53" s="10">
        <f t="shared" si="5"/>
        <v>9891239245.1235657</v>
      </c>
      <c r="K53" s="11">
        <f t="shared" si="6"/>
        <v>9.9848792000000186E-2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2625900.6434399085</v>
      </c>
      <c r="D54" s="11">
        <v>2.8309999999999998E-2</v>
      </c>
      <c r="E54" s="10">
        <f t="shared" si="2"/>
        <v>72292.642506427132</v>
      </c>
      <c r="F54" s="3"/>
      <c r="G54" s="26">
        <v>8.65</v>
      </c>
      <c r="H54" s="10"/>
      <c r="I54" s="10">
        <f>IF(H54&lt;&gt;"",H54,I53/(1+IF(G53="",0,G53)/100))</f>
        <v>3424.8332781974364</v>
      </c>
      <c r="J54" s="10">
        <f t="shared" si="5"/>
        <v>8993271908.8930588</v>
      </c>
      <c r="K54" s="11">
        <f t="shared" si="6"/>
        <v>0.11725881500000002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2553608.0009334814</v>
      </c>
      <c r="D55" s="11">
        <v>2.9350000000000001E-2</v>
      </c>
      <c r="E55" s="10">
        <f t="shared" si="2"/>
        <v>72811.380800891668</v>
      </c>
      <c r="F55" s="3"/>
      <c r="G55" s="26">
        <v>8.32</v>
      </c>
      <c r="H55" s="10"/>
      <c r="I55" s="10">
        <f>IF(H55&lt;&gt;"",H55,I54/(1+IF(G54="",0,G54)/100))</f>
        <v>3152.170527563218</v>
      </c>
      <c r="J55" s="10">
        <f t="shared" si="5"/>
        <v>8049407879.4921465</v>
      </c>
      <c r="K55" s="11">
        <f t="shared" si="6"/>
        <v>0.11499192000000003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2480796.6201325897</v>
      </c>
      <c r="D56" s="11">
        <v>3.048E-2</v>
      </c>
      <c r="E56" s="10">
        <f t="shared" si="2"/>
        <v>73378.116005785298</v>
      </c>
      <c r="F56" s="3"/>
      <c r="G56" s="26">
        <v>7.04</v>
      </c>
      <c r="H56" s="10"/>
      <c r="I56" s="10">
        <f>IF(H56&lt;&gt;"",H56,I55/(1+IF(G55="",0,G55)/100))</f>
        <v>2910.0540320930745</v>
      </c>
      <c r="J56" s="10">
        <f t="shared" si="5"/>
        <v>7219252207.2197142</v>
      </c>
      <c r="K56" s="11">
        <f t="shared" si="6"/>
        <v>0.10302579200000017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2407418.5041268044</v>
      </c>
      <c r="D57" s="11">
        <v>3.1730000000000001E-2</v>
      </c>
      <c r="E57" s="10">
        <f t="shared" si="2"/>
        <v>74038.158370837104</v>
      </c>
      <c r="F57" s="3"/>
      <c r="G57" s="26">
        <v>12.14</v>
      </c>
      <c r="H57" s="10"/>
      <c r="I57" s="10">
        <f>IF(H57&lt;&gt;"",H57,I56/(1+IF(G56="",0,G56)/100))</f>
        <v>2718.6603438836646</v>
      </c>
      <c r="J57" s="10">
        <f t="shared" si="5"/>
        <v>6544953218.3012753</v>
      </c>
      <c r="K57" s="11">
        <f t="shared" si="6"/>
        <v>0.15698202200000022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2333380.3457559673</v>
      </c>
      <c r="D58" s="11">
        <v>3.3020000000000001E-2</v>
      </c>
      <c r="E58" s="10">
        <f t="shared" si="2"/>
        <v>74585.408817701507</v>
      </c>
      <c r="F58" s="3"/>
      <c r="G58" s="26">
        <v>14.98</v>
      </c>
      <c r="H58" s="10"/>
      <c r="I58" s="10">
        <f>IF(H58&lt;&gt;"",H58,I57/(1+IF(G57="",0,G57)/100))</f>
        <v>2424.3448759440562</v>
      </c>
      <c r="J58" s="10">
        <f t="shared" si="5"/>
        <v>5656918684.8620491</v>
      </c>
      <c r="K58" s="11">
        <f t="shared" si="6"/>
        <v>0.187766396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2258794.9369382658</v>
      </c>
      <c r="D59" s="11">
        <v>3.4500000000000003E-2</v>
      </c>
      <c r="E59" s="10">
        <f t="shared" si="2"/>
        <v>75329.555654296651</v>
      </c>
      <c r="F59" s="3"/>
      <c r="G59" s="26">
        <v>16.73</v>
      </c>
      <c r="H59" s="10"/>
      <c r="I59" s="10">
        <f>IF(H59&lt;&gt;"",H59,I58/(1+IF(G58="",0,G58)/100))</f>
        <v>2108.4926734597811</v>
      </c>
      <c r="J59" s="10">
        <f t="shared" si="5"/>
        <v>4762652575.3823814</v>
      </c>
      <c r="K59" s="11">
        <f t="shared" si="6"/>
        <v>0.20757184999999989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2183465.3812839692</v>
      </c>
      <c r="D60" s="11">
        <v>4.2950000000000002E-2</v>
      </c>
      <c r="E60" s="10">
        <f t="shared" si="2"/>
        <v>89917.865790446987</v>
      </c>
      <c r="F60" s="3"/>
      <c r="G60" s="26">
        <v>15.19</v>
      </c>
      <c r="H60" s="10"/>
      <c r="I60" s="10">
        <f>IF(H60&lt;&gt;"",H60,I59/(1+IF(G59="",0,G59)/100))</f>
        <v>1806.298872149217</v>
      </c>
      <c r="J60" s="10">
        <f t="shared" si="5"/>
        <v>3943991055.5900936</v>
      </c>
      <c r="K60" s="11">
        <f t="shared" si="6"/>
        <v>0.20137410500000019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2093547.5154935222</v>
      </c>
      <c r="D61" s="11">
        <v>5.178E-2</v>
      </c>
      <c r="E61" s="10">
        <f t="shared" si="2"/>
        <v>103067.07710001571</v>
      </c>
      <c r="F61" s="3"/>
      <c r="G61" s="26">
        <v>16</v>
      </c>
      <c r="H61" s="10"/>
      <c r="I61" s="10">
        <f>IF(H61&lt;&gt;"",H61,I60/(1+IF(G60="",0,G60)/100))</f>
        <v>1568.1038910922971</v>
      </c>
      <c r="J61" s="10">
        <f t="shared" si="5"/>
        <v>3282900005.2320032</v>
      </c>
      <c r="K61" s="11">
        <f t="shared" si="6"/>
        <v>0.22006480000000006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1990480.4383935065</v>
      </c>
      <c r="D62" s="11">
        <v>5.2609999999999997E-2</v>
      </c>
      <c r="E62" s="10">
        <f t="shared" si="2"/>
        <v>99485.256518447073</v>
      </c>
      <c r="F62" s="3"/>
      <c r="G62" s="26">
        <v>12.9</v>
      </c>
      <c r="H62" s="10"/>
      <c r="I62" s="10">
        <f>IF(H62&lt;&gt;"",H62,I61/(1+IF(G61="",0,G61)/100))</f>
        <v>1351.8136992174975</v>
      </c>
      <c r="J62" s="10">
        <f t="shared" si="5"/>
        <v>2690758724.6447921</v>
      </c>
      <c r="K62" s="11">
        <f t="shared" si="6"/>
        <v>0.18839669000000026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1890995.1818750594</v>
      </c>
      <c r="D63" s="11">
        <v>5.3080000000000002E-2</v>
      </c>
      <c r="E63" s="10">
        <f t="shared" si="2"/>
        <v>95314.718970950227</v>
      </c>
      <c r="F63" s="3"/>
      <c r="G63" s="26">
        <v>10.39</v>
      </c>
      <c r="H63" s="10"/>
      <c r="I63" s="10">
        <f>IF(H63&lt;&gt;"",H63,I62/(1+IF(G62="",0,G62)/100))</f>
        <v>1197.3549151616453</v>
      </c>
      <c r="J63" s="10">
        <f t="shared" si="5"/>
        <v>2264192375.5650916</v>
      </c>
      <c r="K63" s="11">
        <f t="shared" si="6"/>
        <v>0.16249501199999994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1795680.4629041092</v>
      </c>
      <c r="D64" s="11">
        <v>5.3120000000000001E-2</v>
      </c>
      <c r="E64" s="10">
        <f t="shared" si="2"/>
        <v>90575.191990909167</v>
      </c>
      <c r="F64" s="3"/>
      <c r="G64" s="26">
        <v>10.87</v>
      </c>
      <c r="H64" s="10"/>
      <c r="I64" s="10">
        <f>IF(H64&lt;&gt;"",H64,I63/(1+IF(G63="",0,G63)/100))</f>
        <v>1084.658859644574</v>
      </c>
      <c r="J64" s="10">
        <f t="shared" si="5"/>
        <v>1947700723.1796119</v>
      </c>
      <c r="K64" s="11">
        <f t="shared" si="6"/>
        <v>0.16759414400000017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1705105.2709132</v>
      </c>
      <c r="D65" s="11">
        <v>5.3109999999999997E-2</v>
      </c>
      <c r="E65" s="10">
        <f t="shared" si="2"/>
        <v>85991.150913199876</v>
      </c>
      <c r="F65" s="3"/>
      <c r="G65" s="26">
        <v>18.23</v>
      </c>
      <c r="H65" s="10"/>
      <c r="I65" s="10">
        <f>IF(H65&lt;&gt;"",H65,I64/(1+IF(G64="",0,G64)/100))</f>
        <v>978.31591922483449</v>
      </c>
      <c r="J65" s="10">
        <f t="shared" si="5"/>
        <v>1668131630.4885576</v>
      </c>
      <c r="K65" s="11">
        <f t="shared" si="6"/>
        <v>0.24509195299999997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1619114.12</v>
      </c>
      <c r="D66" s="11">
        <v>5.2740000000000002E-2</v>
      </c>
      <c r="E66" s="10">
        <f t="shared" si="2"/>
        <v>81114.120000000112</v>
      </c>
      <c r="F66" s="23">
        <f>SUM(F2)</f>
        <v>8002152</v>
      </c>
      <c r="G66" s="26">
        <v>10.89</v>
      </c>
      <c r="H66" s="10"/>
      <c r="I66" s="10">
        <f>IF(H66&lt;&gt;"",H66,I65/(1+IF(G65="",0,G65)/100))</f>
        <v>827.46842529377852</v>
      </c>
      <c r="J66" s="10">
        <f t="shared" ref="J66:J67" si="7">IF(I66="","",I66*C66)</f>
        <v>1339765811.2473221</v>
      </c>
      <c r="K66" s="11">
        <f t="shared" ref="K66" si="8">IFERROR(J66/J67-1,"")</f>
        <v>0.16738338600000024</v>
      </c>
    </row>
    <row r="67" spans="1:11" ht="22.5" customHeight="1">
      <c r="A67" s="3">
        <f t="shared" si="0"/>
        <v>1950</v>
      </c>
      <c r="B67" s="3">
        <v>1700</v>
      </c>
      <c r="C67" s="10">
        <v>1538000</v>
      </c>
      <c r="D67" s="11">
        <v>5.2440000000000001E-2</v>
      </c>
      <c r="E67" s="3" t="s">
        <v>72</v>
      </c>
      <c r="F67" s="10">
        <f>SUM(C2)</f>
        <v>8003951.7140036738</v>
      </c>
      <c r="G67" s="26">
        <v>0.24</v>
      </c>
      <c r="H67" s="10"/>
      <c r="I67" s="10">
        <f>IF(H67&lt;&gt;"",H67,I66/(1+IF(G66="",0,G66)/100))</f>
        <v>746.20653376659618</v>
      </c>
      <c r="J67" s="10">
        <f t="shared" si="7"/>
        <v>1147665648.9330249</v>
      </c>
      <c r="K67" s="11"/>
    </row>
  </sheetData>
  <dataValidations count="1">
    <dataValidation type="custom" allowBlank="1" showDropDown="1" sqref="D2:D67" xr:uid="{00000000-0002-0000-3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M67"/>
  <sheetViews>
    <sheetView topLeftCell="A10" workbookViewId="0">
      <selection activeCell="J29" sqref="J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6257547.7558445949</v>
      </c>
      <c r="D2" s="11">
        <v>2.281E-2</v>
      </c>
      <c r="E2" s="10">
        <f t="shared" ref="E2:E66" si="2">SUM(C2-C3)</f>
        <v>139551.49471633602</v>
      </c>
      <c r="F2" s="15">
        <v>6257140</v>
      </c>
      <c r="G2" s="26">
        <v>2.61</v>
      </c>
      <c r="H2" s="10"/>
      <c r="I2" s="10">
        <f>IF(H2&lt;&gt;"",H2,29240)</f>
        <v>3655</v>
      </c>
      <c r="J2" s="10">
        <f t="shared" ref="J2:J33" si="3">IF(I2="","",I2*C2)</f>
        <v>22871337047.611996</v>
      </c>
      <c r="K2" s="11">
        <f t="shared" ref="K2:K33" si="4">IFERROR(J2/J3-1,"")</f>
        <v>4.9505341000000147E-2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6117996.2611282589</v>
      </c>
      <c r="D3" s="11">
        <v>2.334E-2</v>
      </c>
      <c r="E3" s="10">
        <f t="shared" si="2"/>
        <v>139537.23370017111</v>
      </c>
      <c r="F3" s="3"/>
      <c r="G3" s="26">
        <v>2.2599999999999998</v>
      </c>
      <c r="H3" s="10"/>
      <c r="I3" s="10">
        <f t="shared" ref="I3:I34" si="5">IF(H3&lt;&gt;"",H3,I2/(1+IF(G2="",0,G2)/100))</f>
        <v>3562.0309911314685</v>
      </c>
      <c r="J3" s="10">
        <f t="shared" si="3"/>
        <v>21792492285.765312</v>
      </c>
      <c r="K3" s="11">
        <f t="shared" si="4"/>
        <v>4.6467484000000114E-2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5978459.0274280878</v>
      </c>
      <c r="D4" s="11">
        <v>2.3959999999999999E-2</v>
      </c>
      <c r="E4" s="10">
        <f t="shared" si="2"/>
        <v>139892.06443335395</v>
      </c>
      <c r="F4" s="3"/>
      <c r="G4" s="26">
        <v>7.63</v>
      </c>
      <c r="H4" s="10"/>
      <c r="I4" s="10">
        <f t="shared" si="5"/>
        <v>3483.3082252410213</v>
      </c>
      <c r="J4" s="10">
        <f t="shared" si="3"/>
        <v>20824815504.506695</v>
      </c>
      <c r="K4" s="11">
        <f t="shared" si="4"/>
        <v>0.10208814799999999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5838566.9629947338</v>
      </c>
      <c r="D5" s="11">
        <v>2.4219999999999998E-2</v>
      </c>
      <c r="E5" s="10">
        <f t="shared" si="2"/>
        <v>138066.13017099071</v>
      </c>
      <c r="F5" s="3"/>
      <c r="G5" s="26">
        <v>13.94</v>
      </c>
      <c r="H5" s="10"/>
      <c r="I5" s="10">
        <f t="shared" si="5"/>
        <v>3236.3729677980314</v>
      </c>
      <c r="J5" s="10">
        <f t="shared" si="3"/>
        <v>18895780289.714806</v>
      </c>
      <c r="K5" s="11">
        <f t="shared" si="4"/>
        <v>0.16699626799999989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5700500.8328237431</v>
      </c>
      <c r="D6" s="11">
        <v>2.4170000000000001E-2</v>
      </c>
      <c r="E6" s="10">
        <f t="shared" si="2"/>
        <v>134529.52647446189</v>
      </c>
      <c r="F6" s="3"/>
      <c r="G6" s="26">
        <v>7.55</v>
      </c>
      <c r="H6" s="10"/>
      <c r="I6" s="10">
        <f t="shared" si="5"/>
        <v>2840.4186131279898</v>
      </c>
      <c r="J6" s="10">
        <f t="shared" si="3"/>
        <v>16191808669.704168</v>
      </c>
      <c r="K6" s="11">
        <f t="shared" si="4"/>
        <v>0.10149483500000001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5565971.3063492812</v>
      </c>
      <c r="D7" s="11">
        <v>2.392E-2</v>
      </c>
      <c r="E7" s="10">
        <f t="shared" si="2"/>
        <v>130027.76940373704</v>
      </c>
      <c r="F7" s="3"/>
      <c r="G7" s="26">
        <v>6.4</v>
      </c>
      <c r="H7" s="10"/>
      <c r="I7" s="10">
        <f t="shared" si="5"/>
        <v>2641.0214905885541</v>
      </c>
      <c r="J7" s="10">
        <f t="shared" si="3"/>
        <v>14699849836.067701</v>
      </c>
      <c r="K7" s="11">
        <f t="shared" si="4"/>
        <v>8.945088000000001E-2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5435943.5369455442</v>
      </c>
      <c r="D8" s="11">
        <v>2.4750000000000001E-2</v>
      </c>
      <c r="E8" s="10">
        <f t="shared" si="2"/>
        <v>131290.17081181053</v>
      </c>
      <c r="F8" s="3"/>
      <c r="G8" s="26">
        <v>3.38</v>
      </c>
      <c r="H8" s="10"/>
      <c r="I8" s="10">
        <f t="shared" si="5"/>
        <v>2482.1630550644304</v>
      </c>
      <c r="J8" s="10">
        <f t="shared" si="3"/>
        <v>13492898216.822498</v>
      </c>
      <c r="K8" s="11">
        <f t="shared" si="4"/>
        <v>5.9386550000000371E-2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5304653.3661337337</v>
      </c>
      <c r="D9" s="11">
        <v>2.5159999999999998E-2</v>
      </c>
      <c r="E9" s="10">
        <f t="shared" si="2"/>
        <v>130189.51060510054</v>
      </c>
      <c r="F9" s="3"/>
      <c r="G9" s="26">
        <v>8.23</v>
      </c>
      <c r="H9" s="10"/>
      <c r="I9" s="10">
        <f t="shared" si="5"/>
        <v>2401.0089524709133</v>
      </c>
      <c r="J9" s="10">
        <f t="shared" si="3"/>
        <v>12736520221.84206</v>
      </c>
      <c r="K9" s="11">
        <f t="shared" si="4"/>
        <v>0.10953066800000011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5174463.8555286331</v>
      </c>
      <c r="D10" s="11">
        <v>2.5600000000000001E-2</v>
      </c>
      <c r="E10" s="10">
        <f t="shared" si="2"/>
        <v>129159.78422536422</v>
      </c>
      <c r="F10" s="3"/>
      <c r="G10" s="26">
        <v>1.89</v>
      </c>
      <c r="H10" s="10"/>
      <c r="I10" s="10">
        <f t="shared" si="5"/>
        <v>2218.4319989567712</v>
      </c>
      <c r="J10" s="10">
        <f t="shared" si="3"/>
        <v>11479196194.549946</v>
      </c>
      <c r="K10" s="11">
        <f t="shared" si="4"/>
        <v>4.4983839999999997E-2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5045304.0713032689</v>
      </c>
      <c r="D11" s="11">
        <v>2.596E-2</v>
      </c>
      <c r="E11" s="10">
        <f t="shared" si="2"/>
        <v>127661.98847034294</v>
      </c>
      <c r="F11" s="3"/>
      <c r="G11" s="26">
        <v>5.64</v>
      </c>
      <c r="H11" s="10"/>
      <c r="I11" s="10">
        <f t="shared" si="5"/>
        <v>2177.2813808585447</v>
      </c>
      <c r="J11" s="10">
        <f t="shared" si="3"/>
        <v>10985046615.218418</v>
      </c>
      <c r="K11" s="11">
        <f t="shared" si="4"/>
        <v>8.3824143999999823E-2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4917642.082832926</v>
      </c>
      <c r="D12" s="11">
        <v>2.6040000000000001E-2</v>
      </c>
      <c r="E12" s="10">
        <f t="shared" si="2"/>
        <v>124805.46551495977</v>
      </c>
      <c r="F12" s="3"/>
      <c r="G12" s="26">
        <v>1.68</v>
      </c>
      <c r="H12" s="10"/>
      <c r="I12" s="10">
        <f t="shared" si="5"/>
        <v>2061.0387929369035</v>
      </c>
      <c r="J12" s="10">
        <f t="shared" si="3"/>
        <v>10135451102.497694</v>
      </c>
      <c r="K12" s="11">
        <f t="shared" si="4"/>
        <v>4.3277471999999984E-2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4792836.6173179662</v>
      </c>
      <c r="D13" s="11">
        <v>2.6419999999999999E-2</v>
      </c>
      <c r="E13" s="10">
        <f t="shared" si="2"/>
        <v>123367.3773207264</v>
      </c>
      <c r="F13" s="3"/>
      <c r="G13" s="26">
        <v>-8.1999999999999993</v>
      </c>
      <c r="H13" s="10"/>
      <c r="I13" s="10">
        <f t="shared" si="5"/>
        <v>2026.9854375854677</v>
      </c>
      <c r="J13" s="10">
        <f t="shared" si="3"/>
        <v>9715010028.029911</v>
      </c>
      <c r="K13" s="11">
        <f t="shared" si="4"/>
        <v>-5.7746440000000065E-2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4669469.2399972398</v>
      </c>
      <c r="D14" s="11">
        <v>2.6550000000000001E-2</v>
      </c>
      <c r="E14" s="10">
        <f t="shared" si="2"/>
        <v>120768.01745840628</v>
      </c>
      <c r="F14" s="3"/>
      <c r="G14" s="26">
        <v>6.66</v>
      </c>
      <c r="H14" s="10"/>
      <c r="I14" s="10">
        <f t="shared" si="5"/>
        <v>2208.0451389819909</v>
      </c>
      <c r="J14" s="10">
        <f t="shared" si="3"/>
        <v>10310398857.001837</v>
      </c>
      <c r="K14" s="11">
        <f t="shared" si="4"/>
        <v>9.4918229999999992E-2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4548701.2225388335</v>
      </c>
      <c r="D15" s="11">
        <v>2.7459999999999998E-2</v>
      </c>
      <c r="E15" s="10">
        <f t="shared" si="2"/>
        <v>121569.04947240464</v>
      </c>
      <c r="F15" s="3"/>
      <c r="G15" s="26">
        <v>16.8</v>
      </c>
      <c r="H15" s="10"/>
      <c r="I15" s="10">
        <f t="shared" si="5"/>
        <v>2070.1717035270872</v>
      </c>
      <c r="J15" s="10">
        <f t="shared" si="3"/>
        <v>9416592558.6989613</v>
      </c>
      <c r="K15" s="11">
        <f t="shared" si="4"/>
        <v>0.20007328000000002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4427132.1730664289</v>
      </c>
      <c r="D16" s="11">
        <v>2.7539999999999999E-2</v>
      </c>
      <c r="E16" s="10">
        <f t="shared" si="2"/>
        <v>118655.44898130372</v>
      </c>
      <c r="F16" s="3"/>
      <c r="G16" s="26">
        <v>1.77</v>
      </c>
      <c r="H16" s="10"/>
      <c r="I16" s="10">
        <f t="shared" si="5"/>
        <v>1772.4072804170269</v>
      </c>
      <c r="J16" s="10">
        <f t="shared" si="3"/>
        <v>7846681294.9113913</v>
      </c>
      <c r="K16" s="11">
        <f t="shared" si="4"/>
        <v>4.5727457999999999E-2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4308476.7240851251</v>
      </c>
      <c r="D17" s="11">
        <v>2.5690000000000001E-2</v>
      </c>
      <c r="E17" s="10">
        <f t="shared" si="2"/>
        <v>107912.49504406471</v>
      </c>
      <c r="F17" s="3"/>
      <c r="G17" s="26">
        <v>16.8</v>
      </c>
      <c r="H17" s="10"/>
      <c r="I17" s="10">
        <f t="shared" si="5"/>
        <v>1741.581291556477</v>
      </c>
      <c r="J17" s="10">
        <f t="shared" si="3"/>
        <v>7503562457.7731915</v>
      </c>
      <c r="K17" s="11">
        <f t="shared" si="4"/>
        <v>0.19800591999999995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4200564.2290410604</v>
      </c>
      <c r="D18" s="11">
        <v>2.4539999999999999E-2</v>
      </c>
      <c r="E18" s="10">
        <f t="shared" si="2"/>
        <v>100612.80787540553</v>
      </c>
      <c r="F18" s="3"/>
      <c r="G18" s="26">
        <v>17.579999999999998</v>
      </c>
      <c r="H18" s="10"/>
      <c r="I18" s="10">
        <f t="shared" si="5"/>
        <v>1491.0798729079427</v>
      </c>
      <c r="J18" s="10">
        <f t="shared" si="3"/>
        <v>6263376776.7801943</v>
      </c>
      <c r="K18" s="11">
        <f t="shared" si="4"/>
        <v>0.20465413199999993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4099951.4211656549</v>
      </c>
      <c r="D19" s="11">
        <v>2.4279999999999999E-2</v>
      </c>
      <c r="E19" s="10">
        <f t="shared" si="2"/>
        <v>97187.117297909223</v>
      </c>
      <c r="F19" s="3"/>
      <c r="G19" s="26">
        <v>35</v>
      </c>
      <c r="H19" s="10"/>
      <c r="I19" s="10">
        <f t="shared" si="5"/>
        <v>1268.140732189099</v>
      </c>
      <c r="J19" s="10">
        <f t="shared" si="3"/>
        <v>5199315397.1767511</v>
      </c>
      <c r="K19" s="11">
        <f t="shared" si="4"/>
        <v>0.38277800000000028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4002764.3038677457</v>
      </c>
      <c r="D20" s="11">
        <v>2.4369999999999999E-2</v>
      </c>
      <c r="E20" s="10">
        <f t="shared" si="2"/>
        <v>95226.691610704176</v>
      </c>
      <c r="F20" s="3"/>
      <c r="G20" s="26">
        <v>21.24</v>
      </c>
      <c r="H20" s="10"/>
      <c r="I20" s="10">
        <f t="shared" si="5"/>
        <v>939.36350532525853</v>
      </c>
      <c r="J20" s="10">
        <f t="shared" si="3"/>
        <v>3760050707.472024</v>
      </c>
      <c r="K20" s="11">
        <f t="shared" si="4"/>
        <v>0.24194618800000001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3907537.6122570415</v>
      </c>
      <c r="D21" s="11">
        <v>2.3199999999999998E-2</v>
      </c>
      <c r="E21" s="10">
        <f t="shared" si="2"/>
        <v>88599.367283388972</v>
      </c>
      <c r="F21" s="3"/>
      <c r="G21" s="26">
        <v>11.02</v>
      </c>
      <c r="H21" s="10"/>
      <c r="I21" s="10">
        <f t="shared" si="5"/>
        <v>774.79668865494773</v>
      </c>
      <c r="J21" s="10">
        <f t="shared" si="3"/>
        <v>3027547202.7714167</v>
      </c>
      <c r="K21" s="11">
        <f t="shared" si="4"/>
        <v>0.13595664000000007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3818938.2449736525</v>
      </c>
      <c r="D22" s="11">
        <v>2.3519999999999999E-2</v>
      </c>
      <c r="E22" s="10">
        <f t="shared" si="2"/>
        <v>87757.374083340168</v>
      </c>
      <c r="F22" s="3"/>
      <c r="G22" s="26">
        <v>2.12</v>
      </c>
      <c r="H22" s="10"/>
      <c r="I22" s="10">
        <f t="shared" si="5"/>
        <v>697.88928900643816</v>
      </c>
      <c r="J22" s="10">
        <f t="shared" si="3"/>
        <v>2665196096.544157</v>
      </c>
      <c r="K22" s="11">
        <f t="shared" si="4"/>
        <v>4.5218624000000096E-2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3731180.8708903124</v>
      </c>
      <c r="D23" s="11">
        <v>2.368E-2</v>
      </c>
      <c r="E23" s="10">
        <f t="shared" si="2"/>
        <v>86310.529679863248</v>
      </c>
      <c r="F23" s="3"/>
      <c r="G23" s="26">
        <v>3.85</v>
      </c>
      <c r="H23" s="10"/>
      <c r="I23" s="10">
        <f t="shared" si="5"/>
        <v>683.40118390759699</v>
      </c>
      <c r="J23" s="10">
        <f t="shared" si="3"/>
        <v>2549893424.5398183</v>
      </c>
      <c r="K23" s="11">
        <f t="shared" si="4"/>
        <v>6.3091679999999872E-2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3644870.3412104491</v>
      </c>
      <c r="D24" s="11">
        <v>2.4410000000000001E-2</v>
      </c>
      <c r="E24" s="10">
        <f t="shared" si="2"/>
        <v>86851.24611136876</v>
      </c>
      <c r="F24" s="3"/>
      <c r="G24" s="26">
        <v>30.29</v>
      </c>
      <c r="H24" s="10"/>
      <c r="I24" s="10">
        <f t="shared" si="5"/>
        <v>658.06565614597685</v>
      </c>
      <c r="J24" s="10">
        <f t="shared" si="3"/>
        <v>2398563992.6556649</v>
      </c>
      <c r="K24" s="11">
        <f t="shared" si="4"/>
        <v>0.3347037890000002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3558019.0950990804</v>
      </c>
      <c r="D25" s="11">
        <v>2.4989999999999998E-2</v>
      </c>
      <c r="E25" s="10">
        <f t="shared" si="2"/>
        <v>86747.087470635306</v>
      </c>
      <c r="F25" s="3"/>
      <c r="G25" s="26">
        <v>32.590000000000003</v>
      </c>
      <c r="H25" s="10"/>
      <c r="I25" s="10">
        <f t="shared" si="5"/>
        <v>505.07763922478847</v>
      </c>
      <c r="J25" s="10">
        <f t="shared" si="3"/>
        <v>1797075884.8693616</v>
      </c>
      <c r="K25" s="11">
        <f t="shared" si="4"/>
        <v>0.35903424100000025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3471272.007628445</v>
      </c>
      <c r="D26" s="11">
        <v>2.4719999999999999E-2</v>
      </c>
      <c r="E26" s="10">
        <f t="shared" si="2"/>
        <v>83739.79626490688</v>
      </c>
      <c r="F26" s="3"/>
      <c r="G26" s="26">
        <v>4.05</v>
      </c>
      <c r="H26" s="10"/>
      <c r="I26" s="10">
        <f t="shared" si="5"/>
        <v>380.93192489990832</v>
      </c>
      <c r="J26" s="10">
        <f t="shared" si="3"/>
        <v>1322318327.7170727</v>
      </c>
      <c r="K26" s="11">
        <f t="shared" si="4"/>
        <v>6.6221160000000001E-2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3387532.2113635382</v>
      </c>
      <c r="D27" s="11">
        <v>2.5690000000000001E-2</v>
      </c>
      <c r="E27" s="10">
        <f t="shared" si="2"/>
        <v>84846.008550272789</v>
      </c>
      <c r="F27" s="3"/>
      <c r="G27" s="26">
        <v>-7.82</v>
      </c>
      <c r="H27" s="10"/>
      <c r="I27" s="10">
        <f t="shared" si="5"/>
        <v>366.10468515128144</v>
      </c>
      <c r="J27" s="10">
        <f t="shared" si="3"/>
        <v>1240191413.6810722</v>
      </c>
      <c r="K27" s="11">
        <f t="shared" si="4"/>
        <v>-5.4518958000000062E-2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3302686.2028132654</v>
      </c>
      <c r="D28" s="11">
        <v>2.5340000000000001E-2</v>
      </c>
      <c r="E28" s="10">
        <f t="shared" si="2"/>
        <v>81621.772660081275</v>
      </c>
      <c r="F28" s="3"/>
      <c r="G28" s="26">
        <v>-3.12</v>
      </c>
      <c r="H28" s="10"/>
      <c r="I28" s="10">
        <f t="shared" si="5"/>
        <v>397.16281747806624</v>
      </c>
      <c r="J28" s="10">
        <f t="shared" si="3"/>
        <v>1311704157.5552526</v>
      </c>
      <c r="K28" s="11">
        <f t="shared" si="4"/>
        <v>-6.6506080000001688E-3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3221064.4301531841</v>
      </c>
      <c r="D29" s="11">
        <v>2.461E-2</v>
      </c>
      <c r="E29" s="10">
        <f t="shared" si="2"/>
        <v>77366.408317379188</v>
      </c>
      <c r="F29" s="3"/>
      <c r="G29" s="26">
        <v>-0.02</v>
      </c>
      <c r="H29" s="10"/>
      <c r="I29" s="10">
        <f t="shared" si="5"/>
        <v>409.95336238446146</v>
      </c>
      <c r="J29" s="10">
        <f t="shared" si="3"/>
        <v>1320486193.5982871</v>
      </c>
      <c r="K29" s="11">
        <f t="shared" si="4"/>
        <v>2.4405078000000024E-2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3143698.0218358049</v>
      </c>
      <c r="D30" s="11">
        <v>2.342E-2</v>
      </c>
      <c r="E30" s="10">
        <f t="shared" si="2"/>
        <v>71940.559761773795</v>
      </c>
      <c r="F30" s="3"/>
      <c r="G30" s="26">
        <v>9.31</v>
      </c>
      <c r="H30" s="10"/>
      <c r="I30" s="10">
        <f t="shared" si="5"/>
        <v>410.0353694583531</v>
      </c>
      <c r="J30" s="10">
        <f t="shared" si="3"/>
        <v>1289027379.848938</v>
      </c>
      <c r="K30" s="11">
        <f t="shared" si="4"/>
        <v>0.11870040199999998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3071757.4620740311</v>
      </c>
      <c r="D31" s="11">
        <v>2.2419999999999999E-2</v>
      </c>
      <c r="E31" s="10">
        <f t="shared" si="2"/>
        <v>67358.621994581539</v>
      </c>
      <c r="F31" s="3"/>
      <c r="G31" s="26">
        <v>4.6500000000000004</v>
      </c>
      <c r="H31" s="10"/>
      <c r="I31" s="10">
        <f t="shared" si="5"/>
        <v>375.11240459093688</v>
      </c>
      <c r="J31" s="10">
        <f t="shared" si="3"/>
        <v>1152254327.9187434</v>
      </c>
      <c r="K31" s="11">
        <f t="shared" si="4"/>
        <v>6.9962530000000189E-2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3004398.8400794496</v>
      </c>
      <c r="D32" s="11">
        <v>2.1590000000000002E-2</v>
      </c>
      <c r="E32" s="10">
        <f t="shared" si="2"/>
        <v>63494.132633752655</v>
      </c>
      <c r="F32" s="3"/>
      <c r="G32" s="26">
        <v>1.45</v>
      </c>
      <c r="H32" s="10"/>
      <c r="I32" s="10">
        <f t="shared" si="5"/>
        <v>358.44472488383838</v>
      </c>
      <c r="J32" s="10">
        <f t="shared" si="3"/>
        <v>1076910915.6736014</v>
      </c>
      <c r="K32" s="11">
        <f t="shared" si="4"/>
        <v>3.6403055000000073E-2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2940904.7074456969</v>
      </c>
      <c r="D33" s="11">
        <v>2.1420000000000002E-2</v>
      </c>
      <c r="E33" s="10">
        <f t="shared" si="2"/>
        <v>61673.140171023551</v>
      </c>
      <c r="F33" s="3"/>
      <c r="G33" s="26">
        <v>-1.49</v>
      </c>
      <c r="H33" s="10"/>
      <c r="I33" s="10">
        <f t="shared" si="5"/>
        <v>353.32156223148189</v>
      </c>
      <c r="J33" s="10">
        <f t="shared" si="3"/>
        <v>1039085045.6086328</v>
      </c>
      <c r="K33" s="11">
        <f t="shared" si="4"/>
        <v>6.2008419999999287E-3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2879231.5672746734</v>
      </c>
      <c r="D34" s="11">
        <v>3.0329999999999999E-2</v>
      </c>
      <c r="E34" s="10">
        <f t="shared" si="2"/>
        <v>84756.430886648595</v>
      </c>
      <c r="F34" s="3"/>
      <c r="G34" s="26">
        <v>-14.37</v>
      </c>
      <c r="H34" s="10"/>
      <c r="I34" s="10">
        <f t="shared" si="5"/>
        <v>358.66568087654235</v>
      </c>
      <c r="J34" s="10">
        <f t="shared" ref="J34:J65" si="6">IF(I34="","",I34*C34)</f>
        <v>1032681550.4778049</v>
      </c>
      <c r="K34" s="11">
        <f t="shared" ref="K34:K65" si="7">IFERROR(J34/J35-1,"")</f>
        <v>-0.104334131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2794475.1363880248</v>
      </c>
      <c r="D35" s="11">
        <v>2.981E-2</v>
      </c>
      <c r="E35" s="10">
        <f t="shared" si="2"/>
        <v>80891.915805562865</v>
      </c>
      <c r="F35" s="3"/>
      <c r="G35" s="26">
        <v>0.73</v>
      </c>
      <c r="H35" s="10"/>
      <c r="I35" s="10">
        <f t="shared" ref="I35:I66" si="8">IF(H35&lt;&gt;"",H35,I34/(1+IF(G34="",0,G34)/100))</f>
        <v>412.59137337690368</v>
      </c>
      <c r="J35" s="10">
        <f t="shared" si="6"/>
        <v>1152976334.3899453</v>
      </c>
      <c r="K35" s="11">
        <f t="shared" si="7"/>
        <v>6.5132482999999741E-2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2713583.2205824619</v>
      </c>
      <c r="D36" s="11">
        <v>2.828E-2</v>
      </c>
      <c r="E36" s="10">
        <f t="shared" si="2"/>
        <v>74629.608159326483</v>
      </c>
      <c r="F36" s="3"/>
      <c r="G36" s="26">
        <v>-5.53</v>
      </c>
      <c r="H36" s="10"/>
      <c r="I36" s="10">
        <f t="shared" si="8"/>
        <v>398.90880148593607</v>
      </c>
      <c r="J36" s="10">
        <f t="shared" si="6"/>
        <v>1082472230.2548964</v>
      </c>
      <c r="K36" s="11">
        <f t="shared" si="7"/>
        <v>2.0773556000000193E-2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2638953.6124231354</v>
      </c>
      <c r="D37" s="11">
        <v>2.7910000000000001E-2</v>
      </c>
      <c r="E37" s="10">
        <f t="shared" si="2"/>
        <v>71653.350315426476</v>
      </c>
      <c r="F37" s="3"/>
      <c r="G37" s="26">
        <v>19.45</v>
      </c>
      <c r="H37" s="10"/>
      <c r="I37" s="10">
        <f t="shared" si="8"/>
        <v>401.84224991028111</v>
      </c>
      <c r="J37" s="10">
        <f t="shared" si="6"/>
        <v>1060443057.0249767</v>
      </c>
      <c r="K37" s="11">
        <f t="shared" si="7"/>
        <v>0.28231772500000019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2567300.262107709</v>
      </c>
      <c r="D38" s="11">
        <v>3.0620000000000001E-2</v>
      </c>
      <c r="E38" s="10">
        <f t="shared" si="2"/>
        <v>76275.187776036095</v>
      </c>
      <c r="F38" s="3"/>
      <c r="G38" s="26">
        <v>-25</v>
      </c>
      <c r="H38" s="10"/>
      <c r="I38" s="10">
        <f t="shared" si="8"/>
        <v>322.11803600022535</v>
      </c>
      <c r="J38" s="10">
        <f t="shared" si="6"/>
        <v>826973718.25299895</v>
      </c>
      <c r="K38" s="11">
        <f t="shared" si="7"/>
        <v>-0.39059439399999996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2491025.0743316729</v>
      </c>
      <c r="D39" s="11">
        <v>3.0450000000000001E-2</v>
      </c>
      <c r="E39" s="10">
        <f t="shared" si="2"/>
        <v>73610.28047299711</v>
      </c>
      <c r="F39" s="3"/>
      <c r="G39" s="26">
        <v>77.06</v>
      </c>
      <c r="H39" s="10"/>
      <c r="I39" s="10">
        <f t="shared" si="8"/>
        <v>544.76244884191669</v>
      </c>
      <c r="J39" s="10">
        <f t="shared" si="6"/>
        <v>1357016919.6195397</v>
      </c>
      <c r="K39" s="11">
        <f t="shared" si="7"/>
        <v>0.8245147700000004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2417414.7938586758</v>
      </c>
      <c r="D40" s="11">
        <v>3.031E-2</v>
      </c>
      <c r="E40" s="10">
        <f t="shared" si="2"/>
        <v>71116.307132665534</v>
      </c>
      <c r="F40" s="3"/>
      <c r="G40" s="26">
        <v>32.9</v>
      </c>
      <c r="H40" s="10"/>
      <c r="I40" s="10">
        <f t="shared" si="8"/>
        <v>307.67109953796268</v>
      </c>
      <c r="J40" s="10">
        <f t="shared" si="6"/>
        <v>743768667.6658361</v>
      </c>
      <c r="K40" s="11">
        <f t="shared" si="7"/>
        <v>0.36928198999999995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2346298.4867260102</v>
      </c>
      <c r="D41" s="11">
        <v>2.862E-2</v>
      </c>
      <c r="E41" s="10">
        <f t="shared" si="2"/>
        <v>65282.672600278631</v>
      </c>
      <c r="F41" s="3"/>
      <c r="G41" s="26">
        <v>17.18</v>
      </c>
      <c r="H41" s="10"/>
      <c r="I41" s="10">
        <f t="shared" si="8"/>
        <v>231.50571823774467</v>
      </c>
      <c r="J41" s="10">
        <f t="shared" si="6"/>
        <v>543181516.36963844</v>
      </c>
      <c r="K41" s="11">
        <f t="shared" si="7"/>
        <v>0.20533691600000004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2281015.8141257316</v>
      </c>
      <c r="D42" s="11">
        <v>2.895E-2</v>
      </c>
      <c r="E42" s="10">
        <f t="shared" si="2"/>
        <v>64177.470060683321</v>
      </c>
      <c r="F42" s="3"/>
      <c r="G42" s="26">
        <v>-8.49</v>
      </c>
      <c r="H42" s="10"/>
      <c r="I42" s="10">
        <f t="shared" si="8"/>
        <v>197.56419033772374</v>
      </c>
      <c r="J42" s="10">
        <f t="shared" si="6"/>
        <v>450647042.46529394</v>
      </c>
      <c r="K42" s="11">
        <f t="shared" si="7"/>
        <v>-5.8407854999999897E-2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2216838.3440650483</v>
      </c>
      <c r="D43" s="11">
        <v>2.895E-2</v>
      </c>
      <c r="E43" s="10">
        <f t="shared" si="2"/>
        <v>62371.806269190274</v>
      </c>
      <c r="F43" s="3"/>
      <c r="G43" s="26">
        <v>8.61</v>
      </c>
      <c r="H43" s="10"/>
      <c r="I43" s="10">
        <f t="shared" si="8"/>
        <v>215.89355298625696</v>
      </c>
      <c r="J43" s="10">
        <f t="shared" si="6"/>
        <v>478601106.49637365</v>
      </c>
      <c r="K43" s="11">
        <f t="shared" si="7"/>
        <v>0.11754259500000019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2154466.537795858</v>
      </c>
      <c r="D44" s="11">
        <v>2.896E-2</v>
      </c>
      <c r="E44" s="10">
        <f t="shared" si="2"/>
        <v>60637.294874988729</v>
      </c>
      <c r="F44" s="3"/>
      <c r="G44" s="26">
        <v>-3.08</v>
      </c>
      <c r="H44" s="10"/>
      <c r="I44" s="10">
        <f t="shared" si="8"/>
        <v>198.77870636797437</v>
      </c>
      <c r="J44" s="10">
        <f t="shared" si="6"/>
        <v>428262071.29614919</v>
      </c>
      <c r="K44" s="11">
        <f t="shared" si="7"/>
        <v>-2.7319679999999735E-3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2093829.2429208693</v>
      </c>
      <c r="D45" s="11">
        <v>2.9049999999999999E-2</v>
      </c>
      <c r="E45" s="10">
        <f t="shared" si="2"/>
        <v>59108.633697926532</v>
      </c>
      <c r="F45" s="3"/>
      <c r="G45" s="26">
        <v>-3.76</v>
      </c>
      <c r="H45" s="10"/>
      <c r="I45" s="10">
        <f t="shared" si="8"/>
        <v>205.09565246386131</v>
      </c>
      <c r="J45" s="10">
        <f t="shared" si="6"/>
        <v>429435274.72476846</v>
      </c>
      <c r="K45" s="11">
        <f t="shared" si="7"/>
        <v>-9.6422800000000031E-3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2034720.6092229427</v>
      </c>
      <c r="D46" s="11">
        <v>2.8680000000000001E-2</v>
      </c>
      <c r="E46" s="10">
        <f t="shared" si="2"/>
        <v>56728.804946644232</v>
      </c>
      <c r="F46" s="3"/>
      <c r="G46" s="26">
        <v>-2.13</v>
      </c>
      <c r="H46" s="10"/>
      <c r="I46" s="10">
        <f t="shared" si="8"/>
        <v>213.10853331656412</v>
      </c>
      <c r="J46" s="10">
        <f t="shared" si="6"/>
        <v>433616324.74048716</v>
      </c>
      <c r="K46" s="11">
        <f t="shared" si="7"/>
        <v>6.769116000000075E-3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1977991.8042762985</v>
      </c>
      <c r="D47" s="11">
        <v>2.76E-2</v>
      </c>
      <c r="E47" s="10">
        <f t="shared" si="2"/>
        <v>53126.288242532173</v>
      </c>
      <c r="F47" s="3"/>
      <c r="G47" s="26">
        <v>-2.96</v>
      </c>
      <c r="H47" s="10"/>
      <c r="I47" s="10">
        <f t="shared" si="8"/>
        <v>217.7465345014449</v>
      </c>
      <c r="J47" s="10">
        <f t="shared" si="6"/>
        <v>430700860.65342426</v>
      </c>
      <c r="K47" s="11">
        <f t="shared" si="7"/>
        <v>-2.8169599999998685E-3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1924865.5160337663</v>
      </c>
      <c r="D48" s="11">
        <v>2.775E-2</v>
      </c>
      <c r="E48" s="10">
        <f t="shared" si="2"/>
        <v>51972.773602468427</v>
      </c>
      <c r="F48" s="3"/>
      <c r="G48" s="26">
        <v>-4.26</v>
      </c>
      <c r="H48" s="10"/>
      <c r="I48" s="10">
        <f t="shared" si="8"/>
        <v>224.38843209134882</v>
      </c>
      <c r="J48" s="10">
        <f t="shared" si="6"/>
        <v>431917555.12952185</v>
      </c>
      <c r="K48" s="11">
        <f t="shared" si="7"/>
        <v>-1.6032150000000023E-2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1872892.7424312979</v>
      </c>
      <c r="D49" s="11">
        <v>2.5680000000000001E-2</v>
      </c>
      <c r="E49" s="10">
        <f t="shared" si="2"/>
        <v>46891.706600143807</v>
      </c>
      <c r="F49" s="3"/>
      <c r="G49" s="26">
        <v>12.01</v>
      </c>
      <c r="H49" s="10"/>
      <c r="I49" s="10">
        <f t="shared" si="8"/>
        <v>234.37270951676291</v>
      </c>
      <c r="J49" s="10">
        <f t="shared" si="6"/>
        <v>438954946.67790401</v>
      </c>
      <c r="K49" s="11">
        <f t="shared" si="7"/>
        <v>0.1488641679999998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1826001.0358311541</v>
      </c>
      <c r="D50" s="11">
        <v>2.4320000000000001E-2</v>
      </c>
      <c r="E50" s="10">
        <f t="shared" si="2"/>
        <v>43353.976483338745</v>
      </c>
      <c r="F50" s="3"/>
      <c r="G50" s="26">
        <v>-16.36</v>
      </c>
      <c r="H50" s="10"/>
      <c r="I50" s="10">
        <f t="shared" si="8"/>
        <v>209.24266540198454</v>
      </c>
      <c r="J50" s="10">
        <f t="shared" si="6"/>
        <v>382077323.76409537</v>
      </c>
      <c r="K50" s="11">
        <f t="shared" si="7"/>
        <v>-0.14325875199999993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1782647.0593478153</v>
      </c>
      <c r="D51" s="11">
        <v>2.436E-2</v>
      </c>
      <c r="E51" s="10">
        <f t="shared" si="2"/>
        <v>42392.598662299104</v>
      </c>
      <c r="F51" s="3"/>
      <c r="G51" s="26">
        <v>-2.54</v>
      </c>
      <c r="H51" s="10"/>
      <c r="I51" s="10">
        <f t="shared" si="8"/>
        <v>250.17057078190402</v>
      </c>
      <c r="J51" s="10">
        <f t="shared" si="6"/>
        <v>445965832.33972567</v>
      </c>
      <c r="K51" s="11">
        <f t="shared" si="7"/>
        <v>-1.6587439999999898E-3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1740254.4606855162</v>
      </c>
      <c r="D52" s="11">
        <v>2.3939999999999999E-2</v>
      </c>
      <c r="E52" s="10">
        <f t="shared" si="2"/>
        <v>40687.629928327166</v>
      </c>
      <c r="F52" s="3"/>
      <c r="G52" s="26">
        <v>3.26</v>
      </c>
      <c r="H52" s="10"/>
      <c r="I52" s="10">
        <f t="shared" si="8"/>
        <v>256.69050972902113</v>
      </c>
      <c r="J52" s="10">
        <f t="shared" si="6"/>
        <v>446706804.57156795</v>
      </c>
      <c r="K52" s="11">
        <f t="shared" si="7"/>
        <v>5.7320444000000137E-2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1699566.8307571891</v>
      </c>
      <c r="D53" s="11">
        <v>2.4170000000000001E-2</v>
      </c>
      <c r="E53" s="10">
        <f t="shared" si="2"/>
        <v>40109.093509281985</v>
      </c>
      <c r="F53" s="3"/>
      <c r="G53" s="26">
        <v>7.33</v>
      </c>
      <c r="H53" s="10"/>
      <c r="I53" s="10">
        <f t="shared" si="8"/>
        <v>248.58658699304777</v>
      </c>
      <c r="J53" s="10">
        <f t="shared" si="6"/>
        <v>422489517.82452047</v>
      </c>
      <c r="K53" s="11">
        <f t="shared" si="7"/>
        <v>9.9241660999999981E-2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1659457.7372479071</v>
      </c>
      <c r="D54" s="11">
        <v>2.3810000000000001E-2</v>
      </c>
      <c r="E54" s="10">
        <f t="shared" si="2"/>
        <v>38592.794291785453</v>
      </c>
      <c r="F54" s="3"/>
      <c r="G54" s="26">
        <v>-5.05</v>
      </c>
      <c r="H54" s="10"/>
      <c r="I54" s="10">
        <f t="shared" si="8"/>
        <v>231.60960308678636</v>
      </c>
      <c r="J54" s="10">
        <f t="shared" si="6"/>
        <v>384346347.86328435</v>
      </c>
      <c r="K54" s="11">
        <f t="shared" si="7"/>
        <v>-2.7892405000000009E-2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1620864.9429561216</v>
      </c>
      <c r="D55" s="11">
        <v>2.3800000000000002E-2</v>
      </c>
      <c r="E55" s="10">
        <f t="shared" si="2"/>
        <v>37679.806253521936</v>
      </c>
      <c r="F55" s="3"/>
      <c r="G55" s="26">
        <v>-2.9</v>
      </c>
      <c r="H55" s="10"/>
      <c r="I55" s="10">
        <f t="shared" si="8"/>
        <v>243.9279653362679</v>
      </c>
      <c r="J55" s="10">
        <f t="shared" si="6"/>
        <v>395374287.62017268</v>
      </c>
      <c r="K55" s="11">
        <f t="shared" si="7"/>
        <v>-5.8902000000000676E-3</v>
      </c>
      <c r="L55" t="s">
        <v>129</v>
      </c>
      <c r="M55" t="s">
        <v>130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1583185.1367025997</v>
      </c>
      <c r="D56" s="11">
        <v>2.3959999999999999E-2</v>
      </c>
      <c r="E56" s="10">
        <f t="shared" si="2"/>
        <v>37045.505562125705</v>
      </c>
      <c r="F56" s="3"/>
      <c r="G56" s="26">
        <v>7.33</v>
      </c>
      <c r="H56" s="10"/>
      <c r="I56" s="10">
        <f t="shared" si="8"/>
        <v>251.2131465872996</v>
      </c>
      <c r="J56" s="10">
        <f t="shared" si="6"/>
        <v>397716919.82130414</v>
      </c>
      <c r="K56" s="11">
        <f t="shared" si="7"/>
        <v>9.9016267999999963E-2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1546139.631140474</v>
      </c>
      <c r="D57" s="11">
        <v>2.4240000000000001E-2</v>
      </c>
      <c r="E57" s="10">
        <f t="shared" si="2"/>
        <v>36591.447960287798</v>
      </c>
      <c r="F57" s="3"/>
      <c r="G57" s="26">
        <v>11.63</v>
      </c>
      <c r="H57" s="10"/>
      <c r="I57" s="10">
        <f t="shared" si="8"/>
        <v>234.05678429823871</v>
      </c>
      <c r="J57" s="10">
        <f t="shared" si="6"/>
        <v>361884470.14080429</v>
      </c>
      <c r="K57" s="11">
        <f t="shared" si="7"/>
        <v>0.14335911200000018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1509548.1831801862</v>
      </c>
      <c r="D58" s="11">
        <v>3.2939999999999997E-2</v>
      </c>
      <c r="E58" s="10">
        <f t="shared" si="2"/>
        <v>48138.824282102752</v>
      </c>
      <c r="F58" s="3"/>
      <c r="G58" s="26">
        <v>4.22</v>
      </c>
      <c r="H58" s="10"/>
      <c r="I58" s="10">
        <f t="shared" si="8"/>
        <v>209.6719379183362</v>
      </c>
      <c r="J58" s="10">
        <f t="shared" si="6"/>
        <v>316509892.94849318</v>
      </c>
      <c r="K58" s="11">
        <f t="shared" si="7"/>
        <v>7.653006799999984E-2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1461409.3588980834</v>
      </c>
      <c r="D59" s="11">
        <v>3.2969999999999999E-2</v>
      </c>
      <c r="E59" s="10">
        <f t="shared" si="2"/>
        <v>46644.787905621342</v>
      </c>
      <c r="F59" s="3"/>
      <c r="G59" s="26">
        <v>11.6</v>
      </c>
      <c r="H59" s="10"/>
      <c r="I59" s="10">
        <f t="shared" si="8"/>
        <v>201.18205518934579</v>
      </c>
      <c r="J59" s="10">
        <f t="shared" si="6"/>
        <v>294009338.29606068</v>
      </c>
      <c r="K59" s="11">
        <f t="shared" si="7"/>
        <v>0.15279452000000027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1414764.5709924621</v>
      </c>
      <c r="D60" s="11">
        <v>3.202E-2</v>
      </c>
      <c r="E60" s="10">
        <f t="shared" si="2"/>
        <v>43895.236103155417</v>
      </c>
      <c r="F60" s="3"/>
      <c r="G60" s="26">
        <v>-0.95</v>
      </c>
      <c r="H60" s="10"/>
      <c r="I60" s="10">
        <f t="shared" si="8"/>
        <v>180.27065877181519</v>
      </c>
      <c r="J60" s="10">
        <f t="shared" si="6"/>
        <v>255040541.21983564</v>
      </c>
      <c r="K60" s="11">
        <f t="shared" si="7"/>
        <v>2.2215809999999836E-2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1370869.3348893067</v>
      </c>
      <c r="D61" s="11">
        <v>3.2730000000000002E-2</v>
      </c>
      <c r="E61" s="10">
        <f t="shared" si="2"/>
        <v>43446.547820753651</v>
      </c>
      <c r="F61" s="3"/>
      <c r="G61" s="26">
        <v>6.96</v>
      </c>
      <c r="H61" s="10"/>
      <c r="I61" s="10">
        <f t="shared" si="8"/>
        <v>181.99965549905622</v>
      </c>
      <c r="J61" s="10">
        <f t="shared" si="6"/>
        <v>249497746.68407413</v>
      </c>
      <c r="K61" s="11">
        <f t="shared" si="7"/>
        <v>0.10460800799999981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1327422.787068553</v>
      </c>
      <c r="D62" s="11">
        <v>3.261E-2</v>
      </c>
      <c r="E62" s="10">
        <f t="shared" si="2"/>
        <v>41920.238121174043</v>
      </c>
      <c r="F62" s="3"/>
      <c r="G62" s="26">
        <v>-4.09</v>
      </c>
      <c r="H62" s="10"/>
      <c r="I62" s="10">
        <f t="shared" si="8"/>
        <v>170.1567459789232</v>
      </c>
      <c r="J62" s="10">
        <f t="shared" si="6"/>
        <v>225869941.98585802</v>
      </c>
      <c r="K62" s="11">
        <f t="shared" si="7"/>
        <v>-9.6237490000000703E-3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1285502.548947379</v>
      </c>
      <c r="D63" s="11">
        <v>3.2149999999999998E-2</v>
      </c>
      <c r="E63" s="10">
        <f t="shared" si="2"/>
        <v>40041.570458419854</v>
      </c>
      <c r="F63" s="3"/>
      <c r="G63" s="26">
        <v>8.85</v>
      </c>
      <c r="H63" s="10"/>
      <c r="I63" s="10">
        <f t="shared" si="8"/>
        <v>177.41293502129415</v>
      </c>
      <c r="J63" s="10">
        <f t="shared" si="6"/>
        <v>228064780.18610933</v>
      </c>
      <c r="K63" s="11">
        <f t="shared" si="7"/>
        <v>0.12349527499999979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1245460.9784889591</v>
      </c>
      <c r="D64" s="11">
        <v>3.1559999999999998E-2</v>
      </c>
      <c r="E64" s="10">
        <f t="shared" si="2"/>
        <v>38104.180543169146</v>
      </c>
      <c r="F64" s="3"/>
      <c r="G64" s="26">
        <v>4.4400000000000004</v>
      </c>
      <c r="H64" s="10"/>
      <c r="I64" s="10">
        <f t="shared" si="8"/>
        <v>162.98845661120271</v>
      </c>
      <c r="J64" s="10">
        <f t="shared" si="6"/>
        <v>202995762.65339378</v>
      </c>
      <c r="K64" s="11">
        <f t="shared" si="7"/>
        <v>7.7361263999999874E-2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1207356.79794579</v>
      </c>
      <c r="D65" s="11">
        <v>3.0630000000000001E-2</v>
      </c>
      <c r="E65" s="10">
        <f t="shared" si="2"/>
        <v>35882.264945789939</v>
      </c>
      <c r="F65" s="3"/>
      <c r="G65" s="26">
        <v>10.66</v>
      </c>
      <c r="H65" s="10"/>
      <c r="I65" s="10">
        <f t="shared" si="8"/>
        <v>156.05941843278697</v>
      </c>
      <c r="J65" s="10">
        <f t="shared" si="6"/>
        <v>188419399.72829187</v>
      </c>
      <c r="K65" s="11">
        <f t="shared" si="7"/>
        <v>0.14049515800000001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1171474.5330000001</v>
      </c>
      <c r="D66" s="11">
        <v>3.023E-2</v>
      </c>
      <c r="E66" s="10">
        <f t="shared" si="2"/>
        <v>34374.533000000054</v>
      </c>
      <c r="F66" s="23">
        <f>SUM(F2)</f>
        <v>6257140</v>
      </c>
      <c r="G66" s="26">
        <v>8.74</v>
      </c>
      <c r="H66" s="10"/>
      <c r="I66" s="10">
        <f t="shared" si="8"/>
        <v>141.02604232133288</v>
      </c>
      <c r="J66" s="10">
        <f t="shared" ref="J66:J67" si="9">IF(I66="","",I66*C66)</f>
        <v>165208417.06922168</v>
      </c>
      <c r="K66" s="11">
        <f t="shared" ref="K66" si="10">IFERROR(J66/J67-1,"")</f>
        <v>0.12027210199999994</v>
      </c>
    </row>
    <row r="67" spans="1:11" ht="22.5" customHeight="1">
      <c r="A67" s="3">
        <f t="shared" si="0"/>
        <v>1950</v>
      </c>
      <c r="B67" s="3">
        <v>1700</v>
      </c>
      <c r="C67" s="10">
        <v>1137100</v>
      </c>
      <c r="D67" s="11">
        <v>2.9430000000000001E-2</v>
      </c>
      <c r="E67" s="3" t="s">
        <v>72</v>
      </c>
      <c r="F67" s="10">
        <f>SUM(C2)</f>
        <v>6257547.7558445949</v>
      </c>
      <c r="G67" s="26"/>
      <c r="H67" s="10"/>
      <c r="I67" s="10">
        <f t="shared" ref="I67" si="11">IF(H67&lt;&gt;"",H67,I66/(1+IF(G66="",0,G66)/100))</f>
        <v>129.69104498927064</v>
      </c>
      <c r="J67" s="10">
        <f t="shared" si="9"/>
        <v>147471687.25729963</v>
      </c>
      <c r="K67" s="11"/>
    </row>
  </sheetData>
  <dataValidations count="1">
    <dataValidation type="custom" allowBlank="1" showDropDown="1" sqref="D2:D67" xr:uid="{00000000-0002-0000-3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M67"/>
  <sheetViews>
    <sheetView workbookViewId="0">
      <selection activeCell="G23" sqref="G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3102053.1089019277</v>
      </c>
      <c r="D2" s="11">
        <v>2.5829999999999999E-2</v>
      </c>
      <c r="E2" s="10">
        <f t="shared" ref="E2:E66" si="2">SUM(C2-C3)</f>
        <v>78108.489518669434</v>
      </c>
      <c r="F2" s="14">
        <v>3103322</v>
      </c>
      <c r="G2" s="29">
        <v>1.2</v>
      </c>
      <c r="H2" s="10"/>
      <c r="I2" s="10">
        <f>IF(H2&lt;&gt;"",H2,17464)</f>
        <v>2183</v>
      </c>
      <c r="J2" s="10">
        <f t="shared" ref="J2:J33" si="3">IF(I2="","",I2*C2)</f>
        <v>6771781936.7329082</v>
      </c>
      <c r="K2" s="11">
        <f t="shared" ref="K2:K33" si="4">IFERROR(J2/J3-1,"")</f>
        <v>3.8139959999999862E-2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3023944.6193832583</v>
      </c>
      <c r="D3" s="11">
        <v>2.5319999999999999E-2</v>
      </c>
      <c r="E3" s="10">
        <f t="shared" si="2"/>
        <v>74675.494248414412</v>
      </c>
      <c r="F3" s="3"/>
      <c r="G3" s="29">
        <v>4.2</v>
      </c>
      <c r="H3" s="10"/>
      <c r="I3" s="10">
        <f t="shared" ref="I3:I34" si="5">IF(H3&lt;&gt;"",H3,I2/(1+IF(G2="",0,G2)/100))</f>
        <v>2157.114624505929</v>
      </c>
      <c r="J3" s="10">
        <f t="shared" si="3"/>
        <v>6522995162.1676416</v>
      </c>
      <c r="K3" s="11">
        <f t="shared" si="4"/>
        <v>6.8383440000000073E-2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2949269.1251348439</v>
      </c>
      <c r="D4" s="11">
        <v>2.487E-2</v>
      </c>
      <c r="E4" s="10">
        <f t="shared" si="2"/>
        <v>71568.416620745324</v>
      </c>
      <c r="F4" s="3"/>
      <c r="G4" s="29">
        <v>6</v>
      </c>
      <c r="H4" s="10"/>
      <c r="I4" s="10">
        <f t="shared" si="5"/>
        <v>2070.1675858982044</v>
      </c>
      <c r="J4" s="10">
        <f t="shared" si="3"/>
        <v>6105481344.9445086</v>
      </c>
      <c r="K4" s="11">
        <f t="shared" si="4"/>
        <v>8.6362199999999723E-2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2877700.7085140985</v>
      </c>
      <c r="D5" s="11">
        <v>2.5080000000000002E-2</v>
      </c>
      <c r="E5" s="10">
        <f t="shared" si="2"/>
        <v>70406.928014919162</v>
      </c>
      <c r="F5" s="3"/>
      <c r="G5" s="29">
        <v>4.8</v>
      </c>
      <c r="H5" s="10"/>
      <c r="I5" s="10">
        <f t="shared" si="5"/>
        <v>1952.9882885832117</v>
      </c>
      <c r="J5" s="10">
        <f t="shared" si="3"/>
        <v>5620115781.7756453</v>
      </c>
      <c r="K5" s="11">
        <f t="shared" si="4"/>
        <v>7.4283839999999879E-2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2807293.7804991794</v>
      </c>
      <c r="D6" s="11">
        <v>2.2700000000000001E-2</v>
      </c>
      <c r="E6" s="10">
        <f t="shared" si="2"/>
        <v>62311.106695347</v>
      </c>
      <c r="F6" s="3"/>
      <c r="G6" s="29">
        <v>7.4</v>
      </c>
      <c r="H6" s="10"/>
      <c r="I6" s="10">
        <f t="shared" si="5"/>
        <v>1863.5384433045913</v>
      </c>
      <c r="J6" s="10">
        <f t="shared" si="3"/>
        <v>5231499881.6101017</v>
      </c>
      <c r="K6" s="11">
        <f t="shared" si="4"/>
        <v>9.8379800000000017E-2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2744982.6738038324</v>
      </c>
      <c r="D7" s="11">
        <v>2.1909999999999999E-2</v>
      </c>
      <c r="E7" s="10">
        <f t="shared" si="2"/>
        <v>58853.098984296434</v>
      </c>
      <c r="F7" s="3"/>
      <c r="G7" s="29">
        <v>7.3</v>
      </c>
      <c r="H7" s="10"/>
      <c r="I7" s="10">
        <f t="shared" si="5"/>
        <v>1735.1382153674033</v>
      </c>
      <c r="J7" s="10">
        <f t="shared" si="3"/>
        <v>4762924337.8384247</v>
      </c>
      <c r="K7" s="11">
        <f t="shared" si="4"/>
        <v>9.6509430000000007E-2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2686129.5748195359</v>
      </c>
      <c r="D8" s="11">
        <v>2.085E-2</v>
      </c>
      <c r="E8" s="10">
        <f t="shared" si="2"/>
        <v>54861.930386430118</v>
      </c>
      <c r="F8" s="3"/>
      <c r="G8" s="29">
        <v>1.2</v>
      </c>
      <c r="H8" s="10"/>
      <c r="I8" s="10">
        <f t="shared" si="5"/>
        <v>1617.0906014607674</v>
      </c>
      <c r="J8" s="10">
        <f t="shared" si="3"/>
        <v>4343714889.746479</v>
      </c>
      <c r="K8" s="11">
        <f t="shared" si="4"/>
        <v>3.3100200000000024E-2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2631267.6444331058</v>
      </c>
      <c r="D9" s="11">
        <v>2.01E-2</v>
      </c>
      <c r="E9" s="10">
        <f t="shared" si="2"/>
        <v>51846.367663077544</v>
      </c>
      <c r="F9" s="3"/>
      <c r="G9" s="29">
        <v>3.3</v>
      </c>
      <c r="H9" s="10"/>
      <c r="I9" s="10">
        <f t="shared" si="5"/>
        <v>1597.9156140916673</v>
      </c>
      <c r="J9" s="10">
        <f t="shared" si="3"/>
        <v>4204543653.8938613</v>
      </c>
      <c r="K9" s="11">
        <f t="shared" si="4"/>
        <v>5.3763299999999958E-2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2579421.2767700283</v>
      </c>
      <c r="D10" s="11">
        <v>1.951E-2</v>
      </c>
      <c r="E10" s="10">
        <f t="shared" si="2"/>
        <v>49361.466890744399</v>
      </c>
      <c r="F10" s="3"/>
      <c r="G10" s="29">
        <v>8.9</v>
      </c>
      <c r="H10" s="10"/>
      <c r="I10" s="10">
        <f t="shared" si="5"/>
        <v>1546.8689391013238</v>
      </c>
      <c r="J10" s="10">
        <f t="shared" si="3"/>
        <v>3990026653.8926358</v>
      </c>
      <c r="K10" s="11">
        <f t="shared" si="4"/>
        <v>0.11024638999999969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2530059.8098792839</v>
      </c>
      <c r="D11" s="11">
        <v>1.891E-2</v>
      </c>
      <c r="E11" s="10">
        <f t="shared" si="2"/>
        <v>46955.502453423105</v>
      </c>
      <c r="F11" s="3"/>
      <c r="G11" s="29">
        <v>10.7</v>
      </c>
      <c r="H11" s="10"/>
      <c r="I11" s="10">
        <f t="shared" si="5"/>
        <v>1420.4489798910229</v>
      </c>
      <c r="J11" s="10">
        <f t="shared" si="3"/>
        <v>3593820876.0063043</v>
      </c>
      <c r="K11" s="11">
        <f t="shared" si="4"/>
        <v>0.12793337000000005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2483104.3074258608</v>
      </c>
      <c r="D12" s="11">
        <v>1.9099999999999999E-2</v>
      </c>
      <c r="E12" s="10">
        <f t="shared" si="2"/>
        <v>46538.408666307107</v>
      </c>
      <c r="F12" s="3"/>
      <c r="G12" s="29">
        <v>9.6999999999999993</v>
      </c>
      <c r="H12" s="10"/>
      <c r="I12" s="10">
        <f t="shared" si="5"/>
        <v>1283.1517433523243</v>
      </c>
      <c r="J12" s="10">
        <f t="shared" si="3"/>
        <v>3186199620.9991589</v>
      </c>
      <c r="K12" s="11">
        <f t="shared" si="4"/>
        <v>0.1179526999999998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2436565.8987595537</v>
      </c>
      <c r="D13" s="11">
        <v>2.0039999999999999E-2</v>
      </c>
      <c r="E13" s="10">
        <f t="shared" si="2"/>
        <v>47869.476305969991</v>
      </c>
      <c r="F13" s="3"/>
      <c r="G13" s="29">
        <v>9.6</v>
      </c>
      <c r="H13" s="10"/>
      <c r="I13" s="10">
        <f t="shared" si="5"/>
        <v>1169.6916530103231</v>
      </c>
      <c r="J13" s="10">
        <f t="shared" si="3"/>
        <v>2850030793.7886457</v>
      </c>
      <c r="K13" s="11">
        <f t="shared" si="4"/>
        <v>0.11796384000000004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2388696.4224535837</v>
      </c>
      <c r="D14" s="11">
        <v>1.9199999999999998E-2</v>
      </c>
      <c r="E14" s="10">
        <f t="shared" si="2"/>
        <v>44998.990689863451</v>
      </c>
      <c r="F14" s="3"/>
      <c r="G14" s="29">
        <v>9.3000000000000007</v>
      </c>
      <c r="H14" s="10"/>
      <c r="I14" s="10">
        <f t="shared" si="5"/>
        <v>1067.2369096809516</v>
      </c>
      <c r="J14" s="10">
        <f t="shared" si="3"/>
        <v>2549304988.0653076</v>
      </c>
      <c r="K14" s="11">
        <f t="shared" si="4"/>
        <v>0.11398560000000013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2343697.4317637202</v>
      </c>
      <c r="D15" s="11">
        <v>1.9290000000000002E-2</v>
      </c>
      <c r="E15" s="10">
        <f t="shared" si="2"/>
        <v>44354.328462677076</v>
      </c>
      <c r="F15" s="3"/>
      <c r="G15" s="29">
        <v>9.8000000000000007</v>
      </c>
      <c r="H15" s="10"/>
      <c r="I15" s="10">
        <f t="shared" si="5"/>
        <v>976.42901160196857</v>
      </c>
      <c r="J15" s="10">
        <f t="shared" si="3"/>
        <v>2288454166.7911215</v>
      </c>
      <c r="K15" s="11">
        <f t="shared" si="4"/>
        <v>0.11918041999999995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2299343.1033010432</v>
      </c>
      <c r="D16" s="11">
        <v>1.9140000000000001E-2</v>
      </c>
      <c r="E16" s="10">
        <f t="shared" si="2"/>
        <v>43182.906173029914</v>
      </c>
      <c r="F16" s="3"/>
      <c r="G16" s="29">
        <v>13.5</v>
      </c>
      <c r="H16" s="10"/>
      <c r="I16" s="10">
        <f t="shared" si="5"/>
        <v>889.2796098378584</v>
      </c>
      <c r="J16" s="10">
        <f t="shared" si="3"/>
        <v>2044758937.7869222</v>
      </c>
      <c r="K16" s="11">
        <f t="shared" si="4"/>
        <v>0.15672390000000003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2256160.1971280132</v>
      </c>
      <c r="D17" s="11">
        <v>1.9519999999999999E-2</v>
      </c>
      <c r="E17" s="10">
        <f t="shared" si="2"/>
        <v>43197.04081130214</v>
      </c>
      <c r="F17" s="3"/>
      <c r="G17" s="29">
        <v>9.8000000000000007</v>
      </c>
      <c r="H17" s="10"/>
      <c r="I17" s="10">
        <f t="shared" si="5"/>
        <v>783.50626417432454</v>
      </c>
      <c r="J17" s="10">
        <f t="shared" si="3"/>
        <v>1767715647.4305773</v>
      </c>
      <c r="K17" s="11">
        <f t="shared" si="4"/>
        <v>0.11943296000000014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2212963.1563167111</v>
      </c>
      <c r="D18" s="11">
        <v>4.8399999999999997E-3</v>
      </c>
      <c r="E18" s="10">
        <f t="shared" si="2"/>
        <v>10659.151383874938</v>
      </c>
      <c r="F18" s="3"/>
      <c r="G18" s="29">
        <v>2.7</v>
      </c>
      <c r="H18" s="10"/>
      <c r="I18" s="10">
        <f t="shared" si="5"/>
        <v>713.57583258135196</v>
      </c>
      <c r="J18" s="10">
        <f t="shared" si="3"/>
        <v>1579117026.7405536</v>
      </c>
      <c r="K18" s="11">
        <f t="shared" si="4"/>
        <v>3.1970679999999918E-2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2202304.0049328362</v>
      </c>
      <c r="D19" s="11">
        <v>5.4900000000000001E-3</v>
      </c>
      <c r="E19" s="10">
        <f t="shared" si="2"/>
        <v>12024.633747805841</v>
      </c>
      <c r="F19" s="3"/>
      <c r="G19" s="29">
        <v>-1.9</v>
      </c>
      <c r="H19" s="10"/>
      <c r="I19" s="10">
        <f t="shared" si="5"/>
        <v>694.81580582410129</v>
      </c>
      <c r="J19" s="10">
        <f t="shared" si="3"/>
        <v>1530195631.857054</v>
      </c>
      <c r="K19" s="11">
        <f t="shared" si="4"/>
        <v>-1.3614310000000018E-2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2190279.3711850303</v>
      </c>
      <c r="D20" s="11">
        <v>6.3899999999999998E-3</v>
      </c>
      <c r="E20" s="10">
        <f t="shared" si="2"/>
        <v>13907.019328363705</v>
      </c>
      <c r="F20" s="3"/>
      <c r="G20" s="29">
        <v>1.7</v>
      </c>
      <c r="H20" s="10"/>
      <c r="I20" s="10">
        <f t="shared" si="5"/>
        <v>708.27299268511854</v>
      </c>
      <c r="J20" s="10">
        <f t="shared" si="3"/>
        <v>1551315725.045701</v>
      </c>
      <c r="K20" s="11">
        <f t="shared" si="4"/>
        <v>2.3498629999999743E-2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2176372.3518566666</v>
      </c>
      <c r="D21" s="11">
        <v>1.77E-2</v>
      </c>
      <c r="E21" s="10">
        <f t="shared" si="2"/>
        <v>37851.813528410159</v>
      </c>
      <c r="F21" s="3"/>
      <c r="G21" s="29">
        <v>0.5</v>
      </c>
      <c r="H21" s="10"/>
      <c r="I21" s="10">
        <f t="shared" si="5"/>
        <v>696.43362112597697</v>
      </c>
      <c r="J21" s="10">
        <f t="shared" si="3"/>
        <v>1515698877.9219973</v>
      </c>
      <c r="K21" s="11">
        <f t="shared" si="4"/>
        <v>2.2788499999999878E-2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2138520.5383282565</v>
      </c>
      <c r="D22" s="11">
        <v>2.1600000000000001E-2</v>
      </c>
      <c r="E22" s="10">
        <f t="shared" si="2"/>
        <v>45215.391178436344</v>
      </c>
      <c r="F22" s="3"/>
      <c r="G22" s="29">
        <v>2.8</v>
      </c>
      <c r="H22" s="10"/>
      <c r="I22" s="10">
        <f t="shared" si="5"/>
        <v>692.96877723977821</v>
      </c>
      <c r="J22" s="10">
        <f t="shared" si="3"/>
        <v>1481927962.5474842</v>
      </c>
      <c r="K22" s="11">
        <f t="shared" si="4"/>
        <v>5.020480000000016E-2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2093305.1471498201</v>
      </c>
      <c r="D23" s="11">
        <v>2.0240000000000001E-2</v>
      </c>
      <c r="E23" s="10">
        <f t="shared" si="2"/>
        <v>41527.970064212801</v>
      </c>
      <c r="F23" s="3"/>
      <c r="G23" s="29">
        <v>-8.1999999999999993</v>
      </c>
      <c r="H23" s="10"/>
      <c r="I23" s="10">
        <f t="shared" si="5"/>
        <v>674.09414128383094</v>
      </c>
      <c r="J23" s="10">
        <f t="shared" si="3"/>
        <v>1411084735.6129813</v>
      </c>
      <c r="K23" s="11">
        <f t="shared" si="4"/>
        <v>-6.3419680000000089E-2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2051777.1770856073</v>
      </c>
      <c r="D24" s="11">
        <v>1.447E-2</v>
      </c>
      <c r="E24" s="10">
        <f t="shared" si="2"/>
        <v>29265.740487573436</v>
      </c>
      <c r="F24" s="3"/>
      <c r="G24" s="29">
        <v>-2.6</v>
      </c>
      <c r="H24" s="10"/>
      <c r="I24" s="10">
        <f t="shared" si="5"/>
        <v>734.30734344643895</v>
      </c>
      <c r="J24" s="10">
        <f t="shared" si="3"/>
        <v>1506635048.2497661</v>
      </c>
      <c r="K24" s="11">
        <f t="shared" si="4"/>
        <v>-1.1906220000000189E-2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2022511.4365980339</v>
      </c>
      <c r="D25" s="11">
        <v>1.21E-2</v>
      </c>
      <c r="E25" s="10">
        <f t="shared" si="2"/>
        <v>24179.812649773899</v>
      </c>
      <c r="F25" s="3"/>
      <c r="G25" s="29">
        <v>-9.1999999999999993</v>
      </c>
      <c r="H25" s="10"/>
      <c r="I25" s="10">
        <f t="shared" si="5"/>
        <v>753.90897684439324</v>
      </c>
      <c r="J25" s="10">
        <f t="shared" si="3"/>
        <v>1524789527.8217077</v>
      </c>
      <c r="K25" s="11">
        <f t="shared" si="4"/>
        <v>-8.1013199999999896E-2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1998331.62394826</v>
      </c>
      <c r="D26" s="11">
        <v>2.6720000000000001E-2</v>
      </c>
      <c r="E26" s="10">
        <f t="shared" si="2"/>
        <v>52005.825338843744</v>
      </c>
      <c r="F26" s="3"/>
      <c r="G26" s="29">
        <v>-5.3</v>
      </c>
      <c r="H26" s="10"/>
      <c r="I26" s="10">
        <f t="shared" si="5"/>
        <v>830.29623000483832</v>
      </c>
      <c r="J26" s="10">
        <f t="shared" si="3"/>
        <v>1659207213.6636865</v>
      </c>
      <c r="K26" s="11">
        <f t="shared" si="4"/>
        <v>-2.7696160000000081E-2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1946325.7986094162</v>
      </c>
      <c r="D27" s="11">
        <v>2.5350000000000001E-2</v>
      </c>
      <c r="E27" s="10">
        <f t="shared" si="2"/>
        <v>48119.528936215676</v>
      </c>
      <c r="F27" s="3"/>
      <c r="G27" s="29">
        <v>-11</v>
      </c>
      <c r="H27" s="10"/>
      <c r="I27" s="10">
        <f t="shared" si="5"/>
        <v>876.76476241271212</v>
      </c>
      <c r="J27" s="10">
        <f t="shared" si="3"/>
        <v>1706469876.3955171</v>
      </c>
      <c r="K27" s="11">
        <f t="shared" si="4"/>
        <v>-8.7438499999999864E-2</v>
      </c>
      <c r="L27" t="s">
        <v>112</v>
      </c>
      <c r="M27" t="s">
        <v>113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1898206.2696732006</v>
      </c>
      <c r="D28" s="11">
        <v>2.3959999999999999E-2</v>
      </c>
      <c r="E28" s="10">
        <f t="shared" si="2"/>
        <v>44416.795794142177</v>
      </c>
      <c r="F28" s="3"/>
      <c r="G28" s="26">
        <v>3.24</v>
      </c>
      <c r="H28" s="10"/>
      <c r="I28" s="10">
        <f t="shared" si="5"/>
        <v>985.12894653113722</v>
      </c>
      <c r="J28" s="10">
        <f t="shared" si="3"/>
        <v>1869977942.7419598</v>
      </c>
      <c r="K28" s="11">
        <f t="shared" si="4"/>
        <v>5.7136303999999916E-2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1853789.4738790584</v>
      </c>
      <c r="D29" s="11">
        <v>3.4869999999999998E-2</v>
      </c>
      <c r="E29" s="10">
        <f t="shared" si="2"/>
        <v>62463.535472245421</v>
      </c>
      <c r="F29" s="3"/>
      <c r="G29" s="26">
        <v>6.98</v>
      </c>
      <c r="H29" s="10"/>
      <c r="I29" s="10">
        <f t="shared" si="5"/>
        <v>954.21246273841268</v>
      </c>
      <c r="J29" s="10">
        <f t="shared" si="3"/>
        <v>1768909019.2686827</v>
      </c>
      <c r="K29" s="11">
        <f t="shared" si="4"/>
        <v>0.10710392599999996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1791325.938406813</v>
      </c>
      <c r="D30" s="11">
        <v>3.5139999999999998E-2</v>
      </c>
      <c r="E30" s="10">
        <f t="shared" si="2"/>
        <v>60810.318870505784</v>
      </c>
      <c r="F30" s="3"/>
      <c r="G30" s="26">
        <v>7.74</v>
      </c>
      <c r="H30" s="10"/>
      <c r="I30" s="10">
        <f t="shared" si="5"/>
        <v>891.95406874033711</v>
      </c>
      <c r="J30" s="10">
        <f t="shared" si="3"/>
        <v>1597780459.2020593</v>
      </c>
      <c r="K30" s="11">
        <f t="shared" si="4"/>
        <v>0.11525983599999967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1730515.6195363072</v>
      </c>
      <c r="D31" s="11">
        <v>3.3599999999999998E-2</v>
      </c>
      <c r="E31" s="10">
        <f t="shared" si="2"/>
        <v>56255.151718672598</v>
      </c>
      <c r="F31" s="3"/>
      <c r="G31" s="26">
        <v>2.36</v>
      </c>
      <c r="H31" s="10"/>
      <c r="I31" s="10">
        <f t="shared" si="5"/>
        <v>827.87643283862747</v>
      </c>
      <c r="J31" s="10">
        <f t="shared" si="3"/>
        <v>1432653098.0732455</v>
      </c>
      <c r="K31" s="11">
        <f t="shared" si="4"/>
        <v>5.7992960000000426E-2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1674260.4678176346</v>
      </c>
      <c r="D32" s="11">
        <v>3.1600000000000003E-2</v>
      </c>
      <c r="E32" s="10">
        <f t="shared" si="2"/>
        <v>51285.993391854689</v>
      </c>
      <c r="F32" s="3"/>
      <c r="G32" s="26">
        <v>7.47</v>
      </c>
      <c r="H32" s="10"/>
      <c r="I32" s="10">
        <f t="shared" si="5"/>
        <v>808.78901215184385</v>
      </c>
      <c r="J32" s="10">
        <f t="shared" si="3"/>
        <v>1354123469.8511086</v>
      </c>
      <c r="K32" s="11">
        <f t="shared" si="4"/>
        <v>0.10866052000000015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1622974.4744257799</v>
      </c>
      <c r="D33" s="11">
        <v>2.946E-2</v>
      </c>
      <c r="E33" s="10">
        <f t="shared" si="2"/>
        <v>46444.5709562134</v>
      </c>
      <c r="F33" s="3"/>
      <c r="G33" s="26">
        <v>9.59</v>
      </c>
      <c r="H33" s="10"/>
      <c r="I33" s="10">
        <f t="shared" si="5"/>
        <v>752.57189183199387</v>
      </c>
      <c r="J33" s="10">
        <f t="shared" si="3"/>
        <v>1221404970.6136451</v>
      </c>
      <c r="K33" s="11">
        <f t="shared" si="4"/>
        <v>0.12818521399999994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1576529.9034695665</v>
      </c>
      <c r="D34" s="11">
        <v>2.903E-2</v>
      </c>
      <c r="E34" s="10">
        <f t="shared" si="2"/>
        <v>44475.538223105017</v>
      </c>
      <c r="F34" s="3"/>
      <c r="G34" s="26">
        <v>1</v>
      </c>
      <c r="H34" s="10"/>
      <c r="I34" s="10">
        <f t="shared" si="5"/>
        <v>686.71584253307219</v>
      </c>
      <c r="J34" s="10">
        <f t="shared" ref="J34:J65" si="6">IF(I34="","",I34*C34)</f>
        <v>1082628060.9396863</v>
      </c>
      <c r="K34" s="11">
        <f t="shared" ref="K34:K65" si="7">IFERROR(J34/J35-1,"")</f>
        <v>5.2697690000000019E-2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1532054.3652464615</v>
      </c>
      <c r="D35" s="11">
        <v>2.8649999999999998E-2</v>
      </c>
      <c r="E35" s="10">
        <f t="shared" si="2"/>
        <v>42670.838054062333</v>
      </c>
      <c r="F35" s="3"/>
      <c r="G35" s="26">
        <v>-0.53</v>
      </c>
      <c r="H35" s="10"/>
      <c r="I35" s="10">
        <f t="shared" ref="I35:I66" si="8">IF(H35&lt;&gt;"",H35,I34/(1+IF(G34="",0,G34)/100))</f>
        <v>671.27648341453789</v>
      </c>
      <c r="J35" s="10">
        <f t="shared" si="6"/>
        <v>1028432066.7025367</v>
      </c>
      <c r="K35" s="11">
        <f t="shared" si="7"/>
        <v>5.0971705000000256E-2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1489383.5271923991</v>
      </c>
      <c r="D36" s="11">
        <v>2.8039999999999999E-2</v>
      </c>
      <c r="E36" s="10">
        <f t="shared" si="2"/>
        <v>40623.238495073048</v>
      </c>
      <c r="F36" s="3"/>
      <c r="G36" s="26">
        <v>-3.43</v>
      </c>
      <c r="H36" s="10"/>
      <c r="I36" s="10">
        <f t="shared" si="8"/>
        <v>657.01916748021711</v>
      </c>
      <c r="J36" s="10">
        <f t="shared" si="6"/>
        <v>978553525.09469938</v>
      </c>
      <c r="K36" s="11">
        <f t="shared" si="7"/>
        <v>4.2124148000000083E-2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1448760.2886973261</v>
      </c>
      <c r="D37" s="11">
        <v>2.8119999999999999E-2</v>
      </c>
      <c r="E37" s="10">
        <f t="shared" si="2"/>
        <v>39624.887482170016</v>
      </c>
      <c r="F37" s="3"/>
      <c r="G37" s="26">
        <v>-4</v>
      </c>
      <c r="H37" s="10"/>
      <c r="I37" s="10">
        <f t="shared" si="8"/>
        <v>648.13965421743819</v>
      </c>
      <c r="J37" s="10">
        <f t="shared" si="6"/>
        <v>938998992.56024086</v>
      </c>
      <c r="K37" s="11">
        <f t="shared" si="7"/>
        <v>4.1485559999999699E-2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1409135.4012151561</v>
      </c>
      <c r="D38" s="11">
        <v>2.9049999999999999E-2</v>
      </c>
      <c r="E38" s="10">
        <f t="shared" si="2"/>
        <v>39779.780773820821</v>
      </c>
      <c r="F38" s="3"/>
      <c r="G38" s="26">
        <v>-1.46</v>
      </c>
      <c r="H38" s="10"/>
      <c r="I38" s="10">
        <f t="shared" si="8"/>
        <v>639.82196862530918</v>
      </c>
      <c r="J38" s="10">
        <f t="shared" si="6"/>
        <v>901595786.46509612</v>
      </c>
      <c r="K38" s="11">
        <f t="shared" si="7"/>
        <v>5.2100719999999878E-2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1369355.6204413353</v>
      </c>
      <c r="D39" s="11">
        <v>3.0669999999999999E-2</v>
      </c>
      <c r="E39" s="10">
        <f t="shared" si="2"/>
        <v>40748.383943391964</v>
      </c>
      <c r="F39" s="3"/>
      <c r="G39" s="26">
        <v>3.29</v>
      </c>
      <c r="H39" s="10"/>
      <c r="I39" s="10">
        <f t="shared" si="8"/>
        <v>625.80395992303329</v>
      </c>
      <c r="J39" s="10">
        <f t="shared" si="6"/>
        <v>856948169.81504977</v>
      </c>
      <c r="K39" s="11">
        <f t="shared" si="7"/>
        <v>6.4579042999999947E-2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1328607.2364979433</v>
      </c>
      <c r="D40" s="11">
        <v>3.1460000000000002E-2</v>
      </c>
      <c r="E40" s="10">
        <f t="shared" si="2"/>
        <v>40523.126112719299</v>
      </c>
      <c r="F40" s="3"/>
      <c r="G40" s="26">
        <v>2.98</v>
      </c>
      <c r="H40" s="10"/>
      <c r="I40" s="10">
        <f t="shared" si="8"/>
        <v>605.87081026530484</v>
      </c>
      <c r="J40" s="10">
        <f t="shared" si="6"/>
        <v>804964342.90135634</v>
      </c>
      <c r="K40" s="11">
        <f t="shared" si="7"/>
        <v>6.2197508000000123E-2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1288084.110385224</v>
      </c>
      <c r="D41" s="11">
        <v>3.1489999999999997E-2</v>
      </c>
      <c r="E41" s="10">
        <f t="shared" si="2"/>
        <v>39323.472487402381</v>
      </c>
      <c r="F41" s="3"/>
      <c r="G41" s="26">
        <v>7.6</v>
      </c>
      <c r="H41" s="10"/>
      <c r="I41" s="10">
        <f t="shared" si="8"/>
        <v>588.33832808827424</v>
      </c>
      <c r="J41" s="10">
        <f t="shared" si="6"/>
        <v>757829251.94111478</v>
      </c>
      <c r="K41" s="11">
        <f t="shared" si="7"/>
        <v>0.10988324000000005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1248760.6378978216</v>
      </c>
      <c r="D42" s="11">
        <v>3.1440000000000003E-2</v>
      </c>
      <c r="E42" s="10">
        <f t="shared" si="2"/>
        <v>38064.293081039563</v>
      </c>
      <c r="F42" s="3"/>
      <c r="G42" s="26">
        <v>-2.14</v>
      </c>
      <c r="H42" s="10"/>
      <c r="I42" s="10">
        <f t="shared" si="8"/>
        <v>546.78283279579387</v>
      </c>
      <c r="J42" s="10">
        <f t="shared" si="6"/>
        <v>682800879.07365346</v>
      </c>
      <c r="K42" s="11">
        <f t="shared" si="7"/>
        <v>9.3671840000000284E-3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1210696.344816782</v>
      </c>
      <c r="D43" s="11">
        <v>3.1289999999999998E-2</v>
      </c>
      <c r="E43" s="10">
        <f t="shared" si="2"/>
        <v>36733.303560896777</v>
      </c>
      <c r="F43" s="3"/>
      <c r="G43" s="26">
        <v>5.96</v>
      </c>
      <c r="H43" s="10"/>
      <c r="I43" s="10">
        <f t="shared" si="8"/>
        <v>558.73986592662357</v>
      </c>
      <c r="J43" s="10">
        <f t="shared" si="6"/>
        <v>676464313.38078201</v>
      </c>
      <c r="K43" s="11">
        <f t="shared" si="7"/>
        <v>9.2754884000000315E-2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1173963.0412558853</v>
      </c>
      <c r="D44" s="11">
        <v>3.116E-2</v>
      </c>
      <c r="E44" s="10">
        <f t="shared" si="2"/>
        <v>35475.278681808384</v>
      </c>
      <c r="F44" s="3"/>
      <c r="G44" s="26">
        <v>0.53</v>
      </c>
      <c r="H44" s="10"/>
      <c r="I44" s="10">
        <f t="shared" si="8"/>
        <v>527.31206674841781</v>
      </c>
      <c r="J44" s="10">
        <f t="shared" si="6"/>
        <v>619044877.57089889</v>
      </c>
      <c r="K44" s="11">
        <f t="shared" si="7"/>
        <v>3.6625148000000163E-2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1138487.7625740769</v>
      </c>
      <c r="D45" s="11">
        <v>3.099E-2</v>
      </c>
      <c r="E45" s="10">
        <f t="shared" si="2"/>
        <v>34221.220149730565</v>
      </c>
      <c r="F45" s="3"/>
      <c r="G45" s="26">
        <v>4.71</v>
      </c>
      <c r="H45" s="10"/>
      <c r="I45" s="10">
        <f t="shared" si="8"/>
        <v>524.53204689984852</v>
      </c>
      <c r="J45" s="10">
        <f t="shared" si="6"/>
        <v>597173316.4734093</v>
      </c>
      <c r="K45" s="11">
        <f t="shared" si="7"/>
        <v>7.9549628999999955E-2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1104266.5424243463</v>
      </c>
      <c r="D46" s="11">
        <v>3.0679999999999999E-2</v>
      </c>
      <c r="E46" s="10">
        <f t="shared" si="2"/>
        <v>32870.432647940237</v>
      </c>
      <c r="F46" s="3"/>
      <c r="G46" s="26">
        <v>3.6</v>
      </c>
      <c r="H46" s="10"/>
      <c r="I46" s="10">
        <f t="shared" si="8"/>
        <v>500.9378730778804</v>
      </c>
      <c r="J46" s="10">
        <f t="shared" si="6"/>
        <v>553168933.07311702</v>
      </c>
      <c r="K46" s="11">
        <f t="shared" si="7"/>
        <v>6.7784480000000036E-2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1071396.1097764061</v>
      </c>
      <c r="D47" s="11">
        <v>3.1060000000000001E-2</v>
      </c>
      <c r="E47" s="10">
        <f t="shared" si="2"/>
        <v>32275.098606924177</v>
      </c>
      <c r="F47" s="3"/>
      <c r="G47" s="26">
        <v>-2.27</v>
      </c>
      <c r="H47" s="10"/>
      <c r="I47" s="10">
        <f t="shared" si="8"/>
        <v>483.53076551918957</v>
      </c>
      <c r="J47" s="10">
        <f t="shared" si="6"/>
        <v>518052981.1344673</v>
      </c>
      <c r="K47" s="11">
        <f t="shared" si="7"/>
        <v>7.6549380000001666E-3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1039121.0111694819</v>
      </c>
      <c r="D48" s="11">
        <v>3.227E-2</v>
      </c>
      <c r="E48" s="10">
        <f t="shared" si="2"/>
        <v>32484.170837512705</v>
      </c>
      <c r="F48" s="3"/>
      <c r="G48" s="26">
        <v>1.25</v>
      </c>
      <c r="H48" s="10"/>
      <c r="I48" s="10">
        <f t="shared" si="8"/>
        <v>494.76185973517812</v>
      </c>
      <c r="J48" s="10">
        <f t="shared" si="6"/>
        <v>514117443.97611165</v>
      </c>
      <c r="K48" s="11">
        <f t="shared" si="7"/>
        <v>4.5173374999999849E-2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1006636.8403319692</v>
      </c>
      <c r="D49" s="11">
        <v>3.3059999999999999E-2</v>
      </c>
      <c r="E49" s="10">
        <f t="shared" si="2"/>
        <v>32214.405689287116</v>
      </c>
      <c r="F49" s="3"/>
      <c r="G49" s="26">
        <v>-2.04</v>
      </c>
      <c r="H49" s="10"/>
      <c r="I49" s="10">
        <f t="shared" si="8"/>
        <v>488.65368862733646</v>
      </c>
      <c r="J49" s="10">
        <f t="shared" si="6"/>
        <v>491896805.13638389</v>
      </c>
      <c r="K49" s="11">
        <f t="shared" si="7"/>
        <v>1.1985576000000275E-2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974422.43464268208</v>
      </c>
      <c r="D50" s="11">
        <v>3.3180000000000001E-2</v>
      </c>
      <c r="E50" s="10">
        <f t="shared" si="2"/>
        <v>31293.033528953558</v>
      </c>
      <c r="F50" s="3"/>
      <c r="G50" s="26">
        <v>-0.71</v>
      </c>
      <c r="H50" s="10"/>
      <c r="I50" s="10">
        <f t="shared" si="8"/>
        <v>498.82981689193184</v>
      </c>
      <c r="J50" s="10">
        <f t="shared" si="6"/>
        <v>486070964.6481995</v>
      </c>
      <c r="K50" s="11">
        <f t="shared" si="7"/>
        <v>2.5844421999999811E-2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943129.40111372853</v>
      </c>
      <c r="D51" s="11">
        <v>3.3180000000000001E-2</v>
      </c>
      <c r="E51" s="10">
        <f t="shared" si="2"/>
        <v>30288.075194016099</v>
      </c>
      <c r="F51" s="3"/>
      <c r="G51" s="26">
        <v>9.57</v>
      </c>
      <c r="H51" s="10"/>
      <c r="I51" s="10">
        <f t="shared" si="8"/>
        <v>502.3968344162875</v>
      </c>
      <c r="J51" s="10">
        <f t="shared" si="6"/>
        <v>473825225.5644663</v>
      </c>
      <c r="K51" s="11">
        <f t="shared" si="7"/>
        <v>0.13205532600000014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912841.32591971243</v>
      </c>
      <c r="D52" s="11">
        <v>3.3250000000000002E-2</v>
      </c>
      <c r="E52" s="10">
        <f t="shared" si="2"/>
        <v>29375.247120087501</v>
      </c>
      <c r="F52" s="3"/>
      <c r="G52" s="26">
        <v>1.69</v>
      </c>
      <c r="H52" s="10"/>
      <c r="I52" s="10">
        <f t="shared" si="8"/>
        <v>458.51677869516067</v>
      </c>
      <c r="J52" s="10">
        <f t="shared" si="6"/>
        <v>418553064.2205258</v>
      </c>
      <c r="K52" s="11">
        <f t="shared" si="7"/>
        <v>5.071192499999988E-2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883466.07879962493</v>
      </c>
      <c r="D53" s="11">
        <v>3.3430000000000001E-2</v>
      </c>
      <c r="E53" s="10">
        <f t="shared" si="2"/>
        <v>28578.879086412722</v>
      </c>
      <c r="F53" s="3"/>
      <c r="G53" s="26">
        <v>4.0999999999999996</v>
      </c>
      <c r="H53" s="10"/>
      <c r="I53" s="10">
        <f t="shared" si="8"/>
        <v>450.89662572048451</v>
      </c>
      <c r="J53" s="10">
        <f t="shared" si="6"/>
        <v>398351873.86925858</v>
      </c>
      <c r="K53" s="11">
        <f t="shared" si="7"/>
        <v>7.5800630000000035E-2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854887.19971321221</v>
      </c>
      <c r="D54" s="11">
        <v>3.3649999999999999E-2</v>
      </c>
      <c r="E54" s="10">
        <f t="shared" si="2"/>
        <v>27830.459314419306</v>
      </c>
      <c r="F54" s="3"/>
      <c r="G54" s="26">
        <v>3.57</v>
      </c>
      <c r="H54" s="10"/>
      <c r="I54" s="10">
        <f t="shared" si="8"/>
        <v>433.13796899181995</v>
      </c>
      <c r="J54" s="10">
        <f t="shared" si="6"/>
        <v>370284105.40088511</v>
      </c>
      <c r="K54" s="11">
        <f t="shared" si="7"/>
        <v>7.0551304999999953E-2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827056.7403987929</v>
      </c>
      <c r="D55" s="11">
        <v>3.3250000000000002E-2</v>
      </c>
      <c r="E55" s="10">
        <f t="shared" si="2"/>
        <v>26614.697912663803</v>
      </c>
      <c r="F55" s="3"/>
      <c r="G55" s="26">
        <v>3.59</v>
      </c>
      <c r="H55" s="10"/>
      <c r="I55" s="10">
        <f t="shared" si="8"/>
        <v>418.20794534307225</v>
      </c>
      <c r="J55" s="10">
        <f t="shared" si="6"/>
        <v>345881700.08431786</v>
      </c>
      <c r="K55" s="11">
        <f t="shared" si="7"/>
        <v>7.0343674999999939E-2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800442.0424861291</v>
      </c>
      <c r="D56" s="11">
        <v>3.2759999999999997E-2</v>
      </c>
      <c r="E56" s="10">
        <f t="shared" si="2"/>
        <v>25390.682551459642</v>
      </c>
      <c r="F56" s="3"/>
      <c r="G56" s="26">
        <v>11.46</v>
      </c>
      <c r="H56" s="10"/>
      <c r="I56" s="10">
        <f t="shared" si="8"/>
        <v>403.71459150793731</v>
      </c>
      <c r="J56" s="10">
        <f t="shared" si="6"/>
        <v>323150132.20806658</v>
      </c>
      <c r="K56" s="11">
        <f t="shared" si="7"/>
        <v>0.15111429599999981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775051.35993466945</v>
      </c>
      <c r="D57" s="11">
        <v>3.2140000000000002E-2</v>
      </c>
      <c r="E57" s="10">
        <f t="shared" si="2"/>
        <v>24134.468878543936</v>
      </c>
      <c r="F57" s="3"/>
      <c r="G57" s="26">
        <v>5.16</v>
      </c>
      <c r="H57" s="10"/>
      <c r="I57" s="10">
        <f t="shared" si="8"/>
        <v>362.20580612590823</v>
      </c>
      <c r="J57" s="10">
        <f t="shared" si="6"/>
        <v>280728102.6141184</v>
      </c>
      <c r="K57" s="11">
        <f t="shared" si="7"/>
        <v>8.5398424000000306E-2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750916.89105612552</v>
      </c>
      <c r="D58" s="11">
        <v>3.2190000000000003E-2</v>
      </c>
      <c r="E58" s="10">
        <f t="shared" si="2"/>
        <v>23418.183399467729</v>
      </c>
      <c r="F58" s="3"/>
      <c r="G58" s="26">
        <v>4.71</v>
      </c>
      <c r="H58" s="10"/>
      <c r="I58" s="10">
        <f t="shared" si="8"/>
        <v>344.43306021862702</v>
      </c>
      <c r="J58" s="10">
        <f t="shared" si="6"/>
        <v>258640602.75631866</v>
      </c>
      <c r="K58" s="11">
        <f t="shared" si="7"/>
        <v>8.0806148999999605E-2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727498.70765665779</v>
      </c>
      <c r="D59" s="11">
        <v>3.1E-2</v>
      </c>
      <c r="E59" s="10">
        <f t="shared" si="2"/>
        <v>21874.354934390285</v>
      </c>
      <c r="F59" s="3"/>
      <c r="G59" s="26">
        <v>4.76</v>
      </c>
      <c r="H59" s="10"/>
      <c r="I59" s="10">
        <f t="shared" si="8"/>
        <v>328.93998683853221</v>
      </c>
      <c r="J59" s="10">
        <f t="shared" si="6"/>
        <v>239303415.32163021</v>
      </c>
      <c r="K59" s="11">
        <f t="shared" si="7"/>
        <v>8.0075600000000025E-2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705624.3527222675</v>
      </c>
      <c r="D60" s="11">
        <v>0.03</v>
      </c>
      <c r="E60" s="10">
        <f t="shared" si="2"/>
        <v>20552.165613269899</v>
      </c>
      <c r="F60" s="3"/>
      <c r="G60" s="26">
        <v>4.8899999999999997</v>
      </c>
      <c r="H60" s="10"/>
      <c r="I60" s="10">
        <f t="shared" si="8"/>
        <v>313.99387823456681</v>
      </c>
      <c r="J60" s="10">
        <f t="shared" si="6"/>
        <v>221561727.08802068</v>
      </c>
      <c r="K60" s="11">
        <f t="shared" si="7"/>
        <v>8.0367000000000077E-2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685072.1871089976</v>
      </c>
      <c r="D61" s="11">
        <v>2.9860000000000001E-2</v>
      </c>
      <c r="E61" s="10">
        <f t="shared" si="2"/>
        <v>19863.142084433464</v>
      </c>
      <c r="F61" s="3"/>
      <c r="G61" s="26">
        <v>4.59</v>
      </c>
      <c r="H61" s="10"/>
      <c r="I61" s="10">
        <f t="shared" si="8"/>
        <v>299.35539921304871</v>
      </c>
      <c r="J61" s="10">
        <f t="shared" si="6"/>
        <v>205080058.06177038</v>
      </c>
      <c r="K61" s="11">
        <f t="shared" si="7"/>
        <v>7.7130573999999896E-2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665209.04502456414</v>
      </c>
      <c r="D62" s="11">
        <v>3.022E-2</v>
      </c>
      <c r="E62" s="10">
        <f t="shared" si="2"/>
        <v>19512.936402556952</v>
      </c>
      <c r="F62" s="3"/>
      <c r="G62" s="26">
        <v>4.71</v>
      </c>
      <c r="H62" s="10"/>
      <c r="I62" s="10">
        <f t="shared" si="8"/>
        <v>286.2179933196756</v>
      </c>
      <c r="J62" s="10">
        <f t="shared" si="6"/>
        <v>190394798.00502849</v>
      </c>
      <c r="K62" s="11">
        <f t="shared" si="7"/>
        <v>7.8743361999999539E-2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645696.10862200719</v>
      </c>
      <c r="D63" s="11">
        <v>3.099E-2</v>
      </c>
      <c r="E63" s="10">
        <f t="shared" si="2"/>
        <v>19408.648392512114</v>
      </c>
      <c r="F63" s="3"/>
      <c r="G63" s="26">
        <v>1.96</v>
      </c>
      <c r="H63" s="10"/>
      <c r="I63" s="10">
        <f t="shared" si="8"/>
        <v>273.3435138188097</v>
      </c>
      <c r="J63" s="10">
        <f t="shared" si="6"/>
        <v>176496843.18987128</v>
      </c>
      <c r="K63" s="11">
        <f t="shared" si="7"/>
        <v>5.1197404000000279E-2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626287.46022949507</v>
      </c>
      <c r="D64" s="11">
        <v>3.227E-2</v>
      </c>
      <c r="E64" s="10">
        <f t="shared" si="2"/>
        <v>19578.498204545118</v>
      </c>
      <c r="F64" s="3"/>
      <c r="G64" s="26">
        <v>1.82</v>
      </c>
      <c r="H64" s="10"/>
      <c r="I64" s="10">
        <f t="shared" si="8"/>
        <v>268.08897000667878</v>
      </c>
      <c r="J64" s="10">
        <f t="shared" si="6"/>
        <v>167900760.14102414</v>
      </c>
      <c r="K64" s="11">
        <f t="shared" si="7"/>
        <v>5.1057314000000131E-2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606708.96202494996</v>
      </c>
      <c r="D65" s="11">
        <v>3.4049999999999997E-2</v>
      </c>
      <c r="E65" s="10">
        <f t="shared" si="2"/>
        <v>19978.183024949976</v>
      </c>
      <c r="F65" s="3"/>
      <c r="G65" s="26">
        <v>1.68</v>
      </c>
      <c r="H65" s="10"/>
      <c r="I65" s="10">
        <f t="shared" si="8"/>
        <v>263.29696523932307</v>
      </c>
      <c r="J65" s="10">
        <f t="shared" si="6"/>
        <v>159744628.48466903</v>
      </c>
      <c r="K65" s="11">
        <f t="shared" si="7"/>
        <v>5.1422039999999836E-2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586730.77899999998</v>
      </c>
      <c r="D66" s="11">
        <v>3.6810000000000002E-2</v>
      </c>
      <c r="E66" s="10">
        <f t="shared" si="2"/>
        <v>20830.77899999998</v>
      </c>
      <c r="F66" s="23">
        <f>SUM(F2)</f>
        <v>3103322</v>
      </c>
      <c r="G66" s="26">
        <v>1.82</v>
      </c>
      <c r="H66" s="10"/>
      <c r="I66" s="10">
        <f t="shared" si="8"/>
        <v>258.94666132899596</v>
      </c>
      <c r="J66" s="10">
        <f t="shared" ref="J66:J67" si="9">IF(I66="","",I66*C66)</f>
        <v>151931976.32101098</v>
      </c>
      <c r="K66" s="11">
        <f t="shared" ref="K66" si="10">IFERROR(J66/J67-1,"")</f>
        <v>5.5679942000000038E-2</v>
      </c>
    </row>
    <row r="67" spans="1:11" ht="22.5" customHeight="1">
      <c r="A67" s="3">
        <f t="shared" si="0"/>
        <v>1950</v>
      </c>
      <c r="B67" s="3">
        <v>1700</v>
      </c>
      <c r="C67" s="10">
        <v>565900</v>
      </c>
      <c r="D67" s="11">
        <v>4.0309999999999999E-2</v>
      </c>
      <c r="E67" s="3" t="s">
        <v>72</v>
      </c>
      <c r="F67" s="10">
        <f>SUM(C2)</f>
        <v>3102053.1089019277</v>
      </c>
      <c r="G67" s="26">
        <v>1.83</v>
      </c>
      <c r="H67" s="10"/>
      <c r="I67" s="10">
        <f t="shared" ref="I67" si="11">IF(H67&lt;&gt;"",H67,I66/(1+IF(G66="",0,G66)/100))</f>
        <v>254.31807241111369</v>
      </c>
      <c r="J67" s="10">
        <f t="shared" si="9"/>
        <v>143918597.17744923</v>
      </c>
      <c r="K67" s="11"/>
    </row>
  </sheetData>
  <dataValidations count="1">
    <dataValidation type="custom" allowBlank="1" showDropDown="1" sqref="D2:D67" xr:uid="{00000000-0002-0000-3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M67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3254667.8040576503</v>
      </c>
      <c r="D2" s="11">
        <v>6.5500000000000003E-3</v>
      </c>
      <c r="E2" s="10">
        <f t="shared" ref="E2:E66" si="2">SUM(C2-C3)</f>
        <v>21179.349378150888</v>
      </c>
      <c r="F2" s="14">
        <v>3254988</v>
      </c>
      <c r="G2" s="26">
        <v>4.3899999999999997</v>
      </c>
      <c r="H2" s="10"/>
      <c r="I2" s="10">
        <f>IF(H2&lt;&gt;"",H2,235872)</f>
        <v>29484</v>
      </c>
      <c r="J2" s="10">
        <f t="shared" ref="J2:J33" si="3">IF(I2="","",I2*C2)</f>
        <v>95960625534.835754</v>
      </c>
      <c r="K2" s="11">
        <f t="shared" ref="K2:K33" si="4">IFERROR(J2/J3-1,"")</f>
        <v>5.0737545000000051E-2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3233488.4546794994</v>
      </c>
      <c r="D3" s="11">
        <v>5.0400000000000002E-3</v>
      </c>
      <c r="E3" s="10">
        <f t="shared" si="2"/>
        <v>16215.057919669431</v>
      </c>
      <c r="F3" s="3"/>
      <c r="G3" s="26">
        <v>2.2999999999999998</v>
      </c>
      <c r="H3" s="10"/>
      <c r="I3" s="10">
        <f t="shared" ref="I3:I34" si="5">IF(H3&lt;&gt;"",H3,I2/(1+IF(G2="",0,G2)/100))</f>
        <v>28244.084682440847</v>
      </c>
      <c r="J3" s="10">
        <f t="shared" si="3"/>
        <v>91326921733.662567</v>
      </c>
      <c r="K3" s="11">
        <f t="shared" si="4"/>
        <v>2.8155919999999668E-2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3217273.3967598299</v>
      </c>
      <c r="D4" s="11">
        <v>3.8700000000000002E-3</v>
      </c>
      <c r="E4" s="10">
        <f t="shared" si="2"/>
        <v>12402.849019754212</v>
      </c>
      <c r="F4" s="3"/>
      <c r="G4" s="26">
        <v>1.1399999999999999</v>
      </c>
      <c r="H4" s="10"/>
      <c r="I4" s="10">
        <f t="shared" si="5"/>
        <v>27609.075935914811</v>
      </c>
      <c r="J4" s="10">
        <f t="shared" si="3"/>
        <v>88825945517.740723</v>
      </c>
      <c r="K4" s="11">
        <f t="shared" si="4"/>
        <v>1.5314118000000043E-2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3204870.5477400757</v>
      </c>
      <c r="D5" s="11">
        <v>5.62E-3</v>
      </c>
      <c r="E5" s="10">
        <f t="shared" si="2"/>
        <v>17910.714264134876</v>
      </c>
      <c r="F5" s="3"/>
      <c r="G5" s="26">
        <v>0.41</v>
      </c>
      <c r="H5" s="10"/>
      <c r="I5" s="10">
        <f t="shared" si="5"/>
        <v>27297.880102743533</v>
      </c>
      <c r="J5" s="10">
        <f t="shared" si="3"/>
        <v>87486171957.022583</v>
      </c>
      <c r="K5" s="11">
        <f t="shared" si="4"/>
        <v>9.7430420000002016E-3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3186959.8334759409</v>
      </c>
      <c r="D6" s="11">
        <v>6.8300000000000001E-3</v>
      </c>
      <c r="E6" s="10">
        <f t="shared" si="2"/>
        <v>21619.276007508859</v>
      </c>
      <c r="F6" s="3"/>
      <c r="G6" s="26">
        <v>3.16</v>
      </c>
      <c r="H6" s="10"/>
      <c r="I6" s="10">
        <f t="shared" si="5"/>
        <v>27186.415797971847</v>
      </c>
      <c r="J6" s="10">
        <f t="shared" si="3"/>
        <v>86642015164.312042</v>
      </c>
      <c r="K6" s="11">
        <f t="shared" si="4"/>
        <v>3.8645827999999716E-2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3165340.557468432</v>
      </c>
      <c r="D7" s="11">
        <v>1.176E-2</v>
      </c>
      <c r="E7" s="10">
        <f t="shared" si="2"/>
        <v>36791.73416208243</v>
      </c>
      <c r="F7" s="3"/>
      <c r="G7" s="26">
        <v>5.75</v>
      </c>
      <c r="H7" s="10"/>
      <c r="I7" s="10">
        <f t="shared" si="5"/>
        <v>26353.640750263519</v>
      </c>
      <c r="J7" s="10">
        <f t="shared" si="3"/>
        <v>83418247903.761917</v>
      </c>
      <c r="K7" s="11">
        <f t="shared" si="4"/>
        <v>6.9936199999999893E-2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3128548.8233063496</v>
      </c>
      <c r="D8" s="11">
        <v>1.098E-2</v>
      </c>
      <c r="E8" s="10">
        <f t="shared" si="2"/>
        <v>33978.383429843932</v>
      </c>
      <c r="F8" s="3"/>
      <c r="G8" s="26">
        <v>4.26</v>
      </c>
      <c r="H8" s="10"/>
      <c r="I8" s="10">
        <f t="shared" si="5"/>
        <v>24920.700473062429</v>
      </c>
      <c r="J8" s="10">
        <f t="shared" si="3"/>
        <v>77965628140.969452</v>
      </c>
      <c r="K8" s="11">
        <f t="shared" si="4"/>
        <v>5.4047747999999896E-2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3094570.4398765056</v>
      </c>
      <c r="D9" s="11">
        <v>8.1899999999999994E-3</v>
      </c>
      <c r="E9" s="10">
        <f t="shared" si="2"/>
        <v>25138.646388665307</v>
      </c>
      <c r="F9" s="3"/>
      <c r="G9" s="26">
        <v>0.92</v>
      </c>
      <c r="H9" s="10"/>
      <c r="I9" s="10">
        <f t="shared" si="5"/>
        <v>23902.455853695021</v>
      </c>
      <c r="J9" s="10">
        <f t="shared" si="3"/>
        <v>73967833325.29776</v>
      </c>
      <c r="K9" s="11">
        <f t="shared" si="4"/>
        <v>1.7465348000000214E-2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3069431.7934878403</v>
      </c>
      <c r="D10" s="11">
        <v>7.6E-3</v>
      </c>
      <c r="E10" s="10">
        <f t="shared" si="2"/>
        <v>23151.728493953589</v>
      </c>
      <c r="F10" s="3"/>
      <c r="G10" s="26">
        <v>3.22</v>
      </c>
      <c r="H10" s="10"/>
      <c r="I10" s="10">
        <f t="shared" si="5"/>
        <v>23684.557920823441</v>
      </c>
      <c r="J10" s="10">
        <f t="shared" si="3"/>
        <v>72698135096.87973</v>
      </c>
      <c r="K10" s="11">
        <f t="shared" si="4"/>
        <v>4.0044720000000034E-2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3046280.0649938867</v>
      </c>
      <c r="D11" s="11">
        <v>6.9499999999999996E-3</v>
      </c>
      <c r="E11" s="10">
        <f t="shared" si="2"/>
        <v>21025.519094004296</v>
      </c>
      <c r="F11" s="3"/>
      <c r="G11" s="26">
        <v>4.68</v>
      </c>
      <c r="H11" s="10"/>
      <c r="I11" s="10">
        <f t="shared" si="5"/>
        <v>22945.706181770434</v>
      </c>
      <c r="J11" s="10">
        <f t="shared" si="3"/>
        <v>69899047318.734268</v>
      </c>
      <c r="K11" s="11">
        <f t="shared" si="4"/>
        <v>5.4075260000000069E-2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3025254.5458998824</v>
      </c>
      <c r="D12" s="11">
        <v>6.2700000000000004E-3</v>
      </c>
      <c r="E12" s="10">
        <f t="shared" si="2"/>
        <v>18850.15552763408</v>
      </c>
      <c r="F12" s="3"/>
      <c r="G12" s="26">
        <v>2.79</v>
      </c>
      <c r="H12" s="10"/>
      <c r="I12" s="10">
        <f t="shared" si="5"/>
        <v>21919.856879795985</v>
      </c>
      <c r="J12" s="10">
        <f t="shared" si="3"/>
        <v>66313146671.077614</v>
      </c>
      <c r="K12" s="11">
        <f t="shared" si="4"/>
        <v>3.4344933000000077E-2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3006404.3903722484</v>
      </c>
      <c r="D13" s="11">
        <v>4.7400000000000003E-3</v>
      </c>
      <c r="E13" s="10">
        <f t="shared" si="2"/>
        <v>14183.128779947292</v>
      </c>
      <c r="F13" s="3"/>
      <c r="G13" s="26">
        <v>4.18</v>
      </c>
      <c r="H13" s="10"/>
      <c r="I13" s="10">
        <f t="shared" si="5"/>
        <v>21324.892382329006</v>
      </c>
      <c r="J13" s="10">
        <f t="shared" si="3"/>
        <v>64111250082.449638</v>
      </c>
      <c r="K13" s="11">
        <f t="shared" si="4"/>
        <v>4.6738131999999766E-2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2992221.2615923011</v>
      </c>
      <c r="D14" s="11">
        <v>3.9199999999999999E-3</v>
      </c>
      <c r="E14" s="10">
        <f t="shared" si="2"/>
        <v>11683.70721316617</v>
      </c>
      <c r="F14" s="3"/>
      <c r="G14" s="26">
        <v>1.88</v>
      </c>
      <c r="H14" s="10"/>
      <c r="I14" s="10">
        <f t="shared" si="5"/>
        <v>20469.276619628534</v>
      </c>
      <c r="J14" s="10">
        <f t="shared" si="3"/>
        <v>61248604710.666687</v>
      </c>
      <c r="K14" s="11">
        <f t="shared" si="4"/>
        <v>2.2793695999999919E-2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2980537.5543791349</v>
      </c>
      <c r="D15" s="11">
        <v>4.45E-3</v>
      </c>
      <c r="E15" s="10">
        <f t="shared" si="2"/>
        <v>13204.631506782025</v>
      </c>
      <c r="F15" s="3"/>
      <c r="G15" s="26">
        <v>2.2799999999999998</v>
      </c>
      <c r="H15" s="10"/>
      <c r="I15" s="10">
        <f t="shared" si="5"/>
        <v>20091.555378512501</v>
      </c>
      <c r="J15" s="10">
        <f t="shared" si="3"/>
        <v>59883635331.544601</v>
      </c>
      <c r="K15" s="11">
        <f t="shared" si="4"/>
        <v>2.7351459999999772E-2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2967332.9228723529</v>
      </c>
      <c r="D16" s="11">
        <v>4.47E-3</v>
      </c>
      <c r="E16" s="10">
        <f t="shared" si="2"/>
        <v>13204.952029666863</v>
      </c>
      <c r="F16" s="3"/>
      <c r="G16" s="26">
        <v>1.36</v>
      </c>
      <c r="H16" s="10"/>
      <c r="I16" s="10">
        <f t="shared" si="5"/>
        <v>19643.679486226538</v>
      </c>
      <c r="J16" s="10">
        <f t="shared" si="3"/>
        <v>58289336865.832275</v>
      </c>
      <c r="K16" s="11">
        <f t="shared" si="4"/>
        <v>1.8130792000000229E-2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2954127.970842686</v>
      </c>
      <c r="D17" s="11">
        <v>2.3999999999999998E-3</v>
      </c>
      <c r="E17" s="10">
        <f t="shared" si="2"/>
        <v>7072.9320929991081</v>
      </c>
      <c r="F17" s="3"/>
      <c r="G17" s="26">
        <v>4.63</v>
      </c>
      <c r="H17" s="10"/>
      <c r="I17" s="10">
        <f t="shared" si="5"/>
        <v>19380.109990357672</v>
      </c>
      <c r="J17" s="10">
        <f t="shared" si="3"/>
        <v>57251325000.523376</v>
      </c>
      <c r="K17" s="11">
        <f t="shared" si="4"/>
        <v>4.8811119999999875E-2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2947055.0387496869</v>
      </c>
      <c r="D18" s="11">
        <v>2.49E-3</v>
      </c>
      <c r="E18" s="10">
        <f t="shared" si="2"/>
        <v>7319.9403949035332</v>
      </c>
      <c r="F18" s="3"/>
      <c r="G18" s="26">
        <v>4.2</v>
      </c>
      <c r="H18" s="10"/>
      <c r="I18" s="10">
        <f t="shared" si="5"/>
        <v>18522.51743320049</v>
      </c>
      <c r="J18" s="10">
        <f t="shared" si="3"/>
        <v>54586878331.842422</v>
      </c>
      <c r="K18" s="11">
        <f t="shared" si="4"/>
        <v>4.459458000000005E-2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2939735.0983547834</v>
      </c>
      <c r="D19" s="11">
        <v>2.1099999999999999E-3</v>
      </c>
      <c r="E19" s="10">
        <f t="shared" si="2"/>
        <v>6189.780620419886</v>
      </c>
      <c r="F19" s="3"/>
      <c r="G19" s="26">
        <v>4.25</v>
      </c>
      <c r="H19" s="10"/>
      <c r="I19" s="10">
        <f t="shared" si="5"/>
        <v>17775.928438772062</v>
      </c>
      <c r="J19" s="10">
        <f t="shared" si="3"/>
        <v>52256520737.301178</v>
      </c>
      <c r="K19" s="11">
        <f t="shared" si="4"/>
        <v>4.4699675000000161E-2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2933545.3177343635</v>
      </c>
      <c r="D20" s="11">
        <v>2.15E-3</v>
      </c>
      <c r="E20" s="10">
        <f t="shared" si="2"/>
        <v>6293.5912120235153</v>
      </c>
      <c r="F20" s="3"/>
      <c r="G20" s="26">
        <v>3.06</v>
      </c>
      <c r="H20" s="10"/>
      <c r="I20" s="10">
        <f t="shared" si="5"/>
        <v>17051.250300980395</v>
      </c>
      <c r="J20" s="10">
        <f t="shared" si="3"/>
        <v>50020615481.957695</v>
      </c>
      <c r="K20" s="11">
        <f t="shared" si="4"/>
        <v>3.2815790000000344E-2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2927251.72652234</v>
      </c>
      <c r="D21" s="11">
        <v>2.66E-3</v>
      </c>
      <c r="E21" s="10">
        <f t="shared" si="2"/>
        <v>7765.8324781577103</v>
      </c>
      <c r="F21" s="3"/>
      <c r="G21" s="26">
        <v>1.7</v>
      </c>
      <c r="H21" s="10"/>
      <c r="I21" s="10">
        <f t="shared" si="5"/>
        <v>16544.974093712783</v>
      </c>
      <c r="J21" s="10">
        <f t="shared" si="3"/>
        <v>48431303981.088127</v>
      </c>
      <c r="K21" s="11">
        <f t="shared" si="4"/>
        <v>1.9705219999999857E-2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2919485.8940441823</v>
      </c>
      <c r="D22" s="11">
        <v>1.2199999999999999E-3</v>
      </c>
      <c r="E22" s="10">
        <f t="shared" si="2"/>
        <v>3557.4327228120528</v>
      </c>
      <c r="F22" s="3"/>
      <c r="G22" s="26">
        <v>4.09</v>
      </c>
      <c r="H22" s="10"/>
      <c r="I22" s="10">
        <f t="shared" si="5"/>
        <v>16268.411104928991</v>
      </c>
      <c r="J22" s="10">
        <f t="shared" si="3"/>
        <v>47495396739.351921</v>
      </c>
      <c r="K22" s="11">
        <f t="shared" si="4"/>
        <v>4.2169897999999817E-2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2915928.4613213702</v>
      </c>
      <c r="D23" s="11">
        <v>2.98E-3</v>
      </c>
      <c r="E23" s="10">
        <f t="shared" si="2"/>
        <v>8663.6491402997635</v>
      </c>
      <c r="F23" s="3"/>
      <c r="G23" s="26">
        <v>4.0199999999999996</v>
      </c>
      <c r="H23" s="10"/>
      <c r="I23" s="10">
        <f t="shared" si="5"/>
        <v>15629.177735545194</v>
      </c>
      <c r="J23" s="10">
        <f t="shared" si="3"/>
        <v>45573564186.126518</v>
      </c>
      <c r="K23" s="11">
        <f t="shared" si="4"/>
        <v>4.3299796000000113E-2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2907264.8121810704</v>
      </c>
      <c r="D24" s="11">
        <v>3.1700000000000001E-3</v>
      </c>
      <c r="E24" s="10">
        <f t="shared" si="2"/>
        <v>9186.9069595518522</v>
      </c>
      <c r="F24" s="3"/>
      <c r="G24" s="26">
        <v>-2.0699999999999998</v>
      </c>
      <c r="H24" s="10"/>
      <c r="I24" s="10">
        <f t="shared" si="5"/>
        <v>15025.166059935777</v>
      </c>
      <c r="J24" s="10">
        <f t="shared" si="3"/>
        <v>43682136583.228577</v>
      </c>
      <c r="K24" s="11">
        <f t="shared" si="4"/>
        <v>-1.7595619000000173E-2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2898077.9052215186</v>
      </c>
      <c r="D25" s="11">
        <v>4.5700000000000003E-3</v>
      </c>
      <c r="E25" s="10">
        <f t="shared" si="2"/>
        <v>13183.965305416379</v>
      </c>
      <c r="F25" s="3"/>
      <c r="G25" s="26">
        <v>-1.1599999999999999</v>
      </c>
      <c r="H25" s="10"/>
      <c r="I25" s="10">
        <f t="shared" si="5"/>
        <v>15342.761217130375</v>
      </c>
      <c r="J25" s="10">
        <f t="shared" si="3"/>
        <v>44464517288.455154</v>
      </c>
      <c r="K25" s="11">
        <f t="shared" si="4"/>
        <v>-7.0830120000000552E-3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2884893.9399161022</v>
      </c>
      <c r="D26" s="11">
        <v>4.81E-3</v>
      </c>
      <c r="E26" s="10">
        <f t="shared" si="2"/>
        <v>13809.914163868409</v>
      </c>
      <c r="F26" s="3"/>
      <c r="G26" s="26">
        <v>-1.1499999999999999</v>
      </c>
      <c r="H26" s="10"/>
      <c r="I26" s="10">
        <f t="shared" si="5"/>
        <v>15522.825998715476</v>
      </c>
      <c r="J26" s="10">
        <f t="shared" si="3"/>
        <v>44781706654.066391</v>
      </c>
      <c r="K26" s="11">
        <f t="shared" si="4"/>
        <v>-6.745314999999974E-3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2871084.0257522338</v>
      </c>
      <c r="D27" s="11">
        <v>2.8E-3</v>
      </c>
      <c r="E27" s="10">
        <f t="shared" si="2"/>
        <v>8016.5888234004378</v>
      </c>
      <c r="F27" s="3"/>
      <c r="G27" s="26">
        <v>-7.5</v>
      </c>
      <c r="H27" s="10"/>
      <c r="I27" s="10">
        <f t="shared" si="5"/>
        <v>15703.415274370738</v>
      </c>
      <c r="J27" s="10">
        <f t="shared" si="3"/>
        <v>45085824743.999458</v>
      </c>
      <c r="K27" s="11">
        <f t="shared" si="4"/>
        <v>-7.2409999999999863E-2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2863067.4369288334</v>
      </c>
      <c r="D28" s="11">
        <v>2.1099999999999999E-3</v>
      </c>
      <c r="E28" s="10">
        <f t="shared" si="2"/>
        <v>6028.3524682121351</v>
      </c>
      <c r="F28" s="3"/>
      <c r="G28" s="26">
        <v>2.65</v>
      </c>
      <c r="H28" s="10"/>
      <c r="I28" s="10">
        <f t="shared" si="5"/>
        <v>16976.665161481877</v>
      </c>
      <c r="J28" s="10">
        <f t="shared" si="3"/>
        <v>48605337211.482933</v>
      </c>
      <c r="K28" s="11">
        <f t="shared" si="4"/>
        <v>2.8665915000000153E-2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2857039.0844606212</v>
      </c>
      <c r="D29" s="11">
        <v>1.92E-3</v>
      </c>
      <c r="E29" s="10">
        <f t="shared" si="2"/>
        <v>5475.0030363341793</v>
      </c>
      <c r="F29" s="3"/>
      <c r="G29" s="26">
        <v>2.56</v>
      </c>
      <c r="H29" s="10"/>
      <c r="I29" s="10">
        <f t="shared" si="5"/>
        <v>16538.397624434365</v>
      </c>
      <c r="J29" s="10">
        <f t="shared" si="3"/>
        <v>47250848407.359673</v>
      </c>
      <c r="K29" s="11">
        <f t="shared" si="4"/>
        <v>2.7569151999999875E-2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2851564.0814242871</v>
      </c>
      <c r="D30" s="11">
        <v>1.5900000000000001E-3</v>
      </c>
      <c r="E30" s="10">
        <f t="shared" si="2"/>
        <v>4526.7892944863997</v>
      </c>
      <c r="F30" s="3"/>
      <c r="G30" s="26">
        <v>3.35</v>
      </c>
      <c r="H30" s="10"/>
      <c r="I30" s="10">
        <f t="shared" si="5"/>
        <v>16125.582707131791</v>
      </c>
      <c r="J30" s="10">
        <f t="shared" si="3"/>
        <v>45983132439.693634</v>
      </c>
      <c r="K30" s="11">
        <f t="shared" si="4"/>
        <v>3.514326500000009E-2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2847037.2921298007</v>
      </c>
      <c r="D31" s="11">
        <v>8.7000000000000001E-4</v>
      </c>
      <c r="E31" s="10">
        <f t="shared" si="2"/>
        <v>2474.7693947791122</v>
      </c>
      <c r="F31" s="3"/>
      <c r="G31" s="26">
        <v>2.69</v>
      </c>
      <c r="H31" s="10"/>
      <c r="I31" s="10">
        <f t="shared" si="5"/>
        <v>15602.88602528475</v>
      </c>
      <c r="J31" s="10">
        <f t="shared" si="3"/>
        <v>44421998378.836601</v>
      </c>
      <c r="K31" s="11">
        <f t="shared" si="4"/>
        <v>2.7793402999999772E-2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2844562.5227350215</v>
      </c>
      <c r="D32" s="11">
        <v>4.8000000000000001E-4</v>
      </c>
      <c r="E32" s="10">
        <f t="shared" si="2"/>
        <v>1364.7349381428212</v>
      </c>
      <c r="F32" s="3"/>
      <c r="G32" s="26">
        <v>2.16</v>
      </c>
      <c r="H32" s="10"/>
      <c r="I32" s="10">
        <f t="shared" si="5"/>
        <v>15194.16303952162</v>
      </c>
      <c r="J32" s="10">
        <f t="shared" si="3"/>
        <v>43220746746.548843</v>
      </c>
      <c r="K32" s="11">
        <f t="shared" si="4"/>
        <v>2.2090368000000193E-2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2843197.7877968787</v>
      </c>
      <c r="D33" s="11">
        <v>6.8999999999999997E-4</v>
      </c>
      <c r="E33" s="10">
        <f t="shared" si="2"/>
        <v>1960.4537604851648</v>
      </c>
      <c r="F33" s="3"/>
      <c r="G33" s="26">
        <v>4.2300000000000004</v>
      </c>
      <c r="H33" s="10"/>
      <c r="I33" s="10">
        <f t="shared" si="5"/>
        <v>14872.908221927975</v>
      </c>
      <c r="J33" s="10">
        <f t="shared" si="3"/>
        <v>42286619754.691628</v>
      </c>
      <c r="K33" s="11">
        <f t="shared" si="4"/>
        <v>4.301918700000007E-2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2841237.3340363936</v>
      </c>
      <c r="D34" s="11">
        <v>4.2000000000000002E-4</v>
      </c>
      <c r="E34" s="10">
        <f t="shared" si="2"/>
        <v>1192.8186964429915</v>
      </c>
      <c r="F34" s="3"/>
      <c r="G34" s="26">
        <v>0.6</v>
      </c>
      <c r="H34" s="10"/>
      <c r="I34" s="10">
        <f t="shared" si="5"/>
        <v>14269.316148832366</v>
      </c>
      <c r="J34" s="10">
        <f t="shared" ref="J34:J65" si="6">IF(I34="","",I34*C34)</f>
        <v>40542513773.230927</v>
      </c>
      <c r="K34" s="11">
        <f t="shared" ref="K34:K65" si="7">IFERROR(J34/J35-1,"")</f>
        <v>1.94279799999999E-2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2840044.5153399506</v>
      </c>
      <c r="D35" s="11">
        <v>9.6000000000000002E-4</v>
      </c>
      <c r="E35" s="10">
        <f t="shared" si="2"/>
        <v>2723.8278599809855</v>
      </c>
      <c r="F35" s="3"/>
      <c r="G35" s="26">
        <v>-1.45</v>
      </c>
      <c r="H35" s="10"/>
      <c r="I35" s="10">
        <f t="shared" ref="I35:I66" si="8">IF(H35&lt;&gt;"",H35,I34/(1+IF(G34="",0,G34)/100))</f>
        <v>14003.254316812921</v>
      </c>
      <c r="J35" s="10">
        <f t="shared" si="6"/>
        <v>39769865619.375023</v>
      </c>
      <c r="K35" s="11">
        <f t="shared" si="7"/>
        <v>1.3471999999999928E-2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2837320.6874799696</v>
      </c>
      <c r="D36" s="11">
        <v>1.41E-3</v>
      </c>
      <c r="E36" s="10">
        <f t="shared" si="2"/>
        <v>3994.9892345257103</v>
      </c>
      <c r="F36" s="3"/>
      <c r="G36" s="26">
        <v>-4.35</v>
      </c>
      <c r="H36" s="10"/>
      <c r="I36" s="10">
        <f t="shared" si="8"/>
        <v>13830.374633889305</v>
      </c>
      <c r="J36" s="10">
        <f t="shared" si="6"/>
        <v>39241208064.332336</v>
      </c>
      <c r="K36" s="11">
        <f t="shared" si="7"/>
        <v>5.916344999999712E-3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2833325.6982454439</v>
      </c>
      <c r="D37" s="11">
        <v>2.1700000000000001E-3</v>
      </c>
      <c r="E37" s="10">
        <f t="shared" si="2"/>
        <v>6135.0038069314323</v>
      </c>
      <c r="F37" s="3"/>
      <c r="G37" s="26">
        <v>-3.6</v>
      </c>
      <c r="H37" s="10"/>
      <c r="I37" s="10">
        <f t="shared" si="8"/>
        <v>13768.416758476164</v>
      </c>
      <c r="J37" s="10">
        <f t="shared" si="6"/>
        <v>39010409025.943748</v>
      </c>
      <c r="K37" s="11">
        <f t="shared" si="7"/>
        <v>1.9206889999999976E-2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2827190.6944385124</v>
      </c>
      <c r="D38" s="11">
        <v>2.2599999999999999E-3</v>
      </c>
      <c r="E38" s="10">
        <f t="shared" si="2"/>
        <v>6375.0433714115061</v>
      </c>
      <c r="F38" s="3"/>
      <c r="G38" s="26">
        <v>0.14</v>
      </c>
      <c r="H38" s="10"/>
      <c r="I38" s="10">
        <f t="shared" si="8"/>
        <v>13538.266232523269</v>
      </c>
      <c r="J38" s="10">
        <f t="shared" si="6"/>
        <v>38275260311.420921</v>
      </c>
      <c r="K38" s="11">
        <f t="shared" si="7"/>
        <v>4.0746783999999758E-2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2820815.6510671009</v>
      </c>
      <c r="D39" s="11">
        <v>1.73E-3</v>
      </c>
      <c r="E39" s="10">
        <f t="shared" si="2"/>
        <v>4871.5832373453304</v>
      </c>
      <c r="F39" s="3"/>
      <c r="G39" s="26">
        <v>1.75</v>
      </c>
      <c r="H39" s="10"/>
      <c r="I39" s="10">
        <f t="shared" si="8"/>
        <v>13037.621564448449</v>
      </c>
      <c r="J39" s="10">
        <f t="shared" si="6"/>
        <v>36776726961.686127</v>
      </c>
      <c r="K39" s="11">
        <f t="shared" si="7"/>
        <v>1.9260274999999938E-2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2815944.0678297556</v>
      </c>
      <c r="D40" s="11">
        <v>1.91E-3</v>
      </c>
      <c r="E40" s="10">
        <f t="shared" si="2"/>
        <v>5368.1999077312648</v>
      </c>
      <c r="F40" s="3"/>
      <c r="G40" s="26">
        <v>-1.6</v>
      </c>
      <c r="H40" s="10"/>
      <c r="I40" s="10">
        <f t="shared" si="8"/>
        <v>12813.387286927222</v>
      </c>
      <c r="J40" s="10">
        <f t="shared" si="6"/>
        <v>36081781919.427917</v>
      </c>
      <c r="K40" s="11">
        <f t="shared" si="7"/>
        <v>-1.4120559999999838E-2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2810575.8679220243</v>
      </c>
      <c r="D41" s="11">
        <v>1.1900000000000001E-3</v>
      </c>
      <c r="E41" s="10">
        <f t="shared" si="2"/>
        <v>3340.6099569783546</v>
      </c>
      <c r="F41" s="3"/>
      <c r="G41" s="26">
        <v>1.06</v>
      </c>
      <c r="H41" s="10"/>
      <c r="I41" s="10">
        <f t="shared" si="8"/>
        <v>13021.735047690267</v>
      </c>
      <c r="J41" s="10">
        <f t="shared" si="6"/>
        <v>36598574283.512711</v>
      </c>
      <c r="K41" s="11">
        <f t="shared" si="7"/>
        <v>1.1802613999999823E-2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2807235.257965046</v>
      </c>
      <c r="D42" s="11">
        <v>9.5E-4</v>
      </c>
      <c r="E42" s="10">
        <f t="shared" si="2"/>
        <v>2664.3423698153347</v>
      </c>
      <c r="F42" s="3"/>
      <c r="G42" s="26">
        <v>2.5499999999999998</v>
      </c>
      <c r="H42" s="10"/>
      <c r="I42" s="10">
        <f t="shared" si="8"/>
        <v>12885.152431912</v>
      </c>
      <c r="J42" s="10">
        <f t="shared" si="6"/>
        <v>36171654211.117424</v>
      </c>
      <c r="K42" s="11">
        <f t="shared" si="7"/>
        <v>2.6474225000000073E-2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2804570.9155952306</v>
      </c>
      <c r="D43" s="11">
        <v>1.65E-3</v>
      </c>
      <c r="E43" s="10">
        <f t="shared" si="2"/>
        <v>4619.9191441442817</v>
      </c>
      <c r="F43" s="3"/>
      <c r="G43" s="26">
        <v>3.2</v>
      </c>
      <c r="H43" s="10"/>
      <c r="I43" s="10">
        <f t="shared" si="8"/>
        <v>12564.751274414431</v>
      </c>
      <c r="J43" s="10">
        <f t="shared" si="6"/>
        <v>35238735985.91082</v>
      </c>
      <c r="K43" s="11">
        <f t="shared" si="7"/>
        <v>3.3702799999999922E-2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2799950.9964510864</v>
      </c>
      <c r="D44" s="11">
        <v>2E-3</v>
      </c>
      <c r="E44" s="10">
        <f t="shared" si="2"/>
        <v>5588.7245438145474</v>
      </c>
      <c r="F44" s="3"/>
      <c r="G44" s="26">
        <v>3.97</v>
      </c>
      <c r="H44" s="10"/>
      <c r="I44" s="10">
        <f t="shared" si="8"/>
        <v>12175.146583734913</v>
      </c>
      <c r="J44" s="10">
        <f t="shared" si="6"/>
        <v>34089813809.066612</v>
      </c>
      <c r="K44" s="11">
        <f t="shared" si="7"/>
        <v>4.1779400000000022E-2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2794362.2719072718</v>
      </c>
      <c r="D45" s="11">
        <v>2.7699999999999999E-3</v>
      </c>
      <c r="E45" s="10">
        <f t="shared" si="2"/>
        <v>7719.0018580360338</v>
      </c>
      <c r="F45" s="3"/>
      <c r="G45" s="26">
        <v>2.29</v>
      </c>
      <c r="H45" s="10"/>
      <c r="I45" s="10">
        <f t="shared" si="8"/>
        <v>11710.24967176581</v>
      </c>
      <c r="J45" s="10">
        <f t="shared" si="6"/>
        <v>32722679877.396893</v>
      </c>
      <c r="K45" s="11">
        <f t="shared" si="7"/>
        <v>2.5733432999999861E-2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2786643.2700492358</v>
      </c>
      <c r="D46" s="11">
        <v>3.0799999999999998E-3</v>
      </c>
      <c r="E46" s="10">
        <f t="shared" si="2"/>
        <v>8556.5072294846177</v>
      </c>
      <c r="F46" s="3"/>
      <c r="G46" s="26">
        <v>0.94</v>
      </c>
      <c r="H46" s="10"/>
      <c r="I46" s="10">
        <f t="shared" si="8"/>
        <v>11448.088446344522</v>
      </c>
      <c r="J46" s="10">
        <f t="shared" si="6"/>
        <v>31901738623.934372</v>
      </c>
      <c r="K46" s="11">
        <f t="shared" si="7"/>
        <v>1.2508951999999907E-2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2778086.7628197512</v>
      </c>
      <c r="D47" s="11">
        <v>4.3899999999999998E-3</v>
      </c>
      <c r="E47" s="10">
        <f t="shared" si="2"/>
        <v>12142.495334261097</v>
      </c>
      <c r="F47" s="3"/>
      <c r="G47" s="26">
        <v>6.47</v>
      </c>
      <c r="H47" s="10"/>
      <c r="I47" s="10">
        <f t="shared" si="8"/>
        <v>11341.478547993383</v>
      </c>
      <c r="J47" s="10">
        <f t="shared" si="6"/>
        <v>31507611424.984592</v>
      </c>
      <c r="K47" s="11">
        <f t="shared" si="7"/>
        <v>6.9374032999999891E-2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2765944.2674854901</v>
      </c>
      <c r="D48" s="11">
        <v>4.2100000000000002E-3</v>
      </c>
      <c r="E48" s="10">
        <f t="shared" si="2"/>
        <v>11595.807018565945</v>
      </c>
      <c r="F48" s="3"/>
      <c r="G48" s="26">
        <v>5.01</v>
      </c>
      <c r="H48" s="10"/>
      <c r="I48" s="10">
        <f t="shared" si="8"/>
        <v>10652.276273122367</v>
      </c>
      <c r="J48" s="10">
        <f t="shared" si="6"/>
        <v>29463602493.31451</v>
      </c>
      <c r="K48" s="11">
        <f t="shared" si="7"/>
        <v>5.4520921000000167E-2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2754348.4604669241</v>
      </c>
      <c r="D49" s="11">
        <v>4.0499999999999998E-3</v>
      </c>
      <c r="E49" s="10">
        <f t="shared" si="2"/>
        <v>11110.115297934506</v>
      </c>
      <c r="F49" s="3"/>
      <c r="G49" s="26">
        <v>3.64</v>
      </c>
      <c r="H49" s="10"/>
      <c r="I49" s="10">
        <f t="shared" si="8"/>
        <v>10144.058921171665</v>
      </c>
      <c r="J49" s="10">
        <f t="shared" si="6"/>
        <v>27940273072.414944</v>
      </c>
      <c r="K49" s="11">
        <f t="shared" si="7"/>
        <v>4.0597420000000106E-2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2743238.3451689896</v>
      </c>
      <c r="D50" s="11">
        <v>5.1500000000000001E-3</v>
      </c>
      <c r="E50" s="10">
        <f t="shared" si="2"/>
        <v>14055.292720111553</v>
      </c>
      <c r="F50" s="3"/>
      <c r="G50" s="26">
        <v>3.37</v>
      </c>
      <c r="H50" s="10"/>
      <c r="I50" s="10">
        <f t="shared" si="8"/>
        <v>9787.7835981972839</v>
      </c>
      <c r="J50" s="10">
        <f t="shared" si="6"/>
        <v>26850223280.790897</v>
      </c>
      <c r="K50" s="11">
        <f t="shared" si="7"/>
        <v>3.9023554999999988E-2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2729183.0524488781</v>
      </c>
      <c r="D51" s="11">
        <v>5.5999999999999999E-3</v>
      </c>
      <c r="E51" s="10">
        <f t="shared" si="2"/>
        <v>15198.314532332588</v>
      </c>
      <c r="F51" s="3"/>
      <c r="G51" s="26">
        <v>2.09</v>
      </c>
      <c r="H51" s="10"/>
      <c r="I51" s="10">
        <f t="shared" si="8"/>
        <v>9468.6887861055275</v>
      </c>
      <c r="J51" s="10">
        <f t="shared" si="6"/>
        <v>25841784963.951946</v>
      </c>
      <c r="K51" s="11">
        <f t="shared" si="7"/>
        <v>2.6617040000000092E-2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2713984.7379165455</v>
      </c>
      <c r="D52" s="11">
        <v>6.1000000000000004E-3</v>
      </c>
      <c r="E52" s="10">
        <f t="shared" si="2"/>
        <v>16454.931817206088</v>
      </c>
      <c r="F52" s="3"/>
      <c r="G52" s="26">
        <v>3.82</v>
      </c>
      <c r="H52" s="10"/>
      <c r="I52" s="10">
        <f t="shared" si="8"/>
        <v>9274.8445353173938</v>
      </c>
      <c r="J52" s="10">
        <f t="shared" si="6"/>
        <v>25171786515.400082</v>
      </c>
      <c r="K52" s="11">
        <f t="shared" si="7"/>
        <v>4.4533020000000034E-2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2697529.8060993394</v>
      </c>
      <c r="D53" s="11">
        <v>7.1700000000000002E-3</v>
      </c>
      <c r="E53" s="10">
        <f t="shared" si="2"/>
        <v>19203.598905579187</v>
      </c>
      <c r="F53" s="3"/>
      <c r="G53" s="26">
        <v>6.82</v>
      </c>
      <c r="H53" s="10"/>
      <c r="I53" s="10">
        <f t="shared" si="8"/>
        <v>8933.5817138483853</v>
      </c>
      <c r="J53" s="10">
        <f t="shared" si="6"/>
        <v>24098602948.33004</v>
      </c>
      <c r="K53" s="11">
        <f t="shared" si="7"/>
        <v>7.5858994000000068E-2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2678326.2071937602</v>
      </c>
      <c r="D54" s="11">
        <v>6.2500000000000003E-3</v>
      </c>
      <c r="E54" s="10">
        <f t="shared" si="2"/>
        <v>16635.56650430942</v>
      </c>
      <c r="F54" s="3"/>
      <c r="G54" s="26">
        <v>5.33</v>
      </c>
      <c r="H54" s="10"/>
      <c r="I54" s="10">
        <f t="shared" si="8"/>
        <v>8363.2107412922542</v>
      </c>
      <c r="J54" s="10">
        <f t="shared" si="6"/>
        <v>22399406504.687397</v>
      </c>
      <c r="K54" s="11">
        <f t="shared" si="7"/>
        <v>5.9883125000000037E-2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2661690.6406894508</v>
      </c>
      <c r="D55" s="11">
        <v>6.1900000000000002E-3</v>
      </c>
      <c r="E55" s="10">
        <f t="shared" si="2"/>
        <v>16374.506868352182</v>
      </c>
      <c r="F55" s="3"/>
      <c r="G55" s="26">
        <v>4.26</v>
      </c>
      <c r="H55" s="10"/>
      <c r="I55" s="10">
        <f t="shared" si="8"/>
        <v>7940.0082989578041</v>
      </c>
      <c r="J55" s="10">
        <f t="shared" si="6"/>
        <v>21133845776.332554</v>
      </c>
      <c r="K55" s="11">
        <f t="shared" si="7"/>
        <v>4.9053693999999926E-2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2645316.1338210986</v>
      </c>
      <c r="D56" s="11">
        <v>6.7600000000000004E-3</v>
      </c>
      <c r="E56" s="10">
        <f t="shared" si="2"/>
        <v>17762.26415891666</v>
      </c>
      <c r="F56" s="3"/>
      <c r="G56" s="26">
        <v>5.68</v>
      </c>
      <c r="H56" s="10"/>
      <c r="I56" s="10">
        <f t="shared" si="8"/>
        <v>7615.5844033740686</v>
      </c>
      <c r="J56" s="10">
        <f t="shared" si="6"/>
        <v>20145628290.721748</v>
      </c>
      <c r="K56" s="11">
        <f t="shared" si="7"/>
        <v>6.3943968000000018E-2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2627553.8696621819</v>
      </c>
      <c r="D57" s="11">
        <v>5.5199999999999997E-3</v>
      </c>
      <c r="E57" s="10">
        <f t="shared" si="2"/>
        <v>14424.474262605421</v>
      </c>
      <c r="F57" s="3"/>
      <c r="G57" s="26">
        <v>5.31</v>
      </c>
      <c r="H57" s="10"/>
      <c r="I57" s="10">
        <f t="shared" si="8"/>
        <v>7206.2683604977938</v>
      </c>
      <c r="J57" s="10">
        <f t="shared" si="6"/>
        <v>18934858316.450127</v>
      </c>
      <c r="K57" s="11">
        <f t="shared" si="7"/>
        <v>5.8913111999999934E-2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2613129.3953995765</v>
      </c>
      <c r="D58" s="11">
        <v>6.9300000000000004E-3</v>
      </c>
      <c r="E58" s="10">
        <f t="shared" si="2"/>
        <v>17984.355129074771</v>
      </c>
      <c r="F58" s="3"/>
      <c r="G58" s="26">
        <v>3.05</v>
      </c>
      <c r="H58" s="10"/>
      <c r="I58" s="10">
        <f t="shared" si="8"/>
        <v>6842.9098475907267</v>
      </c>
      <c r="J58" s="10">
        <f t="shared" si="6"/>
        <v>17881408872.808563</v>
      </c>
      <c r="K58" s="11">
        <f t="shared" si="7"/>
        <v>3.7641365000000038E-2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2595145.0402705017</v>
      </c>
      <c r="D59" s="11">
        <v>6.3E-3</v>
      </c>
      <c r="E59" s="10">
        <f t="shared" si="2"/>
        <v>16247.057292759884</v>
      </c>
      <c r="F59" s="3"/>
      <c r="G59" s="26">
        <v>0.49</v>
      </c>
      <c r="H59" s="10"/>
      <c r="I59" s="10">
        <f t="shared" si="8"/>
        <v>6640.3783091613068</v>
      </c>
      <c r="J59" s="10">
        <f t="shared" si="6"/>
        <v>17232744834.539787</v>
      </c>
      <c r="K59" s="11">
        <f t="shared" si="7"/>
        <v>1.1230870000000115E-2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2578897.9829777419</v>
      </c>
      <c r="D60" s="11">
        <v>5.8199999999999997E-3</v>
      </c>
      <c r="E60" s="10">
        <f t="shared" si="2"/>
        <v>14922.338252301794</v>
      </c>
      <c r="F60" s="3"/>
      <c r="G60" s="26">
        <v>4.49</v>
      </c>
      <c r="H60" s="10"/>
      <c r="I60" s="10">
        <f t="shared" si="8"/>
        <v>6607.9991135051323</v>
      </c>
      <c r="J60" s="10">
        <f t="shared" si="6"/>
        <v>17041355585.337091</v>
      </c>
      <c r="K60" s="11">
        <f t="shared" si="7"/>
        <v>5.0981317999999831E-2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2563975.6447254401</v>
      </c>
      <c r="D61" s="11">
        <v>5.3400000000000001E-3</v>
      </c>
      <c r="E61" s="10">
        <f t="shared" si="2"/>
        <v>13618.904990185983</v>
      </c>
      <c r="F61" s="3"/>
      <c r="G61" s="26">
        <v>3.8</v>
      </c>
      <c r="H61" s="10"/>
      <c r="I61" s="10">
        <f t="shared" si="8"/>
        <v>6324.0492999379203</v>
      </c>
      <c r="J61" s="10">
        <f t="shared" si="6"/>
        <v>16214708381.083797</v>
      </c>
      <c r="K61" s="11">
        <f t="shared" si="7"/>
        <v>4.3542919999999929E-2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2550356.7397352541</v>
      </c>
      <c r="D62" s="11">
        <v>5.1900000000000002E-3</v>
      </c>
      <c r="E62" s="10">
        <f t="shared" si="2"/>
        <v>13168.009509869851</v>
      </c>
      <c r="F62" s="3"/>
      <c r="G62" s="26">
        <v>2.91</v>
      </c>
      <c r="H62" s="10"/>
      <c r="I62" s="10">
        <f t="shared" si="8"/>
        <v>6092.5330442561853</v>
      </c>
      <c r="J62" s="10">
        <f t="shared" si="6"/>
        <v>15538132711.478508</v>
      </c>
      <c r="K62" s="11">
        <f t="shared" si="7"/>
        <v>3.4441028999999901E-2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2537188.7302253842</v>
      </c>
      <c r="D63" s="11">
        <v>5.4999999999999997E-3</v>
      </c>
      <c r="E63" s="10">
        <f t="shared" si="2"/>
        <v>13878.20787293883</v>
      </c>
      <c r="F63" s="3"/>
      <c r="G63" s="26">
        <v>4.21</v>
      </c>
      <c r="H63" s="10"/>
      <c r="I63" s="10">
        <f t="shared" si="8"/>
        <v>5920.2536626724186</v>
      </c>
      <c r="J63" s="10">
        <f t="shared" si="6"/>
        <v>15020800873.008015</v>
      </c>
      <c r="K63" s="11">
        <f t="shared" si="7"/>
        <v>4.7831550000000167E-2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2523310.5223524454</v>
      </c>
      <c r="D64" s="11">
        <v>5.11E-3</v>
      </c>
      <c r="E64" s="10">
        <f t="shared" si="2"/>
        <v>12828.562813245226</v>
      </c>
      <c r="F64" s="3"/>
      <c r="G64" s="26">
        <v>2.78</v>
      </c>
      <c r="H64" s="10"/>
      <c r="I64" s="10">
        <f t="shared" si="8"/>
        <v>5681.0801868078097</v>
      </c>
      <c r="J64" s="10">
        <f t="shared" si="6"/>
        <v>14335129413.700142</v>
      </c>
      <c r="K64" s="11">
        <f t="shared" si="7"/>
        <v>3.3052057999999773E-2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2510481.9595392002</v>
      </c>
      <c r="D65" s="11">
        <v>5.2599999999999999E-3</v>
      </c>
      <c r="E65" s="10">
        <f t="shared" si="2"/>
        <v>13136.039539200254</v>
      </c>
      <c r="F65" s="3"/>
      <c r="G65" s="26">
        <v>1.46</v>
      </c>
      <c r="H65" s="10"/>
      <c r="I65" s="10">
        <f t="shared" si="8"/>
        <v>5527.4179673164135</v>
      </c>
      <c r="J65" s="10">
        <f t="shared" si="6"/>
        <v>13876483089.780693</v>
      </c>
      <c r="K65" s="11">
        <f t="shared" si="7"/>
        <v>1.993679600000009E-2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2497345.92</v>
      </c>
      <c r="D66" s="11">
        <v>4.1599999999999996E-3</v>
      </c>
      <c r="E66" s="10">
        <f t="shared" si="2"/>
        <v>10345.919999999925</v>
      </c>
      <c r="F66" s="23">
        <f>SUM(F2)</f>
        <v>3254988</v>
      </c>
      <c r="G66" s="26">
        <v>3.94</v>
      </c>
      <c r="H66" s="10"/>
      <c r="I66" s="10">
        <f t="shared" si="8"/>
        <v>5447.8789348673508</v>
      </c>
      <c r="J66" s="10">
        <f t="shared" ref="J66:J67" si="9">IF(I66="","",I66*C66)</f>
        <v>13605238230.644924</v>
      </c>
      <c r="K66" s="11">
        <f t="shared" ref="K66" si="10">IFERROR(J66/J67-1,"")</f>
        <v>4.3723904000000147E-2</v>
      </c>
    </row>
    <row r="67" spans="1:11" ht="22.5" customHeight="1">
      <c r="A67" s="3">
        <f t="shared" si="0"/>
        <v>1950</v>
      </c>
      <c r="B67" s="3">
        <v>1700</v>
      </c>
      <c r="C67" s="10">
        <v>2487000</v>
      </c>
      <c r="D67" s="11">
        <v>4.7099999999999998E-3</v>
      </c>
      <c r="E67" s="3" t="s">
        <v>72</v>
      </c>
      <c r="F67" s="10">
        <f>SUM(C2)</f>
        <v>3254667.8040576503</v>
      </c>
      <c r="G67" s="26">
        <v>6.97</v>
      </c>
      <c r="H67" s="10"/>
      <c r="I67" s="10">
        <f t="shared" ref="I67" si="11">IF(H67&lt;&gt;"",H67,I66/(1+IF(G66="",0,G66)/100))</f>
        <v>5241.3689964088417</v>
      </c>
      <c r="J67" s="10">
        <f t="shared" si="9"/>
        <v>13035284694.068789</v>
      </c>
      <c r="K67" s="11"/>
    </row>
  </sheetData>
  <dataValidations count="1">
    <dataValidation type="custom" allowBlank="1" showDropDown="1" sqref="D2:D67" xr:uid="{00000000-0002-0000-3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M67"/>
  <sheetViews>
    <sheetView topLeftCell="A2" workbookViewId="0">
      <selection activeCell="K28" sqref="K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336479087.15711862</v>
      </c>
      <c r="D2" s="11">
        <v>7.7799999999999996E-3</v>
      </c>
      <c r="E2" s="10">
        <f t="shared" ref="E2:E66" si="2">SUM(C2-C3)</f>
        <v>2597597.9857531786</v>
      </c>
      <c r="F2" s="14">
        <v>236475569</v>
      </c>
      <c r="G2" s="26">
        <v>5.3</v>
      </c>
      <c r="H2" s="10"/>
      <c r="I2" s="10">
        <f>IF(H2&lt;&gt;"",H2,25080)</f>
        <v>3135</v>
      </c>
      <c r="J2" s="10">
        <f t="shared" ref="J2:J33" si="3">IF(I2="","",I2*C2)</f>
        <v>1054861938237.5669</v>
      </c>
      <c r="K2" s="11">
        <f t="shared" ref="K2:K33" si="4">IFERROR(J2/J3-1,"")</f>
        <v>6.1192339999999845E-2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333881489.17136544</v>
      </c>
      <c r="D3" s="11">
        <v>8.0599999999999995E-3</v>
      </c>
      <c r="E3" s="10">
        <f t="shared" si="2"/>
        <v>2669568.083964467</v>
      </c>
      <c r="F3" s="3"/>
      <c r="G3" s="26">
        <v>9.39</v>
      </c>
      <c r="H3" s="10"/>
      <c r="I3" s="10">
        <f t="shared" ref="I3:I34" si="5">IF(H3&lt;&gt;"",H3,I2/(1+IF(G2="",0,G2)/100))</f>
        <v>2977.2079772079774</v>
      </c>
      <c r="J3" s="10">
        <f t="shared" si="3"/>
        <v>994034633003.06812</v>
      </c>
      <c r="K3" s="11">
        <f t="shared" si="4"/>
        <v>0.1027168340000002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331211921.08740097</v>
      </c>
      <c r="D4" s="11">
        <v>8.0700000000000008E-3</v>
      </c>
      <c r="E4" s="10">
        <f t="shared" si="2"/>
        <v>2651482.7374838591</v>
      </c>
      <c r="F4" s="3"/>
      <c r="G4" s="26">
        <v>2.19</v>
      </c>
      <c r="H4" s="10"/>
      <c r="I4" s="10">
        <f t="shared" si="5"/>
        <v>2721.6454677831402</v>
      </c>
      <c r="J4" s="10">
        <f t="shared" si="3"/>
        <v>901441423903.27197</v>
      </c>
      <c r="K4" s="11">
        <f t="shared" si="4"/>
        <v>3.0146733000000037E-2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328560438.34991711</v>
      </c>
      <c r="D5" s="11">
        <v>8.1399999999999997E-3</v>
      </c>
      <c r="E5" s="10">
        <f t="shared" si="2"/>
        <v>2652887.4642096758</v>
      </c>
      <c r="F5" s="3"/>
      <c r="G5" s="26">
        <v>8.41</v>
      </c>
      <c r="H5" s="10"/>
      <c r="I5" s="10">
        <f t="shared" si="5"/>
        <v>2663.3187863618164</v>
      </c>
      <c r="J5" s="10">
        <f t="shared" si="3"/>
        <v>875061187912.60767</v>
      </c>
      <c r="K5" s="11">
        <f t="shared" si="4"/>
        <v>9.2924574000000204E-2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325907550.88570744</v>
      </c>
      <c r="D6" s="11">
        <v>8.09E-3</v>
      </c>
      <c r="E6" s="10">
        <f t="shared" si="2"/>
        <v>2615433.2318199277</v>
      </c>
      <c r="F6" s="3"/>
      <c r="G6" s="26">
        <v>9.61</v>
      </c>
      <c r="H6" s="10"/>
      <c r="I6" s="10">
        <f t="shared" si="5"/>
        <v>2456.7095160610793</v>
      </c>
      <c r="J6" s="10">
        <f t="shared" si="3"/>
        <v>800660181617.07788</v>
      </c>
      <c r="K6" s="11">
        <f t="shared" si="4"/>
        <v>0.10496744899999988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323292117.65388751</v>
      </c>
      <c r="D7" s="11">
        <v>8.1899999999999994E-3</v>
      </c>
      <c r="E7" s="10">
        <f t="shared" si="2"/>
        <v>2626253.4280099273</v>
      </c>
      <c r="F7" s="3"/>
      <c r="G7" s="26">
        <v>11.68</v>
      </c>
      <c r="H7" s="10"/>
      <c r="I7" s="10">
        <f t="shared" si="5"/>
        <v>2241.3187811888324</v>
      </c>
      <c r="J7" s="10">
        <f t="shared" si="3"/>
        <v>724600695107.96777</v>
      </c>
      <c r="K7" s="11">
        <f t="shared" si="4"/>
        <v>0.12594659200000002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320665864.22587758</v>
      </c>
      <c r="D8" s="11">
        <v>8.6300000000000005E-3</v>
      </c>
      <c r="E8" s="10">
        <f t="shared" si="2"/>
        <v>2743668.5486940742</v>
      </c>
      <c r="F8" s="3"/>
      <c r="G8" s="26">
        <v>8.1</v>
      </c>
      <c r="H8" s="10"/>
      <c r="I8" s="10">
        <f t="shared" si="5"/>
        <v>2006.9115161074787</v>
      </c>
      <c r="J8" s="10">
        <f t="shared" si="3"/>
        <v>643548015737.47095</v>
      </c>
      <c r="K8" s="11">
        <f t="shared" si="4"/>
        <v>9.0329029999999699E-2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317922195.67718351</v>
      </c>
      <c r="D9" s="11">
        <v>9.2800000000000001E-3</v>
      </c>
      <c r="E9" s="10">
        <f t="shared" si="2"/>
        <v>2923190.7655796409</v>
      </c>
      <c r="F9" s="3"/>
      <c r="G9" s="26">
        <v>7.48</v>
      </c>
      <c r="H9" s="10"/>
      <c r="I9" s="10">
        <f t="shared" si="5"/>
        <v>1856.5323923288427</v>
      </c>
      <c r="J9" s="10">
        <f t="shared" si="3"/>
        <v>590232854515</v>
      </c>
      <c r="K9" s="11">
        <f t="shared" si="4"/>
        <v>8.4774143999999829E-2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314999004.91160387</v>
      </c>
      <c r="D10" s="11">
        <v>9.8799999999999999E-3</v>
      </c>
      <c r="E10" s="10">
        <f t="shared" si="2"/>
        <v>3081742.5521117449</v>
      </c>
      <c r="F10" s="3"/>
      <c r="G10" s="26">
        <v>6.31</v>
      </c>
      <c r="H10" s="10"/>
      <c r="I10" s="10">
        <f t="shared" si="5"/>
        <v>1727.3282399784543</v>
      </c>
      <c r="J10" s="10">
        <f t="shared" si="3"/>
        <v>544106676748.92523</v>
      </c>
      <c r="K10" s="11">
        <f t="shared" si="4"/>
        <v>7.3603427999999971E-2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311917262.35949212</v>
      </c>
      <c r="D11" s="11">
        <v>1.0370000000000001E-2</v>
      </c>
      <c r="E11" s="10">
        <f t="shared" si="2"/>
        <v>3201383.66209203</v>
      </c>
      <c r="F11" s="3"/>
      <c r="G11" s="26">
        <v>8.99</v>
      </c>
      <c r="H11" s="10"/>
      <c r="I11" s="10">
        <f t="shared" si="5"/>
        <v>1624.803160547883</v>
      </c>
      <c r="J11" s="10">
        <f t="shared" si="3"/>
        <v>506804153711.146</v>
      </c>
      <c r="K11" s="11">
        <f t="shared" si="4"/>
        <v>0.10120226300000001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308715878.69740009</v>
      </c>
      <c r="D12" s="11">
        <v>1.0800000000000001E-2</v>
      </c>
      <c r="E12" s="10">
        <f t="shared" si="2"/>
        <v>3298507.6077679992</v>
      </c>
      <c r="F12" s="3"/>
      <c r="G12" s="26">
        <v>10.74</v>
      </c>
      <c r="H12" s="10"/>
      <c r="I12" s="10">
        <f t="shared" si="5"/>
        <v>1490.7818703990117</v>
      </c>
      <c r="J12" s="10">
        <f t="shared" si="3"/>
        <v>460228035066.38452</v>
      </c>
      <c r="K12" s="11">
        <f t="shared" si="4"/>
        <v>0.11935991999999973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305417371.08963209</v>
      </c>
      <c r="D13" s="11">
        <v>1.112E-2</v>
      </c>
      <c r="E13" s="10">
        <f t="shared" si="2"/>
        <v>3358890.3063105345</v>
      </c>
      <c r="F13" s="3"/>
      <c r="G13" s="26">
        <v>6.79</v>
      </c>
      <c r="H13" s="10"/>
      <c r="I13" s="10">
        <f t="shared" si="5"/>
        <v>1346.1999913301534</v>
      </c>
      <c r="J13" s="10">
        <f t="shared" si="3"/>
        <v>411152862312.94098</v>
      </c>
      <c r="K13" s="11">
        <f t="shared" si="4"/>
        <v>7.9775048000000126E-2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302058480.78332156</v>
      </c>
      <c r="D14" s="11">
        <v>1.1480000000000001E-2</v>
      </c>
      <c r="E14" s="10">
        <f t="shared" si="2"/>
        <v>3428274.7650892735</v>
      </c>
      <c r="F14" s="3"/>
      <c r="G14" s="26">
        <v>14.62</v>
      </c>
      <c r="H14" s="10"/>
      <c r="I14" s="10">
        <f t="shared" si="5"/>
        <v>1260.6049174362331</v>
      </c>
      <c r="J14" s="10">
        <f t="shared" si="3"/>
        <v>380776406228.77307</v>
      </c>
      <c r="K14" s="11">
        <f t="shared" si="4"/>
        <v>0.15935837599999969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298630206.01823229</v>
      </c>
      <c r="D15" s="11">
        <v>1.213E-2</v>
      </c>
      <c r="E15" s="10">
        <f t="shared" si="2"/>
        <v>3578971.4750092626</v>
      </c>
      <c r="F15" s="3"/>
      <c r="G15" s="26">
        <v>9.9</v>
      </c>
      <c r="H15" s="10"/>
      <c r="I15" s="10">
        <f t="shared" si="5"/>
        <v>1099.8123516281917</v>
      </c>
      <c r="J15" s="10">
        <f t="shared" si="3"/>
        <v>328437189148.12341</v>
      </c>
      <c r="K15" s="11">
        <f t="shared" si="4"/>
        <v>0.11233086999999986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295051234.54322302</v>
      </c>
      <c r="D16" s="11">
        <v>1.2699999999999999E-2</v>
      </c>
      <c r="E16" s="10">
        <f t="shared" si="2"/>
        <v>3700158.6636703014</v>
      </c>
      <c r="F16" s="3"/>
      <c r="G16" s="26">
        <v>15.31</v>
      </c>
      <c r="H16" s="10"/>
      <c r="I16" s="10">
        <f t="shared" si="5"/>
        <v>1000.7391734560434</v>
      </c>
      <c r="J16" s="10">
        <f t="shared" si="3"/>
        <v>295269328583.97021</v>
      </c>
      <c r="K16" s="11">
        <f t="shared" si="4"/>
        <v>0.16774436999999986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291351075.87955272</v>
      </c>
      <c r="D17" s="11">
        <v>1.337E-2</v>
      </c>
      <c r="E17" s="10">
        <f t="shared" si="2"/>
        <v>3843970.0055356622</v>
      </c>
      <c r="F17" s="3"/>
      <c r="G17" s="26">
        <v>-19.399999999999999</v>
      </c>
      <c r="H17" s="10"/>
      <c r="I17" s="10">
        <f t="shared" si="5"/>
        <v>867.86850529532865</v>
      </c>
      <c r="J17" s="10">
        <f t="shared" si="3"/>
        <v>252854422739.77328</v>
      </c>
      <c r="K17" s="11">
        <f t="shared" si="4"/>
        <v>-0.18322377999999984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287507105.87401706</v>
      </c>
      <c r="D18" s="11">
        <v>1.414E-2</v>
      </c>
      <c r="E18" s="10">
        <f t="shared" si="2"/>
        <v>4008667.9127719998</v>
      </c>
      <c r="F18" s="3"/>
      <c r="G18" s="26">
        <v>10.53</v>
      </c>
      <c r="H18" s="10"/>
      <c r="I18" s="10">
        <f t="shared" si="5"/>
        <v>1076.7599321281994</v>
      </c>
      <c r="J18" s="10">
        <f t="shared" si="3"/>
        <v>309576131807.28162</v>
      </c>
      <c r="K18" s="11">
        <f t="shared" si="4"/>
        <v>0.12092894199999993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283498437.96124506</v>
      </c>
      <c r="D19" s="11">
        <v>1.4999999999999999E-2</v>
      </c>
      <c r="E19" s="10">
        <f t="shared" si="2"/>
        <v>4189632.0880972147</v>
      </c>
      <c r="F19" s="3"/>
      <c r="G19" s="26">
        <v>8.77</v>
      </c>
      <c r="H19" s="10"/>
      <c r="I19" s="10">
        <f t="shared" si="5"/>
        <v>974.17889453379121</v>
      </c>
      <c r="J19" s="10">
        <f t="shared" si="3"/>
        <v>276178194895.14227</v>
      </c>
      <c r="K19" s="11">
        <f t="shared" si="4"/>
        <v>0.10401549999999959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279308805.87314785</v>
      </c>
      <c r="D20" s="11">
        <v>1.4760000000000001E-2</v>
      </c>
      <c r="E20" s="10">
        <f t="shared" si="2"/>
        <v>4062633.5041661859</v>
      </c>
      <c r="F20" s="3"/>
      <c r="G20" s="26">
        <v>11.02</v>
      </c>
      <c r="H20" s="10"/>
      <c r="I20" s="10">
        <f t="shared" si="5"/>
        <v>895.63197070312708</v>
      </c>
      <c r="J20" s="10">
        <f t="shared" si="3"/>
        <v>250157896238.90457</v>
      </c>
      <c r="K20" s="11">
        <f t="shared" si="4"/>
        <v>0.12658655200000024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275246172.36898166</v>
      </c>
      <c r="D21" s="11">
        <v>1.4970000000000001E-2</v>
      </c>
      <c r="E21" s="10">
        <f t="shared" si="2"/>
        <v>4059662.0593354106</v>
      </c>
      <c r="F21" s="3"/>
      <c r="G21" s="26">
        <v>7.38</v>
      </c>
      <c r="H21" s="10"/>
      <c r="I21" s="10">
        <f t="shared" si="5"/>
        <v>806.73029247264185</v>
      </c>
      <c r="J21" s="10">
        <f t="shared" si="3"/>
        <v>222049425137.20377</v>
      </c>
      <c r="K21" s="11">
        <f t="shared" si="4"/>
        <v>8.9874786000000206E-2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271186510.30964625</v>
      </c>
      <c r="D22" s="11">
        <v>1.5310000000000001E-2</v>
      </c>
      <c r="E22" s="10">
        <f t="shared" si="2"/>
        <v>4089258.9187939465</v>
      </c>
      <c r="F22" s="3"/>
      <c r="G22" s="26">
        <v>9.6300000000000008</v>
      </c>
      <c r="H22" s="10"/>
      <c r="I22" s="10">
        <f t="shared" si="5"/>
        <v>751.28542789406015</v>
      </c>
      <c r="J22" s="10">
        <f t="shared" si="3"/>
        <v>203738473437.07953</v>
      </c>
      <c r="K22" s="11">
        <f t="shared" si="4"/>
        <v>0.11308435299999986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267097251.3908523</v>
      </c>
      <c r="D23" s="11">
        <v>1.5469999999999999E-2</v>
      </c>
      <c r="E23" s="10">
        <f t="shared" si="2"/>
        <v>4069046.332256496</v>
      </c>
      <c r="F23" s="3"/>
      <c r="G23" s="26">
        <v>5.76</v>
      </c>
      <c r="H23" s="10"/>
      <c r="I23" s="10">
        <f t="shared" si="5"/>
        <v>685.29182513368619</v>
      </c>
      <c r="J23" s="10">
        <f t="shared" si="3"/>
        <v>183039562893.82819</v>
      </c>
      <c r="K23" s="11">
        <f t="shared" si="4"/>
        <v>7.396107200000035E-2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263028205.05859581</v>
      </c>
      <c r="D24" s="11">
        <v>1.5800000000000002E-2</v>
      </c>
      <c r="E24" s="10">
        <f t="shared" si="2"/>
        <v>4091204.6071331203</v>
      </c>
      <c r="F24" s="3"/>
      <c r="G24" s="26">
        <v>2.69</v>
      </c>
      <c r="H24" s="10"/>
      <c r="I24" s="10">
        <f t="shared" si="5"/>
        <v>647.96882104168503</v>
      </c>
      <c r="J24" s="10">
        <f t="shared" si="3"/>
        <v>170434075932.5289</v>
      </c>
      <c r="K24" s="11">
        <f t="shared" si="4"/>
        <v>4.3125019999999958E-2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258937000.45146269</v>
      </c>
      <c r="D25" s="11">
        <v>1.661E-2</v>
      </c>
      <c r="E25" s="10">
        <f t="shared" si="2"/>
        <v>4230672.1136904061</v>
      </c>
      <c r="F25" s="3"/>
      <c r="G25" s="26">
        <v>3.34</v>
      </c>
      <c r="H25" s="10"/>
      <c r="I25" s="10">
        <f t="shared" si="5"/>
        <v>630.99505408675145</v>
      </c>
      <c r="J25" s="10">
        <f t="shared" si="3"/>
        <v>163387966604.93188</v>
      </c>
      <c r="K25" s="11">
        <f t="shared" si="4"/>
        <v>5.0564774000000146E-2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254706328.33777228</v>
      </c>
      <c r="D26" s="11">
        <v>1.6740000000000001E-2</v>
      </c>
      <c r="E26" s="10">
        <f t="shared" si="2"/>
        <v>4193583.3510772586</v>
      </c>
      <c r="F26" s="3"/>
      <c r="G26" s="26">
        <v>1.93</v>
      </c>
      <c r="H26" s="10"/>
      <c r="I26" s="10">
        <f t="shared" si="5"/>
        <v>610.60098131096515</v>
      </c>
      <c r="J26" s="10">
        <f t="shared" si="3"/>
        <v>155523934029.15665</v>
      </c>
      <c r="K26" s="11">
        <f t="shared" si="4"/>
        <v>3.6363082000000047E-2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250512744.98669502</v>
      </c>
      <c r="D27" s="11">
        <v>1.7579999999999998E-2</v>
      </c>
      <c r="E27" s="10">
        <f t="shared" si="2"/>
        <v>4327929.0639223158</v>
      </c>
      <c r="F27" s="3"/>
      <c r="G27" s="26">
        <v>-3.47</v>
      </c>
      <c r="H27" s="10"/>
      <c r="I27" s="10">
        <f t="shared" si="5"/>
        <v>599.03951860194752</v>
      </c>
      <c r="J27" s="10">
        <f t="shared" si="3"/>
        <v>150067034160.48224</v>
      </c>
      <c r="K27" s="11">
        <f t="shared" si="4"/>
        <v>-1.7730026000000065E-2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246184815.92277271</v>
      </c>
      <c r="D28" s="11">
        <v>1.814E-2</v>
      </c>
      <c r="E28" s="10">
        <f t="shared" si="2"/>
        <v>4386226.4136946797</v>
      </c>
      <c r="F28" s="3"/>
      <c r="G28" s="26">
        <v>5.81</v>
      </c>
      <c r="H28" s="10"/>
      <c r="I28" s="10">
        <f t="shared" si="5"/>
        <v>620.57341614207758</v>
      </c>
      <c r="J28" s="10">
        <f t="shared" si="3"/>
        <v>152775752219.5036</v>
      </c>
      <c r="K28" s="11">
        <f t="shared" si="4"/>
        <v>7.7293934000000064E-2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241798589.50907803</v>
      </c>
      <c r="D29" s="11">
        <v>1.874E-2</v>
      </c>
      <c r="E29" s="10">
        <f t="shared" si="2"/>
        <v>4447950.966291815</v>
      </c>
      <c r="F29" s="3"/>
      <c r="G29" s="26">
        <v>5.22</v>
      </c>
      <c r="H29" s="10"/>
      <c r="I29" s="10">
        <f t="shared" si="5"/>
        <v>586.49788880264396</v>
      </c>
      <c r="J29" s="10">
        <f t="shared" si="3"/>
        <v>141814362262.5314</v>
      </c>
      <c r="K29" s="11">
        <f t="shared" si="4"/>
        <v>7.1918227999999917E-2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237350638.54278621</v>
      </c>
      <c r="D30" s="11">
        <v>1.9470000000000001E-2</v>
      </c>
      <c r="E30" s="10">
        <f t="shared" si="2"/>
        <v>4532960.1973849833</v>
      </c>
      <c r="F30" s="3"/>
      <c r="G30" s="26">
        <v>4.66</v>
      </c>
      <c r="H30" s="10"/>
      <c r="I30" s="10">
        <f t="shared" si="5"/>
        <v>557.40152898939743</v>
      </c>
      <c r="J30" s="10">
        <f t="shared" si="3"/>
        <v>132299608830.35884</v>
      </c>
      <c r="K30" s="11">
        <f t="shared" si="4"/>
        <v>6.6977302000000183E-2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232817678.34540123</v>
      </c>
      <c r="D31" s="11">
        <v>2.017E-2</v>
      </c>
      <c r="E31" s="10">
        <f t="shared" si="2"/>
        <v>4603088.2815871239</v>
      </c>
      <c r="F31" s="3"/>
      <c r="G31" s="26">
        <v>-0.43</v>
      </c>
      <c r="H31" s="10"/>
      <c r="I31" s="10">
        <f t="shared" si="5"/>
        <v>532.58315401241873</v>
      </c>
      <c r="J31" s="10">
        <f t="shared" si="3"/>
        <v>123994773443.04259</v>
      </c>
      <c r="K31" s="11">
        <f t="shared" si="4"/>
        <v>1.5783268999999933E-2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228214590.0638141</v>
      </c>
      <c r="D32" s="11">
        <v>2.1049999999999999E-2</v>
      </c>
      <c r="E32" s="10">
        <f t="shared" si="2"/>
        <v>4704879.4092779756</v>
      </c>
      <c r="F32" s="3"/>
      <c r="G32" s="26">
        <v>3.09</v>
      </c>
      <c r="H32" s="10"/>
      <c r="I32" s="10">
        <f t="shared" si="5"/>
        <v>534.88315156414455</v>
      </c>
      <c r="J32" s="10">
        <f t="shared" si="3"/>
        <v>122068139166.2522</v>
      </c>
      <c r="K32" s="11">
        <f t="shared" si="4"/>
        <v>5.260044499999994E-2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223509710.65453613</v>
      </c>
      <c r="D33" s="11">
        <v>2.1569999999999999E-2</v>
      </c>
      <c r="E33" s="10">
        <f t="shared" si="2"/>
        <v>4719308.9644550681</v>
      </c>
      <c r="F33" s="3"/>
      <c r="G33" s="26">
        <v>4.3499999999999996</v>
      </c>
      <c r="H33" s="10"/>
      <c r="I33" s="10">
        <f t="shared" si="5"/>
        <v>518.85066598520189</v>
      </c>
      <c r="J33" s="10">
        <f t="shared" si="3"/>
        <v>115968162227.26584</v>
      </c>
      <c r="K33" s="11">
        <f t="shared" si="4"/>
        <v>6.6008295000000272E-2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218790401.69008106</v>
      </c>
      <c r="D34" s="11">
        <v>2.2159999999999999E-2</v>
      </c>
      <c r="E34" s="10">
        <f t="shared" si="2"/>
        <v>4743284.1252369285</v>
      </c>
      <c r="F34" s="3"/>
      <c r="G34" s="26">
        <v>-1.54</v>
      </c>
      <c r="H34" s="10"/>
      <c r="I34" s="10">
        <f t="shared" si="5"/>
        <v>497.22152945395482</v>
      </c>
      <c r="J34" s="10">
        <f t="shared" ref="J34:J65" si="6">IF(I34="","",I34*C34)</f>
        <v>108787298158.18724</v>
      </c>
      <c r="K34" s="11">
        <f t="shared" ref="K34:K65" si="7">IFERROR(J34/J35-1,"")</f>
        <v>1.9706815999999794E-2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214047117.56484413</v>
      </c>
      <c r="D35" s="11">
        <v>2.2519999999999998E-2</v>
      </c>
      <c r="E35" s="10">
        <f t="shared" si="2"/>
        <v>4714177.80342713</v>
      </c>
      <c r="F35" s="3"/>
      <c r="G35" s="26">
        <v>-0.42</v>
      </c>
      <c r="H35" s="10"/>
      <c r="I35" s="10">
        <f t="shared" ref="I35:I66" si="8">IF(H35&lt;&gt;"",H35,I34/(1+IF(G34="",0,G34)/100))</f>
        <v>498.4177320107807</v>
      </c>
      <c r="J35" s="10">
        <f t="shared" si="6"/>
        <v>106684878880.11455</v>
      </c>
      <c r="K35" s="11">
        <f t="shared" si="7"/>
        <v>4.5833455999999995E-2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209332939.761417</v>
      </c>
      <c r="D36" s="11">
        <v>2.307E-2</v>
      </c>
      <c r="E36" s="10">
        <f t="shared" si="2"/>
        <v>4720411.0376571119</v>
      </c>
      <c r="F36" s="3"/>
      <c r="G36" s="26">
        <v>-1.47</v>
      </c>
      <c r="H36" s="10"/>
      <c r="I36" s="10">
        <f t="shared" si="8"/>
        <v>487.30712945911296</v>
      </c>
      <c r="J36" s="10">
        <f t="shared" si="6"/>
        <v>102009433976.37354</v>
      </c>
      <c r="K36" s="11">
        <f t="shared" si="7"/>
        <v>5.7138230999999928E-2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204612528.72375989</v>
      </c>
      <c r="D37" s="11">
        <v>2.351E-2</v>
      </c>
      <c r="E37" s="10">
        <f t="shared" si="2"/>
        <v>4699944.8469439149</v>
      </c>
      <c r="F37" s="3"/>
      <c r="G37" s="26">
        <v>-2.22</v>
      </c>
      <c r="H37" s="10"/>
      <c r="I37" s="10">
        <f t="shared" si="8"/>
        <v>471.60275763003284</v>
      </c>
      <c r="J37" s="10">
        <f t="shared" si="6"/>
        <v>96495832791.779465</v>
      </c>
      <c r="K37" s="11">
        <f t="shared" si="7"/>
        <v>5.5034107999999859E-2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199912583.87681597</v>
      </c>
      <c r="D38" s="11">
        <v>2.3689999999999999E-2</v>
      </c>
      <c r="E38" s="10">
        <f t="shared" si="2"/>
        <v>4626331.3229998946</v>
      </c>
      <c r="F38" s="3"/>
      <c r="G38" s="26">
        <v>-0.63</v>
      </c>
      <c r="H38" s="10"/>
      <c r="I38" s="10">
        <f t="shared" si="8"/>
        <v>457.51140631551499</v>
      </c>
      <c r="J38" s="10">
        <f t="shared" si="6"/>
        <v>91462287389.650421</v>
      </c>
      <c r="K38" s="11">
        <f t="shared" si="7"/>
        <v>5.5117282999999961E-2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195286252.55381608</v>
      </c>
      <c r="D39" s="11">
        <v>2.384E-2</v>
      </c>
      <c r="E39" s="10">
        <f t="shared" si="2"/>
        <v>4547218.5701701343</v>
      </c>
      <c r="F39" s="3"/>
      <c r="G39" s="26">
        <v>7.19</v>
      </c>
      <c r="H39" s="10"/>
      <c r="I39" s="10">
        <f t="shared" si="8"/>
        <v>443.88416252596778</v>
      </c>
      <c r="J39" s="10">
        <f t="shared" si="6"/>
        <v>86684474667.685287</v>
      </c>
      <c r="K39" s="11">
        <f t="shared" si="7"/>
        <v>9.7454096000000101E-2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190739033.98364595</v>
      </c>
      <c r="D40" s="11">
        <v>2.3879999999999998E-2</v>
      </c>
      <c r="E40" s="10">
        <f t="shared" si="2"/>
        <v>4448615.2005405426</v>
      </c>
      <c r="F40" s="3"/>
      <c r="G40" s="26">
        <v>8.2100000000000009</v>
      </c>
      <c r="H40" s="10"/>
      <c r="I40" s="10">
        <f t="shared" si="8"/>
        <v>414.1096767664593</v>
      </c>
      <c r="J40" s="10">
        <f t="shared" si="6"/>
        <v>78986879709.714325</v>
      </c>
      <c r="K40" s="11">
        <f t="shared" si="7"/>
        <v>0.10794054799999997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186290418.7831054</v>
      </c>
      <c r="D41" s="11">
        <v>2.385E-2</v>
      </c>
      <c r="E41" s="10">
        <f t="shared" si="2"/>
        <v>4339528.7278185785</v>
      </c>
      <c r="F41" s="3"/>
      <c r="G41" s="26">
        <v>1.39</v>
      </c>
      <c r="H41" s="10"/>
      <c r="I41" s="10">
        <f t="shared" si="8"/>
        <v>382.69076496299721</v>
      </c>
      <c r="J41" s="10">
        <f t="shared" si="6"/>
        <v>71291622869.383713</v>
      </c>
      <c r="K41" s="11">
        <f t="shared" si="7"/>
        <v>3.808151500000001E-2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181950890.05528682</v>
      </c>
      <c r="D42" s="11">
        <v>2.3779999999999999E-2</v>
      </c>
      <c r="E42" s="10">
        <f t="shared" si="2"/>
        <v>4226290.9663352668</v>
      </c>
      <c r="F42" s="3"/>
      <c r="G42" s="26">
        <v>-5.66</v>
      </c>
      <c r="H42" s="10"/>
      <c r="I42" s="10">
        <f t="shared" si="8"/>
        <v>377.44428934115513</v>
      </c>
      <c r="J42" s="10">
        <f t="shared" si="6"/>
        <v>68676324391.908386</v>
      </c>
      <c r="K42" s="11">
        <f t="shared" si="7"/>
        <v>-3.4165947999999946E-2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177724599.08895156</v>
      </c>
      <c r="D43" s="11">
        <v>2.3789999999999999E-2</v>
      </c>
      <c r="E43" s="10">
        <f t="shared" si="2"/>
        <v>4129819.7993007898</v>
      </c>
      <c r="F43" s="3"/>
      <c r="G43" s="26">
        <v>4.26</v>
      </c>
      <c r="H43" s="10"/>
      <c r="I43" s="10">
        <f t="shared" si="8"/>
        <v>400.08934634423906</v>
      </c>
      <c r="J43" s="10">
        <f t="shared" si="6"/>
        <v>71105718678.790573</v>
      </c>
      <c r="K43" s="11">
        <f t="shared" si="7"/>
        <v>6.7403453999999918E-2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173594779.28965077</v>
      </c>
      <c r="D44" s="11">
        <v>2.4150000000000001E-2</v>
      </c>
      <c r="E44" s="10">
        <f t="shared" si="2"/>
        <v>4093456.9348679781</v>
      </c>
      <c r="F44" s="3"/>
      <c r="G44" s="26">
        <v>4.72</v>
      </c>
      <c r="H44" s="10"/>
      <c r="I44" s="10">
        <f t="shared" si="8"/>
        <v>383.74193971248712</v>
      </c>
      <c r="J44" s="10">
        <f t="shared" si="6"/>
        <v>66615597328.571671</v>
      </c>
      <c r="K44" s="11">
        <f t="shared" si="7"/>
        <v>7.2489879999999784E-2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169501322.35478279</v>
      </c>
      <c r="D45" s="11">
        <v>2.4279999999999999E-2</v>
      </c>
      <c r="E45" s="10">
        <f t="shared" si="2"/>
        <v>4017936.6059809327</v>
      </c>
      <c r="F45" s="3"/>
      <c r="G45" s="26">
        <v>6.49</v>
      </c>
      <c r="H45" s="10"/>
      <c r="I45" s="10">
        <f t="shared" si="8"/>
        <v>366.44570255203126</v>
      </c>
      <c r="J45" s="10">
        <f t="shared" si="6"/>
        <v>62113031153.7967</v>
      </c>
      <c r="K45" s="11">
        <f t="shared" si="7"/>
        <v>9.0755772000000068E-2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165483385.74880186</v>
      </c>
      <c r="D46" s="11">
        <v>2.4389999999999998E-2</v>
      </c>
      <c r="E46" s="10">
        <f t="shared" si="2"/>
        <v>3940042.1503658295</v>
      </c>
      <c r="F46" s="3"/>
      <c r="G46" s="26">
        <v>3.47</v>
      </c>
      <c r="H46" s="10"/>
      <c r="I46" s="10">
        <f t="shared" si="8"/>
        <v>344.11278293927251</v>
      </c>
      <c r="J46" s="10">
        <f t="shared" si="6"/>
        <v>56944948400.233353</v>
      </c>
      <c r="K46" s="11">
        <f t="shared" si="7"/>
        <v>5.9936332999999786E-2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161543343.59843603</v>
      </c>
      <c r="D47" s="11">
        <v>2.4570000000000002E-2</v>
      </c>
      <c r="E47" s="10">
        <f t="shared" si="2"/>
        <v>3873937.3124467432</v>
      </c>
      <c r="F47" s="3"/>
      <c r="G47" s="26">
        <v>2.66</v>
      </c>
      <c r="H47" s="10"/>
      <c r="I47" s="10">
        <f t="shared" si="8"/>
        <v>332.5725166128081</v>
      </c>
      <c r="J47" s="10">
        <f t="shared" si="6"/>
        <v>53724876322.57943</v>
      </c>
      <c r="K47" s="11">
        <f t="shared" si="7"/>
        <v>5.1823561999999823E-2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157669406.28598928</v>
      </c>
      <c r="D48" s="11">
        <v>2.4899999999999999E-2</v>
      </c>
      <c r="E48" s="10">
        <f t="shared" si="2"/>
        <v>3830586.6099337637</v>
      </c>
      <c r="F48" s="3"/>
      <c r="G48" s="26">
        <v>5.86</v>
      </c>
      <c r="H48" s="10"/>
      <c r="I48" s="10">
        <f t="shared" si="8"/>
        <v>323.9553054868577</v>
      </c>
      <c r="J48" s="10">
        <f t="shared" si="6"/>
        <v>51077840679.309143</v>
      </c>
      <c r="K48" s="11">
        <f t="shared" si="7"/>
        <v>8.4959139999999822E-2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153838819.67605552</v>
      </c>
      <c r="D49" s="11">
        <v>2.5270000000000001E-2</v>
      </c>
      <c r="E49" s="10">
        <f t="shared" si="2"/>
        <v>3791690.9430822134</v>
      </c>
      <c r="F49" s="3"/>
      <c r="G49" s="26">
        <v>8.24</v>
      </c>
      <c r="H49" s="10"/>
      <c r="I49" s="10">
        <f t="shared" si="8"/>
        <v>306.022393242828</v>
      </c>
      <c r="J49" s="10">
        <f t="shared" si="6"/>
        <v>47078123770.918365</v>
      </c>
      <c r="K49" s="11">
        <f t="shared" si="7"/>
        <v>0.10975224799999994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150047128.73297331</v>
      </c>
      <c r="D50" s="11">
        <v>2.598E-2</v>
      </c>
      <c r="E50" s="10">
        <f t="shared" si="2"/>
        <v>3799513.055305779</v>
      </c>
      <c r="F50" s="3"/>
      <c r="G50" s="26">
        <v>5.79</v>
      </c>
      <c r="H50" s="10"/>
      <c r="I50" s="10">
        <f t="shared" si="8"/>
        <v>282.72578828790466</v>
      </c>
      <c r="J50" s="10">
        <f t="shared" si="6"/>
        <v>42422192751.366585</v>
      </c>
      <c r="K50" s="11">
        <f t="shared" si="7"/>
        <v>8.5384241999999722E-2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146247615.67766753</v>
      </c>
      <c r="D51" s="11">
        <v>2.6890000000000001E-2</v>
      </c>
      <c r="E51" s="10">
        <f t="shared" si="2"/>
        <v>3829619.9062922895</v>
      </c>
      <c r="F51" s="3"/>
      <c r="G51" s="26">
        <v>0.89</v>
      </c>
      <c r="H51" s="10"/>
      <c r="I51" s="10">
        <f t="shared" si="8"/>
        <v>267.25190309850143</v>
      </c>
      <c r="J51" s="10">
        <f t="shared" si="6"/>
        <v>39084953613.474884</v>
      </c>
      <c r="K51" s="11">
        <f t="shared" si="7"/>
        <v>3.6029321000000003E-2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142417995.77137524</v>
      </c>
      <c r="D52" s="11">
        <v>2.777E-2</v>
      </c>
      <c r="E52" s="10">
        <f t="shared" si="2"/>
        <v>3848086.3836958706</v>
      </c>
      <c r="F52" s="3"/>
      <c r="G52" s="26">
        <v>1.93</v>
      </c>
      <c r="H52" s="10"/>
      <c r="I52" s="10">
        <f t="shared" si="8"/>
        <v>264.89434344186884</v>
      </c>
      <c r="J52" s="10">
        <f t="shared" si="6"/>
        <v>37725721484.165298</v>
      </c>
      <c r="K52" s="11">
        <f t="shared" si="7"/>
        <v>4.7605961000000363E-2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138569909.38767937</v>
      </c>
      <c r="D53" s="11">
        <v>2.86E-2</v>
      </c>
      <c r="E53" s="10">
        <f t="shared" si="2"/>
        <v>3852906.2886327207</v>
      </c>
      <c r="F53" s="3"/>
      <c r="G53" s="26">
        <v>3.79</v>
      </c>
      <c r="H53" s="10"/>
      <c r="I53" s="10">
        <f t="shared" si="8"/>
        <v>259.87868482475113</v>
      </c>
      <c r="J53" s="10">
        <f t="shared" si="6"/>
        <v>36011365807.955048</v>
      </c>
      <c r="K53" s="11">
        <f t="shared" si="7"/>
        <v>6.7583939999999787E-2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134717003.09904665</v>
      </c>
      <c r="D54" s="11">
        <v>2.929E-2</v>
      </c>
      <c r="E54" s="10">
        <f t="shared" si="2"/>
        <v>3833575.5916904658</v>
      </c>
      <c r="F54" s="3"/>
      <c r="G54" s="26">
        <v>4.74</v>
      </c>
      <c r="H54" s="10"/>
      <c r="I54" s="10">
        <f t="shared" si="8"/>
        <v>250.38894385273255</v>
      </c>
      <c r="J54" s="10">
        <f t="shared" si="6"/>
        <v>33731648124.97559</v>
      </c>
      <c r="K54" s="11">
        <f t="shared" si="7"/>
        <v>7.8078346000000298E-2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130883427.50735618</v>
      </c>
      <c r="D55" s="11">
        <v>2.9659999999999999E-2</v>
      </c>
      <c r="E55" s="10">
        <f t="shared" si="2"/>
        <v>3770178.9521474987</v>
      </c>
      <c r="F55" s="3"/>
      <c r="G55" s="26">
        <v>3.22</v>
      </c>
      <c r="H55" s="10"/>
      <c r="I55" s="10">
        <f t="shared" si="8"/>
        <v>239.05761299668944</v>
      </c>
      <c r="J55" s="10">
        <f t="shared" si="6"/>
        <v>31288679760.73381</v>
      </c>
      <c r="K55" s="11">
        <f t="shared" si="7"/>
        <v>6.2815051999999927E-2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127113248.55520868</v>
      </c>
      <c r="D56" s="11">
        <v>3.0030000000000001E-2</v>
      </c>
      <c r="E56" s="10">
        <f t="shared" si="2"/>
        <v>3705922.0159732401</v>
      </c>
      <c r="F56" s="3"/>
      <c r="G56" s="26">
        <v>5.0199999999999996</v>
      </c>
      <c r="H56" s="10"/>
      <c r="I56" s="10">
        <f t="shared" si="8"/>
        <v>231.60009009561077</v>
      </c>
      <c r="J56" s="10">
        <f t="shared" si="6"/>
        <v>29439439817.732098</v>
      </c>
      <c r="K56" s="11">
        <f t="shared" si="7"/>
        <v>8.1737506000000071E-2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123407326.53923544</v>
      </c>
      <c r="D57" s="11">
        <v>3.032E-2</v>
      </c>
      <c r="E57" s="10">
        <f t="shared" si="2"/>
        <v>3631600.0278259218</v>
      </c>
      <c r="F57" s="3"/>
      <c r="G57" s="26">
        <v>5.62</v>
      </c>
      <c r="H57" s="10"/>
      <c r="I57" s="10">
        <f t="shared" si="8"/>
        <v>220.52950875605671</v>
      </c>
      <c r="J57" s="10">
        <f t="shared" si="6"/>
        <v>27214957098.595871</v>
      </c>
      <c r="K57" s="11">
        <f t="shared" si="7"/>
        <v>8.8223983999999867E-2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119775726.51140952</v>
      </c>
      <c r="D58" s="11">
        <v>3.066E-2</v>
      </c>
      <c r="E58" s="10">
        <f t="shared" si="2"/>
        <v>3563079.7497135848</v>
      </c>
      <c r="F58" s="3"/>
      <c r="G58" s="26">
        <v>4.03</v>
      </c>
      <c r="H58" s="10"/>
      <c r="I58" s="10">
        <f t="shared" si="8"/>
        <v>208.79521753082437</v>
      </c>
      <c r="J58" s="10">
        <f t="shared" si="6"/>
        <v>25008598871.862278</v>
      </c>
      <c r="K58" s="11">
        <f t="shared" si="7"/>
        <v>7.2195597999999972E-2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116212646.76169594</v>
      </c>
      <c r="D59" s="11">
        <v>3.0720000000000001E-2</v>
      </c>
      <c r="E59" s="10">
        <f t="shared" si="2"/>
        <v>3463649.2049434483</v>
      </c>
      <c r="F59" s="3"/>
      <c r="G59" s="26">
        <v>-2.04</v>
      </c>
      <c r="H59" s="10"/>
      <c r="I59" s="10">
        <f t="shared" si="8"/>
        <v>200.70673606731171</v>
      </c>
      <c r="J59" s="10">
        <f t="shared" si="6"/>
        <v>23324661021.283432</v>
      </c>
      <c r="K59" s="11">
        <f t="shared" si="7"/>
        <v>9.6933120000002315E-3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112748997.55675249</v>
      </c>
      <c r="D60" s="11">
        <v>3.074E-2</v>
      </c>
      <c r="E60" s="10">
        <f t="shared" si="2"/>
        <v>3362539.7140836418</v>
      </c>
      <c r="F60" s="3"/>
      <c r="G60" s="26">
        <v>-0.16</v>
      </c>
      <c r="H60" s="10"/>
      <c r="I60" s="10">
        <f t="shared" si="8"/>
        <v>204.88641901522223</v>
      </c>
      <c r="J60" s="10">
        <f t="shared" si="6"/>
        <v>23100738356.959057</v>
      </c>
      <c r="K60" s="11">
        <f t="shared" si="7"/>
        <v>2.9090815999999853E-2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109386457.84266885</v>
      </c>
      <c r="D61" s="11">
        <v>3.0700000000000002E-2</v>
      </c>
      <c r="E61" s="10">
        <f t="shared" si="2"/>
        <v>3258139.3768991232</v>
      </c>
      <c r="F61" s="3"/>
      <c r="G61" s="26">
        <v>-1.29</v>
      </c>
      <c r="H61" s="10"/>
      <c r="I61" s="10">
        <f t="shared" si="8"/>
        <v>205.21476263543894</v>
      </c>
      <c r="J61" s="10">
        <f t="shared" si="6"/>
        <v>22447715981.714737</v>
      </c>
      <c r="K61" s="11">
        <f t="shared" si="7"/>
        <v>1.7403969999999935E-2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106128318.46576972</v>
      </c>
      <c r="D62" s="11">
        <v>3.0589999999999999E-2</v>
      </c>
      <c r="E62" s="10">
        <f t="shared" si="2"/>
        <v>3150103.592959255</v>
      </c>
      <c r="F62" s="3"/>
      <c r="G62" s="26">
        <v>2.58</v>
      </c>
      <c r="H62" s="10"/>
      <c r="I62" s="10">
        <f t="shared" si="8"/>
        <v>207.89662915149322</v>
      </c>
      <c r="J62" s="10">
        <f t="shared" si="6"/>
        <v>22063719666.549698</v>
      </c>
      <c r="K62" s="11">
        <f t="shared" si="7"/>
        <v>5.7179221999999807E-2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102978214.87281047</v>
      </c>
      <c r="D63" s="11">
        <v>3.0429999999999999E-2</v>
      </c>
      <c r="E63" s="10">
        <f t="shared" si="2"/>
        <v>3041086.807041347</v>
      </c>
      <c r="F63" s="3"/>
      <c r="G63" s="26">
        <v>0.89</v>
      </c>
      <c r="H63" s="10"/>
      <c r="I63" s="10">
        <f t="shared" si="8"/>
        <v>202.66779991371925</v>
      </c>
      <c r="J63" s="10">
        <f t="shared" si="6"/>
        <v>20870368247.314739</v>
      </c>
      <c r="K63" s="11">
        <f t="shared" si="7"/>
        <v>3.9600826999999894E-2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99937128.065769121</v>
      </c>
      <c r="D64" s="11">
        <v>3.0290000000000001E-2</v>
      </c>
      <c r="E64" s="10">
        <f t="shared" si="2"/>
        <v>2938100.5436451286</v>
      </c>
      <c r="F64" s="3"/>
      <c r="G64" s="26">
        <v>2.73</v>
      </c>
      <c r="H64" s="10"/>
      <c r="I64" s="10">
        <f t="shared" si="8"/>
        <v>200.87996819676803</v>
      </c>
      <c r="J64" s="10">
        <f t="shared" si="6"/>
        <v>20075367107.528034</v>
      </c>
      <c r="K64" s="11">
        <f t="shared" si="7"/>
        <v>5.8416917000000179E-2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96999027.522123992</v>
      </c>
      <c r="D65" s="11">
        <v>3.0120000000000001E-2</v>
      </c>
      <c r="E65" s="10">
        <f t="shared" si="2"/>
        <v>2836184.8221239895</v>
      </c>
      <c r="F65" s="3"/>
      <c r="G65" s="26">
        <v>2.5099999999999998</v>
      </c>
      <c r="H65" s="10"/>
      <c r="I65" s="10">
        <f t="shared" si="8"/>
        <v>195.54168032392485</v>
      </c>
      <c r="J65" s="10">
        <f t="shared" si="6"/>
        <v>18967352831.462757</v>
      </c>
      <c r="K65" s="11">
        <f t="shared" si="7"/>
        <v>5.5976011999999686E-2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94162842.700000003</v>
      </c>
      <c r="D66" s="11">
        <v>2.989E-2</v>
      </c>
      <c r="E66" s="10">
        <f t="shared" si="2"/>
        <v>2732842.700000003</v>
      </c>
      <c r="F66" s="23">
        <f>SUM(F2)</f>
        <v>236475569</v>
      </c>
      <c r="G66" s="26">
        <v>2.5099999999999998</v>
      </c>
      <c r="H66" s="10"/>
      <c r="I66" s="10">
        <f t="shared" si="8"/>
        <v>190.75376092471453</v>
      </c>
      <c r="J66" s="10">
        <f t="shared" ref="J66:J67" si="9">IF(I66="","",I66*C66)</f>
        <v>17961916384.387302</v>
      </c>
      <c r="K66" s="11">
        <f t="shared" ref="K66" si="10">IFERROR(J66/J67-1,"")</f>
        <v>5.5740238999999914E-2</v>
      </c>
    </row>
    <row r="67" spans="1:11" ht="22.5" customHeight="1">
      <c r="A67" s="3">
        <f t="shared" si="0"/>
        <v>1950</v>
      </c>
      <c r="B67" s="3">
        <v>1700</v>
      </c>
      <c r="C67" s="10">
        <v>91430000</v>
      </c>
      <c r="D67" s="11">
        <v>2.9520000000000001E-2</v>
      </c>
      <c r="E67" s="3" t="s">
        <v>72</v>
      </c>
      <c r="F67" s="10">
        <f>SUM(C2)</f>
        <v>336479087.15711862</v>
      </c>
      <c r="G67" s="26">
        <v>0.83</v>
      </c>
      <c r="H67" s="10"/>
      <c r="I67" s="10">
        <f t="shared" ref="I67" si="11">IF(H67&lt;&gt;"",H67,I66/(1+IF(G66="",0,G66)/100))</f>
        <v>186.08307572404112</v>
      </c>
      <c r="J67" s="10">
        <f t="shared" si="9"/>
        <v>17013575613.44908</v>
      </c>
      <c r="K67" s="11"/>
    </row>
  </sheetData>
  <dataValidations count="1">
    <dataValidation type="custom" allowBlank="1" showDropDown="1" sqref="D2:D67" xr:uid="{00000000-0002-0000-4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2051787.1050554302</v>
      </c>
      <c r="D2" s="11">
        <v>7.6899999999999998E-3</v>
      </c>
      <c r="E2" s="10">
        <f t="shared" ref="E2:E66" si="2">SUM(C2-C3)</f>
        <v>15657.834093695739</v>
      </c>
      <c r="F2" s="14">
        <v>2051970</v>
      </c>
      <c r="G2" s="29">
        <v>2.73</v>
      </c>
      <c r="H2" s="10"/>
      <c r="I2" s="10">
        <f>IF(H2&lt;&gt;"",H2,104448)</f>
        <v>13056</v>
      </c>
      <c r="J2" s="10">
        <f t="shared" ref="J2:J33" si="3">IF(I2="","",I2*C2)</f>
        <v>26788132443.603695</v>
      </c>
      <c r="K2" s="11">
        <f t="shared" ref="K2:K33" si="4">IFERROR(J2/J3-1,"")</f>
        <v>3.5199937000000014E-2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2036129.2709617345</v>
      </c>
      <c r="D3" s="11">
        <v>7.9600000000000001E-3</v>
      </c>
      <c r="E3" s="10">
        <f t="shared" si="2"/>
        <v>16079.595417333301</v>
      </c>
      <c r="F3" s="3"/>
      <c r="G3" s="29">
        <v>-2.5099999999999998</v>
      </c>
      <c r="H3" s="10"/>
      <c r="I3" s="10">
        <f t="shared" ref="I3:I34" si="5">IF(H3&lt;&gt;"",H3,I2/(1+IF(G2="",0,G2)/100))</f>
        <v>12709.043122748952</v>
      </c>
      <c r="J3" s="10">
        <f t="shared" si="3"/>
        <v>25877254708.14407</v>
      </c>
      <c r="K3" s="11">
        <f t="shared" si="4"/>
        <v>-1.7339796000000018E-2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2020049.6755444012</v>
      </c>
      <c r="D4" s="11">
        <v>7.8700000000000003E-3</v>
      </c>
      <c r="E4" s="10">
        <f t="shared" si="2"/>
        <v>15773.652302910574</v>
      </c>
      <c r="F4" s="3"/>
      <c r="G4" s="29">
        <v>2.41</v>
      </c>
      <c r="H4" s="10"/>
      <c r="I4" s="10">
        <f t="shared" si="5"/>
        <v>13036.253074929688</v>
      </c>
      <c r="J4" s="10">
        <f t="shared" si="3"/>
        <v>26333878794.326416</v>
      </c>
      <c r="K4" s="11">
        <f t="shared" si="4"/>
        <v>3.2159666999999947E-2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2004276.0232414906</v>
      </c>
      <c r="D5" s="11">
        <v>7.6699999999999997E-3</v>
      </c>
      <c r="E5" s="10">
        <f t="shared" si="2"/>
        <v>15255.785225582076</v>
      </c>
      <c r="F5" s="3"/>
      <c r="G5" s="29">
        <v>-1.03</v>
      </c>
      <c r="H5" s="10"/>
      <c r="I5" s="10">
        <f t="shared" si="5"/>
        <v>12729.472780909762</v>
      </c>
      <c r="J5" s="10">
        <f t="shared" si="3"/>
        <v>25513377083.282616</v>
      </c>
      <c r="K5" s="11">
        <f t="shared" si="4"/>
        <v>-2.7090009999999332E-3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1989020.2380159085</v>
      </c>
      <c r="D6" s="11">
        <v>7.7600000000000004E-3</v>
      </c>
      <c r="E6" s="10">
        <f t="shared" si="2"/>
        <v>15315.94531138707</v>
      </c>
      <c r="F6" s="3"/>
      <c r="G6" s="29">
        <v>6</v>
      </c>
      <c r="H6" s="10"/>
      <c r="I6" s="10">
        <f t="shared" si="5"/>
        <v>12861.950874921453</v>
      </c>
      <c r="J6" s="10">
        <f t="shared" si="3"/>
        <v>25582680590.58519</v>
      </c>
      <c r="K6" s="11">
        <f t="shared" si="4"/>
        <v>6.8225599999999886E-2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1973704.2927045214</v>
      </c>
      <c r="D7" s="11">
        <v>9.4999999999999998E-3</v>
      </c>
      <c r="E7" s="10">
        <f t="shared" si="2"/>
        <v>18573.740248333896</v>
      </c>
      <c r="F7" s="3"/>
      <c r="G7" s="29">
        <v>10.130000000000001</v>
      </c>
      <c r="H7" s="10"/>
      <c r="I7" s="10">
        <f t="shared" si="5"/>
        <v>12133.915919737219</v>
      </c>
      <c r="J7" s="10">
        <f t="shared" si="3"/>
        <v>23948761938.101082</v>
      </c>
      <c r="K7" s="11">
        <f t="shared" si="4"/>
        <v>0.11176235000000023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1955130.5524561875</v>
      </c>
      <c r="D8" s="11">
        <v>1.2370000000000001E-2</v>
      </c>
      <c r="E8" s="10">
        <f t="shared" si="2"/>
        <v>23889.452407601057</v>
      </c>
      <c r="F8" s="3"/>
      <c r="G8" s="29">
        <v>-5.92</v>
      </c>
      <c r="H8" s="10"/>
      <c r="I8" s="10">
        <f t="shared" si="5"/>
        <v>11017.811604228838</v>
      </c>
      <c r="J8" s="10">
        <f t="shared" si="3"/>
        <v>21541260088.634121</v>
      </c>
      <c r="K8" s="11">
        <f t="shared" si="4"/>
        <v>-4.7562304000000166E-2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1931241.1000485865</v>
      </c>
      <c r="D9" s="11">
        <v>1.244E-2</v>
      </c>
      <c r="E9" s="10">
        <f t="shared" si="2"/>
        <v>23729.444988942007</v>
      </c>
      <c r="F9" s="3"/>
      <c r="G9" s="29">
        <v>4.0599999999999996</v>
      </c>
      <c r="H9" s="10"/>
      <c r="I9" s="10">
        <f t="shared" si="5"/>
        <v>11711.109273202423</v>
      </c>
      <c r="J9" s="10">
        <f t="shared" si="3"/>
        <v>22616975555.568649</v>
      </c>
      <c r="K9" s="11">
        <f t="shared" si="4"/>
        <v>5.354506399999992E-2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1907511.6550596445</v>
      </c>
      <c r="D10" s="11">
        <v>1.261E-2</v>
      </c>
      <c r="E10" s="10">
        <f t="shared" si="2"/>
        <v>23754.181738578714</v>
      </c>
      <c r="F10" s="3"/>
      <c r="G10" s="29">
        <v>9.01</v>
      </c>
      <c r="H10" s="10"/>
      <c r="I10" s="10">
        <f t="shared" si="5"/>
        <v>11254.189192006941</v>
      </c>
      <c r="J10" s="10">
        <f t="shared" si="3"/>
        <v>21467497051.999523</v>
      </c>
      <c r="K10" s="11">
        <f t="shared" si="4"/>
        <v>0.1038461610000001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1883757.4733210658</v>
      </c>
      <c r="D11" s="11">
        <v>1.2279999999999999E-2</v>
      </c>
      <c r="E11" s="10">
        <f t="shared" si="2"/>
        <v>22851.920192419784</v>
      </c>
      <c r="F11" s="3"/>
      <c r="G11" s="29">
        <v>8.0500000000000007</v>
      </c>
      <c r="H11" s="10"/>
      <c r="I11" s="10">
        <f t="shared" si="5"/>
        <v>10323.997057157087</v>
      </c>
      <c r="J11" s="10">
        <f t="shared" si="3"/>
        <v>19447906610.964352</v>
      </c>
      <c r="K11" s="11">
        <f t="shared" si="4"/>
        <v>9.3768540000000122E-2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1860905.553128646</v>
      </c>
      <c r="D12" s="11">
        <v>1.225E-2</v>
      </c>
      <c r="E12" s="10">
        <f t="shared" si="2"/>
        <v>22520.220326822484</v>
      </c>
      <c r="F12" s="3"/>
      <c r="G12" s="29">
        <v>8.85</v>
      </c>
      <c r="H12" s="10"/>
      <c r="I12" s="10">
        <f t="shared" si="5"/>
        <v>9554.8330006081324</v>
      </c>
      <c r="J12" s="10">
        <f t="shared" si="3"/>
        <v>17780641790.048515</v>
      </c>
      <c r="K12" s="11">
        <f t="shared" si="4"/>
        <v>0.10183412500000011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1838385.3328018235</v>
      </c>
      <c r="D13" s="11">
        <v>9.4500000000000001E-3</v>
      </c>
      <c r="E13" s="10">
        <f t="shared" si="2"/>
        <v>17210.105894276174</v>
      </c>
      <c r="F13" s="3"/>
      <c r="G13" s="29">
        <v>9.0299999999999994</v>
      </c>
      <c r="H13" s="10"/>
      <c r="I13" s="10">
        <f t="shared" si="5"/>
        <v>8777.9816266496382</v>
      </c>
      <c r="J13" s="10">
        <f t="shared" si="3"/>
        <v>16137312674.036587</v>
      </c>
      <c r="K13" s="11">
        <f t="shared" si="4"/>
        <v>0.10060333499999996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1821175.2269075473</v>
      </c>
      <c r="D14" s="11">
        <v>1.001E-2</v>
      </c>
      <c r="E14" s="10">
        <f t="shared" si="2"/>
        <v>18049.290622216184</v>
      </c>
      <c r="F14" s="3"/>
      <c r="G14" s="29">
        <v>8.84</v>
      </c>
      <c r="H14" s="10"/>
      <c r="I14" s="10">
        <f t="shared" si="5"/>
        <v>8050.9782873059139</v>
      </c>
      <c r="J14" s="10">
        <f t="shared" si="3"/>
        <v>14662242209.212084</v>
      </c>
      <c r="K14" s="11">
        <f t="shared" si="4"/>
        <v>9.9294883999999861E-2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1803125.9362853311</v>
      </c>
      <c r="D15" s="11">
        <v>1.0279999999999999E-2</v>
      </c>
      <c r="E15" s="10">
        <f t="shared" si="2"/>
        <v>18347.522097847424</v>
      </c>
      <c r="F15" s="3"/>
      <c r="G15" s="29">
        <v>-10.89</v>
      </c>
      <c r="H15" s="10"/>
      <c r="I15" s="10">
        <f t="shared" si="5"/>
        <v>7397.0767064552683</v>
      </c>
      <c r="J15" s="10">
        <f t="shared" si="3"/>
        <v>13337860862.10157</v>
      </c>
      <c r="K15" s="11">
        <f t="shared" si="4"/>
        <v>-9.9739491999999874E-2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1784778.4141874837</v>
      </c>
      <c r="D16" s="11">
        <v>1.338E-2</v>
      </c>
      <c r="E16" s="10">
        <f t="shared" si="2"/>
        <v>23565.035013349727</v>
      </c>
      <c r="F16" s="3"/>
      <c r="G16" s="29">
        <v>-4.41</v>
      </c>
      <c r="H16" s="10"/>
      <c r="I16" s="10">
        <f t="shared" si="5"/>
        <v>8301.0624020371088</v>
      </c>
      <c r="J16" s="10">
        <f t="shared" si="3"/>
        <v>14815556989.979136</v>
      </c>
      <c r="K16" s="11">
        <f t="shared" si="4"/>
        <v>-3.1310058000000085E-2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1761213.379174134</v>
      </c>
      <c r="D17" s="11">
        <v>2.1170000000000001E-2</v>
      </c>
      <c r="E17" s="10">
        <f t="shared" si="2"/>
        <v>36511.92968567065</v>
      </c>
      <c r="F17" s="3"/>
      <c r="G17" s="29">
        <v>-7.9</v>
      </c>
      <c r="H17" s="10"/>
      <c r="I17" s="10">
        <f t="shared" si="5"/>
        <v>8684.0280385365713</v>
      </c>
      <c r="J17" s="10">
        <f t="shared" si="3"/>
        <v>15294426366.593922</v>
      </c>
      <c r="K17" s="11">
        <f t="shared" si="4"/>
        <v>-5.9502430000000106E-2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1724701.4494884633</v>
      </c>
      <c r="D18" s="11">
        <v>3.124E-2</v>
      </c>
      <c r="E18" s="10">
        <f t="shared" si="2"/>
        <v>52247.46255189809</v>
      </c>
      <c r="F18" s="3"/>
      <c r="G18" s="29">
        <v>-3.39</v>
      </c>
      <c r="H18" s="10"/>
      <c r="I18" s="10">
        <f t="shared" si="5"/>
        <v>9428.9120939593613</v>
      </c>
      <c r="J18" s="10">
        <f t="shared" si="3"/>
        <v>16262058355.551012</v>
      </c>
      <c r="K18" s="11">
        <f t="shared" si="4"/>
        <v>-3.7190360000001199E-3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1672453.9869365653</v>
      </c>
      <c r="D19" s="11">
        <v>3.209E-2</v>
      </c>
      <c r="E19" s="10">
        <f t="shared" si="2"/>
        <v>52000.356985141058</v>
      </c>
      <c r="F19" s="3"/>
      <c r="G19" s="29">
        <v>3.85</v>
      </c>
      <c r="H19" s="10"/>
      <c r="I19" s="10">
        <f t="shared" si="5"/>
        <v>9759.7682372004565</v>
      </c>
      <c r="J19" s="10">
        <f t="shared" si="3"/>
        <v>16322763299.882757</v>
      </c>
      <c r="K19" s="11">
        <f t="shared" si="4"/>
        <v>7.1825464999999866E-2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1620453.6299514242</v>
      </c>
      <c r="D20" s="11">
        <v>3.2710000000000003E-2</v>
      </c>
      <c r="E20" s="10">
        <f t="shared" si="2"/>
        <v>51326.159556614235</v>
      </c>
      <c r="F20" s="3"/>
      <c r="G20" s="29">
        <v>8.11</v>
      </c>
      <c r="H20" s="10"/>
      <c r="I20" s="10">
        <f t="shared" si="5"/>
        <v>9397.9472674053504</v>
      </c>
      <c r="J20" s="10">
        <f t="shared" si="3"/>
        <v>15228937763.559069</v>
      </c>
      <c r="K20" s="11">
        <f t="shared" si="4"/>
        <v>0.11646278100000007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1569127.47039481</v>
      </c>
      <c r="D21" s="11">
        <v>3.3079999999999998E-2</v>
      </c>
      <c r="E21" s="10">
        <f t="shared" si="2"/>
        <v>50244.643900434021</v>
      </c>
      <c r="F21" s="3"/>
      <c r="G21" s="29">
        <v>5.53</v>
      </c>
      <c r="H21" s="10"/>
      <c r="I21" s="10">
        <f t="shared" si="5"/>
        <v>8692.9490957407743</v>
      </c>
      <c r="J21" s="10">
        <f t="shared" si="3"/>
        <v>13640345224.870571</v>
      </c>
      <c r="K21" s="11">
        <f t="shared" si="4"/>
        <v>9.0209324000000146E-2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1518882.8264943759</v>
      </c>
      <c r="D22" s="11">
        <v>3.3349999999999998E-2</v>
      </c>
      <c r="E22" s="10">
        <f t="shared" si="2"/>
        <v>49019.927675605984</v>
      </c>
      <c r="F22" s="3"/>
      <c r="G22" s="29">
        <v>-2.85</v>
      </c>
      <c r="H22" s="10"/>
      <c r="I22" s="10">
        <f t="shared" si="5"/>
        <v>8237.4197818068551</v>
      </c>
      <c r="J22" s="10">
        <f t="shared" si="3"/>
        <v>12511675441.211481</v>
      </c>
      <c r="K22" s="11">
        <f t="shared" si="4"/>
        <v>3.8995250000000148E-3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1469862.89881877</v>
      </c>
      <c r="D23" s="11">
        <v>3.2509999999999997E-2</v>
      </c>
      <c r="E23" s="10">
        <f t="shared" si="2"/>
        <v>46280.658628582954</v>
      </c>
      <c r="F23" s="3"/>
      <c r="G23" s="29">
        <v>5.84</v>
      </c>
      <c r="H23" s="10"/>
      <c r="I23" s="10">
        <f t="shared" si="5"/>
        <v>8479.0733729355179</v>
      </c>
      <c r="J23" s="10">
        <f t="shared" si="3"/>
        <v>12463075367.240046</v>
      </c>
      <c r="K23" s="11">
        <f t="shared" si="4"/>
        <v>9.2808583999999916E-2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1423582.240190187</v>
      </c>
      <c r="D24" s="11">
        <v>3.356E-2</v>
      </c>
      <c r="E24" s="10">
        <f t="shared" si="2"/>
        <v>46224.137912441278</v>
      </c>
      <c r="F24" s="3"/>
      <c r="G24" s="29">
        <v>8.2100000000000009</v>
      </c>
      <c r="H24" s="10"/>
      <c r="I24" s="10">
        <f t="shared" si="5"/>
        <v>8011.218228397126</v>
      </c>
      <c r="J24" s="10">
        <f t="shared" si="3"/>
        <v>11404627992.234041</v>
      </c>
      <c r="K24" s="11">
        <f t="shared" si="4"/>
        <v>0.11841527600000012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1377358.1022777457</v>
      </c>
      <c r="D25" s="11">
        <v>2.92E-2</v>
      </c>
      <c r="E25" s="10">
        <f t="shared" si="2"/>
        <v>39077.785257005366</v>
      </c>
      <c r="F25" s="3"/>
      <c r="G25" s="29">
        <v>7.94</v>
      </c>
      <c r="H25" s="10"/>
      <c r="I25" s="10">
        <f t="shared" si="5"/>
        <v>7403.39915756134</v>
      </c>
      <c r="J25" s="10">
        <f t="shared" si="3"/>
        <v>10197131814.063349</v>
      </c>
      <c r="K25" s="11">
        <f t="shared" si="4"/>
        <v>0.11091847999999982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1338280.3170207404</v>
      </c>
      <c r="D26" s="11">
        <v>3.9829999999999997E-2</v>
      </c>
      <c r="E26" s="10">
        <f t="shared" si="2"/>
        <v>51261.941881784704</v>
      </c>
      <c r="F26" s="3"/>
      <c r="G26" s="29">
        <v>9.1300000000000008</v>
      </c>
      <c r="H26" s="10"/>
      <c r="I26" s="10">
        <f t="shared" si="5"/>
        <v>6858.8096697807487</v>
      </c>
      <c r="J26" s="10">
        <f t="shared" si="3"/>
        <v>9179009979.2591</v>
      </c>
      <c r="K26" s="11">
        <f t="shared" si="4"/>
        <v>0.13476647900000005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1287018.3751389557</v>
      </c>
      <c r="D27" s="11">
        <v>2.4369999999999999E-2</v>
      </c>
      <c r="E27" s="10">
        <f t="shared" si="2"/>
        <v>30618.465790814254</v>
      </c>
      <c r="F27" s="3"/>
      <c r="G27" s="29">
        <v>-7.16</v>
      </c>
      <c r="H27" s="10"/>
      <c r="I27" s="10">
        <f t="shared" si="5"/>
        <v>6284.9900758551721</v>
      </c>
      <c r="J27" s="10">
        <f t="shared" si="3"/>
        <v>8088897715.1915855</v>
      </c>
      <c r="K27" s="11">
        <f t="shared" si="4"/>
        <v>-4.8974891999999937E-2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1256399.9093481414</v>
      </c>
      <c r="D28" s="11">
        <v>8.1399999999999997E-3</v>
      </c>
      <c r="E28" s="10">
        <f t="shared" si="2"/>
        <v>10144.518878423609</v>
      </c>
      <c r="F28" s="3"/>
      <c r="G28" s="29">
        <v>1.1599999999999999</v>
      </c>
      <c r="H28" s="10"/>
      <c r="I28" s="10">
        <f t="shared" si="5"/>
        <v>6769.700641808673</v>
      </c>
      <c r="J28" s="10">
        <f t="shared" si="3"/>
        <v>8505451272.6824713</v>
      </c>
      <c r="K28" s="11">
        <f t="shared" si="4"/>
        <v>1.9834424000000128E-2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1246255.3904697178</v>
      </c>
      <c r="D29" s="11">
        <v>-2.2599999999999999E-3</v>
      </c>
      <c r="E29" s="10">
        <f t="shared" si="2"/>
        <v>-2822.9169748246204</v>
      </c>
      <c r="F29" s="3"/>
      <c r="G29" s="29">
        <v>4.09</v>
      </c>
      <c r="H29" s="10"/>
      <c r="I29" s="10">
        <f t="shared" si="5"/>
        <v>6692.0725996527017</v>
      </c>
      <c r="J29" s="10">
        <f t="shared" si="3"/>
        <v>8340031550.7318773</v>
      </c>
      <c r="K29" s="11">
        <f t="shared" si="4"/>
        <v>3.8547566000000089E-2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1249078.3074445424</v>
      </c>
      <c r="D30" s="11">
        <v>-4.1999999999999997E-3</v>
      </c>
      <c r="E30" s="10">
        <f t="shared" si="2"/>
        <v>-5268.2555646386463</v>
      </c>
      <c r="F30" s="3"/>
      <c r="G30" s="29">
        <v>2.7</v>
      </c>
      <c r="H30" s="10"/>
      <c r="I30" s="10">
        <f t="shared" si="5"/>
        <v>6429.1215291120207</v>
      </c>
      <c r="J30" s="10">
        <f t="shared" si="3"/>
        <v>8030476237.9385109</v>
      </c>
      <c r="K30" s="11">
        <f t="shared" si="4"/>
        <v>2.268659999999989E-2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1254346.5630091811</v>
      </c>
      <c r="D31" s="11">
        <v>-2.5300000000000001E-3</v>
      </c>
      <c r="E31" s="10">
        <f t="shared" si="2"/>
        <v>-3181.5461160868872</v>
      </c>
      <c r="F31" s="3"/>
      <c r="G31" s="29">
        <v>6.15</v>
      </c>
      <c r="H31" s="10"/>
      <c r="I31" s="10">
        <f t="shared" si="5"/>
        <v>6260.0988598948597</v>
      </c>
      <c r="J31" s="10">
        <f t="shared" si="3"/>
        <v>7852333489.0068102</v>
      </c>
      <c r="K31" s="11">
        <f t="shared" si="4"/>
        <v>5.8814405000000125E-2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1257528.1091252679</v>
      </c>
      <c r="D32" s="11">
        <v>1.2700000000000001E-3</v>
      </c>
      <c r="E32" s="10">
        <f t="shared" si="2"/>
        <v>1595.0350041340571</v>
      </c>
      <c r="F32" s="3"/>
      <c r="G32" s="29">
        <v>-5.19</v>
      </c>
      <c r="H32" s="10"/>
      <c r="I32" s="10">
        <f t="shared" si="5"/>
        <v>5897.4082523738662</v>
      </c>
      <c r="J32" s="10">
        <f t="shared" si="3"/>
        <v>7416156648.3474588</v>
      </c>
      <c r="K32" s="11">
        <f t="shared" si="4"/>
        <v>-5.0695912999999981E-2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1255933.0741211339</v>
      </c>
      <c r="D33" s="11">
        <v>4.7699999999999999E-3</v>
      </c>
      <c r="E33" s="10">
        <f t="shared" si="2"/>
        <v>5962.360304903239</v>
      </c>
      <c r="F33" s="3"/>
      <c r="G33" s="29">
        <v>1.57</v>
      </c>
      <c r="H33" s="10"/>
      <c r="I33" s="10">
        <f t="shared" si="5"/>
        <v>6220.2386376688819</v>
      </c>
      <c r="J33" s="10">
        <f t="shared" si="3"/>
        <v>7812203433.9745331</v>
      </c>
      <c r="K33" s="11">
        <f t="shared" si="4"/>
        <v>2.0544888999999955E-2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1249970.7138162307</v>
      </c>
      <c r="D34" s="11">
        <v>7.0200000000000002E-3</v>
      </c>
      <c r="E34" s="10">
        <f t="shared" si="2"/>
        <v>8713.6247651386075</v>
      </c>
      <c r="F34" s="3"/>
      <c r="G34" s="29">
        <v>3.05</v>
      </c>
      <c r="H34" s="10"/>
      <c r="I34" s="10">
        <f t="shared" si="5"/>
        <v>6124.090418104639</v>
      </c>
      <c r="J34" s="10">
        <f t="shared" ref="J34:J65" si="6">IF(I34="","",I34*C34)</f>
        <v>7654933671.3933935</v>
      </c>
      <c r="K34" s="11">
        <f t="shared" ref="K34:K65" si="7">IFERROR(J34/J35-1,"")</f>
        <v>5.0825370000000092E-2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1241257.089051092</v>
      </c>
      <c r="D35" s="11">
        <v>7.1199999999999996E-3</v>
      </c>
      <c r="E35" s="10">
        <f t="shared" si="2"/>
        <v>8775.2705477438867</v>
      </c>
      <c r="F35" s="3"/>
      <c r="G35" s="29">
        <v>-3.44</v>
      </c>
      <c r="H35" s="10"/>
      <c r="I35" s="10">
        <f t="shared" ref="I35:I66" si="8">IF(H35&lt;&gt;"",H35,I34/(1+IF(G34="",0,G34)/100))</f>
        <v>5868.7977173978325</v>
      </c>
      <c r="J35" s="10">
        <f t="shared" si="6"/>
        <v>7284686770.9269266</v>
      </c>
      <c r="K35" s="11">
        <f t="shared" si="7"/>
        <v>-3.3268799999985887E-4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1232481.8185033482</v>
      </c>
      <c r="D36" s="11">
        <v>5.2399999999999999E-3</v>
      </c>
      <c r="E36" s="10">
        <f t="shared" si="2"/>
        <v>6424.5401386308949</v>
      </c>
      <c r="F36" s="3"/>
      <c r="G36" s="29">
        <v>-9.99</v>
      </c>
      <c r="H36" s="10"/>
      <c r="I36" s="10">
        <f t="shared" si="8"/>
        <v>5912.5505917769815</v>
      </c>
      <c r="J36" s="10">
        <f t="shared" si="6"/>
        <v>7287111105.3463411</v>
      </c>
      <c r="K36" s="11">
        <f t="shared" si="7"/>
        <v>-4.6931956000000219E-2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1226057.2783647173</v>
      </c>
      <c r="D37" s="11">
        <v>2.0600000000000002E-3</v>
      </c>
      <c r="E37" s="10">
        <f t="shared" si="2"/>
        <v>2520.4857926983386</v>
      </c>
      <c r="F37" s="3"/>
      <c r="G37" s="29">
        <v>-3.78</v>
      </c>
      <c r="H37" s="10"/>
      <c r="I37" s="10">
        <f t="shared" si="8"/>
        <v>6236.2098847979978</v>
      </c>
      <c r="J37" s="10">
        <f t="shared" si="6"/>
        <v>7645950518.6665802</v>
      </c>
      <c r="K37" s="11">
        <f t="shared" si="7"/>
        <v>1.7291312000000003E-2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1223536.7925720189</v>
      </c>
      <c r="D38" s="11">
        <v>2.5500000000000002E-3</v>
      </c>
      <c r="E38" s="10">
        <f t="shared" si="2"/>
        <v>3112.0830093848053</v>
      </c>
      <c r="F38" s="3"/>
      <c r="G38" s="29">
        <v>6.52</v>
      </c>
      <c r="H38" s="10"/>
      <c r="I38" s="10">
        <f t="shared" si="8"/>
        <v>6142.8387360106353</v>
      </c>
      <c r="J38" s="10">
        <f t="shared" si="6"/>
        <v>7515989204.3456078</v>
      </c>
      <c r="K38" s="11">
        <f t="shared" si="7"/>
        <v>0.10501061000000012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1220424.7095626341</v>
      </c>
      <c r="D39" s="11">
        <v>3.1800000000000001E-3</v>
      </c>
      <c r="E39" s="10">
        <f t="shared" si="2"/>
        <v>3868.6482748950366</v>
      </c>
      <c r="F39" s="3"/>
      <c r="G39" s="29">
        <v>-4.51</v>
      </c>
      <c r="H39" s="10"/>
      <c r="I39" s="10">
        <f t="shared" si="8"/>
        <v>5573.2523462263061</v>
      </c>
      <c r="J39" s="10">
        <f t="shared" si="6"/>
        <v>6801734875.9625092</v>
      </c>
      <c r="K39" s="11">
        <f t="shared" si="7"/>
        <v>-4.2063417999999908E-2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1216556.0612877391</v>
      </c>
      <c r="D40" s="11">
        <v>3.5799999999999998E-3</v>
      </c>
      <c r="E40" s="10">
        <f t="shared" si="2"/>
        <v>4339.7344500788022</v>
      </c>
      <c r="F40" s="3"/>
      <c r="G40" s="29">
        <v>6.93</v>
      </c>
      <c r="H40" s="10"/>
      <c r="I40" s="10">
        <f t="shared" si="8"/>
        <v>5836.4774806014311</v>
      </c>
      <c r="J40" s="10">
        <f t="shared" si="6"/>
        <v>7100402055.5950632</v>
      </c>
      <c r="K40" s="11">
        <f t="shared" si="7"/>
        <v>7.3128093999999644E-2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1212216.3268376603</v>
      </c>
      <c r="D41" s="11">
        <v>4.2399999999999998E-3</v>
      </c>
      <c r="E41" s="10">
        <f t="shared" si="2"/>
        <v>5118.0964966458268</v>
      </c>
      <c r="F41" s="3"/>
      <c r="G41" s="29">
        <v>-2.02</v>
      </c>
      <c r="H41" s="10"/>
      <c r="I41" s="10">
        <f t="shared" si="8"/>
        <v>5458.2226508944468</v>
      </c>
      <c r="J41" s="10">
        <f t="shared" si="6"/>
        <v>6616546612.9293833</v>
      </c>
      <c r="K41" s="11">
        <f t="shared" si="7"/>
        <v>-1.6045648000000079E-2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1207098.2303410145</v>
      </c>
      <c r="D42" s="11">
        <v>1.0800000000000001E-2</v>
      </c>
      <c r="E42" s="10">
        <f t="shared" si="2"/>
        <v>12897.369299250888</v>
      </c>
      <c r="F42" s="3"/>
      <c r="G42" s="29">
        <v>-0.03</v>
      </c>
      <c r="H42" s="10"/>
      <c r="I42" s="10">
        <f t="shared" si="8"/>
        <v>5570.751838022501</v>
      </c>
      <c r="J42" s="10">
        <f t="shared" si="6"/>
        <v>6724444685.3459148</v>
      </c>
      <c r="K42" s="11">
        <f t="shared" si="7"/>
        <v>1.0496759999999883E-2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1194200.8610417636</v>
      </c>
      <c r="D43" s="11">
        <v>1.204E-2</v>
      </c>
      <c r="E43" s="10">
        <f t="shared" si="2"/>
        <v>14207.124586916529</v>
      </c>
      <c r="F43" s="3"/>
      <c r="G43" s="29">
        <v>5.53</v>
      </c>
      <c r="H43" s="10"/>
      <c r="I43" s="10">
        <f t="shared" si="8"/>
        <v>5572.4235650920282</v>
      </c>
      <c r="J43" s="10">
        <f t="shared" si="6"/>
        <v>6654593019.5223141</v>
      </c>
      <c r="K43" s="11">
        <f t="shared" si="7"/>
        <v>6.8005812000000221E-2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1179993.736454847</v>
      </c>
      <c r="D44" s="11">
        <v>1.0919999999999999E-2</v>
      </c>
      <c r="E44" s="10">
        <f t="shared" si="2"/>
        <v>12746.341552335536</v>
      </c>
      <c r="F44" s="3"/>
      <c r="G44" s="29">
        <v>2.81</v>
      </c>
      <c r="H44" s="10"/>
      <c r="I44" s="10">
        <f t="shared" si="8"/>
        <v>5280.4165309315158</v>
      </c>
      <c r="J44" s="10">
        <f t="shared" si="6"/>
        <v>6230858432.3718204</v>
      </c>
      <c r="K44" s="11">
        <f t="shared" si="7"/>
        <v>3.9326852000000079E-2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1167247.3949025115</v>
      </c>
      <c r="D45" s="11">
        <v>7.3200000000000001E-3</v>
      </c>
      <c r="E45" s="10">
        <f t="shared" si="2"/>
        <v>8482.1615084444638</v>
      </c>
      <c r="F45" s="3"/>
      <c r="G45" s="29">
        <v>7.63</v>
      </c>
      <c r="H45" s="10"/>
      <c r="I45" s="10">
        <f t="shared" si="8"/>
        <v>5136.0923362819922</v>
      </c>
      <c r="J45" s="10">
        <f t="shared" si="6"/>
        <v>5995090399.5039091</v>
      </c>
      <c r="K45" s="11">
        <f t="shared" si="7"/>
        <v>8.4178515999999703E-2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1158765.233394067</v>
      </c>
      <c r="D46" s="11">
        <v>-3.4199999999999999E-3</v>
      </c>
      <c r="E46" s="10">
        <f t="shared" si="2"/>
        <v>-3976.5769915187266</v>
      </c>
      <c r="F46" s="3"/>
      <c r="G46" s="29">
        <v>5.66</v>
      </c>
      <c r="H46" s="10"/>
      <c r="I46" s="10">
        <f t="shared" si="8"/>
        <v>4771.9895347784004</v>
      </c>
      <c r="J46" s="10">
        <f t="shared" si="6"/>
        <v>5529615567.0215387</v>
      </c>
      <c r="K46" s="11">
        <f t="shared" si="7"/>
        <v>5.2986428000000085E-2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1162741.8103855858</v>
      </c>
      <c r="D47" s="11">
        <v>-2.3600000000000001E-3</v>
      </c>
      <c r="E47" s="10">
        <f t="shared" si="2"/>
        <v>-2750.5619988271501</v>
      </c>
      <c r="F47" s="3"/>
      <c r="G47" s="29">
        <v>3.05</v>
      </c>
      <c r="H47" s="10"/>
      <c r="I47" s="10">
        <f t="shared" si="8"/>
        <v>4516.3633681415868</v>
      </c>
      <c r="J47" s="10">
        <f t="shared" si="6"/>
        <v>5251364519.0320902</v>
      </c>
      <c r="K47" s="11">
        <f t="shared" si="7"/>
        <v>2.8068020000000082E-2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1165492.3723844129</v>
      </c>
      <c r="D48" s="11">
        <v>-1.08E-3</v>
      </c>
      <c r="E48" s="10">
        <f t="shared" si="2"/>
        <v>-1260.0926622503903</v>
      </c>
      <c r="F48" s="3"/>
      <c r="G48" s="29">
        <v>22.5</v>
      </c>
      <c r="H48" s="10"/>
      <c r="I48" s="10">
        <f t="shared" si="8"/>
        <v>4382.6912839801907</v>
      </c>
      <c r="J48" s="10">
        <f t="shared" si="6"/>
        <v>5107993261.9945612</v>
      </c>
      <c r="K48" s="11">
        <f t="shared" si="7"/>
        <v>0.22367700000000013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1166752.4650466633</v>
      </c>
      <c r="D49" s="11">
        <v>4.8999999999999998E-4</v>
      </c>
      <c r="E49" s="10">
        <f t="shared" si="2"/>
        <v>571.42870780616067</v>
      </c>
      <c r="F49" s="3"/>
      <c r="G49" s="29">
        <v>18.79</v>
      </c>
      <c r="H49" s="10"/>
      <c r="I49" s="10">
        <f t="shared" si="8"/>
        <v>3577.7071705960739</v>
      </c>
      <c r="J49" s="10">
        <f t="shared" si="6"/>
        <v>4174298660.5080924</v>
      </c>
      <c r="K49" s="11">
        <f t="shared" si="7"/>
        <v>0.18848207100000014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1166181.0363388571</v>
      </c>
      <c r="D50" s="11">
        <v>2.1900000000000001E-3</v>
      </c>
      <c r="E50" s="10">
        <f t="shared" si="2"/>
        <v>2548.3555708818603</v>
      </c>
      <c r="F50" s="3"/>
      <c r="G50" s="29">
        <v>15.23</v>
      </c>
      <c r="H50" s="10"/>
      <c r="I50" s="10">
        <f t="shared" si="8"/>
        <v>3011.7915401936812</v>
      </c>
      <c r="J50" s="10">
        <f t="shared" si="6"/>
        <v>3512294179.57967</v>
      </c>
      <c r="K50" s="11">
        <f t="shared" si="7"/>
        <v>0.15482353699999996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1163632.6807679753</v>
      </c>
      <c r="D51" s="11">
        <v>7.8899999999999994E-3</v>
      </c>
      <c r="E51" s="10">
        <f t="shared" si="2"/>
        <v>9109.1903394807596</v>
      </c>
      <c r="F51" s="3"/>
      <c r="G51" s="29">
        <v>32.590000000000003</v>
      </c>
      <c r="H51" s="10"/>
      <c r="I51" s="10">
        <f t="shared" si="8"/>
        <v>2613.7217219419263</v>
      </c>
      <c r="J51" s="10">
        <f t="shared" si="6"/>
        <v>3041412014.0847721</v>
      </c>
      <c r="K51" s="11">
        <f t="shared" si="7"/>
        <v>0.33636135099999986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1154523.4904284945</v>
      </c>
      <c r="D52" s="11">
        <v>9.3799999999999994E-3</v>
      </c>
      <c r="E52" s="10">
        <f t="shared" si="2"/>
        <v>10728.794250152772</v>
      </c>
      <c r="F52" s="3"/>
      <c r="G52" s="29">
        <v>6.04</v>
      </c>
      <c r="H52" s="10"/>
      <c r="I52" s="10">
        <f t="shared" si="8"/>
        <v>1971.2811840575655</v>
      </c>
      <c r="J52" s="10">
        <f t="shared" si="6"/>
        <v>2275890433.2341561</v>
      </c>
      <c r="K52" s="11">
        <f t="shared" si="7"/>
        <v>7.0346551999999951E-2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1143794.6961783418</v>
      </c>
      <c r="D53" s="11">
        <v>1.034E-2</v>
      </c>
      <c r="E53" s="10">
        <f t="shared" si="2"/>
        <v>11705.799194809748</v>
      </c>
      <c r="F53" s="3"/>
      <c r="G53" s="29">
        <v>7.66</v>
      </c>
      <c r="H53" s="10"/>
      <c r="I53" s="10">
        <f t="shared" si="8"/>
        <v>1858.9977216687716</v>
      </c>
      <c r="J53" s="10">
        <f t="shared" si="6"/>
        <v>2126311734.2523623</v>
      </c>
      <c r="K53" s="11">
        <f t="shared" si="7"/>
        <v>8.7732044000000009E-2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1132088.896983532</v>
      </c>
      <c r="D54" s="11">
        <v>1.1209999999999999E-2</v>
      </c>
      <c r="E54" s="10">
        <f t="shared" si="2"/>
        <v>12550.03069113777</v>
      </c>
      <c r="F54" s="3"/>
      <c r="G54" s="29">
        <v>8.91</v>
      </c>
      <c r="H54" s="10"/>
      <c r="I54" s="10">
        <f t="shared" si="8"/>
        <v>1726.7301891777556</v>
      </c>
      <c r="J54" s="10">
        <f t="shared" si="6"/>
        <v>1954812075.254411</v>
      </c>
      <c r="K54" s="11">
        <f t="shared" si="7"/>
        <v>0.101308811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1119538.8662923942</v>
      </c>
      <c r="D55" s="11">
        <v>1.286E-2</v>
      </c>
      <c r="E55" s="10">
        <f t="shared" si="2"/>
        <v>14214.471714274725</v>
      </c>
      <c r="F55" s="3"/>
      <c r="G55" s="29">
        <v>8.18</v>
      </c>
      <c r="H55" s="10"/>
      <c r="I55" s="10">
        <f t="shared" si="8"/>
        <v>1585.465236596966</v>
      </c>
      <c r="J55" s="10">
        <f t="shared" si="6"/>
        <v>1774989953.5257699</v>
      </c>
      <c r="K55" s="11">
        <f t="shared" si="7"/>
        <v>9.5711948000000158E-2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1105324.3945781195</v>
      </c>
      <c r="D56" s="11">
        <v>1.366E-2</v>
      </c>
      <c r="E56" s="10">
        <f t="shared" si="2"/>
        <v>14895.261951677268</v>
      </c>
      <c r="F56" s="3"/>
      <c r="G56" s="29">
        <v>12.14</v>
      </c>
      <c r="H56" s="10"/>
      <c r="I56" s="10">
        <f t="shared" si="8"/>
        <v>1465.5807326649713</v>
      </c>
      <c r="J56" s="10">
        <f t="shared" si="6"/>
        <v>1619942136.0382662</v>
      </c>
      <c r="K56" s="11">
        <f t="shared" si="7"/>
        <v>0.13671832400000006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1090429.1326264422</v>
      </c>
      <c r="D57" s="11">
        <v>1.009E-2</v>
      </c>
      <c r="E57" s="10">
        <f t="shared" si="2"/>
        <v>10892.524377234513</v>
      </c>
      <c r="F57" s="3"/>
      <c r="G57" s="30">
        <v>8.7799999999999994</v>
      </c>
      <c r="H57" s="10"/>
      <c r="I57" s="10">
        <f t="shared" si="8"/>
        <v>1306.9205748751306</v>
      </c>
      <c r="J57" s="10">
        <f t="shared" si="6"/>
        <v>1425104268.8727398</v>
      </c>
      <c r="K57" s="11">
        <f t="shared" si="7"/>
        <v>9.8775902000000082E-2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1079536.6082492077</v>
      </c>
      <c r="D58" s="11">
        <v>2.4580000000000001E-2</v>
      </c>
      <c r="E58" s="10">
        <f t="shared" si="2"/>
        <v>25898.426507218042</v>
      </c>
      <c r="F58" s="3"/>
      <c r="G58" s="30">
        <v>8.6999999999999993</v>
      </c>
      <c r="H58" s="10"/>
      <c r="I58" s="10">
        <f t="shared" si="8"/>
        <v>1201.4346156233962</v>
      </c>
      <c r="J58" s="10">
        <f t="shared" si="6"/>
        <v>1296992649.9832718</v>
      </c>
      <c r="K58" s="11">
        <f t="shared" si="7"/>
        <v>0.11371846000000008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1053638.1817419897</v>
      </c>
      <c r="D59" s="11">
        <v>2.4680000000000001E-2</v>
      </c>
      <c r="E59" s="10">
        <f t="shared" si="2"/>
        <v>25377.474260639865</v>
      </c>
      <c r="F59" s="3"/>
      <c r="G59" s="30">
        <v>11.92</v>
      </c>
      <c r="H59" s="10"/>
      <c r="I59" s="10">
        <f t="shared" si="8"/>
        <v>1105.2756353481107</v>
      </c>
      <c r="J59" s="10">
        <f t="shared" si="6"/>
        <v>1164560610.7519057</v>
      </c>
      <c r="K59" s="11">
        <f t="shared" si="7"/>
        <v>0.14682185600000008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1028260.7074813498</v>
      </c>
      <c r="D60" s="11">
        <v>2.5430000000000001E-2</v>
      </c>
      <c r="E60" s="10">
        <f t="shared" si="2"/>
        <v>25500.199712560396</v>
      </c>
      <c r="F60" s="3"/>
      <c r="G60" s="30">
        <v>11.88</v>
      </c>
      <c r="H60" s="10"/>
      <c r="I60" s="10">
        <f t="shared" si="8"/>
        <v>987.55864487858355</v>
      </c>
      <c r="J60" s="10">
        <f t="shared" si="6"/>
        <v>1015467750.8621755</v>
      </c>
      <c r="K60" s="11">
        <f t="shared" si="7"/>
        <v>0.14725108400000031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1002760.5077687894</v>
      </c>
      <c r="D61" s="11">
        <v>2.5909999999999999E-2</v>
      </c>
      <c r="E61" s="10">
        <f t="shared" si="2"/>
        <v>25325.345065638772</v>
      </c>
      <c r="F61" s="3"/>
      <c r="G61" s="30">
        <v>9.98</v>
      </c>
      <c r="H61" s="10"/>
      <c r="I61" s="10">
        <f t="shared" si="8"/>
        <v>882.69453421396452</v>
      </c>
      <c r="J61" s="10">
        <f t="shared" si="6"/>
        <v>885131219.33313012</v>
      </c>
      <c r="K61" s="11">
        <f t="shared" si="7"/>
        <v>0.12829581800000023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977435.16270315065</v>
      </c>
      <c r="D62" s="11">
        <v>2.6540000000000001E-2</v>
      </c>
      <c r="E62" s="10">
        <f t="shared" si="2"/>
        <v>25270.451437003561</v>
      </c>
      <c r="F62" s="3"/>
      <c r="G62" s="30">
        <v>10.31</v>
      </c>
      <c r="H62" s="10"/>
      <c r="I62" s="10">
        <f t="shared" si="8"/>
        <v>802.59550301324282</v>
      </c>
      <c r="J62" s="10">
        <f t="shared" si="6"/>
        <v>784485066.07256603</v>
      </c>
      <c r="K62" s="11">
        <f t="shared" si="7"/>
        <v>0.13237627400000007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952164.71126614709</v>
      </c>
      <c r="D63" s="11">
        <v>2.64E-2</v>
      </c>
      <c r="E63" s="10">
        <f t="shared" si="2"/>
        <v>24490.596626486978</v>
      </c>
      <c r="F63" s="3"/>
      <c r="G63" s="30">
        <v>14.91</v>
      </c>
      <c r="H63" s="10"/>
      <c r="I63" s="10">
        <f t="shared" si="8"/>
        <v>727.58181761693663</v>
      </c>
      <c r="J63" s="10">
        <f t="shared" si="6"/>
        <v>692777731.29372895</v>
      </c>
      <c r="K63" s="11">
        <f t="shared" si="7"/>
        <v>0.17943624000000002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927674.11463966011</v>
      </c>
      <c r="D64" s="11">
        <v>2.6880000000000001E-2</v>
      </c>
      <c r="E64" s="10">
        <f t="shared" si="2"/>
        <v>24283.149152300204</v>
      </c>
      <c r="F64" s="3"/>
      <c r="G64" s="30">
        <v>13.57</v>
      </c>
      <c r="H64" s="10"/>
      <c r="I64" s="10">
        <f t="shared" si="8"/>
        <v>633.17536995643252</v>
      </c>
      <c r="J64" s="10">
        <f t="shared" si="6"/>
        <v>587380400.73597276</v>
      </c>
      <c r="K64" s="11">
        <f t="shared" si="7"/>
        <v>0.1662276159999998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903390.96548735991</v>
      </c>
      <c r="D65" s="11">
        <v>2.6429999999999999E-2</v>
      </c>
      <c r="E65" s="10">
        <f t="shared" si="2"/>
        <v>23261.813487359905</v>
      </c>
      <c r="F65" s="3"/>
      <c r="G65" s="30">
        <v>7.34</v>
      </c>
      <c r="H65" s="10"/>
      <c r="I65" s="10">
        <f t="shared" si="8"/>
        <v>557.51991719330158</v>
      </c>
      <c r="J65" s="10">
        <f t="shared" si="6"/>
        <v>503658456.27168965</v>
      </c>
      <c r="K65" s="11">
        <f t="shared" si="7"/>
        <v>0.10176996199999988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880129.152</v>
      </c>
      <c r="D66" s="11">
        <v>2.6270000000000002E-2</v>
      </c>
      <c r="E66" s="10">
        <f t="shared" si="2"/>
        <v>22529.152000000002</v>
      </c>
      <c r="F66" s="23">
        <f>SUM(F2)</f>
        <v>2051970</v>
      </c>
      <c r="G66" s="30">
        <v>12.34</v>
      </c>
      <c r="H66" s="10"/>
      <c r="I66" s="10">
        <f t="shared" si="8"/>
        <v>519.39623364384352</v>
      </c>
      <c r="J66" s="10">
        <f t="shared" ref="J66:J67" si="9">IF(I66="","",I66*C66)</f>
        <v>457135766.66894984</v>
      </c>
      <c r="K66" s="11">
        <f t="shared" ref="K66" si="10">IFERROR(J66/J67-1,"")</f>
        <v>0.15291171799999992</v>
      </c>
    </row>
    <row r="67" spans="1:11" ht="22.5" customHeight="1">
      <c r="A67" s="3">
        <f t="shared" si="0"/>
        <v>1950</v>
      </c>
      <c r="B67" s="3">
        <v>1700</v>
      </c>
      <c r="C67" s="10">
        <v>857600</v>
      </c>
      <c r="D67" s="11">
        <v>2.546E-2</v>
      </c>
      <c r="E67" s="3" t="s">
        <v>72</v>
      </c>
      <c r="F67" s="10">
        <f>SUM(C2)</f>
        <v>2051787.1050554302</v>
      </c>
      <c r="G67" s="30">
        <v>11.44</v>
      </c>
      <c r="H67" s="10"/>
      <c r="I67" s="10">
        <f t="shared" ref="I67" si="11">IF(H67&lt;&gt;"",H67,I66/(1+IF(G66="",0,G66)/100))</f>
        <v>462.34309564166239</v>
      </c>
      <c r="J67" s="10">
        <f t="shared" si="9"/>
        <v>396505438.82228965</v>
      </c>
      <c r="K67" s="11"/>
    </row>
  </sheetData>
  <dataValidations count="1">
    <dataValidation type="custom" allowBlank="1" showDropDown="1" sqref="D2:D67" xr:uid="{00000000-0002-0000-4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M67"/>
  <sheetViews>
    <sheetView workbookViewId="0">
      <selection activeCell="M26" sqref="M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36358714.310645491</v>
      </c>
      <c r="D2" s="11">
        <v>2.1729999999999999E-2</v>
      </c>
      <c r="E2" s="10">
        <f t="shared" ref="E2:E66" si="2">SUM(C2-C3)</f>
        <v>773271.66861139983</v>
      </c>
      <c r="F2" s="14">
        <v>36356117</v>
      </c>
      <c r="G2" s="26">
        <v>6.58</v>
      </c>
      <c r="H2" s="10"/>
      <c r="I2" s="10">
        <f>IF(H2&lt;&gt;"",H2,8888)</f>
        <v>1111</v>
      </c>
      <c r="J2" s="10">
        <f t="shared" ref="J2:J33" si="3">IF(I2="","",I2*C2)</f>
        <v>40394531599.127144</v>
      </c>
      <c r="K2" s="11">
        <f t="shared" ref="K2:K33" si="4">IFERROR(J2/J3-1,"")</f>
        <v>8.8959834000000182E-2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35585442.642034091</v>
      </c>
      <c r="D3" s="11">
        <v>2.282E-2</v>
      </c>
      <c r="E3" s="10">
        <f t="shared" si="2"/>
        <v>793942.04365501553</v>
      </c>
      <c r="F3" s="3"/>
      <c r="G3" s="26">
        <v>13.54</v>
      </c>
      <c r="H3" s="10"/>
      <c r="I3" s="10">
        <f t="shared" ref="I3:I34" si="5">IF(H3&lt;&gt;"",H3,I2/(1+IF(G2="",0,G2)/100))</f>
        <v>1042.4094576843684</v>
      </c>
      <c r="J3" s="10">
        <f t="shared" si="3"/>
        <v>37094601965.940956</v>
      </c>
      <c r="K3" s="11">
        <f t="shared" si="4"/>
        <v>0.16130982800000027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34791500.598379076</v>
      </c>
      <c r="D4" s="11">
        <v>2.3970000000000002E-2</v>
      </c>
      <c r="E4" s="10">
        <f t="shared" si="2"/>
        <v>814430.37329526246</v>
      </c>
      <c r="F4" s="3"/>
      <c r="G4" s="26">
        <v>3.82</v>
      </c>
      <c r="H4" s="10"/>
      <c r="I4" s="10">
        <f t="shared" si="5"/>
        <v>918.09887060451683</v>
      </c>
      <c r="J4" s="10">
        <f t="shared" si="3"/>
        <v>31942037406.008202</v>
      </c>
      <c r="K4" s="11">
        <f t="shared" si="4"/>
        <v>6.3085654000000213E-2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33977070.225083813</v>
      </c>
      <c r="D5" s="11">
        <v>2.5489999999999999E-2</v>
      </c>
      <c r="E5" s="10">
        <f t="shared" si="2"/>
        <v>844547.99172823131</v>
      </c>
      <c r="F5" s="3"/>
      <c r="G5" s="26">
        <v>-4.66</v>
      </c>
      <c r="H5" s="10"/>
      <c r="I5" s="10">
        <f t="shared" si="5"/>
        <v>884.31792583752338</v>
      </c>
      <c r="J5" s="10">
        <f t="shared" si="3"/>
        <v>30046532267.481991</v>
      </c>
      <c r="K5" s="11">
        <f t="shared" si="4"/>
        <v>-2.2297834000000183E-2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33132522.233355582</v>
      </c>
      <c r="D6" s="11">
        <v>2.6689999999999998E-2</v>
      </c>
      <c r="E6" s="10">
        <f t="shared" si="2"/>
        <v>861318.4295242615</v>
      </c>
      <c r="F6" s="3"/>
      <c r="G6" s="26">
        <v>-1.1100000000000001</v>
      </c>
      <c r="H6" s="10"/>
      <c r="I6" s="10">
        <f t="shared" si="5"/>
        <v>927.54135288181601</v>
      </c>
      <c r="J6" s="10">
        <f t="shared" si="3"/>
        <v>30731784496.713486</v>
      </c>
      <c r="K6" s="11">
        <f t="shared" si="4"/>
        <v>1.5293741000000027E-2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32271203.80383132</v>
      </c>
      <c r="D7" s="11">
        <v>2.8340000000000001E-2</v>
      </c>
      <c r="E7" s="10">
        <f t="shared" si="2"/>
        <v>889361.41334634647</v>
      </c>
      <c r="F7" s="3"/>
      <c r="G7" s="26">
        <v>10.130000000000001</v>
      </c>
      <c r="H7" s="10"/>
      <c r="I7" s="10">
        <f t="shared" si="5"/>
        <v>937.95262704198205</v>
      </c>
      <c r="J7" s="10">
        <f t="shared" si="3"/>
        <v>30268860385.61079</v>
      </c>
      <c r="K7" s="11">
        <f t="shared" si="4"/>
        <v>0.13251084200000007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31381842.390484974</v>
      </c>
      <c r="D8" s="11">
        <v>2.971E-2</v>
      </c>
      <c r="E8" s="10">
        <f t="shared" si="2"/>
        <v>905453.51353420317</v>
      </c>
      <c r="F8" s="3"/>
      <c r="G8" s="26">
        <v>6.8</v>
      </c>
      <c r="H8" s="10"/>
      <c r="I8" s="10">
        <f t="shared" si="5"/>
        <v>851.67767823661313</v>
      </c>
      <c r="J8" s="10">
        <f t="shared" si="3"/>
        <v>26727214665.915569</v>
      </c>
      <c r="K8" s="11">
        <f t="shared" si="4"/>
        <v>9.9730279999999949E-2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30476388.876950771</v>
      </c>
      <c r="D9" s="11">
        <v>3.0720000000000001E-2</v>
      </c>
      <c r="E9" s="10">
        <f t="shared" si="2"/>
        <v>908330.74578928202</v>
      </c>
      <c r="F9" s="3"/>
      <c r="G9" s="26">
        <v>2.2999999999999998</v>
      </c>
      <c r="H9" s="10"/>
      <c r="I9" s="10">
        <f t="shared" si="5"/>
        <v>797.45100958484375</v>
      </c>
      <c r="J9" s="10">
        <f t="shared" si="3"/>
        <v>24303427078.424694</v>
      </c>
      <c r="K9" s="11">
        <f t="shared" si="4"/>
        <v>5.4426559999999791E-2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29568058.131161489</v>
      </c>
      <c r="D10" s="11">
        <v>2.9860000000000001E-2</v>
      </c>
      <c r="E10" s="10">
        <f t="shared" si="2"/>
        <v>857303.14391905814</v>
      </c>
      <c r="F10" s="3"/>
      <c r="G10" s="26">
        <v>7.82</v>
      </c>
      <c r="H10" s="10"/>
      <c r="I10" s="10">
        <f t="shared" si="5"/>
        <v>779.52200350424619</v>
      </c>
      <c r="J10" s="10">
        <f t="shared" si="3"/>
        <v>23048951914.133022</v>
      </c>
      <c r="K10" s="11">
        <f t="shared" si="4"/>
        <v>0.1103950520000001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28710754.98724243</v>
      </c>
      <c r="D11" s="11">
        <v>3.0599999999999999E-2</v>
      </c>
      <c r="E11" s="10">
        <f t="shared" si="2"/>
        <v>852463.71299206093</v>
      </c>
      <c r="F11" s="3"/>
      <c r="G11" s="26">
        <v>5.41</v>
      </c>
      <c r="H11" s="10"/>
      <c r="I11" s="10">
        <f t="shared" si="5"/>
        <v>722.98460721966808</v>
      </c>
      <c r="J11" s="10">
        <f t="shared" si="3"/>
        <v>20757433917.431595</v>
      </c>
      <c r="K11" s="11">
        <f t="shared" si="4"/>
        <v>8.6355460000000051E-2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27858291.27425037</v>
      </c>
      <c r="D12" s="11">
        <v>3.0339999999999999E-2</v>
      </c>
      <c r="E12" s="10">
        <f t="shared" si="2"/>
        <v>820331.69367466867</v>
      </c>
      <c r="F12" s="3"/>
      <c r="G12" s="26">
        <v>6.34</v>
      </c>
      <c r="H12" s="10"/>
      <c r="I12" s="10">
        <f t="shared" si="5"/>
        <v>685.87857624482308</v>
      </c>
      <c r="J12" s="10">
        <f t="shared" si="3"/>
        <v>19107405155.796421</v>
      </c>
      <c r="K12" s="11">
        <f t="shared" si="4"/>
        <v>9.5663555999999872E-2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27037959.580575701</v>
      </c>
      <c r="D13" s="11">
        <v>3.1119999999999998E-2</v>
      </c>
      <c r="E13" s="10">
        <f t="shared" si="2"/>
        <v>816026.55573310331</v>
      </c>
      <c r="F13" s="3"/>
      <c r="G13" s="26">
        <v>2.72</v>
      </c>
      <c r="H13" s="10"/>
      <c r="I13" s="10">
        <f t="shared" si="5"/>
        <v>644.98643619035465</v>
      </c>
      <c r="J13" s="10">
        <f t="shared" si="3"/>
        <v>17439117191.734379</v>
      </c>
      <c r="K13" s="11">
        <f t="shared" si="4"/>
        <v>5.9166464000000252E-2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26221933.024842598</v>
      </c>
      <c r="D14" s="11">
        <v>3.0980000000000001E-2</v>
      </c>
      <c r="E14" s="10">
        <f t="shared" si="2"/>
        <v>787944.950541839</v>
      </c>
      <c r="F14" s="3"/>
      <c r="G14" s="26">
        <v>2.16</v>
      </c>
      <c r="H14" s="10"/>
      <c r="I14" s="10">
        <f t="shared" si="5"/>
        <v>627.90735610431716</v>
      </c>
      <c r="J14" s="10">
        <f t="shared" si="3"/>
        <v>16464944637.573395</v>
      </c>
      <c r="K14" s="11">
        <f t="shared" si="4"/>
        <v>5.3249168000000235E-2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25433988.074300759</v>
      </c>
      <c r="D15" s="11">
        <v>3.073E-2</v>
      </c>
      <c r="E15" s="10">
        <f t="shared" si="2"/>
        <v>758284.37468906492</v>
      </c>
      <c r="F15" s="3"/>
      <c r="G15" s="26">
        <v>-0.16</v>
      </c>
      <c r="H15" s="10"/>
      <c r="I15" s="10">
        <f t="shared" si="5"/>
        <v>614.63131960093688</v>
      </c>
      <c r="J15" s="10">
        <f t="shared" si="3"/>
        <v>15632525652.821966</v>
      </c>
      <c r="K15" s="11">
        <f t="shared" si="4"/>
        <v>2.9080832000000001E-2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24675703.699611694</v>
      </c>
      <c r="D16" s="11">
        <v>3.2219999999999999E-2</v>
      </c>
      <c r="E16" s="10">
        <f t="shared" si="2"/>
        <v>770234.22642603889</v>
      </c>
      <c r="F16" s="3"/>
      <c r="G16" s="26">
        <v>-0.12</v>
      </c>
      <c r="H16" s="10"/>
      <c r="I16" s="10">
        <f t="shared" si="5"/>
        <v>615.61630569004092</v>
      </c>
      <c r="J16" s="10">
        <f t="shared" si="3"/>
        <v>15190765551.857025</v>
      </c>
      <c r="K16" s="11">
        <f t="shared" si="4"/>
        <v>3.0981335999999748E-2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23905469.473185655</v>
      </c>
      <c r="D17" s="11">
        <v>3.0470000000000001E-2</v>
      </c>
      <c r="E17" s="10">
        <f t="shared" si="2"/>
        <v>706861.58243128657</v>
      </c>
      <c r="F17" s="3"/>
      <c r="G17" s="26">
        <v>-2.4900000000000002</v>
      </c>
      <c r="H17" s="10"/>
      <c r="I17" s="10">
        <f t="shared" si="5"/>
        <v>616.35593280941225</v>
      </c>
      <c r="J17" s="10">
        <f t="shared" si="3"/>
        <v>14734277936.392273</v>
      </c>
      <c r="K17" s="11">
        <f t="shared" si="4"/>
        <v>4.8112970000000477E-3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23198607.890754368</v>
      </c>
      <c r="D18" s="11">
        <v>2.9770000000000001E-2</v>
      </c>
      <c r="E18" s="10">
        <f t="shared" si="2"/>
        <v>670657.09518412873</v>
      </c>
      <c r="F18" s="3"/>
      <c r="G18" s="26">
        <v>1.86</v>
      </c>
      <c r="H18" s="10"/>
      <c r="I18" s="10">
        <f t="shared" si="5"/>
        <v>632.09510081982592</v>
      </c>
      <c r="J18" s="10">
        <f t="shared" si="3"/>
        <v>14663726393.585991</v>
      </c>
      <c r="K18" s="11">
        <f t="shared" si="4"/>
        <v>4.8923722000000058E-2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22527950.795570239</v>
      </c>
      <c r="D19" s="11">
        <v>2.7890000000000002E-2</v>
      </c>
      <c r="E19" s="10">
        <f t="shared" si="2"/>
        <v>611256.6010842137</v>
      </c>
      <c r="F19" s="3"/>
      <c r="G19" s="26">
        <v>-3.77</v>
      </c>
      <c r="H19" s="10"/>
      <c r="I19" s="10">
        <f t="shared" si="5"/>
        <v>620.55281839763006</v>
      </c>
      <c r="J19" s="10">
        <f t="shared" si="3"/>
        <v>13979783358.914244</v>
      </c>
      <c r="K19" s="11">
        <f t="shared" si="4"/>
        <v>-1.0861452999999965E-2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21916694.194486026</v>
      </c>
      <c r="D20" s="11">
        <v>2.7300000000000001E-2</v>
      </c>
      <c r="E20" s="10">
        <f t="shared" si="2"/>
        <v>582425.53441980854</v>
      </c>
      <c r="F20" s="3"/>
      <c r="G20" s="26">
        <v>-3.9</v>
      </c>
      <c r="H20" s="10"/>
      <c r="I20" s="10">
        <f t="shared" si="5"/>
        <v>644.86419868817416</v>
      </c>
      <c r="J20" s="10">
        <f t="shared" si="3"/>
        <v>14133291439.620989</v>
      </c>
      <c r="K20" s="11">
        <f t="shared" si="4"/>
        <v>-1.2764700000000073E-2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21334268.660066217</v>
      </c>
      <c r="D21" s="11">
        <v>2.7359999999999999E-2</v>
      </c>
      <c r="E21" s="10">
        <f t="shared" si="2"/>
        <v>568160.71342023462</v>
      </c>
      <c r="F21" s="3"/>
      <c r="G21" s="26">
        <v>7.73</v>
      </c>
      <c r="H21" s="10"/>
      <c r="I21" s="10">
        <f t="shared" si="5"/>
        <v>671.03454598145072</v>
      </c>
      <c r="J21" s="10">
        <f t="shared" si="3"/>
        <v>14316031284.153828</v>
      </c>
      <c r="K21" s="11">
        <f t="shared" si="4"/>
        <v>0.10677492799999988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20766107.946645983</v>
      </c>
      <c r="D22" s="11">
        <v>2.7699999999999999E-2</v>
      </c>
      <c r="E22" s="10">
        <f t="shared" si="2"/>
        <v>559717.02843445912</v>
      </c>
      <c r="F22" s="3"/>
      <c r="G22" s="26">
        <v>-3.31</v>
      </c>
      <c r="H22" s="10"/>
      <c r="I22" s="10">
        <f t="shared" si="5"/>
        <v>622.88549705880519</v>
      </c>
      <c r="J22" s="10">
        <f t="shared" si="3"/>
        <v>12934907470.323387</v>
      </c>
      <c r="K22" s="11">
        <f t="shared" si="4"/>
        <v>-6.31687000000003E-3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20206390.918211523</v>
      </c>
      <c r="D23" s="11">
        <v>2.9100000000000001E-2</v>
      </c>
      <c r="E23" s="10">
        <f t="shared" si="2"/>
        <v>571378.85115144774</v>
      </c>
      <c r="F23" s="3"/>
      <c r="G23" s="26">
        <v>5.94</v>
      </c>
      <c r="H23" s="10"/>
      <c r="I23" s="10">
        <f t="shared" si="5"/>
        <v>644.2088086242685</v>
      </c>
      <c r="J23" s="10">
        <f t="shared" si="3"/>
        <v>13017135020.017284</v>
      </c>
      <c r="K23" s="11">
        <f t="shared" si="4"/>
        <v>9.0228540000000024E-2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19635012.067060076</v>
      </c>
      <c r="D24" s="11">
        <v>2.8969999999999999E-2</v>
      </c>
      <c r="E24" s="10">
        <f t="shared" si="2"/>
        <v>552811.354638841</v>
      </c>
      <c r="F24" s="3"/>
      <c r="G24" s="26">
        <v>18.2</v>
      </c>
      <c r="H24" s="10"/>
      <c r="I24" s="10">
        <f t="shared" si="5"/>
        <v>608.08836003801071</v>
      </c>
      <c r="J24" s="10">
        <f t="shared" si="3"/>
        <v>11939822287.185112</v>
      </c>
      <c r="K24" s="11">
        <f t="shared" si="4"/>
        <v>0.21624253999999965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19082200.712421235</v>
      </c>
      <c r="D25" s="11">
        <v>3.0429999999999999E-2</v>
      </c>
      <c r="E25" s="10">
        <f t="shared" si="2"/>
        <v>563523.35207532346</v>
      </c>
      <c r="F25" s="3"/>
      <c r="G25" s="26">
        <v>13.85</v>
      </c>
      <c r="H25" s="10"/>
      <c r="I25" s="10">
        <f t="shared" si="5"/>
        <v>514.45715739256411</v>
      </c>
      <c r="J25" s="10">
        <f t="shared" si="3"/>
        <v>9816974735.306591</v>
      </c>
      <c r="K25" s="11">
        <f t="shared" si="4"/>
        <v>0.17314455500000014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18518677.360345911</v>
      </c>
      <c r="D26" s="11">
        <v>3.0870000000000002E-2</v>
      </c>
      <c r="E26" s="10">
        <f t="shared" si="2"/>
        <v>554552.53340758383</v>
      </c>
      <c r="F26" s="3"/>
      <c r="G26" s="26">
        <v>9.5500000000000007</v>
      </c>
      <c r="H26" s="10"/>
      <c r="I26" s="10">
        <f t="shared" si="5"/>
        <v>451.87277768341158</v>
      </c>
      <c r="J26" s="10">
        <f t="shared" si="3"/>
        <v>8368086177.8424149</v>
      </c>
      <c r="K26" s="11">
        <f t="shared" si="4"/>
        <v>0.12931808499999975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17964124.826938327</v>
      </c>
      <c r="D27" s="11">
        <v>3.3980000000000003E-2</v>
      </c>
      <c r="E27" s="10">
        <f t="shared" si="2"/>
        <v>590360.51144061238</v>
      </c>
      <c r="F27" s="3"/>
      <c r="G27" s="26">
        <v>-7.01</v>
      </c>
      <c r="H27" s="10"/>
      <c r="I27" s="10">
        <f t="shared" si="5"/>
        <v>412.48085594104208</v>
      </c>
      <c r="J27" s="10">
        <f t="shared" si="3"/>
        <v>7409857584.8472462</v>
      </c>
      <c r="K27" s="11">
        <f t="shared" si="4"/>
        <v>-3.8501998000000093E-2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17373764.315497715</v>
      </c>
      <c r="D28" s="11">
        <v>3.4849999999999999E-2</v>
      </c>
      <c r="E28" s="10">
        <f t="shared" si="2"/>
        <v>585085.45817760751</v>
      </c>
      <c r="F28" s="3"/>
      <c r="G28" s="26">
        <v>-1.42</v>
      </c>
      <c r="H28" s="10"/>
      <c r="I28" s="10">
        <f t="shared" si="5"/>
        <v>443.57549837729016</v>
      </c>
      <c r="J28" s="10">
        <f t="shared" si="3"/>
        <v>7706576164.9364786</v>
      </c>
      <c r="K28" s="11">
        <f t="shared" si="4"/>
        <v>2.0155130000000243E-2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16788678.857320108</v>
      </c>
      <c r="D29" s="11">
        <v>3.5299999999999998E-2</v>
      </c>
      <c r="E29" s="10">
        <f t="shared" si="2"/>
        <v>572433.46243928932</v>
      </c>
      <c r="F29" s="3"/>
      <c r="G29" s="26">
        <v>2.91</v>
      </c>
      <c r="H29" s="10"/>
      <c r="I29" s="10">
        <f t="shared" si="5"/>
        <v>449.96500139712941</v>
      </c>
      <c r="J29" s="10">
        <f t="shared" si="3"/>
        <v>7554317905.4899988</v>
      </c>
      <c r="K29" s="11">
        <f t="shared" si="4"/>
        <v>6.5427229999999836E-2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16216245.394880818</v>
      </c>
      <c r="D30" s="11">
        <v>3.524E-2</v>
      </c>
      <c r="E30" s="10">
        <f t="shared" si="2"/>
        <v>552007.73512963019</v>
      </c>
      <c r="F30" s="3"/>
      <c r="G30" s="26">
        <v>2.77</v>
      </c>
      <c r="H30" s="10"/>
      <c r="I30" s="10">
        <f t="shared" si="5"/>
        <v>437.24128014491248</v>
      </c>
      <c r="J30" s="10">
        <f t="shared" si="3"/>
        <v>7090411895.6017303</v>
      </c>
      <c r="K30" s="11">
        <f t="shared" si="4"/>
        <v>6.3916147999999895E-2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15664237.659751188</v>
      </c>
      <c r="D31" s="11">
        <v>3.5299999999999998E-2</v>
      </c>
      <c r="E31" s="10">
        <f t="shared" si="2"/>
        <v>534094.06876191869</v>
      </c>
      <c r="F31" s="3"/>
      <c r="G31" s="26">
        <v>4.6900000000000004</v>
      </c>
      <c r="H31" s="10"/>
      <c r="I31" s="10">
        <f t="shared" si="5"/>
        <v>425.45614493034196</v>
      </c>
      <c r="J31" s="10">
        <f t="shared" si="3"/>
        <v>6664446167.9904222</v>
      </c>
      <c r="K31" s="11">
        <f t="shared" si="4"/>
        <v>8.3855569999999879E-2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15130143.590989269</v>
      </c>
      <c r="D32" s="11">
        <v>3.6319999999999998E-2</v>
      </c>
      <c r="E32" s="10">
        <f t="shared" si="2"/>
        <v>530267.49963788129</v>
      </c>
      <c r="F32" s="3"/>
      <c r="G32" s="26">
        <v>4</v>
      </c>
      <c r="H32" s="10"/>
      <c r="I32" s="10">
        <f t="shared" si="5"/>
        <v>406.39616480116723</v>
      </c>
      <c r="J32" s="10">
        <f t="shared" si="3"/>
        <v>6148832328.2689991</v>
      </c>
      <c r="K32" s="11">
        <f t="shared" si="4"/>
        <v>7.7772799999999975E-2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14599876.091351388</v>
      </c>
      <c r="D33" s="11">
        <v>3.6540000000000003E-2</v>
      </c>
      <c r="E33" s="10">
        <f t="shared" si="2"/>
        <v>514673.309643602</v>
      </c>
      <c r="F33" s="3"/>
      <c r="G33" s="26">
        <v>-0.35</v>
      </c>
      <c r="H33" s="10"/>
      <c r="I33" s="10">
        <f t="shared" si="5"/>
        <v>390.76554307804543</v>
      </c>
      <c r="J33" s="10">
        <f t="shared" si="3"/>
        <v>5705128509.709096</v>
      </c>
      <c r="K33" s="11">
        <f t="shared" si="4"/>
        <v>3.291211000000005E-2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14085202.781707786</v>
      </c>
      <c r="D34" s="11">
        <v>3.7019999999999997E-2</v>
      </c>
      <c r="E34" s="10">
        <f t="shared" si="2"/>
        <v>502819.81734086387</v>
      </c>
      <c r="F34" s="3"/>
      <c r="G34" s="26">
        <v>1.92</v>
      </c>
      <c r="H34" s="10"/>
      <c r="I34" s="10">
        <f t="shared" si="5"/>
        <v>392.13802616963915</v>
      </c>
      <c r="J34" s="10">
        <f t="shared" ref="J34:J65" si="6">IF(I34="","",I34*C34)</f>
        <v>5523343617.0180016</v>
      </c>
      <c r="K34" s="11">
        <f t="shared" ref="K34:K65" si="7">IFERROR(J34/J35-1,"")</f>
        <v>7.0412044000000007E-2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13582382.964366922</v>
      </c>
      <c r="D35" s="11">
        <v>3.6020000000000003E-2</v>
      </c>
      <c r="E35" s="10">
        <f t="shared" si="2"/>
        <v>472227.78940222785</v>
      </c>
      <c r="F35" s="3"/>
      <c r="G35" s="26">
        <v>-2.35</v>
      </c>
      <c r="H35" s="10"/>
      <c r="I35" s="10">
        <f t="shared" ref="I35:I66" si="8">IF(H35&lt;&gt;"",H35,I34/(1+IF(G34="",0,G34)/100))</f>
        <v>379.90508251272928</v>
      </c>
      <c r="J35" s="10">
        <f t="shared" si="6"/>
        <v>5160016320.7973042</v>
      </c>
      <c r="K35" s="11">
        <f t="shared" si="7"/>
        <v>3.9646070000000089E-2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13110155.174964694</v>
      </c>
      <c r="D36" s="11">
        <v>3.5520000000000003E-2</v>
      </c>
      <c r="E36" s="10">
        <f t="shared" si="2"/>
        <v>449699.38949971646</v>
      </c>
      <c r="F36" s="3"/>
      <c r="G36" s="26">
        <v>-5.07</v>
      </c>
      <c r="H36" s="10"/>
      <c r="I36" s="10">
        <f t="shared" si="8"/>
        <v>378.58005232957572</v>
      </c>
      <c r="J36" s="10">
        <f t="shared" si="6"/>
        <v>4963243232.1869917</v>
      </c>
      <c r="K36" s="11">
        <f t="shared" si="7"/>
        <v>3.2724095999999925E-2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12660455.785464978</v>
      </c>
      <c r="D37" s="11">
        <v>3.5990000000000001E-2</v>
      </c>
      <c r="E37" s="10">
        <f t="shared" si="2"/>
        <v>439820.65822921507</v>
      </c>
      <c r="F37" s="3"/>
      <c r="G37" s="26">
        <v>-7.6</v>
      </c>
      <c r="H37" s="10"/>
      <c r="I37" s="10">
        <f t="shared" si="8"/>
        <v>379.60498579121202</v>
      </c>
      <c r="J37" s="10">
        <f t="shared" si="6"/>
        <v>4805972138.5517006</v>
      </c>
      <c r="K37" s="11">
        <f t="shared" si="7"/>
        <v>1.2162229999999941E-2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12220635.127235763</v>
      </c>
      <c r="D38" s="11">
        <v>3.4869999999999998E-2</v>
      </c>
      <c r="E38" s="10">
        <f t="shared" si="2"/>
        <v>411774.95423261821</v>
      </c>
      <c r="F38" s="3"/>
      <c r="G38" s="26">
        <v>-1.87</v>
      </c>
      <c r="H38" s="10"/>
      <c r="I38" s="10">
        <f t="shared" si="8"/>
        <v>388.54143888558036</v>
      </c>
      <c r="J38" s="10">
        <f t="shared" si="6"/>
        <v>4748223156.4318504</v>
      </c>
      <c r="K38" s="11">
        <f t="shared" si="7"/>
        <v>5.3808120999999876E-2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11808860.173003145</v>
      </c>
      <c r="D39" s="11">
        <v>3.4419999999999999E-2</v>
      </c>
      <c r="E39" s="10">
        <f t="shared" si="2"/>
        <v>392936.10637339391</v>
      </c>
      <c r="F39" s="3"/>
      <c r="G39" s="26">
        <v>8.5500000000000007</v>
      </c>
      <c r="H39" s="10"/>
      <c r="I39" s="10">
        <f t="shared" si="8"/>
        <v>381.55891081761797</v>
      </c>
      <c r="J39" s="10">
        <f t="shared" si="6"/>
        <v>4505775825.6086273</v>
      </c>
      <c r="K39" s="11">
        <f t="shared" si="7"/>
        <v>0.1228629099999996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11415924.066629751</v>
      </c>
      <c r="D40" s="11">
        <v>3.4419999999999999E-2</v>
      </c>
      <c r="E40" s="10">
        <f t="shared" si="2"/>
        <v>379861.28107866645</v>
      </c>
      <c r="F40" s="3"/>
      <c r="G40" s="26">
        <v>0.83</v>
      </c>
      <c r="H40" s="10"/>
      <c r="I40" s="10">
        <f t="shared" si="8"/>
        <v>351.50521494022848</v>
      </c>
      <c r="J40" s="10">
        <f t="shared" si="6"/>
        <v>4012756842.7820177</v>
      </c>
      <c r="K40" s="11">
        <f t="shared" si="7"/>
        <v>4.3005685999999654E-2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11036062.785551084</v>
      </c>
      <c r="D41" s="11">
        <v>3.1940000000000003E-2</v>
      </c>
      <c r="E41" s="10">
        <f t="shared" si="2"/>
        <v>341581.72507171147</v>
      </c>
      <c r="F41" s="3"/>
      <c r="G41" s="26">
        <v>-3.39</v>
      </c>
      <c r="H41" s="10"/>
      <c r="I41" s="10">
        <f t="shared" si="8"/>
        <v>348.61173751882228</v>
      </c>
      <c r="J41" s="10">
        <f t="shared" si="6"/>
        <v>3847301023.0377774</v>
      </c>
      <c r="K41" s="11">
        <f t="shared" si="7"/>
        <v>-3.0427659999999745E-3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10694481.060479373</v>
      </c>
      <c r="D42" s="11">
        <v>3.3020000000000001E-2</v>
      </c>
      <c r="E42" s="10">
        <f t="shared" si="2"/>
        <v>341844.07331613079</v>
      </c>
      <c r="F42" s="3"/>
      <c r="G42" s="26">
        <v>-8.8800000000000008</v>
      </c>
      <c r="H42" s="10"/>
      <c r="I42" s="10">
        <f t="shared" si="8"/>
        <v>360.84436136923949</v>
      </c>
      <c r="J42" s="10">
        <f t="shared" si="6"/>
        <v>3859043188.4441066</v>
      </c>
      <c r="K42" s="11">
        <f t="shared" si="7"/>
        <v>-5.8712175999999894E-2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10352636.987163242</v>
      </c>
      <c r="D43" s="11">
        <v>3.3439999999999998E-2</v>
      </c>
      <c r="E43" s="10">
        <f t="shared" si="2"/>
        <v>334990.11152146012</v>
      </c>
      <c r="F43" s="3"/>
      <c r="G43" s="26">
        <v>2.61</v>
      </c>
      <c r="H43" s="10"/>
      <c r="I43" s="10">
        <f t="shared" si="8"/>
        <v>396.01005418046475</v>
      </c>
      <c r="J43" s="10">
        <f t="shared" si="6"/>
        <v>4099748334.1971989</v>
      </c>
      <c r="K43" s="11">
        <f t="shared" si="7"/>
        <v>6.0412783999999942E-2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10017646.875641782</v>
      </c>
      <c r="D44" s="11">
        <v>3.431E-2</v>
      </c>
      <c r="E44" s="10">
        <f t="shared" si="2"/>
        <v>332304.11027957872</v>
      </c>
      <c r="F44" s="3"/>
      <c r="G44" s="26">
        <v>6.53</v>
      </c>
      <c r="H44" s="10"/>
      <c r="I44" s="10">
        <f t="shared" si="8"/>
        <v>385.93709597550406</v>
      </c>
      <c r="J44" s="10">
        <f t="shared" si="6"/>
        <v>3866181543.6932707</v>
      </c>
      <c r="K44" s="11">
        <f t="shared" si="7"/>
        <v>0.10185044300000023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9685342.7653622031</v>
      </c>
      <c r="D45" s="11">
        <v>3.4750000000000003E-2</v>
      </c>
      <c r="E45" s="10">
        <f t="shared" si="2"/>
        <v>325262.77950841933</v>
      </c>
      <c r="F45" s="3"/>
      <c r="G45" s="26">
        <v>5.64</v>
      </c>
      <c r="H45" s="10"/>
      <c r="I45" s="10">
        <f t="shared" si="8"/>
        <v>362.28019898198073</v>
      </c>
      <c r="J45" s="10">
        <f t="shared" si="6"/>
        <v>3508807904.2441063</v>
      </c>
      <c r="K45" s="11">
        <f t="shared" si="7"/>
        <v>9.3109899999999968E-2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9360079.9858537838</v>
      </c>
      <c r="D46" s="11">
        <v>3.4799999999999998E-2</v>
      </c>
      <c r="E46" s="10">
        <f t="shared" si="2"/>
        <v>314776.55924595147</v>
      </c>
      <c r="F46" s="3"/>
      <c r="G46" s="26">
        <v>6.3</v>
      </c>
      <c r="H46" s="10"/>
      <c r="I46" s="10">
        <f t="shared" si="8"/>
        <v>342.93846931274209</v>
      </c>
      <c r="J46" s="10">
        <f t="shared" si="6"/>
        <v>3209931502.9935293</v>
      </c>
      <c r="K46" s="11">
        <f t="shared" si="7"/>
        <v>9.999239999999987E-2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9045303.4266078323</v>
      </c>
      <c r="D47" s="11">
        <v>3.7830000000000003E-2</v>
      </c>
      <c r="E47" s="10">
        <f t="shared" si="2"/>
        <v>329710.86654709838</v>
      </c>
      <c r="F47" s="3"/>
      <c r="G47" s="26">
        <v>10.84</v>
      </c>
      <c r="H47" s="10"/>
      <c r="I47" s="10">
        <f t="shared" si="8"/>
        <v>322.61379991791352</v>
      </c>
      <c r="J47" s="10">
        <f t="shared" si="6"/>
        <v>2918139709.8684769</v>
      </c>
      <c r="K47" s="11">
        <f t="shared" si="7"/>
        <v>0.15033077200000022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8715592.5600607339</v>
      </c>
      <c r="D48" s="11">
        <v>3.9149999999999997E-2</v>
      </c>
      <c r="E48" s="10">
        <f t="shared" si="2"/>
        <v>328360.14889705833</v>
      </c>
      <c r="F48" s="3"/>
      <c r="G48" s="26">
        <v>8.27</v>
      </c>
      <c r="H48" s="10"/>
      <c r="I48" s="10">
        <f t="shared" si="8"/>
        <v>291.06261270111287</v>
      </c>
      <c r="J48" s="10">
        <f t="shared" si="6"/>
        <v>2536783141.7696581</v>
      </c>
      <c r="K48" s="11">
        <f t="shared" si="7"/>
        <v>0.12508770499999988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8387232.4111636756</v>
      </c>
      <c r="D49" s="11">
        <v>3.9320000000000001E-2</v>
      </c>
      <c r="E49" s="10">
        <f t="shared" si="2"/>
        <v>317309.37382803764</v>
      </c>
      <c r="F49" s="3"/>
      <c r="G49" s="26">
        <v>4.3600000000000003</v>
      </c>
      <c r="H49" s="10"/>
      <c r="I49" s="10">
        <f t="shared" si="8"/>
        <v>268.83034330942354</v>
      </c>
      <c r="J49" s="10">
        <f t="shared" si="6"/>
        <v>2254742568.5090551</v>
      </c>
      <c r="K49" s="11">
        <f t="shared" si="7"/>
        <v>8.4634352000000135E-2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8069923.037335638</v>
      </c>
      <c r="D50" s="11">
        <v>3.9759999999999997E-2</v>
      </c>
      <c r="E50" s="10">
        <f t="shared" si="2"/>
        <v>308590.57856088411</v>
      </c>
      <c r="F50" s="3"/>
      <c r="G50" s="26">
        <v>4.07</v>
      </c>
      <c r="H50" s="10"/>
      <c r="I50" s="10">
        <f t="shared" si="8"/>
        <v>257.59902578518927</v>
      </c>
      <c r="J50" s="10">
        <f t="shared" si="6"/>
        <v>2078804312.5791159</v>
      </c>
      <c r="K50" s="11">
        <f t="shared" si="7"/>
        <v>8.2078231999999973E-2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7761332.4587747538</v>
      </c>
      <c r="D51" s="11">
        <v>3.9570000000000001E-2</v>
      </c>
      <c r="E51" s="10">
        <f t="shared" si="2"/>
        <v>295425.92167311255</v>
      </c>
      <c r="F51" s="3"/>
      <c r="G51" s="26">
        <v>5.81</v>
      </c>
      <c r="H51" s="10"/>
      <c r="I51" s="10">
        <f t="shared" si="8"/>
        <v>247.52476773824279</v>
      </c>
      <c r="J51" s="10">
        <f t="shared" si="6"/>
        <v>1921122014.1975057</v>
      </c>
      <c r="K51" s="11">
        <f t="shared" si="7"/>
        <v>9.9969017000000049E-2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7465906.5371016413</v>
      </c>
      <c r="D52" s="11">
        <v>4.0160000000000001E-2</v>
      </c>
      <c r="E52" s="10">
        <f t="shared" si="2"/>
        <v>288254.50558568072</v>
      </c>
      <c r="F52" s="3"/>
      <c r="G52" s="26">
        <v>10.27</v>
      </c>
      <c r="H52" s="10"/>
      <c r="I52" s="10">
        <f t="shared" si="8"/>
        <v>233.93324613764557</v>
      </c>
      <c r="J52" s="10">
        <f t="shared" si="6"/>
        <v>1746523751.5844553</v>
      </c>
      <c r="K52" s="11">
        <f t="shared" si="7"/>
        <v>0.146984432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7177652.0315159606</v>
      </c>
      <c r="D53" s="11">
        <v>3.9469999999999998E-2</v>
      </c>
      <c r="E53" s="10">
        <f t="shared" si="2"/>
        <v>272544.59068942256</v>
      </c>
      <c r="F53" s="3"/>
      <c r="G53" s="26">
        <v>8.57</v>
      </c>
      <c r="H53" s="10"/>
      <c r="I53" s="10">
        <f t="shared" si="8"/>
        <v>212.14586572743772</v>
      </c>
      <c r="J53" s="10">
        <f t="shared" si="6"/>
        <v>1522709204.1162555</v>
      </c>
      <c r="K53" s="11">
        <f t="shared" si="7"/>
        <v>0.12855257899999994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6905107.440826538</v>
      </c>
      <c r="D54" s="11">
        <v>3.9070000000000001E-2</v>
      </c>
      <c r="E54" s="10">
        <f t="shared" si="2"/>
        <v>259638.47258903831</v>
      </c>
      <c r="F54" s="3"/>
      <c r="G54" s="26">
        <v>4.07</v>
      </c>
      <c r="H54" s="10"/>
      <c r="I54" s="10">
        <f t="shared" si="8"/>
        <v>195.40007896052106</v>
      </c>
      <c r="J54" s="10">
        <f t="shared" si="6"/>
        <v>1349258539.1683869</v>
      </c>
      <c r="K54" s="11">
        <f t="shared" si="7"/>
        <v>8.1360148999999771E-2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6645468.9682374997</v>
      </c>
      <c r="D55" s="11">
        <v>3.8600000000000002E-2</v>
      </c>
      <c r="E55" s="10">
        <f t="shared" si="2"/>
        <v>246981.61195259728</v>
      </c>
      <c r="F55" s="3"/>
      <c r="G55" s="26">
        <v>6.37</v>
      </c>
      <c r="H55" s="10"/>
      <c r="I55" s="10">
        <f t="shared" si="8"/>
        <v>187.75831551890175</v>
      </c>
      <c r="J55" s="10">
        <f t="shared" si="6"/>
        <v>1247742059.309407</v>
      </c>
      <c r="K55" s="11">
        <f t="shared" si="7"/>
        <v>0.10475882000000025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6398487.3562849024</v>
      </c>
      <c r="D56" s="11">
        <v>3.7909999999999999E-2</v>
      </c>
      <c r="E56" s="10">
        <f t="shared" si="2"/>
        <v>233706.82976053935</v>
      </c>
      <c r="F56" s="3"/>
      <c r="G56" s="26">
        <v>6.18</v>
      </c>
      <c r="H56" s="10"/>
      <c r="I56" s="10">
        <f t="shared" si="8"/>
        <v>176.51435133863095</v>
      </c>
      <c r="J56" s="10">
        <f t="shared" si="6"/>
        <v>1129424845.2430611</v>
      </c>
      <c r="K56" s="11">
        <f t="shared" si="7"/>
        <v>0.10205283800000009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6164780.5265243631</v>
      </c>
      <c r="D57" s="11">
        <v>3.6670000000000001E-2</v>
      </c>
      <c r="E57" s="10">
        <f t="shared" si="2"/>
        <v>218066.02092049364</v>
      </c>
      <c r="F57" s="3"/>
      <c r="G57" s="26">
        <v>2.31</v>
      </c>
      <c r="H57" s="10"/>
      <c r="I57" s="10">
        <f t="shared" si="8"/>
        <v>166.24067747092761</v>
      </c>
      <c r="J57" s="10">
        <f t="shared" si="6"/>
        <v>1024837291.1889919</v>
      </c>
      <c r="K57" s="11">
        <f t="shared" si="7"/>
        <v>6.0617076999999631E-2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5946714.5056038694</v>
      </c>
      <c r="D58" s="11">
        <v>3.5430000000000003E-2</v>
      </c>
      <c r="E58" s="10">
        <f t="shared" si="2"/>
        <v>203482.70277425367</v>
      </c>
      <c r="F58" s="3"/>
      <c r="G58" s="26">
        <v>1.41</v>
      </c>
      <c r="H58" s="10"/>
      <c r="I58" s="10">
        <f t="shared" si="8"/>
        <v>162.48722262821585</v>
      </c>
      <c r="J58" s="10">
        <f t="shared" si="6"/>
        <v>966265123.7784965</v>
      </c>
      <c r="K58" s="11">
        <f t="shared" si="7"/>
        <v>5.0029563000000055E-2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5743231.8028296158</v>
      </c>
      <c r="D59" s="11">
        <v>3.2469999999999999E-2</v>
      </c>
      <c r="E59" s="10">
        <f t="shared" si="2"/>
        <v>180618.06797086354</v>
      </c>
      <c r="F59" s="3"/>
      <c r="G59" s="26">
        <v>0.12</v>
      </c>
      <c r="H59" s="10"/>
      <c r="I59" s="10">
        <f t="shared" si="8"/>
        <v>160.2280077193727</v>
      </c>
      <c r="J59" s="10">
        <f t="shared" si="6"/>
        <v>920226589.63793051</v>
      </c>
      <c r="K59" s="11">
        <f t="shared" si="7"/>
        <v>3.3708964000000119E-2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5562613.7348587522</v>
      </c>
      <c r="D60" s="11">
        <v>3.2669999999999998E-2</v>
      </c>
      <c r="E60" s="10">
        <f t="shared" si="2"/>
        <v>175981.28222746402</v>
      </c>
      <c r="F60" s="3"/>
      <c r="G60" s="26">
        <v>2.0299999999999998</v>
      </c>
      <c r="H60" s="10"/>
      <c r="I60" s="10">
        <f t="shared" si="8"/>
        <v>160.0359645618984</v>
      </c>
      <c r="J60" s="10">
        <f t="shared" si="6"/>
        <v>890218254.54338455</v>
      </c>
      <c r="K60" s="11">
        <f t="shared" si="7"/>
        <v>5.3633201000000019E-2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5386632.4526312882</v>
      </c>
      <c r="D61" s="11">
        <v>3.0839999999999999E-2</v>
      </c>
      <c r="E61" s="10">
        <f t="shared" si="2"/>
        <v>161153.76279456448</v>
      </c>
      <c r="F61" s="3"/>
      <c r="G61" s="26">
        <v>3.07</v>
      </c>
      <c r="H61" s="10"/>
      <c r="I61" s="10">
        <f t="shared" si="8"/>
        <v>156.85187156904675</v>
      </c>
      <c r="J61" s="10">
        <f t="shared" si="6"/>
        <v>844903381.64978206</v>
      </c>
      <c r="K61" s="11">
        <f t="shared" si="7"/>
        <v>6.248678799999996E-2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5225478.6898367237</v>
      </c>
      <c r="D62" s="11">
        <v>2.9000000000000001E-2</v>
      </c>
      <c r="E62" s="10">
        <f t="shared" si="2"/>
        <v>147268.10690501891</v>
      </c>
      <c r="F62" s="3"/>
      <c r="G62" s="26">
        <v>8.82</v>
      </c>
      <c r="H62" s="10"/>
      <c r="I62" s="10">
        <f t="shared" si="8"/>
        <v>152.1799471903044</v>
      </c>
      <c r="J62" s="10">
        <f t="shared" si="6"/>
        <v>795213071.06341362</v>
      </c>
      <c r="K62" s="11">
        <f t="shared" si="7"/>
        <v>0.11975779999999991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5078210.5829317048</v>
      </c>
      <c r="D63" s="11">
        <v>2.725E-2</v>
      </c>
      <c r="E63" s="10">
        <f t="shared" si="2"/>
        <v>134710.38051583245</v>
      </c>
      <c r="F63" s="3"/>
      <c r="G63" s="26">
        <v>0.54</v>
      </c>
      <c r="H63" s="10"/>
      <c r="I63" s="10">
        <f t="shared" si="8"/>
        <v>139.84556808519059</v>
      </c>
      <c r="J63" s="10">
        <f t="shared" si="6"/>
        <v>710165243.82631111</v>
      </c>
      <c r="K63" s="11">
        <f t="shared" si="7"/>
        <v>3.2797150000000164E-2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4943500.2024158724</v>
      </c>
      <c r="D64" s="11">
        <v>2.5149999999999999E-2</v>
      </c>
      <c r="E64" s="10">
        <f t="shared" si="2"/>
        <v>121278.86659587268</v>
      </c>
      <c r="F64" s="3"/>
      <c r="G64" s="26">
        <v>6.53</v>
      </c>
      <c r="H64" s="10"/>
      <c r="I64" s="10">
        <f t="shared" si="8"/>
        <v>139.09445801192618</v>
      </c>
      <c r="J64" s="10">
        <f t="shared" si="6"/>
        <v>687613481.33688307</v>
      </c>
      <c r="K64" s="11">
        <f t="shared" si="7"/>
        <v>9.2092294999999602E-2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4822221.3358199997</v>
      </c>
      <c r="D65" s="11">
        <v>2.4150000000000001E-2</v>
      </c>
      <c r="E65" s="10">
        <f t="shared" si="2"/>
        <v>113710.53581999987</v>
      </c>
      <c r="F65" s="3"/>
      <c r="G65" s="26">
        <v>5.64</v>
      </c>
      <c r="H65" s="10"/>
      <c r="I65" s="10">
        <f t="shared" si="8"/>
        <v>130.5683450783124</v>
      </c>
      <c r="J65" s="10">
        <f t="shared" si="6"/>
        <v>629629459.41934633</v>
      </c>
      <c r="K65" s="11">
        <f t="shared" si="7"/>
        <v>8.1912060000000064E-2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4708510.8</v>
      </c>
      <c r="D66" s="11">
        <v>2.2700000000000001E-2</v>
      </c>
      <c r="E66" s="10">
        <f t="shared" si="2"/>
        <v>104510.79999999981</v>
      </c>
      <c r="F66" s="23">
        <f>SUM(F2)</f>
        <v>36356117</v>
      </c>
      <c r="G66" s="26">
        <v>1.83</v>
      </c>
      <c r="H66" s="10"/>
      <c r="I66" s="10">
        <f t="shared" si="8"/>
        <v>123.59744895713025</v>
      </c>
      <c r="J66" s="10">
        <f t="shared" ref="J66:J67" si="9">IF(I66="","",I66*C66)</f>
        <v>581959923.26709652</v>
      </c>
      <c r="K66" s="11">
        <f t="shared" ref="K66" si="10">IFERROR(J66/J67-1,"")</f>
        <v>4.1415409999999708E-2</v>
      </c>
    </row>
    <row r="67" spans="1:11" ht="22.5" customHeight="1">
      <c r="A67" s="3">
        <f t="shared" si="0"/>
        <v>1950</v>
      </c>
      <c r="B67" s="3">
        <v>1700</v>
      </c>
      <c r="C67" s="10">
        <v>4604000</v>
      </c>
      <c r="D67" s="11">
        <v>1.9939999999999999E-2</v>
      </c>
      <c r="E67" s="3" t="s">
        <v>72</v>
      </c>
      <c r="F67" s="10">
        <f>SUM(C2)</f>
        <v>36358714.310645491</v>
      </c>
      <c r="G67" s="26">
        <v>8.5500000000000007</v>
      </c>
      <c r="H67" s="10"/>
      <c r="I67" s="10">
        <f t="shared" ref="I67" si="11">IF(H67&lt;&gt;"",H67,I66/(1+IF(G66="",0,G66)/100))</f>
        <v>121.37626333804405</v>
      </c>
      <c r="J67" s="10">
        <f t="shared" si="9"/>
        <v>558816316.40835488</v>
      </c>
      <c r="K67" s="11"/>
    </row>
  </sheetData>
  <dataValidations count="1">
    <dataValidation type="custom" allowBlank="1" showDropDown="1" sqref="D2:D67" xr:uid="{00000000-0002-0000-4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12783114.76058523</v>
      </c>
      <c r="D2" s="11">
        <v>1.439E-2</v>
      </c>
      <c r="E2" s="10">
        <f t="shared" ref="E2:E66" si="2">SUM(C2-C3)</f>
        <v>181339.54534727335</v>
      </c>
      <c r="F2" s="14">
        <v>12783095</v>
      </c>
      <c r="G2" s="26">
        <v>3.72</v>
      </c>
      <c r="H2" s="10"/>
      <c r="I2" s="10">
        <f>IF(H2&lt;&gt;"",H2,57776)</f>
        <v>7222</v>
      </c>
      <c r="J2" s="10">
        <f t="shared" ref="J2:J33" si="3">IF(I2="","",I2*C2)</f>
        <v>92319654800.946533</v>
      </c>
      <c r="K2" s="11">
        <f t="shared" ref="K2:K33" si="4">IFERROR(J2/J3-1,"")</f>
        <v>5.2125307999999926E-2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12601775.215237956</v>
      </c>
      <c r="D3" s="11">
        <v>1.422E-2</v>
      </c>
      <c r="E3" s="10">
        <f t="shared" si="2"/>
        <v>176684.78590511158</v>
      </c>
      <c r="F3" s="3"/>
      <c r="G3" s="26">
        <v>3.86</v>
      </c>
      <c r="H3" s="10"/>
      <c r="I3" s="10">
        <f t="shared" ref="I3:I34" si="5">IF(H3&lt;&gt;"",H3,I2/(1+IF(G2="",0,G2)/100))</f>
        <v>6962.9772464327043</v>
      </c>
      <c r="J3" s="10">
        <f t="shared" si="3"/>
        <v>87745874088.361481</v>
      </c>
      <c r="K3" s="11">
        <f t="shared" si="4"/>
        <v>5.3368891999999724E-2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12425090.429332845</v>
      </c>
      <c r="D4" s="11">
        <v>1.4420000000000001E-2</v>
      </c>
      <c r="E4" s="10">
        <f t="shared" si="2"/>
        <v>176622.90174777806</v>
      </c>
      <c r="F4" s="3"/>
      <c r="G4" s="26">
        <v>3.4</v>
      </c>
      <c r="H4" s="10"/>
      <c r="I4" s="10">
        <f t="shared" si="5"/>
        <v>6704.1953075608553</v>
      </c>
      <c r="J4" s="10">
        <f t="shared" si="3"/>
        <v>83300232952.352554</v>
      </c>
      <c r="K4" s="11">
        <f t="shared" si="4"/>
        <v>4.8910280000000084E-2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12248467.527585067</v>
      </c>
      <c r="D5" s="11">
        <v>1.554E-2</v>
      </c>
      <c r="E5" s="10">
        <f t="shared" si="2"/>
        <v>187428.54577729478</v>
      </c>
      <c r="F5" s="3"/>
      <c r="G5" s="26">
        <v>3.51</v>
      </c>
      <c r="H5" s="10"/>
      <c r="I5" s="10">
        <f t="shared" si="5"/>
        <v>6483.7478796526648</v>
      </c>
      <c r="J5" s="10">
        <f t="shared" si="3"/>
        <v>79415975360.974197</v>
      </c>
      <c r="K5" s="11">
        <f t="shared" si="4"/>
        <v>5.1185454000000297E-2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12061038.981807772</v>
      </c>
      <c r="D6" s="11">
        <v>1.6310000000000002E-2</v>
      </c>
      <c r="E6" s="10">
        <f t="shared" si="2"/>
        <v>193558.60494660586</v>
      </c>
      <c r="F6" s="3"/>
      <c r="G6" s="26">
        <v>4.1500000000000004</v>
      </c>
      <c r="H6" s="10"/>
      <c r="I6" s="10">
        <f t="shared" si="5"/>
        <v>6263.8854986500482</v>
      </c>
      <c r="J6" s="10">
        <f t="shared" si="3"/>
        <v>75548967176.798645</v>
      </c>
      <c r="K6" s="11">
        <f t="shared" si="4"/>
        <v>5.848686500000011E-2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11867480.376861166</v>
      </c>
      <c r="D7" s="11">
        <v>1.652E-2</v>
      </c>
      <c r="E7" s="10">
        <f t="shared" si="2"/>
        <v>192864.65177836828</v>
      </c>
      <c r="F7" s="3"/>
      <c r="G7" s="26">
        <v>4.4000000000000004</v>
      </c>
      <c r="H7" s="10"/>
      <c r="I7" s="10">
        <f t="shared" si="5"/>
        <v>6014.2923654825227</v>
      </c>
      <c r="J7" s="10">
        <f t="shared" si="3"/>
        <v>71374496628.069763</v>
      </c>
      <c r="K7" s="11">
        <f t="shared" si="4"/>
        <v>6.1246880000000115E-2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11674615.725082798</v>
      </c>
      <c r="D8" s="11">
        <v>1.703E-2</v>
      </c>
      <c r="E8" s="10">
        <f t="shared" si="2"/>
        <v>195489.51928474195</v>
      </c>
      <c r="F8" s="3"/>
      <c r="G8" s="26">
        <v>3.36</v>
      </c>
      <c r="H8" s="10"/>
      <c r="I8" s="10">
        <f t="shared" si="5"/>
        <v>5760.8164420330677</v>
      </c>
      <c r="J8" s="10">
        <f t="shared" si="3"/>
        <v>67255318223.474785</v>
      </c>
      <c r="K8" s="11">
        <f t="shared" si="4"/>
        <v>5.1202208000000304E-2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11479126.205798056</v>
      </c>
      <c r="D9" s="11">
        <v>1.7090000000000001E-2</v>
      </c>
      <c r="E9" s="10">
        <f t="shared" si="2"/>
        <v>192881.91493091919</v>
      </c>
      <c r="F9" s="3"/>
      <c r="G9" s="26">
        <v>5.46</v>
      </c>
      <c r="H9" s="10"/>
      <c r="I9" s="10">
        <f t="shared" si="5"/>
        <v>5573.5453193044377</v>
      </c>
      <c r="J9" s="10">
        <f t="shared" si="3"/>
        <v>63979430134.030663</v>
      </c>
      <c r="K9" s="11">
        <f t="shared" si="4"/>
        <v>7.2623113999999989E-2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11286244.290867137</v>
      </c>
      <c r="D10" s="11">
        <v>1.7010000000000001E-2</v>
      </c>
      <c r="E10" s="10">
        <f t="shared" si="2"/>
        <v>188768.07050830312</v>
      </c>
      <c r="F10" s="3"/>
      <c r="G10" s="26">
        <v>5.76</v>
      </c>
      <c r="H10" s="10"/>
      <c r="I10" s="10">
        <f t="shared" si="5"/>
        <v>5284.985131143977</v>
      </c>
      <c r="J10" s="10">
        <f t="shared" si="3"/>
        <v>59647633263.691414</v>
      </c>
      <c r="K10" s="11">
        <f t="shared" si="4"/>
        <v>7.5589776000000164E-2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11097476.220358834</v>
      </c>
      <c r="D11" s="11">
        <v>1.7149999999999999E-2</v>
      </c>
      <c r="E11" s="10">
        <f t="shared" si="2"/>
        <v>187112.73379457742</v>
      </c>
      <c r="F11" s="3"/>
      <c r="G11" s="26">
        <v>4.87</v>
      </c>
      <c r="H11" s="10"/>
      <c r="I11" s="10">
        <f t="shared" si="5"/>
        <v>4997.1493297503557</v>
      </c>
      <c r="J11" s="10">
        <f t="shared" si="3"/>
        <v>55455745856.486656</v>
      </c>
      <c r="K11" s="11">
        <f t="shared" si="4"/>
        <v>6.668520499999997E-2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10910363.486564256</v>
      </c>
      <c r="D12" s="11">
        <v>1.7219999999999999E-2</v>
      </c>
      <c r="E12" s="10">
        <f t="shared" si="2"/>
        <v>184695.99421819858</v>
      </c>
      <c r="F12" s="3"/>
      <c r="G12" s="26">
        <v>1.78</v>
      </c>
      <c r="H12" s="10"/>
      <c r="I12" s="10">
        <f t="shared" si="5"/>
        <v>4765.0894724424106</v>
      </c>
      <c r="J12" s="10">
        <f t="shared" si="3"/>
        <v>51988858190.347412</v>
      </c>
      <c r="K12" s="11">
        <f t="shared" si="4"/>
        <v>3.532651600000003E-2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10725667.492346058</v>
      </c>
      <c r="D13" s="11">
        <v>1.738E-2</v>
      </c>
      <c r="E13" s="10">
        <f t="shared" si="2"/>
        <v>183227.60523793846</v>
      </c>
      <c r="F13" s="3"/>
      <c r="G13" s="26">
        <v>4.33</v>
      </c>
      <c r="H13" s="10"/>
      <c r="I13" s="10">
        <f t="shared" si="5"/>
        <v>4681.7542468485071</v>
      </c>
      <c r="J13" s="10">
        <f t="shared" si="3"/>
        <v>50214939332.576134</v>
      </c>
      <c r="K13" s="11">
        <f t="shared" si="4"/>
        <v>6.1432553999999584E-2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10542439.887108119</v>
      </c>
      <c r="D14" s="11">
        <v>1.7670000000000002E-2</v>
      </c>
      <c r="E14" s="10">
        <f t="shared" si="2"/>
        <v>183050.41202472523</v>
      </c>
      <c r="F14" s="3"/>
      <c r="G14" s="26">
        <v>5.93</v>
      </c>
      <c r="H14" s="10"/>
      <c r="I14" s="10">
        <f t="shared" si="5"/>
        <v>4487.4477588886302</v>
      </c>
      <c r="J14" s="10">
        <f t="shared" si="3"/>
        <v>47308648244.621437</v>
      </c>
      <c r="K14" s="11">
        <f t="shared" si="4"/>
        <v>7.8017831000000148E-2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10359389.475083394</v>
      </c>
      <c r="D15" s="11">
        <v>1.7610000000000001E-2</v>
      </c>
      <c r="E15" s="10">
        <f t="shared" si="2"/>
        <v>179271.8710077703</v>
      </c>
      <c r="F15" s="3"/>
      <c r="G15" s="26">
        <v>1.61</v>
      </c>
      <c r="H15" s="10"/>
      <c r="I15" s="10">
        <f t="shared" si="5"/>
        <v>4236.2387981578686</v>
      </c>
      <c r="J15" s="10">
        <f t="shared" si="3"/>
        <v>43884847619.576553</v>
      </c>
      <c r="K15" s="11">
        <f t="shared" si="4"/>
        <v>3.3993520999999971E-2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10180117.604075624</v>
      </c>
      <c r="D16" s="11">
        <v>1.736E-2</v>
      </c>
      <c r="E16" s="10">
        <f t="shared" si="2"/>
        <v>173711.21491581388</v>
      </c>
      <c r="F16" s="3"/>
      <c r="G16" s="26">
        <v>3.35</v>
      </c>
      <c r="H16" s="10"/>
      <c r="I16" s="10">
        <f t="shared" si="5"/>
        <v>4169.1160300736819</v>
      </c>
      <c r="J16" s="10">
        <f t="shared" si="3"/>
        <v>42442091491.186966</v>
      </c>
      <c r="K16" s="11">
        <f t="shared" si="4"/>
        <v>5.1441559999999997E-2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10006406.38915981</v>
      </c>
      <c r="D17" s="11">
        <v>1.7260000000000001E-2</v>
      </c>
      <c r="E17" s="10">
        <f t="shared" si="2"/>
        <v>169780.16856742464</v>
      </c>
      <c r="F17" s="3"/>
      <c r="G17" s="26">
        <v>8.1999999999999993</v>
      </c>
      <c r="H17" s="10"/>
      <c r="I17" s="10">
        <f t="shared" si="5"/>
        <v>4033.9777746237846</v>
      </c>
      <c r="J17" s="10">
        <f t="shared" si="3"/>
        <v>40365620977.724113</v>
      </c>
      <c r="K17" s="11">
        <f t="shared" si="4"/>
        <v>0.10067532000000035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9836626.2205923852</v>
      </c>
      <c r="D18" s="11">
        <v>1.7469999999999999E-2</v>
      </c>
      <c r="E18" s="10">
        <f t="shared" si="2"/>
        <v>168895.25988358445</v>
      </c>
      <c r="F18" s="3"/>
      <c r="G18" s="26">
        <v>2.61</v>
      </c>
      <c r="H18" s="10"/>
      <c r="I18" s="10">
        <f t="shared" si="5"/>
        <v>3728.2604201698559</v>
      </c>
      <c r="J18" s="10">
        <f t="shared" si="3"/>
        <v>36673504206.239586</v>
      </c>
      <c r="K18" s="11">
        <f t="shared" si="4"/>
        <v>4.4025967000000055E-2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9667730.9607088007</v>
      </c>
      <c r="D19" s="11">
        <v>1.8069999999999999E-2</v>
      </c>
      <c r="E19" s="10">
        <f t="shared" si="2"/>
        <v>171595.17367175967</v>
      </c>
      <c r="F19" s="3"/>
      <c r="G19" s="26">
        <v>6.07</v>
      </c>
      <c r="H19" s="10"/>
      <c r="I19" s="10">
        <f t="shared" si="5"/>
        <v>3633.42795065769</v>
      </c>
      <c r="J19" s="10">
        <f t="shared" si="3"/>
        <v>35127003892.078079</v>
      </c>
      <c r="K19" s="11">
        <f t="shared" si="4"/>
        <v>7.9866849000000073E-2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9496135.787037041</v>
      </c>
      <c r="D20" s="11">
        <v>1.8180000000000002E-2</v>
      </c>
      <c r="E20" s="10">
        <f t="shared" si="2"/>
        <v>169557.19873532653</v>
      </c>
      <c r="F20" s="3"/>
      <c r="G20" s="26">
        <v>5.69</v>
      </c>
      <c r="H20" s="10"/>
      <c r="I20" s="10">
        <f t="shared" si="5"/>
        <v>3425.5000948974171</v>
      </c>
      <c r="J20" s="10">
        <f t="shared" si="3"/>
        <v>32529014039.65414</v>
      </c>
      <c r="K20" s="11">
        <f t="shared" si="4"/>
        <v>7.6114441999999949E-2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9326578.5883017145</v>
      </c>
      <c r="D21" s="11">
        <v>1.8759999999999999E-2</v>
      </c>
      <c r="E21" s="10">
        <f t="shared" si="2"/>
        <v>171744.68404387683</v>
      </c>
      <c r="F21" s="3"/>
      <c r="G21" s="26">
        <v>5.59</v>
      </c>
      <c r="H21" s="10"/>
      <c r="I21" s="10">
        <f t="shared" si="5"/>
        <v>3241.0825006125624</v>
      </c>
      <c r="J21" s="10">
        <f t="shared" si="3"/>
        <v>30228210653.132504</v>
      </c>
      <c r="K21" s="11">
        <f t="shared" si="4"/>
        <v>7.5708684000000082E-2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9154833.9042578377</v>
      </c>
      <c r="D22" s="11">
        <v>1.8919999999999999E-2</v>
      </c>
      <c r="E22" s="10">
        <f t="shared" si="2"/>
        <v>169993.18638220802</v>
      </c>
      <c r="F22" s="3"/>
      <c r="G22" s="26">
        <v>4.29</v>
      </c>
      <c r="H22" s="10"/>
      <c r="I22" s="10">
        <f t="shared" si="5"/>
        <v>3069.497585578712</v>
      </c>
      <c r="J22" s="10">
        <f t="shared" si="3"/>
        <v>28100740565.493565</v>
      </c>
      <c r="K22" s="11">
        <f t="shared" si="4"/>
        <v>6.2631668000000085E-2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8984840.7178756297</v>
      </c>
      <c r="D23" s="11">
        <v>1.9120000000000002E-2</v>
      </c>
      <c r="E23" s="10">
        <f t="shared" si="2"/>
        <v>168567.15060619265</v>
      </c>
      <c r="F23" s="3"/>
      <c r="G23" s="26">
        <v>4.1399999999999997</v>
      </c>
      <c r="H23" s="10"/>
      <c r="I23" s="10">
        <f t="shared" si="5"/>
        <v>2943.2328944085839</v>
      </c>
      <c r="J23" s="10">
        <f t="shared" si="3"/>
        <v>26444478751.873188</v>
      </c>
      <c r="K23" s="11">
        <f t="shared" si="4"/>
        <v>6.1311568000000261E-2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8816273.567269437</v>
      </c>
      <c r="D24" s="11">
        <v>1.959E-2</v>
      </c>
      <c r="E24" s="10">
        <f t="shared" si="2"/>
        <v>169392.4020270966</v>
      </c>
      <c r="F24" s="3"/>
      <c r="G24" s="26">
        <v>5.08</v>
      </c>
      <c r="H24" s="10"/>
      <c r="I24" s="10">
        <f t="shared" si="5"/>
        <v>2826.2270927679888</v>
      </c>
      <c r="J24" s="10">
        <f t="shared" si="3"/>
        <v>24916791213.071167</v>
      </c>
      <c r="K24" s="11">
        <f t="shared" si="4"/>
        <v>7.138517199999983E-2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8646881.1652423404</v>
      </c>
      <c r="D25" s="11">
        <v>2.103E-2</v>
      </c>
      <c r="E25" s="10">
        <f t="shared" si="2"/>
        <v>178098.49946137518</v>
      </c>
      <c r="F25" s="3"/>
      <c r="G25" s="26">
        <v>6.51</v>
      </c>
      <c r="H25" s="10"/>
      <c r="I25" s="10">
        <f t="shared" si="5"/>
        <v>2689.5956345336781</v>
      </c>
      <c r="J25" s="10">
        <f t="shared" si="3"/>
        <v>23256613834.367283</v>
      </c>
      <c r="K25" s="11">
        <f t="shared" si="4"/>
        <v>8.749905300000016E-2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8468782.6657809652</v>
      </c>
      <c r="D26" s="11">
        <v>2.1090000000000001E-2</v>
      </c>
      <c r="E26" s="10">
        <f t="shared" si="2"/>
        <v>174917.61394325737</v>
      </c>
      <c r="F26" s="3"/>
      <c r="G26" s="26">
        <v>1.44</v>
      </c>
      <c r="H26" s="10"/>
      <c r="I26" s="10">
        <f t="shared" si="5"/>
        <v>2525.2048019281551</v>
      </c>
      <c r="J26" s="10">
        <f t="shared" si="3"/>
        <v>21385410654.116016</v>
      </c>
      <c r="K26" s="11">
        <f t="shared" si="4"/>
        <v>3.5793696000000041E-2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8293865.0518377079</v>
      </c>
      <c r="D27" s="11">
        <v>2.213E-2</v>
      </c>
      <c r="E27" s="10">
        <f t="shared" si="2"/>
        <v>179569.36358111817</v>
      </c>
      <c r="F27" s="3"/>
      <c r="G27" s="26">
        <v>-7.19</v>
      </c>
      <c r="H27" s="10"/>
      <c r="I27" s="10">
        <f t="shared" si="5"/>
        <v>2489.3580460648218</v>
      </c>
      <c r="J27" s="10">
        <f t="shared" si="3"/>
        <v>20646399699.768028</v>
      </c>
      <c r="K27" s="11">
        <f t="shared" si="4"/>
        <v>-5.1361146999999829E-2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8114295.6882565897</v>
      </c>
      <c r="D28" s="11">
        <v>2.264E-2</v>
      </c>
      <c r="E28" s="10">
        <f t="shared" si="2"/>
        <v>179640.59139299206</v>
      </c>
      <c r="F28" s="3"/>
      <c r="G28" s="26">
        <v>4.47</v>
      </c>
      <c r="H28" s="10"/>
      <c r="I28" s="10">
        <f t="shared" si="5"/>
        <v>2682.2088633388876</v>
      </c>
      <c r="J28" s="10">
        <f t="shared" si="3"/>
        <v>21764235814.794342</v>
      </c>
      <c r="K28" s="11">
        <f t="shared" si="4"/>
        <v>6.8352007999999964E-2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7934655.0968635976</v>
      </c>
      <c r="D29" s="11">
        <v>2.3E-2</v>
      </c>
      <c r="E29" s="10">
        <f t="shared" si="2"/>
        <v>178394.00511032436</v>
      </c>
      <c r="F29" s="3"/>
      <c r="G29" s="26">
        <v>6.79</v>
      </c>
      <c r="H29" s="10"/>
      <c r="I29" s="10">
        <f t="shared" si="5"/>
        <v>2567.4441115524914</v>
      </c>
      <c r="J29" s="10">
        <f t="shared" si="3"/>
        <v>20371783505.642406</v>
      </c>
      <c r="K29" s="11">
        <f t="shared" si="4"/>
        <v>9.2461699999999869E-2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7756261.0917532733</v>
      </c>
      <c r="D30" s="11">
        <v>2.3810000000000001E-2</v>
      </c>
      <c r="E30" s="10">
        <f t="shared" si="2"/>
        <v>180381.68858933449</v>
      </c>
      <c r="F30" s="3"/>
      <c r="G30" s="26">
        <v>8.89</v>
      </c>
      <c r="H30" s="10"/>
      <c r="I30" s="10">
        <f t="shared" si="5"/>
        <v>2404.1989994873034</v>
      </c>
      <c r="J30" s="10">
        <f t="shared" si="3"/>
        <v>18647595156.555519</v>
      </c>
      <c r="K30" s="11">
        <f t="shared" si="4"/>
        <v>0.11482670900000014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7575879.4031639388</v>
      </c>
      <c r="D31" s="11">
        <v>2.4490000000000001E-2</v>
      </c>
      <c r="E31" s="10">
        <f t="shared" si="2"/>
        <v>181098.19186471682</v>
      </c>
      <c r="F31" s="3"/>
      <c r="G31" s="26">
        <v>9.74</v>
      </c>
      <c r="H31" s="10"/>
      <c r="I31" s="10">
        <f t="shared" si="5"/>
        <v>2207.9153269237795</v>
      </c>
      <c r="J31" s="10">
        <f t="shared" si="3"/>
        <v>16726900249.171835</v>
      </c>
      <c r="K31" s="11">
        <f t="shared" si="4"/>
        <v>0.1242753259999998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7394781.211299222</v>
      </c>
      <c r="D32" s="11">
        <v>2.5340000000000001E-2</v>
      </c>
      <c r="E32" s="10">
        <f t="shared" si="2"/>
        <v>182752.799943747</v>
      </c>
      <c r="F32" s="3"/>
      <c r="G32" s="26">
        <v>6.95</v>
      </c>
      <c r="H32" s="10"/>
      <c r="I32" s="10">
        <f t="shared" si="5"/>
        <v>2011.9512729394748</v>
      </c>
      <c r="J32" s="10">
        <f t="shared" si="3"/>
        <v>14877939471.182381</v>
      </c>
      <c r="K32" s="11">
        <f t="shared" si="4"/>
        <v>9.6601130000000035E-2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7212028.411355475</v>
      </c>
      <c r="D33" s="11">
        <v>2.6100000000000002E-2</v>
      </c>
      <c r="E33" s="10">
        <f t="shared" si="2"/>
        <v>183446.00091256015</v>
      </c>
      <c r="F33" s="3"/>
      <c r="G33" s="26">
        <v>4.7</v>
      </c>
      <c r="H33" s="10"/>
      <c r="I33" s="10">
        <f t="shared" si="5"/>
        <v>1881.2073613272321</v>
      </c>
      <c r="J33" s="10">
        <f t="shared" si="3"/>
        <v>13567320937.543062</v>
      </c>
      <c r="K33" s="11">
        <f t="shared" si="4"/>
        <v>7.4326699999999857E-2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7028582.4104429148</v>
      </c>
      <c r="D34" s="11">
        <v>2.6239999999999999E-2</v>
      </c>
      <c r="E34" s="10">
        <f t="shared" si="2"/>
        <v>179714.29923801683</v>
      </c>
      <c r="F34" s="3"/>
      <c r="G34" s="26">
        <v>-0.92</v>
      </c>
      <c r="H34" s="10"/>
      <c r="I34" s="10">
        <f t="shared" si="5"/>
        <v>1796.759657428111</v>
      </c>
      <c r="J34" s="10">
        <f t="shared" ref="J34:J65" si="6">IF(I34="","",I34*C34)</f>
        <v>12628673323.992659</v>
      </c>
      <c r="K34" s="11">
        <f t="shared" ref="K34:K65" si="7">IFERROR(J34/J35-1,"")</f>
        <v>3.0139712000000207E-2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6848868.111204898</v>
      </c>
      <c r="D35" s="11">
        <v>2.6280000000000001E-2</v>
      </c>
      <c r="E35" s="10">
        <f t="shared" si="2"/>
        <v>175379.28631802741</v>
      </c>
      <c r="F35" s="3"/>
      <c r="G35" s="26">
        <v>2.8</v>
      </c>
      <c r="H35" s="10"/>
      <c r="I35" s="10">
        <f t="shared" ref="I35:I66" si="8">IF(H35&lt;&gt;"",H35,I34/(1+IF(G34="",0,G34)/100))</f>
        <v>1789.957817720772</v>
      </c>
      <c r="J35" s="10">
        <f t="shared" si="6"/>
        <v>12259185018.189705</v>
      </c>
      <c r="K35" s="11">
        <f t="shared" si="7"/>
        <v>8.2725399999999949E-2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6673488.8248868706</v>
      </c>
      <c r="D36" s="11">
        <v>2.6530000000000001E-2</v>
      </c>
      <c r="E36" s="10">
        <f t="shared" si="2"/>
        <v>172471.97697509918</v>
      </c>
      <c r="F36" s="3"/>
      <c r="G36" s="26">
        <v>1.08</v>
      </c>
      <c r="H36" s="10"/>
      <c r="I36" s="10">
        <f t="shared" si="8"/>
        <v>1696.6424812519167</v>
      </c>
      <c r="J36" s="10">
        <f t="shared" si="6"/>
        <v>11322524638.462997</v>
      </c>
      <c r="K36" s="11">
        <f t="shared" si="7"/>
        <v>8.688996399999982E-2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6501016.8479117714</v>
      </c>
      <c r="D37" s="11">
        <v>2.6890000000000001E-2</v>
      </c>
      <c r="E37" s="10">
        <f t="shared" si="2"/>
        <v>170234.73112051748</v>
      </c>
      <c r="F37" s="3"/>
      <c r="G37" s="26">
        <v>-15.36</v>
      </c>
      <c r="H37" s="10"/>
      <c r="I37" s="10">
        <f t="shared" si="8"/>
        <v>1602.4201749640317</v>
      </c>
      <c r="J37" s="10">
        <f t="shared" si="6"/>
        <v>10417360554.874899</v>
      </c>
      <c r="K37" s="11">
        <f t="shared" si="7"/>
        <v>-7.6415133999999885E-2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6330782.1167912539</v>
      </c>
      <c r="D38" s="11">
        <v>2.6980000000000001E-2</v>
      </c>
      <c r="E38" s="10">
        <f t="shared" si="2"/>
        <v>166317.26178798825</v>
      </c>
      <c r="F38" s="3"/>
      <c r="G38" s="26">
        <v>-0.18</v>
      </c>
      <c r="H38" s="10"/>
      <c r="I38" s="10">
        <f t="shared" si="8"/>
        <v>1781.6546308250297</v>
      </c>
      <c r="J38" s="10">
        <f t="shared" si="6"/>
        <v>11279267275.125422</v>
      </c>
      <c r="K38" s="11">
        <f t="shared" si="7"/>
        <v>6.3129696000000068E-2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6164464.8550032657</v>
      </c>
      <c r="D39" s="11">
        <v>2.7269999999999999E-2</v>
      </c>
      <c r="E39" s="10">
        <f t="shared" si="2"/>
        <v>163642.42759541143</v>
      </c>
      <c r="F39" s="3"/>
      <c r="G39" s="26">
        <v>3.83</v>
      </c>
      <c r="H39" s="10"/>
      <c r="I39" s="10">
        <f t="shared" si="8"/>
        <v>1721.0728659438078</v>
      </c>
      <c r="J39" s="10">
        <f t="shared" si="6"/>
        <v>10609493195.010349</v>
      </c>
      <c r="K39" s="11">
        <f t="shared" si="7"/>
        <v>6.6614440999999802E-2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6000822.4274078542</v>
      </c>
      <c r="D40" s="11">
        <v>2.76E-2</v>
      </c>
      <c r="E40" s="10">
        <f t="shared" si="2"/>
        <v>161174.28863026202</v>
      </c>
      <c r="F40" s="3"/>
      <c r="G40" s="26">
        <v>6.55</v>
      </c>
      <c r="H40" s="10"/>
      <c r="I40" s="10">
        <f t="shared" si="8"/>
        <v>1657.5872733735989</v>
      </c>
      <c r="J40" s="10">
        <f t="shared" si="6"/>
        <v>9946886885.4461269</v>
      </c>
      <c r="K40" s="11">
        <f t="shared" si="7"/>
        <v>9.490780000000032E-2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5839648.1387775922</v>
      </c>
      <c r="D41" s="11">
        <v>2.7879999999999999E-2</v>
      </c>
      <c r="E41" s="10">
        <f t="shared" si="2"/>
        <v>158393.38260217011</v>
      </c>
      <c r="F41" s="3"/>
      <c r="G41" s="26">
        <v>3.75</v>
      </c>
      <c r="H41" s="10"/>
      <c r="I41" s="10">
        <f t="shared" si="8"/>
        <v>1555.6896042924436</v>
      </c>
      <c r="J41" s="10">
        <f t="shared" si="6"/>
        <v>9084679902.2220173</v>
      </c>
      <c r="K41" s="11">
        <f t="shared" si="7"/>
        <v>6.6425500000000026E-2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5681254.7561754221</v>
      </c>
      <c r="D42" s="11">
        <v>2.827E-2</v>
      </c>
      <c r="E42" s="10">
        <f t="shared" si="2"/>
        <v>156193.48221486527</v>
      </c>
      <c r="F42" s="3"/>
      <c r="G42" s="26">
        <v>-6.91</v>
      </c>
      <c r="H42" s="10"/>
      <c r="I42" s="10">
        <f t="shared" si="8"/>
        <v>1499.4598595589816</v>
      </c>
      <c r="J42" s="10">
        <f t="shared" si="6"/>
        <v>8518813458.8135948</v>
      </c>
      <c r="K42" s="11">
        <f t="shared" si="7"/>
        <v>-4.2783456999999858E-2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5525061.2739605568</v>
      </c>
      <c r="D43" s="11">
        <v>2.8639999999999999E-2</v>
      </c>
      <c r="E43" s="10">
        <f t="shared" si="2"/>
        <v>153832.00622786395</v>
      </c>
      <c r="F43" s="3"/>
      <c r="G43" s="26">
        <v>8.81</v>
      </c>
      <c r="H43" s="10"/>
      <c r="I43" s="10">
        <f t="shared" si="8"/>
        <v>1610.763626124161</v>
      </c>
      <c r="J43" s="10">
        <f t="shared" si="6"/>
        <v>8899567732.2028828</v>
      </c>
      <c r="K43" s="11">
        <f t="shared" si="7"/>
        <v>0.11926318400000002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5371229.2677326929</v>
      </c>
      <c r="D44" s="11">
        <v>2.9000000000000001E-2</v>
      </c>
      <c r="E44" s="10">
        <f t="shared" si="2"/>
        <v>151375.7519574808</v>
      </c>
      <c r="F44" s="3"/>
      <c r="G44" s="26">
        <v>11.98</v>
      </c>
      <c r="H44" s="10"/>
      <c r="I44" s="10">
        <f t="shared" si="8"/>
        <v>1480.3452128702884</v>
      </c>
      <c r="J44" s="10">
        <f t="shared" si="6"/>
        <v>7951273533.716876</v>
      </c>
      <c r="K44" s="11">
        <f t="shared" si="7"/>
        <v>0.15227419999999992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5219853.5157752121</v>
      </c>
      <c r="D45" s="11">
        <v>2.9270000000000001E-2</v>
      </c>
      <c r="E45" s="10">
        <f t="shared" si="2"/>
        <v>148440.26582601294</v>
      </c>
      <c r="F45" s="3"/>
      <c r="G45" s="26">
        <v>8.35</v>
      </c>
      <c r="H45" s="10"/>
      <c r="I45" s="10">
        <f t="shared" si="8"/>
        <v>1321.9728637884341</v>
      </c>
      <c r="J45" s="10">
        <f t="shared" si="6"/>
        <v>6900504700.8054829</v>
      </c>
      <c r="K45" s="11">
        <f t="shared" si="7"/>
        <v>0.11521404499999988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5071413.2499491991</v>
      </c>
      <c r="D46" s="11">
        <v>2.9479999999999999E-2</v>
      </c>
      <c r="E46" s="10">
        <f t="shared" si="2"/>
        <v>145224.05739645474</v>
      </c>
      <c r="F46" s="3"/>
      <c r="G46" s="26">
        <v>4.2699999999999996</v>
      </c>
      <c r="H46" s="10"/>
      <c r="I46" s="10">
        <f t="shared" si="8"/>
        <v>1220.0949365836957</v>
      </c>
      <c r="J46" s="10">
        <f t="shared" si="6"/>
        <v>6187605627.586482</v>
      </c>
      <c r="K46" s="11">
        <f t="shared" si="7"/>
        <v>7.3438796000000028E-2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4926189.1925527444</v>
      </c>
      <c r="D47" s="11">
        <v>2.964E-2</v>
      </c>
      <c r="E47" s="10">
        <f t="shared" si="2"/>
        <v>141809.02807511762</v>
      </c>
      <c r="F47" s="3"/>
      <c r="G47" s="26">
        <v>-0.4</v>
      </c>
      <c r="H47" s="10"/>
      <c r="I47" s="10">
        <f t="shared" si="8"/>
        <v>1170.1303697935127</v>
      </c>
      <c r="J47" s="10">
        <f t="shared" si="6"/>
        <v>5764283581.5545483</v>
      </c>
      <c r="K47" s="11">
        <f t="shared" si="7"/>
        <v>2.5521439999999895E-2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4784380.1644776268</v>
      </c>
      <c r="D48" s="11">
        <v>2.9770000000000001E-2</v>
      </c>
      <c r="E48" s="10">
        <f t="shared" si="2"/>
        <v>138313.40735941008</v>
      </c>
      <c r="F48" s="3"/>
      <c r="G48" s="26">
        <v>4.93</v>
      </c>
      <c r="H48" s="10"/>
      <c r="I48" s="10">
        <f t="shared" si="8"/>
        <v>1174.8296885477037</v>
      </c>
      <c r="J48" s="10">
        <f t="shared" si="6"/>
        <v>5620831858.5270615</v>
      </c>
      <c r="K48" s="11">
        <f t="shared" si="7"/>
        <v>8.0537661000000149E-2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4646066.7571182167</v>
      </c>
      <c r="D49" s="11">
        <v>2.9870000000000001E-2</v>
      </c>
      <c r="E49" s="10">
        <f t="shared" si="2"/>
        <v>134752.94360950589</v>
      </c>
      <c r="F49" s="3"/>
      <c r="G49" s="26">
        <v>-6.89</v>
      </c>
      <c r="H49" s="10"/>
      <c r="I49" s="10">
        <f t="shared" si="8"/>
        <v>1119.6318388904067</v>
      </c>
      <c r="J49" s="10">
        <f t="shared" si="6"/>
        <v>5201884266.8798571</v>
      </c>
      <c r="K49" s="11">
        <f t="shared" si="7"/>
        <v>-4.1088042999999908E-2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4511313.8135087108</v>
      </c>
      <c r="D50" s="11">
        <v>2.9850000000000002E-2</v>
      </c>
      <c r="E50" s="10">
        <f t="shared" si="2"/>
        <v>130759.54491744842</v>
      </c>
      <c r="F50" s="3"/>
      <c r="G50" s="26">
        <v>4.38</v>
      </c>
      <c r="H50" s="10"/>
      <c r="I50" s="10">
        <f t="shared" si="8"/>
        <v>1202.4829114922206</v>
      </c>
      <c r="J50" s="10">
        <f t="shared" si="6"/>
        <v>5424777769.1230278</v>
      </c>
      <c r="K50" s="11">
        <f t="shared" si="7"/>
        <v>7.495742999999977E-2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4380554.2685912624</v>
      </c>
      <c r="D51" s="11">
        <v>2.9760000000000002E-2</v>
      </c>
      <c r="E51" s="10">
        <f t="shared" si="2"/>
        <v>126597.74610907026</v>
      </c>
      <c r="F51" s="3"/>
      <c r="G51" s="26">
        <v>-3.57</v>
      </c>
      <c r="H51" s="10"/>
      <c r="I51" s="10">
        <f t="shared" si="8"/>
        <v>1152.0242493698224</v>
      </c>
      <c r="J51" s="10">
        <f t="shared" si="6"/>
        <v>5046504743.097621</v>
      </c>
      <c r="K51" s="11">
        <f t="shared" si="7"/>
        <v>-7.0024319999997253E-3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4253956.5224821921</v>
      </c>
      <c r="D52" s="11">
        <v>2.9590000000000002E-2</v>
      </c>
      <c r="E52" s="10">
        <f t="shared" si="2"/>
        <v>122256.98919011233</v>
      </c>
      <c r="F52" s="3"/>
      <c r="G52" s="26">
        <v>3.2</v>
      </c>
      <c r="H52" s="10"/>
      <c r="I52" s="10">
        <f t="shared" si="8"/>
        <v>1194.6741152855152</v>
      </c>
      <c r="J52" s="10">
        <f t="shared" si="6"/>
        <v>5082091744.9594593</v>
      </c>
      <c r="K52" s="11">
        <f t="shared" si="7"/>
        <v>6.2536879999999906E-2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4131699.5332920798</v>
      </c>
      <c r="D53" s="11">
        <v>2.9350000000000001E-2</v>
      </c>
      <c r="E53" s="10">
        <f t="shared" si="2"/>
        <v>117807.72458553687</v>
      </c>
      <c r="F53" s="3"/>
      <c r="G53" s="26">
        <v>-6.89</v>
      </c>
      <c r="H53" s="10"/>
      <c r="I53" s="10">
        <f t="shared" si="8"/>
        <v>1157.6299566720108</v>
      </c>
      <c r="J53" s="10">
        <f t="shared" si="6"/>
        <v>4782979151.7066774</v>
      </c>
      <c r="K53" s="11">
        <f t="shared" si="7"/>
        <v>-4.1572215000000079E-2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4013891.8087065429</v>
      </c>
      <c r="D54" s="11">
        <v>2.9049999999999999E-2</v>
      </c>
      <c r="E54" s="10">
        <f t="shared" si="2"/>
        <v>113311.84786251886</v>
      </c>
      <c r="F54" s="3"/>
      <c r="G54" s="26">
        <v>13.89</v>
      </c>
      <c r="H54" s="10"/>
      <c r="I54" s="10">
        <f t="shared" si="8"/>
        <v>1243.2928328557737</v>
      </c>
      <c r="J54" s="10">
        <f t="shared" si="6"/>
        <v>4990442917.6233425</v>
      </c>
      <c r="K54" s="11">
        <f t="shared" si="7"/>
        <v>0.17198504499999978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3900579.9608440241</v>
      </c>
      <c r="D55" s="11">
        <v>2.8729999999999999E-2</v>
      </c>
      <c r="E55" s="10">
        <f t="shared" si="2"/>
        <v>108933.98877747171</v>
      </c>
      <c r="F55" s="3"/>
      <c r="G55" s="26">
        <v>22.81</v>
      </c>
      <c r="H55" s="10"/>
      <c r="I55" s="10">
        <f t="shared" si="8"/>
        <v>1091.6611053259933</v>
      </c>
      <c r="J55" s="10">
        <f t="shared" si="6"/>
        <v>4258111431.4674067</v>
      </c>
      <c r="K55" s="11">
        <f t="shared" si="7"/>
        <v>0.26338331299999984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3791645.9720665524</v>
      </c>
      <c r="D56" s="11">
        <v>2.843E-2</v>
      </c>
      <c r="E56" s="10">
        <f t="shared" si="2"/>
        <v>104816.56017993623</v>
      </c>
      <c r="F56" s="3"/>
      <c r="G56" s="26">
        <v>22.85</v>
      </c>
      <c r="H56" s="10"/>
      <c r="I56" s="10">
        <f t="shared" si="8"/>
        <v>888.9024552772521</v>
      </c>
      <c r="J56" s="10">
        <f t="shared" si="6"/>
        <v>3370403414.1120615</v>
      </c>
      <c r="K56" s="11">
        <f t="shared" si="7"/>
        <v>0.26342625499999972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3686829.4118866161</v>
      </c>
      <c r="D57" s="11">
        <v>2.802E-2</v>
      </c>
      <c r="E57" s="10">
        <f t="shared" si="2"/>
        <v>100489.25129964668</v>
      </c>
      <c r="F57" s="3"/>
      <c r="G57" s="26">
        <v>6.28</v>
      </c>
      <c r="H57" s="10"/>
      <c r="I57" s="10">
        <f t="shared" si="8"/>
        <v>723.56732216300543</v>
      </c>
      <c r="J57" s="10">
        <f t="shared" si="6"/>
        <v>2667669284.8306069</v>
      </c>
      <c r="K57" s="11">
        <f t="shared" si="7"/>
        <v>9.2579656000000066E-2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3586340.1605869695</v>
      </c>
      <c r="D58" s="11">
        <v>2.7699999999999999E-2</v>
      </c>
      <c r="E58" s="10">
        <f t="shared" si="2"/>
        <v>96664.028849137947</v>
      </c>
      <c r="F58" s="3"/>
      <c r="G58" s="26">
        <v>5.77</v>
      </c>
      <c r="H58" s="10"/>
      <c r="I58" s="10">
        <f t="shared" si="8"/>
        <v>680.81230914848084</v>
      </c>
      <c r="J58" s="10">
        <f t="shared" si="6"/>
        <v>2441624526.1211481</v>
      </c>
      <c r="K58" s="11">
        <f t="shared" si="7"/>
        <v>8.6998290000000145E-2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3489676.1317378315</v>
      </c>
      <c r="D59" s="11">
        <v>2.7369999999999998E-2</v>
      </c>
      <c r="E59" s="10">
        <f t="shared" si="2"/>
        <v>92967.904188037384</v>
      </c>
      <c r="F59" s="3"/>
      <c r="G59" s="26">
        <v>2.83</v>
      </c>
      <c r="H59" s="10"/>
      <c r="I59" s="10">
        <f t="shared" si="8"/>
        <v>643.67241103193794</v>
      </c>
      <c r="J59" s="10">
        <f t="shared" si="6"/>
        <v>2246208249.4362965</v>
      </c>
      <c r="K59" s="11">
        <f t="shared" si="7"/>
        <v>5.6444570999999888E-2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3396708.2275497941</v>
      </c>
      <c r="D60" s="11">
        <v>2.707E-2</v>
      </c>
      <c r="E60" s="10">
        <f t="shared" si="2"/>
        <v>89525.438110131305</v>
      </c>
      <c r="F60" s="3"/>
      <c r="G60" s="26">
        <v>3.8</v>
      </c>
      <c r="H60" s="10"/>
      <c r="I60" s="10">
        <f t="shared" si="8"/>
        <v>625.95780514629769</v>
      </c>
      <c r="J60" s="10">
        <f t="shared" si="6"/>
        <v>2126196026.8394401</v>
      </c>
      <c r="K60" s="11">
        <f t="shared" si="7"/>
        <v>6.6098659999999976E-2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3307182.7894396628</v>
      </c>
      <c r="D61" s="11">
        <v>2.6800000000000001E-2</v>
      </c>
      <c r="E61" s="10">
        <f t="shared" si="2"/>
        <v>86319.145653469954</v>
      </c>
      <c r="F61" s="3"/>
      <c r="G61" s="26">
        <v>3.79</v>
      </c>
      <c r="H61" s="10"/>
      <c r="I61" s="10">
        <f t="shared" si="8"/>
        <v>603.04220148968943</v>
      </c>
      <c r="J61" s="10">
        <f t="shared" si="6"/>
        <v>1994370790.0725062</v>
      </c>
      <c r="K61" s="11">
        <f t="shared" si="7"/>
        <v>6.5715720000000033E-2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3220863.6437861929</v>
      </c>
      <c r="D62" s="11">
        <v>2.657E-2</v>
      </c>
      <c r="E62" s="10">
        <f t="shared" si="2"/>
        <v>83363.381956806872</v>
      </c>
      <c r="F62" s="3"/>
      <c r="G62" s="26">
        <v>3.19</v>
      </c>
      <c r="H62" s="10"/>
      <c r="I62" s="10">
        <f t="shared" si="8"/>
        <v>581.02148712755502</v>
      </c>
      <c r="J62" s="10">
        <f t="shared" si="6"/>
        <v>1871390984.1477294</v>
      </c>
      <c r="K62" s="11">
        <f t="shared" si="7"/>
        <v>5.9317583000000118E-2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3137500.261829386</v>
      </c>
      <c r="D63" s="11">
        <v>2.6380000000000001E-2</v>
      </c>
      <c r="E63" s="10">
        <f t="shared" si="2"/>
        <v>80639.974382840097</v>
      </c>
      <c r="F63" s="3"/>
      <c r="G63" s="26">
        <v>5.64</v>
      </c>
      <c r="H63" s="10"/>
      <c r="I63" s="10">
        <f t="shared" si="8"/>
        <v>563.05987704967049</v>
      </c>
      <c r="J63" s="10">
        <f t="shared" si="6"/>
        <v>1766600511.668963</v>
      </c>
      <c r="K63" s="11">
        <f t="shared" si="7"/>
        <v>8.4267831999999876E-2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3056860.2874465459</v>
      </c>
      <c r="D64" s="11">
        <v>2.6190000000000001E-2</v>
      </c>
      <c r="E64" s="10">
        <f t="shared" si="2"/>
        <v>78015.933626545593</v>
      </c>
      <c r="F64" s="3"/>
      <c r="G64" s="26">
        <v>3.88</v>
      </c>
      <c r="H64" s="10"/>
      <c r="I64" s="10">
        <f t="shared" si="8"/>
        <v>532.99874768049085</v>
      </c>
      <c r="J64" s="10">
        <f t="shared" si="6"/>
        <v>1629302705.0432343</v>
      </c>
      <c r="K64" s="11">
        <f t="shared" si="7"/>
        <v>6.600617200000003E-2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2978844.3538200003</v>
      </c>
      <c r="D65" s="11">
        <v>2.5999999999999999E-2</v>
      </c>
      <c r="E65" s="10">
        <f t="shared" si="2"/>
        <v>75487.283820000011</v>
      </c>
      <c r="F65" s="3"/>
      <c r="G65" s="26">
        <v>3.09</v>
      </c>
      <c r="H65" s="10"/>
      <c r="I65" s="10">
        <f t="shared" si="8"/>
        <v>513.09082372014905</v>
      </c>
      <c r="J65" s="10">
        <f t="shared" si="6"/>
        <v>1528417703.2356191</v>
      </c>
      <c r="K65" s="11">
        <f t="shared" si="7"/>
        <v>5.7703400000000071E-2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2903357.0700000003</v>
      </c>
      <c r="D66" s="11">
        <v>2.5739999999999999E-2</v>
      </c>
      <c r="E66" s="10">
        <f t="shared" si="2"/>
        <v>72857.070000000298</v>
      </c>
      <c r="F66" s="23">
        <f>SUM(F2)</f>
        <v>12783095</v>
      </c>
      <c r="G66" s="26">
        <v>5.7</v>
      </c>
      <c r="H66" s="10"/>
      <c r="I66" s="10">
        <f t="shared" si="8"/>
        <v>497.71153722004954</v>
      </c>
      <c r="J66" s="10">
        <f t="shared" ref="J66:J67" si="9">IF(I66="","",I66*C66)</f>
        <v>1445034310.4083991</v>
      </c>
      <c r="K66" s="11">
        <f t="shared" ref="K66" si="10">IFERROR(J66/J67-1,"")</f>
        <v>8.4207180000000159E-2</v>
      </c>
    </row>
    <row r="67" spans="1:11" ht="22.5" customHeight="1">
      <c r="A67" s="3">
        <f t="shared" si="0"/>
        <v>1950</v>
      </c>
      <c r="B67" s="3">
        <v>1700</v>
      </c>
      <c r="C67" s="10">
        <v>2830500</v>
      </c>
      <c r="D67" s="11">
        <v>2.537E-2</v>
      </c>
      <c r="E67" s="3" t="s">
        <v>72</v>
      </c>
      <c r="F67" s="10">
        <f>SUM(C2)</f>
        <v>12783114.76058523</v>
      </c>
      <c r="G67" s="26">
        <v>3.09</v>
      </c>
      <c r="H67" s="10"/>
      <c r="I67" s="10">
        <f t="shared" ref="I67" si="11">IF(H67&lt;&gt;"",H67,I66/(1+IF(G66="",0,G66)/100))</f>
        <v>470.87184221385957</v>
      </c>
      <c r="J67" s="10">
        <f t="shared" si="9"/>
        <v>1332802749.3863294</v>
      </c>
      <c r="K67" s="11"/>
    </row>
  </sheetData>
  <dataValidations count="1">
    <dataValidation type="custom" allowBlank="1" showDropDown="1" sqref="D2:D67" xr:uid="{00000000-0002-0000-4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M67"/>
  <sheetViews>
    <sheetView workbookViewId="0">
      <selection activeCell="N13" sqref="N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35958594.008806027</v>
      </c>
      <c r="D2" s="11">
        <v>5.8199999999999997E-3</v>
      </c>
      <c r="E2" s="10">
        <f t="shared" ref="E2:E66" si="2">SUM(C2-C3)</f>
        <v>208068.06101613492</v>
      </c>
      <c r="F2" s="14">
        <v>35956798</v>
      </c>
      <c r="G2" s="26">
        <v>4.26</v>
      </c>
      <c r="H2" s="10"/>
      <c r="I2" s="10">
        <f>IF(H2&lt;&gt;"",H2,11936)</f>
        <v>1492</v>
      </c>
      <c r="J2" s="10">
        <f t="shared" ref="J2:J33" si="3">IF(I2="","",I2*C2)</f>
        <v>53650222261.138596</v>
      </c>
      <c r="K2" s="11">
        <f t="shared" ref="K2:K33" si="4">IFERROR(J2/J3-1,"")</f>
        <v>4.8667931999999858E-2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35750525.947789893</v>
      </c>
      <c r="D3" s="11">
        <v>5.6100000000000004E-3</v>
      </c>
      <c r="E3" s="10">
        <f t="shared" si="2"/>
        <v>199441.58328486979</v>
      </c>
      <c r="F3" s="3"/>
      <c r="G3" s="26">
        <v>6.09</v>
      </c>
      <c r="H3" s="10"/>
      <c r="I3" s="10">
        <f t="shared" ref="I3:I34" si="5">IF(H3&lt;&gt;"",H3,I2/(1+IF(G2="",0,G2)/100))</f>
        <v>1431.0377901400345</v>
      </c>
      <c r="J3" s="10">
        <f t="shared" si="3"/>
        <v>51160353648.669212</v>
      </c>
      <c r="K3" s="11">
        <f t="shared" si="4"/>
        <v>6.6851648999999957E-2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35551084.364505023</v>
      </c>
      <c r="D4" s="11">
        <v>5.5199999999999997E-3</v>
      </c>
      <c r="E4" s="10">
        <f t="shared" si="2"/>
        <v>195164.67667680979</v>
      </c>
      <c r="F4" s="3"/>
      <c r="G4" s="26">
        <v>5.61</v>
      </c>
      <c r="H4" s="10"/>
      <c r="I4" s="10">
        <f t="shared" si="5"/>
        <v>1348.8903668018047</v>
      </c>
      <c r="J4" s="10">
        <f t="shared" si="3"/>
        <v>47954515228.639084</v>
      </c>
      <c r="K4" s="11">
        <f t="shared" si="4"/>
        <v>6.1929671999999991E-2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35355919.687828213</v>
      </c>
      <c r="D5" s="11">
        <v>5.3499999999999997E-3</v>
      </c>
      <c r="E5" s="10">
        <f t="shared" si="2"/>
        <v>188147.58077274263</v>
      </c>
      <c r="F5" s="3"/>
      <c r="G5" s="26">
        <v>5.0599999999999996</v>
      </c>
      <c r="H5" s="10"/>
      <c r="I5" s="10">
        <f t="shared" si="5"/>
        <v>1277.2373513888881</v>
      </c>
      <c r="J5" s="10">
        <f t="shared" si="3"/>
        <v>45157901217.999947</v>
      </c>
      <c r="K5" s="11">
        <f t="shared" si="4"/>
        <v>5.6220709999999841E-2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35167772.10705547</v>
      </c>
      <c r="D6" s="11">
        <v>5.4099999999999999E-3</v>
      </c>
      <c r="E6" s="10">
        <f t="shared" si="2"/>
        <v>189233.89174482971</v>
      </c>
      <c r="F6" s="3"/>
      <c r="G6" s="26">
        <v>5.09</v>
      </c>
      <c r="H6" s="10"/>
      <c r="I6" s="10">
        <f t="shared" si="5"/>
        <v>1215.7218269454484</v>
      </c>
      <c r="J6" s="10">
        <f t="shared" si="3"/>
        <v>42754228155.590652</v>
      </c>
      <c r="K6" s="11">
        <f t="shared" si="4"/>
        <v>5.6585368999999996E-2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34978538.215310641</v>
      </c>
      <c r="D7" s="11">
        <v>5.6899999999999997E-3</v>
      </c>
      <c r="E7" s="10">
        <f t="shared" si="2"/>
        <v>197901.8210831508</v>
      </c>
      <c r="F7" s="3"/>
      <c r="G7" s="26">
        <v>6.04</v>
      </c>
      <c r="H7" s="10"/>
      <c r="I7" s="10">
        <f t="shared" si="5"/>
        <v>1156.8387353177736</v>
      </c>
      <c r="J7" s="10">
        <f t="shared" si="3"/>
        <v>40464527912.264374</v>
      </c>
      <c r="K7" s="11">
        <f t="shared" si="4"/>
        <v>6.6433675999999942E-2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34780636.39422749</v>
      </c>
      <c r="D8" s="11">
        <v>6.0400000000000002E-3</v>
      </c>
      <c r="E8" s="10">
        <f t="shared" si="2"/>
        <v>208813.80841828883</v>
      </c>
      <c r="F8" s="3"/>
      <c r="G8" s="26">
        <v>4.3</v>
      </c>
      <c r="H8" s="10"/>
      <c r="I8" s="10">
        <f t="shared" si="5"/>
        <v>1090.9456198771913</v>
      </c>
      <c r="J8" s="10">
        <f t="shared" si="3"/>
        <v>37943782930.823708</v>
      </c>
      <c r="K8" s="11">
        <f t="shared" si="4"/>
        <v>4.9299720000000047E-2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34571822.585809201</v>
      </c>
      <c r="D9" s="11">
        <v>6.79E-3</v>
      </c>
      <c r="E9" s="10">
        <f t="shared" si="2"/>
        <v>233159.52220189571</v>
      </c>
      <c r="F9" s="3"/>
      <c r="G9" s="26">
        <v>2.65</v>
      </c>
      <c r="H9" s="10"/>
      <c r="I9" s="10">
        <f t="shared" si="5"/>
        <v>1045.9689548199342</v>
      </c>
      <c r="J9" s="10">
        <f t="shared" si="3"/>
        <v>36161053136.299042</v>
      </c>
      <c r="K9" s="11">
        <f t="shared" si="4"/>
        <v>3.3469935000000062E-2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34338663.063607305</v>
      </c>
      <c r="D10" s="11">
        <v>6.7099999999999998E-3</v>
      </c>
      <c r="E10" s="10">
        <f t="shared" si="2"/>
        <v>228876.66672309488</v>
      </c>
      <c r="F10" s="3"/>
      <c r="G10" s="26">
        <v>5.37</v>
      </c>
      <c r="H10" s="10"/>
      <c r="I10" s="10">
        <f t="shared" si="5"/>
        <v>1018.9663466341298</v>
      </c>
      <c r="J10" s="10">
        <f t="shared" si="3"/>
        <v>34989942050.224266</v>
      </c>
      <c r="K10" s="11">
        <f t="shared" si="4"/>
        <v>6.0770326999999957E-2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34109786.39688421</v>
      </c>
      <c r="D11" s="11">
        <v>4.81E-3</v>
      </c>
      <c r="E11" s="10">
        <f t="shared" si="2"/>
        <v>163282.68286443502</v>
      </c>
      <c r="F11" s="3"/>
      <c r="G11" s="26">
        <v>7.07</v>
      </c>
      <c r="H11" s="10"/>
      <c r="I11" s="10">
        <f t="shared" si="5"/>
        <v>967.03648726784638</v>
      </c>
      <c r="J11" s="10">
        <f t="shared" si="3"/>
        <v>32985408018.699478</v>
      </c>
      <c r="K11" s="11">
        <f t="shared" si="4"/>
        <v>7.5850066999999965E-2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33946503.714019775</v>
      </c>
      <c r="D12" s="11">
        <v>5.1999999999999998E-3</v>
      </c>
      <c r="E12" s="10">
        <f t="shared" si="2"/>
        <v>175608.65431049466</v>
      </c>
      <c r="F12" s="3"/>
      <c r="G12" s="26">
        <v>2.5299999999999998</v>
      </c>
      <c r="H12" s="10"/>
      <c r="I12" s="10">
        <f t="shared" si="5"/>
        <v>903.18155157172544</v>
      </c>
      <c r="J12" s="10">
        <f t="shared" si="3"/>
        <v>30659855894.86372</v>
      </c>
      <c r="K12" s="11">
        <f t="shared" si="4"/>
        <v>3.0631560000000224E-2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33770895.059709281</v>
      </c>
      <c r="D13" s="11">
        <v>5.7000000000000002E-3</v>
      </c>
      <c r="E13" s="10">
        <f t="shared" si="2"/>
        <v>191403.10414671153</v>
      </c>
      <c r="F13" s="3"/>
      <c r="G13" s="26">
        <v>12.27</v>
      </c>
      <c r="H13" s="10"/>
      <c r="I13" s="10">
        <f t="shared" si="5"/>
        <v>880.8949103401203</v>
      </c>
      <c r="J13" s="10">
        <f t="shared" si="3"/>
        <v>29748609575.728218</v>
      </c>
      <c r="K13" s="11">
        <f t="shared" si="4"/>
        <v>0.12909939000000015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33579491.955562569</v>
      </c>
      <c r="D14" s="11">
        <v>6.3800000000000003E-3</v>
      </c>
      <c r="E14" s="10">
        <f t="shared" si="2"/>
        <v>212878.99071572721</v>
      </c>
      <c r="F14" s="3"/>
      <c r="G14" s="26">
        <v>4.24</v>
      </c>
      <c r="H14" s="10"/>
      <c r="I14" s="10">
        <f t="shared" si="5"/>
        <v>784.62181378829632</v>
      </c>
      <c r="J14" s="10">
        <f t="shared" si="3"/>
        <v>26347201884.263008</v>
      </c>
      <c r="K14" s="11">
        <f t="shared" si="4"/>
        <v>4.9050512000000213E-2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33366612.964846842</v>
      </c>
      <c r="D15" s="11">
        <v>7.28E-3</v>
      </c>
      <c r="E15" s="10">
        <f t="shared" si="2"/>
        <v>241153.34602501988</v>
      </c>
      <c r="F15" s="3"/>
      <c r="G15" s="26">
        <v>-0.79</v>
      </c>
      <c r="H15" s="10"/>
      <c r="I15" s="10">
        <f t="shared" si="5"/>
        <v>752.7070354837839</v>
      </c>
      <c r="J15" s="10">
        <f t="shared" si="3"/>
        <v>25115284328.904655</v>
      </c>
      <c r="K15" s="11">
        <f t="shared" si="4"/>
        <v>-6.7751200000010225E-4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33125459.618821822</v>
      </c>
      <c r="D16" s="11">
        <v>8.6E-3</v>
      </c>
      <c r="E16" s="10">
        <f t="shared" si="2"/>
        <v>282449.88372185826</v>
      </c>
      <c r="F16" s="3"/>
      <c r="G16" s="26">
        <v>-3.18</v>
      </c>
      <c r="H16" s="10"/>
      <c r="I16" s="10">
        <f t="shared" si="5"/>
        <v>758.70077157926005</v>
      </c>
      <c r="J16" s="10">
        <f t="shared" si="3"/>
        <v>25132311771.717739</v>
      </c>
      <c r="K16" s="11">
        <f t="shared" si="4"/>
        <v>-2.3473480000000158E-2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32843009.735099964</v>
      </c>
      <c r="D17" s="11">
        <v>9.8499999999999994E-3</v>
      </c>
      <c r="E17" s="10">
        <f t="shared" si="2"/>
        <v>320348.21596349031</v>
      </c>
      <c r="F17" s="3"/>
      <c r="G17" s="26">
        <v>-15.49</v>
      </c>
      <c r="H17" s="10"/>
      <c r="I17" s="10">
        <f t="shared" si="5"/>
        <v>783.61988388686234</v>
      </c>
      <c r="J17" s="10">
        <f t="shared" si="3"/>
        <v>25736435475.114124</v>
      </c>
      <c r="K17" s="11">
        <f t="shared" si="4"/>
        <v>-0.14657576500000002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32522661.519136474</v>
      </c>
      <c r="D18" s="11">
        <v>1.0670000000000001E-2</v>
      </c>
      <c r="E18" s="10">
        <f t="shared" si="2"/>
        <v>343353.2195565179</v>
      </c>
      <c r="F18" s="3"/>
      <c r="G18" s="26">
        <v>8.3699999999999992</v>
      </c>
      <c r="H18" s="10"/>
      <c r="I18" s="10">
        <f t="shared" si="5"/>
        <v>927.2510754784787</v>
      </c>
      <c r="J18" s="10">
        <f t="shared" si="3"/>
        <v>30156672871.041828</v>
      </c>
      <c r="K18" s="11">
        <f t="shared" si="4"/>
        <v>9.5263078999999751E-2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32179308.299579956</v>
      </c>
      <c r="D19" s="11">
        <v>1.1039999999999999E-2</v>
      </c>
      <c r="E19" s="10">
        <f t="shared" si="2"/>
        <v>351380.32484111562</v>
      </c>
      <c r="F19" s="3"/>
      <c r="G19" s="26">
        <v>6.29</v>
      </c>
      <c r="H19" s="10"/>
      <c r="I19" s="10">
        <f t="shared" si="5"/>
        <v>855.63447031325904</v>
      </c>
      <c r="J19" s="10">
        <f t="shared" si="3"/>
        <v>27533725411.958157</v>
      </c>
      <c r="K19" s="11">
        <f t="shared" si="4"/>
        <v>7.463441599999987E-2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31827927.97473884</v>
      </c>
      <c r="D20" s="11">
        <v>1.468E-2</v>
      </c>
      <c r="E20" s="10">
        <f t="shared" si="2"/>
        <v>460474.22110337019</v>
      </c>
      <c r="F20" s="3"/>
      <c r="G20" s="26">
        <v>4.22</v>
      </c>
      <c r="H20" s="10"/>
      <c r="I20" s="10">
        <f t="shared" si="5"/>
        <v>804.99997207005276</v>
      </c>
      <c r="J20" s="10">
        <f t="shared" si="3"/>
        <v>25621481130.712418</v>
      </c>
      <c r="K20" s="11">
        <f t="shared" si="4"/>
        <v>5.749949600000015E-2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31367453.75363547</v>
      </c>
      <c r="D21" s="11">
        <v>1.9E-2</v>
      </c>
      <c r="E21" s="10">
        <f t="shared" si="2"/>
        <v>584869.10826209188</v>
      </c>
      <c r="F21" s="3"/>
      <c r="G21" s="26">
        <v>3.19</v>
      </c>
      <c r="H21" s="10"/>
      <c r="I21" s="10">
        <f t="shared" si="5"/>
        <v>772.40450208218454</v>
      </c>
      <c r="J21" s="10">
        <f t="shared" si="3"/>
        <v>24228362498.162754</v>
      </c>
      <c r="K21" s="11">
        <f t="shared" si="4"/>
        <v>5.1506099999999888E-2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30782584.645373378</v>
      </c>
      <c r="D22" s="11">
        <v>2.0619999999999999E-2</v>
      </c>
      <c r="E22" s="10">
        <f t="shared" si="2"/>
        <v>621913.04833101481</v>
      </c>
      <c r="F22" s="3"/>
      <c r="G22" s="26">
        <v>3.9</v>
      </c>
      <c r="H22" s="10"/>
      <c r="I22" s="10">
        <f t="shared" si="5"/>
        <v>748.5265065240668</v>
      </c>
      <c r="J22" s="10">
        <f t="shared" si="3"/>
        <v>23041580546.382713</v>
      </c>
      <c r="K22" s="11">
        <f t="shared" si="4"/>
        <v>6.042418000000005E-2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30160671.597042363</v>
      </c>
      <c r="D23" s="11">
        <v>2.198E-2</v>
      </c>
      <c r="E23" s="10">
        <f t="shared" si="2"/>
        <v>648673.71348068863</v>
      </c>
      <c r="F23" s="3"/>
      <c r="G23" s="26">
        <v>1.73</v>
      </c>
      <c r="H23" s="10"/>
      <c r="I23" s="10">
        <f t="shared" si="5"/>
        <v>720.42974641392379</v>
      </c>
      <c r="J23" s="10">
        <f t="shared" si="3"/>
        <v>21728644990.330864</v>
      </c>
      <c r="K23" s="11">
        <f t="shared" si="4"/>
        <v>3.966025399999995E-2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29511997.883561675</v>
      </c>
      <c r="D24" s="11">
        <v>2.198E-2</v>
      </c>
      <c r="E24" s="10">
        <f t="shared" si="2"/>
        <v>634722.51265258342</v>
      </c>
      <c r="F24" s="3"/>
      <c r="G24" s="26">
        <v>-1.58</v>
      </c>
      <c r="H24" s="10"/>
      <c r="I24" s="10">
        <f t="shared" si="5"/>
        <v>708.17826247313849</v>
      </c>
      <c r="J24" s="10">
        <f t="shared" si="3"/>
        <v>20899755383.291649</v>
      </c>
      <c r="K24" s="11">
        <f t="shared" si="4"/>
        <v>5.8327160000000156E-3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28877275.370909091</v>
      </c>
      <c r="D25" s="11">
        <v>3.6519999999999997E-2</v>
      </c>
      <c r="E25" s="10">
        <f t="shared" si="2"/>
        <v>1017441.145897422</v>
      </c>
      <c r="F25" s="3"/>
      <c r="G25" s="26">
        <v>7.19</v>
      </c>
      <c r="H25" s="10"/>
      <c r="I25" s="10">
        <f t="shared" si="5"/>
        <v>719.54710675994568</v>
      </c>
      <c r="J25" s="10">
        <f t="shared" si="3"/>
        <v>20778559944.247875</v>
      </c>
      <c r="K25" s="11">
        <f t="shared" si="4"/>
        <v>0.11104578799999998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27859834.225011669</v>
      </c>
      <c r="D26" s="11">
        <v>3.9640000000000002E-2</v>
      </c>
      <c r="E26" s="10">
        <f t="shared" si="2"/>
        <v>1062256.0008074529</v>
      </c>
      <c r="F26" s="3"/>
      <c r="G26" s="26">
        <v>8.17</v>
      </c>
      <c r="H26" s="10"/>
      <c r="I26" s="10">
        <f t="shared" si="5"/>
        <v>671.28193559095587</v>
      </c>
      <c r="J26" s="10">
        <f t="shared" si="3"/>
        <v>18701803443.80899</v>
      </c>
      <c r="K26" s="11">
        <f t="shared" si="4"/>
        <v>0.12457858799999988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26797578.224204216</v>
      </c>
      <c r="D27" s="11">
        <v>4.0719999999999999E-2</v>
      </c>
      <c r="E27" s="10">
        <f t="shared" si="2"/>
        <v>1048502.3688308075</v>
      </c>
      <c r="F27" s="3"/>
      <c r="G27" s="26">
        <v>-4.05</v>
      </c>
      <c r="H27" s="10"/>
      <c r="I27" s="10">
        <f t="shared" si="5"/>
        <v>620.58050808075791</v>
      </c>
      <c r="J27" s="10">
        <f t="shared" si="3"/>
        <v>16630054709.710506</v>
      </c>
      <c r="K27" s="11">
        <f t="shared" si="4"/>
        <v>-1.4291599999999294E-3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25749075.855373409</v>
      </c>
      <c r="D28" s="11">
        <v>4.027E-2</v>
      </c>
      <c r="E28" s="10">
        <f t="shared" si="2"/>
        <v>996775.14942840487</v>
      </c>
      <c r="F28" s="3"/>
      <c r="G28" s="26">
        <v>1.86</v>
      </c>
      <c r="H28" s="10"/>
      <c r="I28" s="10">
        <f t="shared" si="5"/>
        <v>646.77489117327559</v>
      </c>
      <c r="J28" s="10">
        <f t="shared" si="3"/>
        <v>16653855734.171555</v>
      </c>
      <c r="K28" s="11">
        <f t="shared" si="4"/>
        <v>5.961902199999991E-2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24752300.705945004</v>
      </c>
      <c r="D29" s="11">
        <v>5.2859999999999997E-2</v>
      </c>
      <c r="E29" s="10">
        <f t="shared" si="2"/>
        <v>1242716.6150449738</v>
      </c>
      <c r="F29" s="3"/>
      <c r="G29" s="26">
        <v>0.81</v>
      </c>
      <c r="H29" s="10"/>
      <c r="I29" s="10">
        <f t="shared" si="5"/>
        <v>634.96455053335524</v>
      </c>
      <c r="J29" s="10">
        <f t="shared" si="3"/>
        <v>15716833492.416821</v>
      </c>
      <c r="K29" s="11">
        <f t="shared" si="4"/>
        <v>6.1388165999999744E-2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23509584.09090003</v>
      </c>
      <c r="D30" s="11">
        <v>3.8899999999999997E-2</v>
      </c>
      <c r="E30" s="10">
        <f t="shared" si="2"/>
        <v>880279.93178940192</v>
      </c>
      <c r="F30" s="3"/>
      <c r="G30" s="26">
        <v>3.55</v>
      </c>
      <c r="H30" s="10"/>
      <c r="I30" s="10">
        <f t="shared" si="5"/>
        <v>629.86266296335214</v>
      </c>
      <c r="J30" s="10">
        <f t="shared" si="3"/>
        <v>14807809240.655151</v>
      </c>
      <c r="K30" s="11">
        <f t="shared" si="4"/>
        <v>7.578095000000018E-2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22629304.159110628</v>
      </c>
      <c r="D31" s="11">
        <v>3.8730000000000001E-2</v>
      </c>
      <c r="E31" s="10">
        <f t="shared" si="2"/>
        <v>843754.34432658553</v>
      </c>
      <c r="F31" s="3"/>
      <c r="G31" s="26">
        <v>4.7699999999999996</v>
      </c>
      <c r="H31" s="10"/>
      <c r="I31" s="10">
        <f t="shared" si="5"/>
        <v>608.2691095734931</v>
      </c>
      <c r="J31" s="10">
        <f t="shared" si="3"/>
        <v>13764706691.129965</v>
      </c>
      <c r="K31" s="11">
        <f t="shared" si="4"/>
        <v>8.8277420999999912E-2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21785549.814784043</v>
      </c>
      <c r="D32" s="11">
        <v>4.0529999999999997E-2</v>
      </c>
      <c r="E32" s="10">
        <f t="shared" si="2"/>
        <v>848575.56629140675</v>
      </c>
      <c r="F32" s="3"/>
      <c r="G32" s="26">
        <v>0.46</v>
      </c>
      <c r="H32" s="10"/>
      <c r="I32" s="10">
        <f t="shared" si="5"/>
        <v>580.57565101984642</v>
      </c>
      <c r="J32" s="10">
        <f t="shared" si="3"/>
        <v>12648159766.543541</v>
      </c>
      <c r="K32" s="11">
        <f t="shared" si="4"/>
        <v>4.5316437999999959E-2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20936974.248492636</v>
      </c>
      <c r="D33" s="11">
        <v>3.2620000000000003E-2</v>
      </c>
      <c r="E33" s="10">
        <f t="shared" si="2"/>
        <v>661389.57214254141</v>
      </c>
      <c r="F33" s="3"/>
      <c r="G33" s="26">
        <v>-0.24</v>
      </c>
      <c r="H33" s="10"/>
      <c r="I33" s="10">
        <f t="shared" si="5"/>
        <v>577.91723175377911</v>
      </c>
      <c r="J33" s="10">
        <f t="shared" si="3"/>
        <v>12099838198.989023</v>
      </c>
      <c r="K33" s="11">
        <f t="shared" si="4"/>
        <v>3.0141712000000043E-2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20275584.676350094</v>
      </c>
      <c r="D34" s="11">
        <v>3.2550000000000003E-2</v>
      </c>
      <c r="E34" s="10">
        <f t="shared" si="2"/>
        <v>639165.44594953954</v>
      </c>
      <c r="F34" s="3"/>
      <c r="G34" s="26">
        <v>-3.12</v>
      </c>
      <c r="H34" s="10"/>
      <c r="I34" s="10">
        <f t="shared" si="5"/>
        <v>579.30756992159093</v>
      </c>
      <c r="J34" s="10">
        <f t="shared" ref="J34:J65" si="6">IF(I34="","",I34*C34)</f>
        <v>11745799687.595819</v>
      </c>
      <c r="K34" s="11">
        <f t="shared" ref="K34:K65" si="7">IFERROR(J34/J35-1,"")</f>
        <v>1.3757589999999986E-2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19636419.230400555</v>
      </c>
      <c r="D35" s="11">
        <v>3.32E-2</v>
      </c>
      <c r="E35" s="10">
        <f t="shared" si="2"/>
        <v>630980.56373335049</v>
      </c>
      <c r="F35" s="3"/>
      <c r="G35" s="26">
        <v>-3.1</v>
      </c>
      <c r="H35" s="10"/>
      <c r="I35" s="10">
        <f t="shared" ref="I35:I66" si="8">IF(H35&lt;&gt;"",H35,I34/(1+IF(G34="",0,G34)/100))</f>
        <v>590.04641466855867</v>
      </c>
      <c r="J35" s="10">
        <f t="shared" si="6"/>
        <v>11586398763.826586</v>
      </c>
      <c r="K35" s="11">
        <f t="shared" si="7"/>
        <v>2.9067200000000071E-2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19005438.666667204</v>
      </c>
      <c r="D36" s="11">
        <v>3.3270000000000001E-2</v>
      </c>
      <c r="E36" s="10">
        <f t="shared" si="2"/>
        <v>611951.32389406115</v>
      </c>
      <c r="F36" s="3"/>
      <c r="G36" s="26">
        <v>-3.83</v>
      </c>
      <c r="H36" s="10"/>
      <c r="I36" s="10">
        <f t="shared" si="8"/>
        <v>592.41607898449661</v>
      </c>
      <c r="J36" s="10">
        <f t="shared" si="6"/>
        <v>11259127454.287325</v>
      </c>
      <c r="K36" s="11">
        <f t="shared" si="7"/>
        <v>4.3292719000000091E-2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18393487.342773143</v>
      </c>
      <c r="D37" s="11">
        <v>3.32E-2</v>
      </c>
      <c r="E37" s="10">
        <f t="shared" si="2"/>
        <v>591041.21155639365</v>
      </c>
      <c r="F37" s="3"/>
      <c r="G37" s="26">
        <v>-0.3</v>
      </c>
      <c r="H37" s="10"/>
      <c r="I37" s="10">
        <f t="shared" si="8"/>
        <v>586.72484795929142</v>
      </c>
      <c r="J37" s="10">
        <f t="shared" si="6"/>
        <v>10791916064.629725</v>
      </c>
      <c r="K37" s="11">
        <f t="shared" si="7"/>
        <v>8.4859999999999935E-2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17802446.13121675</v>
      </c>
      <c r="D38" s="11">
        <v>3.3070000000000002E-2</v>
      </c>
      <c r="E38" s="10">
        <f t="shared" si="2"/>
        <v>569880.93116568774</v>
      </c>
      <c r="F38" s="3"/>
      <c r="G38" s="26">
        <v>2.39</v>
      </c>
      <c r="H38" s="10"/>
      <c r="I38" s="10">
        <f t="shared" si="8"/>
        <v>558.78556948503945</v>
      </c>
      <c r="J38" s="10">
        <f t="shared" si="6"/>
        <v>9947749999.6586895</v>
      </c>
      <c r="K38" s="11">
        <f t="shared" si="7"/>
        <v>9.5983963000000116E-2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17232565.200051062</v>
      </c>
      <c r="D39" s="11">
        <v>3.2989999999999998E-2</v>
      </c>
      <c r="E39" s="10">
        <f t="shared" si="2"/>
        <v>550346.39827073552</v>
      </c>
      <c r="F39" s="3"/>
      <c r="G39" s="26">
        <v>7.18</v>
      </c>
      <c r="H39" s="10"/>
      <c r="I39" s="10">
        <f t="shared" si="8"/>
        <v>526.70899187957343</v>
      </c>
      <c r="J39" s="10">
        <f t="shared" si="6"/>
        <v>9076547044.0179138</v>
      </c>
      <c r="K39" s="11">
        <f t="shared" si="7"/>
        <v>0.10715868200000012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16682218.801780326</v>
      </c>
      <c r="D40" s="11">
        <v>3.2890000000000003E-2</v>
      </c>
      <c r="E40" s="10">
        <f t="shared" si="2"/>
        <v>531206.78522452153</v>
      </c>
      <c r="F40" s="3"/>
      <c r="G40" s="26">
        <v>2.2999999999999998</v>
      </c>
      <c r="H40" s="10"/>
      <c r="I40" s="10">
        <f t="shared" si="8"/>
        <v>491.42469852544633</v>
      </c>
      <c r="J40" s="10">
        <f t="shared" si="6"/>
        <v>8198054345.4004297</v>
      </c>
      <c r="K40" s="11">
        <f t="shared" si="7"/>
        <v>5.6646470000000004E-2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16151012.016555805</v>
      </c>
      <c r="D41" s="11">
        <v>3.108E-2</v>
      </c>
      <c r="E41" s="10">
        <f t="shared" si="2"/>
        <v>486842.39193326794</v>
      </c>
      <c r="F41" s="3"/>
      <c r="G41" s="26">
        <v>6.23</v>
      </c>
      <c r="H41" s="10"/>
      <c r="I41" s="10">
        <f t="shared" si="8"/>
        <v>480.37604938948817</v>
      </c>
      <c r="J41" s="10">
        <f t="shared" si="6"/>
        <v>7758559346.1552286</v>
      </c>
      <c r="K41" s="11">
        <f t="shared" si="7"/>
        <v>9.531628400000014E-2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15664169.624622537</v>
      </c>
      <c r="D42" s="11">
        <v>2.9649999999999999E-2</v>
      </c>
      <c r="E42" s="10">
        <f t="shared" si="2"/>
        <v>451068.44983252324</v>
      </c>
      <c r="F42" s="3"/>
      <c r="G42" s="26">
        <v>3.44</v>
      </c>
      <c r="H42" s="10"/>
      <c r="I42" s="10">
        <f t="shared" si="8"/>
        <v>452.20375542642205</v>
      </c>
      <c r="J42" s="10">
        <f t="shared" si="6"/>
        <v>7083396329.8907986</v>
      </c>
      <c r="K42" s="11">
        <f t="shared" si="7"/>
        <v>6.5069959999999982E-2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15213101.174790014</v>
      </c>
      <c r="D43" s="11">
        <v>2.9049999999999999E-2</v>
      </c>
      <c r="E43" s="10">
        <f t="shared" si="2"/>
        <v>429464.64129794575</v>
      </c>
      <c r="F43" s="3"/>
      <c r="G43" s="26">
        <v>0.26</v>
      </c>
      <c r="H43" s="10"/>
      <c r="I43" s="10">
        <f t="shared" si="8"/>
        <v>437.16527013381869</v>
      </c>
      <c r="J43" s="10">
        <f t="shared" si="6"/>
        <v>6650639484.6501904</v>
      </c>
      <c r="K43" s="11">
        <f t="shared" si="7"/>
        <v>3.1725530000000113E-2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14783636.533492068</v>
      </c>
      <c r="D44" s="11">
        <v>2.835E-2</v>
      </c>
      <c r="E44" s="10">
        <f t="shared" si="2"/>
        <v>407561.72093596682</v>
      </c>
      <c r="F44" s="3"/>
      <c r="G44" s="26">
        <v>1.21</v>
      </c>
      <c r="H44" s="10"/>
      <c r="I44" s="10">
        <f t="shared" si="8"/>
        <v>436.03158800500569</v>
      </c>
      <c r="J44" s="10">
        <f t="shared" si="6"/>
        <v>6446132514.1873636</v>
      </c>
      <c r="K44" s="11">
        <f t="shared" si="7"/>
        <v>4.0793035000000089E-2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14376074.812556101</v>
      </c>
      <c r="D45" s="11">
        <v>2.775E-2</v>
      </c>
      <c r="E45" s="10">
        <f t="shared" si="2"/>
        <v>388164.51087174006</v>
      </c>
      <c r="F45" s="3"/>
      <c r="G45" s="26">
        <v>6</v>
      </c>
      <c r="H45" s="10"/>
      <c r="I45" s="10">
        <f t="shared" si="8"/>
        <v>430.81868195336989</v>
      </c>
      <c r="J45" s="10">
        <f t="shared" si="6"/>
        <v>6193481602.4084587</v>
      </c>
      <c r="K45" s="11">
        <f t="shared" si="7"/>
        <v>8.9415000000000022E-2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13987910.301684361</v>
      </c>
      <c r="D46" s="11">
        <v>2.7109999999999999E-2</v>
      </c>
      <c r="E46" s="10">
        <f t="shared" si="2"/>
        <v>369203.15085887909</v>
      </c>
      <c r="F46" s="3"/>
      <c r="G46" s="26">
        <v>11.01</v>
      </c>
      <c r="H46" s="10"/>
      <c r="I46" s="10">
        <f t="shared" si="8"/>
        <v>406.43271882393384</v>
      </c>
      <c r="J46" s="10">
        <f t="shared" si="6"/>
        <v>5685144414.578887</v>
      </c>
      <c r="K46" s="11">
        <f t="shared" si="7"/>
        <v>0.14019481099999997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13618707.150825482</v>
      </c>
      <c r="D47" s="11">
        <v>2.64E-2</v>
      </c>
      <c r="E47" s="10">
        <f t="shared" si="2"/>
        <v>350286.3101927042</v>
      </c>
      <c r="F47" s="3"/>
      <c r="G47" s="26">
        <v>7.01</v>
      </c>
      <c r="H47" s="10"/>
      <c r="I47" s="10">
        <f t="shared" si="8"/>
        <v>366.12261852439764</v>
      </c>
      <c r="J47" s="10">
        <f t="shared" si="6"/>
        <v>4986116722.9771643</v>
      </c>
      <c r="K47" s="11">
        <f t="shared" si="7"/>
        <v>9.8350640000000045E-2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13268420.840632778</v>
      </c>
      <c r="D48" s="11">
        <v>2.5669999999999998E-2</v>
      </c>
      <c r="E48" s="10">
        <f t="shared" si="2"/>
        <v>332075.97275833786</v>
      </c>
      <c r="F48" s="3"/>
      <c r="G48" s="26">
        <v>6.92</v>
      </c>
      <c r="H48" s="10"/>
      <c r="I48" s="10">
        <f t="shared" si="8"/>
        <v>342.1386959390689</v>
      </c>
      <c r="J48" s="10">
        <f t="shared" si="6"/>
        <v>4539640203.5848627</v>
      </c>
      <c r="K48" s="11">
        <f t="shared" si="7"/>
        <v>9.6646363999999929E-2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12936344.86787444</v>
      </c>
      <c r="D49" s="11">
        <v>2.486E-2</v>
      </c>
      <c r="E49" s="10">
        <f t="shared" si="2"/>
        <v>313796.55115368031</v>
      </c>
      <c r="F49" s="3"/>
      <c r="G49" s="26">
        <v>7.01</v>
      </c>
      <c r="H49" s="10"/>
      <c r="I49" s="10">
        <f t="shared" si="8"/>
        <v>319.99503922471843</v>
      </c>
      <c r="J49" s="10">
        <f t="shared" si="6"/>
        <v>4139566183.4199662</v>
      </c>
      <c r="K49" s="11">
        <f t="shared" si="7"/>
        <v>9.6702686000000204E-2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12622548.316720759</v>
      </c>
      <c r="D50" s="11">
        <v>2.3990000000000001E-2</v>
      </c>
      <c r="E50" s="10">
        <f t="shared" si="2"/>
        <v>295720.59699619189</v>
      </c>
      <c r="F50" s="3"/>
      <c r="G50" s="26">
        <v>7.01</v>
      </c>
      <c r="H50" s="10"/>
      <c r="I50" s="10">
        <f t="shared" si="8"/>
        <v>299.03283732802396</v>
      </c>
      <c r="J50" s="10">
        <f t="shared" si="6"/>
        <v>3774556437.4590816</v>
      </c>
      <c r="K50" s="11">
        <f t="shared" si="7"/>
        <v>9.5771699000000154E-2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12326827.719724568</v>
      </c>
      <c r="D51" s="11">
        <v>2.6880000000000001E-2</v>
      </c>
      <c r="E51" s="10">
        <f t="shared" si="2"/>
        <v>322671.71344869584</v>
      </c>
      <c r="F51" s="3"/>
      <c r="G51" s="26">
        <v>7.4</v>
      </c>
      <c r="H51" s="10"/>
      <c r="I51" s="10">
        <f t="shared" si="8"/>
        <v>279.44382518271556</v>
      </c>
      <c r="J51" s="10">
        <f t="shared" si="6"/>
        <v>3444655890.3681645</v>
      </c>
      <c r="K51" s="11">
        <f t="shared" si="7"/>
        <v>0.10286912000000004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12004156.006275872</v>
      </c>
      <c r="D52" s="11">
        <v>2.6120000000000001E-2</v>
      </c>
      <c r="E52" s="10">
        <f t="shared" si="2"/>
        <v>305567.14115690626</v>
      </c>
      <c r="F52" s="3"/>
      <c r="G52" s="26">
        <v>7.5</v>
      </c>
      <c r="H52" s="10"/>
      <c r="I52" s="10">
        <f t="shared" si="8"/>
        <v>260.18978136193255</v>
      </c>
      <c r="J52" s="10">
        <f t="shared" si="6"/>
        <v>3123358726.7074485</v>
      </c>
      <c r="K52" s="11">
        <f t="shared" si="7"/>
        <v>0.10307899999999992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11698588.865118966</v>
      </c>
      <c r="D53" s="11">
        <v>2.4340000000000001E-2</v>
      </c>
      <c r="E53" s="10">
        <f t="shared" si="2"/>
        <v>277977.67633500136</v>
      </c>
      <c r="F53" s="3"/>
      <c r="G53" s="26">
        <v>7.4</v>
      </c>
      <c r="H53" s="10"/>
      <c r="I53" s="10">
        <f t="shared" si="8"/>
        <v>242.0370059180768</v>
      </c>
      <c r="J53" s="10">
        <f t="shared" si="6"/>
        <v>2831491422.3799462</v>
      </c>
      <c r="K53" s="11">
        <f t="shared" si="7"/>
        <v>0.10014116000000017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11420611.188783964</v>
      </c>
      <c r="D54" s="11">
        <v>2.3189999999999999E-2</v>
      </c>
      <c r="E54" s="10">
        <f t="shared" si="2"/>
        <v>258841.44046355039</v>
      </c>
      <c r="F54" s="3"/>
      <c r="G54" s="26">
        <v>6.5</v>
      </c>
      <c r="H54" s="10"/>
      <c r="I54" s="10">
        <f t="shared" si="8"/>
        <v>225.36034070584429</v>
      </c>
      <c r="J54" s="10">
        <f t="shared" si="6"/>
        <v>2573752828.5733314</v>
      </c>
      <c r="K54" s="11">
        <f t="shared" si="7"/>
        <v>8.9697349999999787E-2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11161769.748320414</v>
      </c>
      <c r="D55" s="11">
        <v>2.2720000000000001E-2</v>
      </c>
      <c r="E55" s="10">
        <f t="shared" si="2"/>
        <v>247961.71843890846</v>
      </c>
      <c r="F55" s="3"/>
      <c r="G55" s="26">
        <v>3.9</v>
      </c>
      <c r="H55" s="10"/>
      <c r="I55" s="10">
        <f t="shared" si="8"/>
        <v>211.6059537144078</v>
      </c>
      <c r="J55" s="10">
        <f t="shared" si="6"/>
        <v>2361896932.7339668</v>
      </c>
      <c r="K55" s="11">
        <f t="shared" si="7"/>
        <v>6.2606080000000119E-2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10913808.029881505</v>
      </c>
      <c r="D56" s="11">
        <v>2.2620000000000001E-2</v>
      </c>
      <c r="E56" s="10">
        <f t="shared" si="2"/>
        <v>241409.65132299438</v>
      </c>
      <c r="F56" s="3"/>
      <c r="G56" s="26">
        <v>7.9</v>
      </c>
      <c r="H56" s="10"/>
      <c r="I56" s="10">
        <f t="shared" si="8"/>
        <v>203.66309308412687</v>
      </c>
      <c r="J56" s="10">
        <f t="shared" si="6"/>
        <v>2222739900.6920481</v>
      </c>
      <c r="K56" s="11">
        <f t="shared" si="7"/>
        <v>0.10340697999999993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10672398.378558511</v>
      </c>
      <c r="D57" s="11">
        <v>2.2769999999999999E-2</v>
      </c>
      <c r="E57" s="10">
        <f t="shared" si="2"/>
        <v>237600.35108555853</v>
      </c>
      <c r="F57" s="3"/>
      <c r="G57" s="26">
        <v>7.8</v>
      </c>
      <c r="H57" s="10"/>
      <c r="I57" s="10">
        <f t="shared" si="8"/>
        <v>188.75170814098877</v>
      </c>
      <c r="J57" s="10">
        <f t="shared" si="6"/>
        <v>2014433423.9140377</v>
      </c>
      <c r="K57" s="11">
        <f t="shared" si="7"/>
        <v>0.10254605999999988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10434798.027472952</v>
      </c>
      <c r="D58" s="11">
        <v>2.3089999999999999E-2</v>
      </c>
      <c r="E58" s="10">
        <f t="shared" si="2"/>
        <v>235501.75102322549</v>
      </c>
      <c r="F58" s="3"/>
      <c r="G58" s="26">
        <v>7</v>
      </c>
      <c r="H58" s="10"/>
      <c r="I58" s="10">
        <f t="shared" si="8"/>
        <v>175.09434892485044</v>
      </c>
      <c r="J58" s="10">
        <f t="shared" si="6"/>
        <v>1827074166.7826903</v>
      </c>
      <c r="K58" s="11">
        <f t="shared" si="7"/>
        <v>9.4706300000000132E-2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10199296.276449727</v>
      </c>
      <c r="D59" s="11">
        <v>2.3359999999999999E-2</v>
      </c>
      <c r="E59" s="10">
        <f t="shared" si="2"/>
        <v>232816.95690457523</v>
      </c>
      <c r="F59" s="3"/>
      <c r="G59" s="26">
        <v>6.7</v>
      </c>
      <c r="H59" s="10"/>
      <c r="I59" s="10">
        <f t="shared" si="8"/>
        <v>163.63957843443964</v>
      </c>
      <c r="J59" s="10">
        <f t="shared" si="6"/>
        <v>1669008543.0061834</v>
      </c>
      <c r="K59" s="11">
        <f t="shared" si="7"/>
        <v>9.1925119999999971E-2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9966479.3195451517</v>
      </c>
      <c r="D60" s="11">
        <v>2.351E-2</v>
      </c>
      <c r="E60" s="10">
        <f t="shared" si="2"/>
        <v>228929.78945247829</v>
      </c>
      <c r="F60" s="3"/>
      <c r="G60" s="26">
        <v>10.3</v>
      </c>
      <c r="H60" s="10"/>
      <c r="I60" s="10">
        <f t="shared" si="8"/>
        <v>153.36417847651327</v>
      </c>
      <c r="J60" s="10">
        <f t="shared" si="6"/>
        <v>1528500913.1452012</v>
      </c>
      <c r="K60" s="11">
        <f t="shared" si="7"/>
        <v>0.12893152999999979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9737549.5300926734</v>
      </c>
      <c r="D61" s="11">
        <v>2.367E-2</v>
      </c>
      <c r="E61" s="10">
        <f t="shared" si="2"/>
        <v>225158.30040666834</v>
      </c>
      <c r="F61" s="3"/>
      <c r="G61" s="26">
        <v>3.71</v>
      </c>
      <c r="H61" s="10"/>
      <c r="I61" s="10">
        <f t="shared" si="8"/>
        <v>139.04277287081894</v>
      </c>
      <c r="J61" s="10">
        <f t="shared" si="6"/>
        <v>1353935887.6310253</v>
      </c>
      <c r="K61" s="11">
        <f t="shared" si="7"/>
        <v>6.1648157000000037E-2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9512391.229686005</v>
      </c>
      <c r="D62" s="11">
        <v>2.392E-2</v>
      </c>
      <c r="E62" s="10">
        <f t="shared" si="2"/>
        <v>222220.87488679588</v>
      </c>
      <c r="F62" s="3"/>
      <c r="G62" s="26">
        <v>3.26</v>
      </c>
      <c r="H62" s="10"/>
      <c r="I62" s="10">
        <f t="shared" si="8"/>
        <v>134.0688196613817</v>
      </c>
      <c r="J62" s="10">
        <f t="shared" si="6"/>
        <v>1275315064.3212819</v>
      </c>
      <c r="K62" s="11">
        <f t="shared" si="7"/>
        <v>5.7299791999999794E-2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9290170.3547992092</v>
      </c>
      <c r="D63" s="11">
        <v>2.41E-2</v>
      </c>
      <c r="E63" s="10">
        <f t="shared" si="2"/>
        <v>218624.26086384244</v>
      </c>
      <c r="F63" s="3"/>
      <c r="G63" s="26">
        <v>5.62</v>
      </c>
      <c r="H63" s="10"/>
      <c r="I63" s="10">
        <f t="shared" si="8"/>
        <v>129.83616081869232</v>
      </c>
      <c r="J63" s="10">
        <f t="shared" si="6"/>
        <v>1206200052.2187581</v>
      </c>
      <c r="K63" s="11">
        <f t="shared" si="7"/>
        <v>8.1654420000000005E-2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9071546.0939353667</v>
      </c>
      <c r="D64" s="11">
        <v>2.444E-2</v>
      </c>
      <c r="E64" s="10">
        <f t="shared" si="2"/>
        <v>216419.29887136444</v>
      </c>
      <c r="F64" s="3"/>
      <c r="G64" s="26">
        <v>3.88</v>
      </c>
      <c r="H64" s="10"/>
      <c r="I64" s="10">
        <f t="shared" si="8"/>
        <v>122.9276281184362</v>
      </c>
      <c r="J64" s="10">
        <f t="shared" si="6"/>
        <v>1115143644.6945393</v>
      </c>
      <c r="K64" s="11">
        <f t="shared" si="7"/>
        <v>6.4188271999999991E-2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8855126.7950640023</v>
      </c>
      <c r="D65" s="11">
        <v>2.4719999999999999E-2</v>
      </c>
      <c r="E65" s="10">
        <f t="shared" si="2"/>
        <v>213618.09506400116</v>
      </c>
      <c r="F65" s="3"/>
      <c r="G65" s="26">
        <v>3.08</v>
      </c>
      <c r="H65" s="10"/>
      <c r="I65" s="10">
        <f t="shared" si="8"/>
        <v>118.33618417254159</v>
      </c>
      <c r="J65" s="10">
        <f t="shared" si="6"/>
        <v>1047881915.2919017</v>
      </c>
      <c r="K65" s="11">
        <f t="shared" si="7"/>
        <v>5.628137600000005E-2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8641508.7000000011</v>
      </c>
      <c r="D66" s="11">
        <v>2.5090000000000001E-2</v>
      </c>
      <c r="E66" s="10">
        <f t="shared" si="2"/>
        <v>211508.70000000112</v>
      </c>
      <c r="F66" s="23">
        <f>SUM(F2)</f>
        <v>35956798</v>
      </c>
      <c r="G66" s="26">
        <v>3.08</v>
      </c>
      <c r="H66" s="10"/>
      <c r="I66" s="10">
        <f t="shared" si="8"/>
        <v>114.80033388876755</v>
      </c>
      <c r="J66" s="10">
        <f t="shared" ref="J66:J67" si="9">IF(I66="","",I66*C66)</f>
        <v>992048084.06268978</v>
      </c>
      <c r="K66" s="11">
        <f t="shared" ref="K66" si="10">IFERROR(J66/J67-1,"")</f>
        <v>5.6662772000000139E-2</v>
      </c>
    </row>
    <row r="67" spans="1:11" ht="22.5" customHeight="1">
      <c r="A67" s="3">
        <f t="shared" si="0"/>
        <v>1950</v>
      </c>
      <c r="B67" s="3">
        <v>1700</v>
      </c>
      <c r="C67" s="10">
        <v>8430000</v>
      </c>
      <c r="D67" s="11">
        <v>2.5430000000000001E-2</v>
      </c>
      <c r="E67" s="3" t="s">
        <v>72</v>
      </c>
      <c r="F67" s="10">
        <f>SUM(C2)</f>
        <v>35958594.008806027</v>
      </c>
      <c r="G67" s="26">
        <v>3.08</v>
      </c>
      <c r="H67" s="10"/>
      <c r="I67" s="10">
        <f t="shared" ref="I67" si="11">IF(H67&lt;&gt;"",H67,I66/(1+IF(G66="",0,G66)/100))</f>
        <v>111.37013376869186</v>
      </c>
      <c r="J67" s="10">
        <f t="shared" si="9"/>
        <v>938850227.67007232</v>
      </c>
      <c r="K67" s="11"/>
    </row>
  </sheetData>
  <dataValidations count="1">
    <dataValidation type="custom" allowBlank="1" showDropDown="1" sqref="D2:D67" xr:uid="{00000000-0002-0000-4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M67"/>
  <sheetViews>
    <sheetView workbookViewId="0">
      <selection activeCell="H9" sqref="H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37466.586087327174</v>
      </c>
      <c r="D2" s="11">
        <v>1.4449999999999999E-2</v>
      </c>
      <c r="E2" s="10">
        <f t="shared" ref="E2:E66" si="2">SUM(C2-C3)</f>
        <v>533.68048594004358</v>
      </c>
      <c r="F2" s="14">
        <v>37482</v>
      </c>
      <c r="G2" s="29">
        <v>4.91</v>
      </c>
      <c r="H2" s="10"/>
      <c r="I2" s="10">
        <f>IF(H2&lt;&gt;"",H2,35240)</f>
        <v>4405</v>
      </c>
      <c r="J2" s="10">
        <f t="shared" ref="J2:J33" si="3">IF(I2="","",I2*C2)</f>
        <v>165040311.7146762</v>
      </c>
      <c r="K2" s="11">
        <f t="shared" ref="K2:K33" si="4">IFERROR(J2/J3-1,"")</f>
        <v>6.4259494999999944E-2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36932.90560138713</v>
      </c>
      <c r="D3" s="11">
        <v>1.4800000000000001E-2</v>
      </c>
      <c r="E3" s="10">
        <f t="shared" si="2"/>
        <v>538.63520191222779</v>
      </c>
      <c r="F3" s="3"/>
      <c r="G3" s="29">
        <v>7.19</v>
      </c>
      <c r="H3" s="10"/>
      <c r="I3" s="10">
        <f t="shared" ref="I3:I34" si="5">IF(H3&lt;&gt;"",H3,I2/(1+IF(G2="",0,G2)/100))</f>
        <v>4198.8370984653511</v>
      </c>
      <c r="J3" s="10">
        <f t="shared" si="3"/>
        <v>155075254.19322306</v>
      </c>
      <c r="K3" s="11">
        <f t="shared" si="4"/>
        <v>8.7764120000000112E-2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36394.270399474903</v>
      </c>
      <c r="D4" s="11">
        <v>1.523E-2</v>
      </c>
      <c r="E4" s="10">
        <f t="shared" si="2"/>
        <v>545.96962085833366</v>
      </c>
      <c r="F4" s="3"/>
      <c r="G4" s="29">
        <v>9.58</v>
      </c>
      <c r="H4" s="10"/>
      <c r="I4" s="10">
        <f t="shared" si="5"/>
        <v>3917.1910611674139</v>
      </c>
      <c r="J4" s="10">
        <f t="shared" si="3"/>
        <v>142563310.68653288</v>
      </c>
      <c r="K4" s="11">
        <f t="shared" si="4"/>
        <v>0.11248903400000021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35848.300778616569</v>
      </c>
      <c r="D5" s="11">
        <v>1.6279999999999999E-2</v>
      </c>
      <c r="E5" s="10">
        <f t="shared" si="2"/>
        <v>574.26136170728569</v>
      </c>
      <c r="F5" s="3"/>
      <c r="G5" s="29">
        <v>1.01</v>
      </c>
      <c r="H5" s="10"/>
      <c r="I5" s="10">
        <f t="shared" si="5"/>
        <v>3574.7317586853565</v>
      </c>
      <c r="J5" s="10">
        <f t="shared" si="3"/>
        <v>128148059.28822564</v>
      </c>
      <c r="K5" s="11">
        <f t="shared" si="4"/>
        <v>2.6544428000000009E-2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35274.039416909283</v>
      </c>
      <c r="D6" s="11">
        <v>1.643E-2</v>
      </c>
      <c r="E6" s="10">
        <f t="shared" si="2"/>
        <v>570.18433893117617</v>
      </c>
      <c r="F6" s="3"/>
      <c r="G6" s="29">
        <v>2</v>
      </c>
      <c r="H6" s="10"/>
      <c r="I6" s="10">
        <f t="shared" si="5"/>
        <v>3538.9879800864828</v>
      </c>
      <c r="J6" s="10">
        <f t="shared" si="3"/>
        <v>124834401.50553876</v>
      </c>
      <c r="K6" s="11">
        <f t="shared" si="4"/>
        <v>3.6758599999999975E-2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34703.855077978107</v>
      </c>
      <c r="D7" s="11">
        <v>1.6420000000000001E-2</v>
      </c>
      <c r="E7" s="10">
        <f t="shared" si="2"/>
        <v>560.63172741622839</v>
      </c>
      <c r="F7" s="3"/>
      <c r="G7" s="29">
        <v>7.0000000000000007E-2</v>
      </c>
      <c r="H7" s="10"/>
      <c r="I7" s="10">
        <f t="shared" si="5"/>
        <v>3469.5960589083165</v>
      </c>
      <c r="J7" s="10">
        <f t="shared" si="3"/>
        <v>120408358.8074782</v>
      </c>
      <c r="K7" s="11">
        <f t="shared" si="4"/>
        <v>1.7131493999999803E-2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34143.223350561879</v>
      </c>
      <c r="D8" s="11">
        <v>1.6570000000000001E-2</v>
      </c>
      <c r="E8" s="10">
        <f t="shared" si="2"/>
        <v>556.53148422519735</v>
      </c>
      <c r="F8" s="3"/>
      <c r="G8" s="29">
        <v>0.34</v>
      </c>
      <c r="H8" s="10"/>
      <c r="I8" s="10">
        <f t="shared" si="5"/>
        <v>3467.1690405799109</v>
      </c>
      <c r="J8" s="10">
        <f t="shared" si="3"/>
        <v>118380326.94667324</v>
      </c>
      <c r="K8" s="11">
        <f t="shared" si="4"/>
        <v>2.0026338000000088E-2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33586.691866336681</v>
      </c>
      <c r="D9" s="11">
        <v>1.678E-2</v>
      </c>
      <c r="E9" s="10">
        <f t="shared" si="2"/>
        <v>554.2838072317827</v>
      </c>
      <c r="F9" s="3"/>
      <c r="G9" s="29">
        <v>0.75</v>
      </c>
      <c r="H9" s="10"/>
      <c r="I9" s="10">
        <f t="shared" si="5"/>
        <v>3455.4206105041962</v>
      </c>
      <c r="J9" s="10">
        <f t="shared" si="3"/>
        <v>116056147.31359342</v>
      </c>
      <c r="K9" s="11">
        <f t="shared" si="4"/>
        <v>2.4405850000000173E-2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33032.408059104899</v>
      </c>
      <c r="D10" s="11">
        <v>1.7069999999999998E-2</v>
      </c>
      <c r="E10" s="10">
        <f t="shared" si="2"/>
        <v>554.39960432312</v>
      </c>
      <c r="F10" s="3"/>
      <c r="G10" s="29">
        <v>14.44</v>
      </c>
      <c r="H10" s="10"/>
      <c r="I10" s="10">
        <f t="shared" si="5"/>
        <v>3429.6978764309638</v>
      </c>
      <c r="J10" s="10">
        <f t="shared" si="3"/>
        <v>113291179.77371313</v>
      </c>
      <c r="K10" s="11">
        <f t="shared" si="4"/>
        <v>0.16393490799999988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32478.008454781779</v>
      </c>
      <c r="D11" s="11">
        <v>1.7330000000000002E-2</v>
      </c>
      <c r="E11" s="10">
        <f t="shared" si="2"/>
        <v>553.25596072205735</v>
      </c>
      <c r="F11" s="3"/>
      <c r="G11" s="29">
        <v>5.82</v>
      </c>
      <c r="H11" s="10"/>
      <c r="I11" s="10">
        <f t="shared" si="5"/>
        <v>2996.9397731832955</v>
      </c>
      <c r="J11" s="10">
        <f t="shared" si="3"/>
        <v>97334635.291918859</v>
      </c>
      <c r="K11" s="11">
        <f t="shared" si="4"/>
        <v>7.6538606000000176E-2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31924.752494059721</v>
      </c>
      <c r="D12" s="11">
        <v>1.762E-2</v>
      </c>
      <c r="E12" s="10">
        <f t="shared" si="2"/>
        <v>552.77425654500985</v>
      </c>
      <c r="F12" s="3"/>
      <c r="G12" s="29">
        <v>1.9</v>
      </c>
      <c r="H12" s="10"/>
      <c r="I12" s="10">
        <f t="shared" si="5"/>
        <v>2832.1109177691319</v>
      </c>
      <c r="J12" s="10">
        <f t="shared" si="3"/>
        <v>90414440.085503861</v>
      </c>
      <c r="K12" s="11">
        <f t="shared" si="4"/>
        <v>3.6954779999999854E-2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31371.978237514712</v>
      </c>
      <c r="D13" s="11">
        <v>1.797E-2</v>
      </c>
      <c r="E13" s="10">
        <f t="shared" si="2"/>
        <v>553.80261592005627</v>
      </c>
      <c r="F13" s="3"/>
      <c r="G13" s="29">
        <v>2.4700000000000002</v>
      </c>
      <c r="H13" s="10"/>
      <c r="I13" s="10">
        <f t="shared" si="5"/>
        <v>2779.3041391257429</v>
      </c>
      <c r="J13" s="10">
        <f t="shared" si="3"/>
        <v>87192268.968087375</v>
      </c>
      <c r="K13" s="11">
        <f t="shared" si="4"/>
        <v>4.3113858999999977E-2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30818.175621594655</v>
      </c>
      <c r="D14" s="11">
        <v>1.8280000000000001E-2</v>
      </c>
      <c r="E14" s="10">
        <f t="shared" si="2"/>
        <v>553.24296889141624</v>
      </c>
      <c r="F14" s="3"/>
      <c r="G14" s="29">
        <v>1.0900000000000001</v>
      </c>
      <c r="H14" s="10"/>
      <c r="I14" s="10">
        <f t="shared" si="5"/>
        <v>2712.3100801461337</v>
      </c>
      <c r="J14" s="10">
        <f t="shared" si="3"/>
        <v>83588448.390165031</v>
      </c>
      <c r="K14" s="11">
        <f t="shared" si="4"/>
        <v>2.9379252000000022E-2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30264.932652703239</v>
      </c>
      <c r="D15" s="11">
        <v>1.8370000000000001E-2</v>
      </c>
      <c r="E15" s="10">
        <f t="shared" si="2"/>
        <v>545.93793300093239</v>
      </c>
      <c r="F15" s="3"/>
      <c r="G15" s="29">
        <v>1.03</v>
      </c>
      <c r="H15" s="10"/>
      <c r="I15" s="10">
        <f t="shared" si="5"/>
        <v>2683.0646751866002</v>
      </c>
      <c r="J15" s="10">
        <f t="shared" si="3"/>
        <v>81202771.697369546</v>
      </c>
      <c r="K15" s="11">
        <f t="shared" si="4"/>
        <v>2.8859211000000107E-2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29718.994719702307</v>
      </c>
      <c r="D16" s="11">
        <v>1.7219999999999999E-2</v>
      </c>
      <c r="E16" s="10">
        <f t="shared" si="2"/>
        <v>503.09774588906294</v>
      </c>
      <c r="F16" s="3"/>
      <c r="G16" s="29">
        <v>2.19</v>
      </c>
      <c r="H16" s="10"/>
      <c r="I16" s="10">
        <f t="shared" si="5"/>
        <v>2655.7108533966152</v>
      </c>
      <c r="J16" s="10">
        <f t="shared" si="3"/>
        <v>78925056.82915011</v>
      </c>
      <c r="K16" s="11">
        <f t="shared" si="4"/>
        <v>3.9497117999999887E-2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29215.896973813244</v>
      </c>
      <c r="D17" s="11">
        <v>1.7219999999999999E-2</v>
      </c>
      <c r="E17" s="10">
        <f t="shared" si="2"/>
        <v>494.58106003525609</v>
      </c>
      <c r="F17" s="3"/>
      <c r="G17" s="29">
        <v>3.91</v>
      </c>
      <c r="H17" s="10"/>
      <c r="I17" s="10">
        <f t="shared" si="5"/>
        <v>2598.7971948298418</v>
      </c>
      <c r="J17" s="10">
        <f t="shared" si="3"/>
        <v>75926191.099983528</v>
      </c>
      <c r="K17" s="11">
        <f t="shared" si="4"/>
        <v>5.6993301999999968E-2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28721.315913777988</v>
      </c>
      <c r="D18" s="11">
        <v>1.7770000000000001E-2</v>
      </c>
      <c r="E18" s="10">
        <f t="shared" si="2"/>
        <v>501.46672017040692</v>
      </c>
      <c r="F18" s="3"/>
      <c r="G18" s="29">
        <v>3.3</v>
      </c>
      <c r="H18" s="10"/>
      <c r="I18" s="10">
        <f t="shared" si="5"/>
        <v>2501.0077902317794</v>
      </c>
      <c r="J18" s="10">
        <f t="shared" si="3"/>
        <v>71832234.846066728</v>
      </c>
      <c r="K18" s="11">
        <f t="shared" si="4"/>
        <v>5.1356409999999908E-2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28219.849193607581</v>
      </c>
      <c r="D19" s="11">
        <v>1.84E-2</v>
      </c>
      <c r="E19" s="10">
        <f t="shared" si="2"/>
        <v>509.86373248466043</v>
      </c>
      <c r="F19" s="3"/>
      <c r="G19" s="29">
        <v>3.5</v>
      </c>
      <c r="H19" s="10"/>
      <c r="I19" s="10">
        <f t="shared" si="5"/>
        <v>2421.1111231672598</v>
      </c>
      <c r="J19" s="10">
        <f t="shared" si="3"/>
        <v>68323390.776745945</v>
      </c>
      <c r="K19" s="11">
        <f t="shared" si="4"/>
        <v>5.4043999999999981E-2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27709.98546112292</v>
      </c>
      <c r="D20" s="11">
        <v>1.9089999999999999E-2</v>
      </c>
      <c r="E20" s="10">
        <f t="shared" si="2"/>
        <v>519.07449043052111</v>
      </c>
      <c r="F20" s="3"/>
      <c r="G20" s="29">
        <v>2.2400000000000002</v>
      </c>
      <c r="H20" s="10"/>
      <c r="I20" s="10">
        <f t="shared" si="5"/>
        <v>2339.2378001616039</v>
      </c>
      <c r="J20" s="10">
        <f t="shared" si="3"/>
        <v>64820245.432587206</v>
      </c>
      <c r="K20" s="11">
        <f t="shared" si="4"/>
        <v>4.1917616000000102E-2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27190.910970692399</v>
      </c>
      <c r="D21" s="11">
        <v>1.9789999999999999E-2</v>
      </c>
      <c r="E21" s="10">
        <f t="shared" si="2"/>
        <v>527.66562538365906</v>
      </c>
      <c r="F21" s="3"/>
      <c r="G21" s="29">
        <v>1.1100000000000001</v>
      </c>
      <c r="H21" s="10"/>
      <c r="I21" s="10">
        <f t="shared" si="5"/>
        <v>2287.9868937417878</v>
      </c>
      <c r="J21" s="10">
        <f t="shared" si="3"/>
        <v>62212447.929843999</v>
      </c>
      <c r="K21" s="11">
        <f t="shared" si="4"/>
        <v>3.1109669000000117E-2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26663.24534530874</v>
      </c>
      <c r="D22" s="11">
        <v>2.06E-2</v>
      </c>
      <c r="E22" s="10">
        <f t="shared" si="2"/>
        <v>538.17641986415765</v>
      </c>
      <c r="F22" s="3"/>
      <c r="G22" s="29">
        <v>2.12</v>
      </c>
      <c r="H22" s="10"/>
      <c r="I22" s="10">
        <f t="shared" si="5"/>
        <v>2262.8690473165734</v>
      </c>
      <c r="J22" s="10">
        <f t="shared" si="3"/>
        <v>60335432.592906848</v>
      </c>
      <c r="K22" s="11">
        <f t="shared" si="4"/>
        <v>4.2236720000000005E-2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26125.068925444582</v>
      </c>
      <c r="D23" s="11">
        <v>2.1649999999999999E-2</v>
      </c>
      <c r="E23" s="10">
        <f t="shared" si="2"/>
        <v>553.62182962450242</v>
      </c>
      <c r="F23" s="3"/>
      <c r="G23" s="29">
        <v>2.2200000000000002</v>
      </c>
      <c r="H23" s="10"/>
      <c r="I23" s="10">
        <f t="shared" si="5"/>
        <v>2215.8921340741999</v>
      </c>
      <c r="J23" s="10">
        <f t="shared" si="3"/>
        <v>57890334.734038964</v>
      </c>
      <c r="K23" s="11">
        <f t="shared" si="4"/>
        <v>4.4330630000000149E-2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25571.44709582008</v>
      </c>
      <c r="D24" s="11">
        <v>2.298E-2</v>
      </c>
      <c r="E24" s="10">
        <f t="shared" si="2"/>
        <v>574.43142022516986</v>
      </c>
      <c r="F24" s="3"/>
      <c r="G24" s="29">
        <v>-0.91</v>
      </c>
      <c r="H24" s="10"/>
      <c r="I24" s="10">
        <f t="shared" si="5"/>
        <v>2167.767691326746</v>
      </c>
      <c r="J24" s="10">
        <f t="shared" si="3"/>
        <v>55432956.834789917</v>
      </c>
      <c r="K24" s="11">
        <f t="shared" si="4"/>
        <v>1.3670881999999995E-2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24997.01567559491</v>
      </c>
      <c r="D25" s="11">
        <v>1.5310000000000001E-2</v>
      </c>
      <c r="E25" s="10">
        <f t="shared" si="2"/>
        <v>376.93345874004808</v>
      </c>
      <c r="F25" s="3"/>
      <c r="G25" s="29">
        <v>1.37</v>
      </c>
      <c r="H25" s="10"/>
      <c r="I25" s="10">
        <f t="shared" si="5"/>
        <v>2187.6755387291814</v>
      </c>
      <c r="J25" s="10">
        <f t="shared" si="3"/>
        <v>54685359.734728888</v>
      </c>
      <c r="K25" s="11">
        <f t="shared" si="4"/>
        <v>2.9219747000000185E-2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24620.082216854862</v>
      </c>
      <c r="D26" s="11">
        <v>1.2999999999999999E-2</v>
      </c>
      <c r="E26" s="10">
        <f t="shared" si="2"/>
        <v>315.95367109487779</v>
      </c>
      <c r="F26" s="3"/>
      <c r="G26" s="29">
        <v>1.02</v>
      </c>
      <c r="H26" s="10"/>
      <c r="I26" s="10">
        <f t="shared" si="5"/>
        <v>2158.1094394092743</v>
      </c>
      <c r="J26" s="10">
        <f t="shared" si="3"/>
        <v>53132831.831226885</v>
      </c>
      <c r="K26" s="11">
        <f t="shared" si="4"/>
        <v>2.3332599999999815E-2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24304.128545759984</v>
      </c>
      <c r="D27" s="11">
        <v>1.37E-2</v>
      </c>
      <c r="E27" s="10">
        <f t="shared" si="2"/>
        <v>328.46656908050863</v>
      </c>
      <c r="F27" s="3"/>
      <c r="G27" s="29">
        <v>-5.64</v>
      </c>
      <c r="H27" s="10"/>
      <c r="I27" s="10">
        <f t="shared" si="5"/>
        <v>2136.3189857545776</v>
      </c>
      <c r="J27" s="10">
        <f t="shared" si="3"/>
        <v>51921371.244526848</v>
      </c>
      <c r="K27" s="11">
        <f t="shared" si="4"/>
        <v>-4.3472680000000041E-2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23975.661976679476</v>
      </c>
      <c r="D28" s="11">
        <v>1.423E-2</v>
      </c>
      <c r="E28" s="10">
        <f t="shared" si="2"/>
        <v>336.38688456084856</v>
      </c>
      <c r="F28" s="3"/>
      <c r="G28" s="29">
        <v>4.16</v>
      </c>
      <c r="H28" s="10"/>
      <c r="I28" s="10">
        <f t="shared" si="5"/>
        <v>2264.0090989344826</v>
      </c>
      <c r="J28" s="10">
        <f t="shared" si="3"/>
        <v>54281116.868179835</v>
      </c>
      <c r="K28" s="11">
        <f t="shared" si="4"/>
        <v>5.6421968000000211E-2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23639.275092118627</v>
      </c>
      <c r="D29" s="11">
        <v>1.4760000000000001E-2</v>
      </c>
      <c r="E29" s="10">
        <f t="shared" si="2"/>
        <v>343.84061291307808</v>
      </c>
      <c r="F29" s="3"/>
      <c r="G29" s="29">
        <v>4.5999999999999996</v>
      </c>
      <c r="H29" s="10"/>
      <c r="I29" s="10">
        <f t="shared" si="5"/>
        <v>2173.5878445991575</v>
      </c>
      <c r="J29" s="10">
        <f t="shared" si="3"/>
        <v>51382040.995364673</v>
      </c>
      <c r="K29" s="11">
        <f t="shared" si="4"/>
        <v>6.1438960000000264E-2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23295.434479205549</v>
      </c>
      <c r="D30" s="11">
        <v>1.5350000000000001E-2</v>
      </c>
      <c r="E30" s="10">
        <f t="shared" si="2"/>
        <v>352.178972035068</v>
      </c>
      <c r="F30" s="3"/>
      <c r="G30" s="29">
        <v>2.48</v>
      </c>
      <c r="H30" s="10"/>
      <c r="I30" s="10">
        <f t="shared" si="5"/>
        <v>2077.9998514332287</v>
      </c>
      <c r="J30" s="10">
        <f t="shared" si="3"/>
        <v>48407909.386861645</v>
      </c>
      <c r="K30" s="11">
        <f t="shared" si="4"/>
        <v>4.0530680000000041E-2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22943.255507170481</v>
      </c>
      <c r="D31" s="11">
        <v>1.584E-2</v>
      </c>
      <c r="E31" s="10">
        <f t="shared" si="2"/>
        <v>357.75433851156049</v>
      </c>
      <c r="F31" s="3"/>
      <c r="G31" s="29">
        <v>2.4500000000000002</v>
      </c>
      <c r="H31" s="10"/>
      <c r="I31" s="10">
        <f t="shared" si="5"/>
        <v>2027.7125794625574</v>
      </c>
      <c r="J31" s="10">
        <f t="shared" si="3"/>
        <v>46522327.805713184</v>
      </c>
      <c r="K31" s="11">
        <f t="shared" si="4"/>
        <v>4.0728080000000277E-2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22585.501168658921</v>
      </c>
      <c r="D32" s="11">
        <v>1.6250000000000001E-2</v>
      </c>
      <c r="E32" s="10">
        <f t="shared" si="2"/>
        <v>361.14577514461052</v>
      </c>
      <c r="F32" s="3"/>
      <c r="G32" s="29">
        <v>1.71</v>
      </c>
      <c r="H32" s="10"/>
      <c r="I32" s="10">
        <f t="shared" si="5"/>
        <v>1979.2216490605733</v>
      </c>
      <c r="J32" s="10">
        <f t="shared" si="3"/>
        <v>44701712.867892615</v>
      </c>
      <c r="K32" s="11">
        <f t="shared" si="4"/>
        <v>3.3627875000000085E-2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22224.35539351431</v>
      </c>
      <c r="D33" s="11">
        <v>1.669E-2</v>
      </c>
      <c r="E33" s="10">
        <f t="shared" si="2"/>
        <v>364.83538887739269</v>
      </c>
      <c r="F33" s="3"/>
      <c r="G33" s="29">
        <v>1.48</v>
      </c>
      <c r="H33" s="10"/>
      <c r="I33" s="10">
        <f t="shared" si="5"/>
        <v>1945.9459729235803</v>
      </c>
      <c r="J33" s="10">
        <f t="shared" si="3"/>
        <v>43247394.878831625</v>
      </c>
      <c r="K33" s="11">
        <f t="shared" si="4"/>
        <v>3.1737012000000009E-2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21859.520004636917</v>
      </c>
      <c r="D34" s="11">
        <v>1.7270000000000001E-2</v>
      </c>
      <c r="E34" s="10">
        <f t="shared" si="2"/>
        <v>371.10492836717458</v>
      </c>
      <c r="F34" s="3"/>
      <c r="G34" s="29">
        <v>-0.11</v>
      </c>
      <c r="H34" s="10"/>
      <c r="I34" s="10">
        <f t="shared" si="5"/>
        <v>1917.5659961801148</v>
      </c>
      <c r="J34" s="10">
        <f t="shared" ref="J34:J65" si="6">IF(I34="","",I34*C34)</f>
        <v>41917072.253710739</v>
      </c>
      <c r="K34" s="11">
        <f t="shared" ref="K34:K65" si="7">IFERROR(J34/J35-1,"")</f>
        <v>2.9375512999999964E-2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21488.415076269743</v>
      </c>
      <c r="D35" s="11">
        <v>1.3270000000000001E-2</v>
      </c>
      <c r="E35" s="10">
        <f t="shared" si="2"/>
        <v>281.41686624700014</v>
      </c>
      <c r="F35" s="3"/>
      <c r="G35" s="29">
        <v>-0.27</v>
      </c>
      <c r="H35" s="10"/>
      <c r="I35" s="10">
        <f t="shared" ref="I35:I66" si="8">IF(H35&lt;&gt;"",H35,I34/(1+IF(G34="",0,G34)/100))</f>
        <v>1895.0153139441791</v>
      </c>
      <c r="J35" s="10">
        <f t="shared" si="6"/>
        <v>40720875.641920134</v>
      </c>
      <c r="K35" s="11">
        <f t="shared" si="7"/>
        <v>3.7892460999999988E-2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21206.998210022743</v>
      </c>
      <c r="D36" s="11">
        <v>8.6700000000000006E-3</v>
      </c>
      <c r="E36" s="10">
        <f t="shared" si="2"/>
        <v>182.2842698612003</v>
      </c>
      <c r="F36" s="3"/>
      <c r="G36" s="29">
        <v>-3.88</v>
      </c>
      <c r="H36" s="10"/>
      <c r="I36" s="10">
        <f t="shared" si="8"/>
        <v>1850.0588830852084</v>
      </c>
      <c r="J36" s="10">
        <f t="shared" si="6"/>
        <v>39234195.42202469</v>
      </c>
      <c r="K36" s="11">
        <f t="shared" si="7"/>
        <v>1.7949764000000146E-2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21024.713940161542</v>
      </c>
      <c r="D37" s="11">
        <v>8.2900000000000005E-3</v>
      </c>
      <c r="E37" s="10">
        <f t="shared" si="2"/>
        <v>172.86185379597009</v>
      </c>
      <c r="F37" s="3"/>
      <c r="G37" s="29">
        <v>-3.61</v>
      </c>
      <c r="H37" s="10"/>
      <c r="I37" s="10">
        <f t="shared" si="8"/>
        <v>1833.1935028589064</v>
      </c>
      <c r="J37" s="10">
        <f t="shared" si="6"/>
        <v>38542368.994571216</v>
      </c>
      <c r="K37" s="11">
        <f t="shared" si="7"/>
        <v>2.5330100999999772E-2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20851.852086365572</v>
      </c>
      <c r="D38" s="11">
        <v>7.9600000000000001E-3</v>
      </c>
      <c r="E38" s="10">
        <f t="shared" si="2"/>
        <v>164.66996964906139</v>
      </c>
      <c r="F38" s="3"/>
      <c r="G38" s="29">
        <v>-0.17</v>
      </c>
      <c r="H38" s="10"/>
      <c r="I38" s="10">
        <f t="shared" si="8"/>
        <v>1802.7274096360572</v>
      </c>
      <c r="J38" s="10">
        <f t="shared" si="6"/>
        <v>37590205.297768027</v>
      </c>
      <c r="K38" s="11">
        <f t="shared" si="7"/>
        <v>4.3540987999999947E-2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20687.182116716511</v>
      </c>
      <c r="D39" s="11">
        <v>7.7499999999999999E-3</v>
      </c>
      <c r="E39" s="10">
        <f t="shared" si="2"/>
        <v>159.09269303354085</v>
      </c>
      <c r="F39" s="3"/>
      <c r="G39" s="29">
        <v>3.95</v>
      </c>
      <c r="H39" s="10"/>
      <c r="I39" s="10">
        <f t="shared" si="8"/>
        <v>1741.2608998706244</v>
      </c>
      <c r="J39" s="10">
        <f t="shared" si="6"/>
        <v>36021781.348341279</v>
      </c>
      <c r="K39" s="11">
        <f t="shared" si="7"/>
        <v>4.755612500000006E-2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20528.08942368297</v>
      </c>
      <c r="D40" s="11">
        <v>7.6299999999999996E-3</v>
      </c>
      <c r="E40" s="10">
        <f t="shared" si="2"/>
        <v>155.44329000000289</v>
      </c>
      <c r="F40" s="3"/>
      <c r="G40" s="29">
        <v>3.55</v>
      </c>
      <c r="H40" s="10"/>
      <c r="I40" s="10">
        <f t="shared" si="8"/>
        <v>1675.0946607702012</v>
      </c>
      <c r="J40" s="10">
        <f t="shared" si="6"/>
        <v>34386492.989424579</v>
      </c>
      <c r="K40" s="11">
        <f t="shared" si="7"/>
        <v>4.3400865000000177E-2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20372.646133682967</v>
      </c>
      <c r="D41" s="11">
        <v>7.6299999999999996E-3</v>
      </c>
      <c r="E41" s="10">
        <f t="shared" si="2"/>
        <v>154.26623859948813</v>
      </c>
      <c r="F41" s="3"/>
      <c r="G41" s="29">
        <v>4.41</v>
      </c>
      <c r="H41" s="10"/>
      <c r="I41" s="10">
        <f t="shared" si="8"/>
        <v>1617.6674657365534</v>
      </c>
      <c r="J41" s="10">
        <f t="shared" si="6"/>
        <v>32956166.841422517</v>
      </c>
      <c r="K41" s="11">
        <f t="shared" si="7"/>
        <v>5.2066483000000163E-2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20218.379895083479</v>
      </c>
      <c r="D42" s="11">
        <v>3.1E-4</v>
      </c>
      <c r="E42" s="10">
        <f t="shared" si="2"/>
        <v>6.265755383308715</v>
      </c>
      <c r="F42" s="3"/>
      <c r="G42" s="29">
        <v>-8.9700000000000006</v>
      </c>
      <c r="H42" s="10"/>
      <c r="I42" s="10">
        <f t="shared" si="8"/>
        <v>1549.3415053505921</v>
      </c>
      <c r="J42" s="10">
        <f t="shared" si="6"/>
        <v>31325175.142398782</v>
      </c>
      <c r="K42" s="11">
        <f t="shared" si="7"/>
        <v>-8.9417806999999905E-2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20212.11413970017</v>
      </c>
      <c r="D43" s="11">
        <v>-1.191E-2</v>
      </c>
      <c r="E43" s="10">
        <f t="shared" si="2"/>
        <v>-243.62788754448411</v>
      </c>
      <c r="F43" s="3"/>
      <c r="G43" s="29">
        <v>4.47</v>
      </c>
      <c r="H43" s="10"/>
      <c r="I43" s="10">
        <f t="shared" si="8"/>
        <v>1702.0119799523147</v>
      </c>
      <c r="J43" s="10">
        <f t="shared" si="6"/>
        <v>34401260.405933261</v>
      </c>
      <c r="K43" s="11">
        <f t="shared" si="7"/>
        <v>3.2257623000000013E-2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20455.742027244654</v>
      </c>
      <c r="D44" s="11">
        <v>3.81E-3</v>
      </c>
      <c r="E44" s="10">
        <f t="shared" si="2"/>
        <v>77.640566565190966</v>
      </c>
      <c r="F44" s="3"/>
      <c r="G44" s="29">
        <v>6.55</v>
      </c>
      <c r="H44" s="10"/>
      <c r="I44" s="10">
        <f t="shared" si="8"/>
        <v>1629.1873073153199</v>
      </c>
      <c r="J44" s="10">
        <f t="shared" si="6"/>
        <v>33326235.27250354</v>
      </c>
      <c r="K44" s="11">
        <f t="shared" si="7"/>
        <v>6.9559555000000106E-2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20378.101460679463</v>
      </c>
      <c r="D45" s="11">
        <v>1.091E-2</v>
      </c>
      <c r="E45" s="10">
        <f t="shared" si="2"/>
        <v>219.92569757546516</v>
      </c>
      <c r="F45" s="3"/>
      <c r="G45" s="29">
        <v>4.6500000000000004</v>
      </c>
      <c r="H45" s="10"/>
      <c r="I45" s="10">
        <f t="shared" si="8"/>
        <v>1529.0354831678271</v>
      </c>
      <c r="J45" s="10">
        <f t="shared" si="6"/>
        <v>31158840.212973028</v>
      </c>
      <c r="K45" s="11">
        <f t="shared" si="7"/>
        <v>5.791731500000008E-2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20158.175763103998</v>
      </c>
      <c r="D46" s="11">
        <v>1.0410000000000001E-2</v>
      </c>
      <c r="E46" s="10">
        <f t="shared" si="2"/>
        <v>207.68461287389437</v>
      </c>
      <c r="F46" s="3"/>
      <c r="G46" s="29">
        <v>5.23</v>
      </c>
      <c r="H46" s="10"/>
      <c r="I46" s="10">
        <f t="shared" si="8"/>
        <v>1461.0945849668678</v>
      </c>
      <c r="J46" s="10">
        <f t="shared" si="6"/>
        <v>29453001.450281609</v>
      </c>
      <c r="K46" s="11">
        <f t="shared" si="7"/>
        <v>6.3254442999999938E-2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19950.491150230104</v>
      </c>
      <c r="D47" s="11">
        <v>9.8799999999999999E-3</v>
      </c>
      <c r="E47" s="10">
        <f t="shared" si="2"/>
        <v>195.18244995868008</v>
      </c>
      <c r="F47" s="3"/>
      <c r="G47" s="26">
        <v>2.52</v>
      </c>
      <c r="H47" s="10"/>
      <c r="I47" s="10">
        <f t="shared" si="8"/>
        <v>1388.4772260447285</v>
      </c>
      <c r="J47" s="10">
        <f t="shared" si="6"/>
        <v>27700802.610501397</v>
      </c>
      <c r="K47" s="11">
        <f t="shared" si="7"/>
        <v>3.5328975999999734E-2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19755.308700271424</v>
      </c>
      <c r="D48" s="11">
        <v>9.5399999999999999E-3</v>
      </c>
      <c r="E48" s="10">
        <f t="shared" si="2"/>
        <v>186.6846732180893</v>
      </c>
      <c r="F48" s="3"/>
      <c r="G48" s="26">
        <v>2.37</v>
      </c>
      <c r="H48" s="10"/>
      <c r="I48" s="10">
        <f t="shared" si="8"/>
        <v>1354.347664889513</v>
      </c>
      <c r="J48" s="10">
        <f t="shared" si="6"/>
        <v>26755556.207384083</v>
      </c>
      <c r="K48" s="11">
        <f t="shared" si="7"/>
        <v>3.3466098000000111E-2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19568.624027053334</v>
      </c>
      <c r="D49" s="11">
        <v>9.3600000000000003E-3</v>
      </c>
      <c r="E49" s="10">
        <f t="shared" si="2"/>
        <v>181.4638195423031</v>
      </c>
      <c r="F49" s="3"/>
      <c r="G49" s="26">
        <v>3.39</v>
      </c>
      <c r="H49" s="10"/>
      <c r="I49" s="10">
        <f t="shared" si="8"/>
        <v>1322.9927370220894</v>
      </c>
      <c r="J49" s="10">
        <f t="shared" si="6"/>
        <v>25889147.461307511</v>
      </c>
      <c r="K49" s="11">
        <f t="shared" si="7"/>
        <v>4.3577304000000039E-2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19387.160207511031</v>
      </c>
      <c r="D50" s="11">
        <v>9.3200000000000002E-3</v>
      </c>
      <c r="E50" s="10">
        <f t="shared" si="2"/>
        <v>179.01986796457277</v>
      </c>
      <c r="F50" s="3"/>
      <c r="G50" s="26">
        <v>-2.4900000000000002</v>
      </c>
      <c r="H50" s="10"/>
      <c r="I50" s="10">
        <f t="shared" si="8"/>
        <v>1279.6138282445975</v>
      </c>
      <c r="J50" s="10">
        <f t="shared" si="6"/>
        <v>24808078.291924514</v>
      </c>
      <c r="K50" s="11">
        <f t="shared" si="7"/>
        <v>-1.5812068000000123E-2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19208.140339546459</v>
      </c>
      <c r="D51" s="11">
        <v>9.4000000000000004E-3</v>
      </c>
      <c r="E51" s="10">
        <f t="shared" si="2"/>
        <v>178.87509331458205</v>
      </c>
      <c r="F51" s="3"/>
      <c r="G51" s="26">
        <v>3.41</v>
      </c>
      <c r="H51" s="10"/>
      <c r="I51" s="10">
        <f t="shared" si="8"/>
        <v>1312.2898453949313</v>
      </c>
      <c r="J51" s="10">
        <f t="shared" si="6"/>
        <v>25206647.516507566</v>
      </c>
      <c r="K51" s="11">
        <f t="shared" si="7"/>
        <v>4.3820540000000241E-2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19029.265246231877</v>
      </c>
      <c r="D52" s="11">
        <v>8.8199999999999997E-3</v>
      </c>
      <c r="E52" s="10">
        <f t="shared" si="2"/>
        <v>166.37072963637183</v>
      </c>
      <c r="F52" s="3"/>
      <c r="G52" s="26">
        <v>2.78</v>
      </c>
      <c r="H52" s="10"/>
      <c r="I52" s="10">
        <f t="shared" si="8"/>
        <v>1269.0163866114797</v>
      </c>
      <c r="J52" s="10">
        <f t="shared" si="6"/>
        <v>24148449.422644585</v>
      </c>
      <c r="K52" s="11">
        <f t="shared" si="7"/>
        <v>3.6865195999999933E-2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18862.894516595505</v>
      </c>
      <c r="D53" s="11">
        <v>8.1300000000000001E-3</v>
      </c>
      <c r="E53" s="10">
        <f t="shared" si="2"/>
        <v>152.11860813577732</v>
      </c>
      <c r="F53" s="3"/>
      <c r="G53" s="26">
        <v>-5.99</v>
      </c>
      <c r="H53" s="10"/>
      <c r="I53" s="10">
        <f t="shared" si="8"/>
        <v>1234.6919503906204</v>
      </c>
      <c r="J53" s="10">
        <f t="shared" si="6"/>
        <v>23289864.020707842</v>
      </c>
      <c r="K53" s="11">
        <f t="shared" si="7"/>
        <v>-5.2256987000000032E-2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18710.775908459727</v>
      </c>
      <c r="D54" s="11">
        <v>9.1599999999999997E-3</v>
      </c>
      <c r="E54" s="10">
        <f t="shared" si="2"/>
        <v>169.83501855155919</v>
      </c>
      <c r="F54" s="3"/>
      <c r="G54" s="26">
        <v>6.9</v>
      </c>
      <c r="H54" s="10"/>
      <c r="I54" s="10">
        <f t="shared" si="8"/>
        <v>1313.362355484119</v>
      </c>
      <c r="J54" s="10">
        <f t="shared" si="6"/>
        <v>24574028.720070176</v>
      </c>
      <c r="K54" s="11">
        <f t="shared" si="7"/>
        <v>7.8792039999999952E-2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18540.940889908168</v>
      </c>
      <c r="D55" s="11">
        <v>0.01</v>
      </c>
      <c r="E55" s="10">
        <f t="shared" si="2"/>
        <v>183.57367217731007</v>
      </c>
      <c r="F55" s="3"/>
      <c r="G55" s="26">
        <v>7.14</v>
      </c>
      <c r="H55" s="10"/>
      <c r="I55" s="10">
        <f t="shared" si="8"/>
        <v>1228.5896683668093</v>
      </c>
      <c r="J55" s="10">
        <f t="shared" si="6"/>
        <v>22779208.41914089</v>
      </c>
      <c r="K55" s="11">
        <f t="shared" si="7"/>
        <v>8.211400000000002E-2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18357.367217730858</v>
      </c>
      <c r="D56" s="11">
        <v>9.8899999999999995E-3</v>
      </c>
      <c r="E56" s="10">
        <f t="shared" si="2"/>
        <v>179.77637344993855</v>
      </c>
      <c r="F56" s="3"/>
      <c r="G56" s="26">
        <v>8.57</v>
      </c>
      <c r="H56" s="10"/>
      <c r="I56" s="10">
        <f t="shared" si="8"/>
        <v>1146.7142695228761</v>
      </c>
      <c r="J56" s="10">
        <f t="shared" si="6"/>
        <v>21050654.939443432</v>
      </c>
      <c r="K56" s="11">
        <f t="shared" si="7"/>
        <v>9.6437573000000221E-2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18177.59084428092</v>
      </c>
      <c r="D57" s="11">
        <v>2.0729999999999998E-2</v>
      </c>
      <c r="E57" s="10">
        <f t="shared" si="2"/>
        <v>369.16859326358826</v>
      </c>
      <c r="F57" s="3"/>
      <c r="G57" s="26">
        <v>4.18</v>
      </c>
      <c r="H57" s="10"/>
      <c r="I57" s="10">
        <f t="shared" si="8"/>
        <v>1056.1980929565036</v>
      </c>
      <c r="J57" s="10">
        <f t="shared" si="6"/>
        <v>19199136.784273107</v>
      </c>
      <c r="K57" s="11">
        <f t="shared" si="7"/>
        <v>6.3396513999999904E-2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17808.422251017331</v>
      </c>
      <c r="D58" s="11">
        <v>2.0369999999999999E-2</v>
      </c>
      <c r="E58" s="10">
        <f t="shared" si="2"/>
        <v>355.51570631557479</v>
      </c>
      <c r="F58" s="3"/>
      <c r="G58" s="26">
        <v>4.43</v>
      </c>
      <c r="H58" s="10"/>
      <c r="I58" s="10">
        <f t="shared" si="8"/>
        <v>1013.8204002270144</v>
      </c>
      <c r="J58" s="10">
        <f t="shared" si="6"/>
        <v>18054541.77393806</v>
      </c>
      <c r="K58" s="11">
        <f t="shared" si="7"/>
        <v>6.5572391000000119E-2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17452.906544701757</v>
      </c>
      <c r="D59" s="11">
        <v>1.9259999999999999E-2</v>
      </c>
      <c r="E59" s="10">
        <f t="shared" si="2"/>
        <v>329.79120150987728</v>
      </c>
      <c r="F59" s="3"/>
      <c r="G59" s="26">
        <v>2.48</v>
      </c>
      <c r="H59" s="10"/>
      <c r="I59" s="10">
        <f t="shared" si="8"/>
        <v>970.81336802357021</v>
      </c>
      <c r="J59" s="10">
        <f t="shared" si="6"/>
        <v>16943514.984462522</v>
      </c>
      <c r="K59" s="11">
        <f t="shared" si="7"/>
        <v>4.453764799999993E-2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17123.115343191879</v>
      </c>
      <c r="D60" s="11">
        <v>1.8200000000000001E-2</v>
      </c>
      <c r="E60" s="10">
        <f t="shared" si="2"/>
        <v>306.07022121988848</v>
      </c>
      <c r="F60" s="3"/>
      <c r="G60" s="26">
        <v>1.9</v>
      </c>
      <c r="H60" s="10"/>
      <c r="I60" s="10">
        <f t="shared" si="8"/>
        <v>947.31983608857365</v>
      </c>
      <c r="J60" s="10">
        <f t="shared" si="6"/>
        <v>16221066.820238272</v>
      </c>
      <c r="K60" s="11">
        <f t="shared" si="7"/>
        <v>3.754579999999974E-2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16817.045121971991</v>
      </c>
      <c r="D61" s="11">
        <v>1.7409999999999998E-2</v>
      </c>
      <c r="E61" s="10">
        <f t="shared" si="2"/>
        <v>287.77459979116611</v>
      </c>
      <c r="F61" s="3"/>
      <c r="G61" s="26">
        <v>1.1000000000000001</v>
      </c>
      <c r="H61" s="10"/>
      <c r="I61" s="10">
        <f t="shared" si="8"/>
        <v>929.65636515071026</v>
      </c>
      <c r="J61" s="10">
        <f t="shared" si="6"/>
        <v>15634073.040667964</v>
      </c>
      <c r="K61" s="11">
        <f t="shared" si="7"/>
        <v>2.8601509999999886E-2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16529.270522180825</v>
      </c>
      <c r="D62" s="11">
        <v>1.677E-2</v>
      </c>
      <c r="E62" s="10">
        <f t="shared" si="2"/>
        <v>272.62396280080247</v>
      </c>
      <c r="F62" s="3"/>
      <c r="G62" s="26">
        <v>3.1</v>
      </c>
      <c r="H62" s="10"/>
      <c r="I62" s="10">
        <f t="shared" si="8"/>
        <v>919.54140964461953</v>
      </c>
      <c r="J62" s="10">
        <f t="shared" si="6"/>
        <v>15199348.716363411</v>
      </c>
      <c r="K62" s="11">
        <f t="shared" si="7"/>
        <v>4.8289869999999846E-2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16256.646559380022</v>
      </c>
      <c r="D63" s="11">
        <v>1.6299999999999999E-2</v>
      </c>
      <c r="E63" s="10">
        <f t="shared" si="2"/>
        <v>260.73338474652519</v>
      </c>
      <c r="F63" s="3"/>
      <c r="G63" s="26">
        <v>-9.4</v>
      </c>
      <c r="H63" s="10"/>
      <c r="I63" s="10">
        <f t="shared" si="8"/>
        <v>891.89273486384059</v>
      </c>
      <c r="J63" s="10">
        <f t="shared" si="6"/>
        <v>14499184.959560292</v>
      </c>
      <c r="K63" s="11">
        <f t="shared" si="7"/>
        <v>-7.9232200000000086E-2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15995.913174633497</v>
      </c>
      <c r="D64" s="11">
        <v>1.5879999999999998E-2</v>
      </c>
      <c r="E64" s="10">
        <f t="shared" si="2"/>
        <v>250.04439620149788</v>
      </c>
      <c r="F64" s="3"/>
      <c r="G64" s="26">
        <v>4.9000000000000004</v>
      </c>
      <c r="H64" s="10"/>
      <c r="I64" s="10">
        <f t="shared" si="8"/>
        <v>984.42906717863195</v>
      </c>
      <c r="J64" s="10">
        <f t="shared" si="6"/>
        <v>15746841.885174843</v>
      </c>
      <c r="K64" s="11">
        <f t="shared" si="7"/>
        <v>6.5658119999999709E-2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15745.868778431999</v>
      </c>
      <c r="D65" s="11">
        <v>1.5480000000000001E-2</v>
      </c>
      <c r="E65" s="10">
        <f t="shared" si="2"/>
        <v>240.03037843199854</v>
      </c>
      <c r="F65" s="3"/>
      <c r="G65" s="26">
        <v>2.78</v>
      </c>
      <c r="H65" s="10"/>
      <c r="I65" s="10">
        <f t="shared" si="8"/>
        <v>938.44524993196569</v>
      </c>
      <c r="J65" s="10">
        <f t="shared" si="6"/>
        <v>14776635.761171553</v>
      </c>
      <c r="K65" s="11">
        <f t="shared" si="7"/>
        <v>4.3710343999999957E-2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15505.838400000001</v>
      </c>
      <c r="D66" s="11">
        <v>1.478E-2</v>
      </c>
      <c r="E66" s="10">
        <f t="shared" si="2"/>
        <v>225.83840000000055</v>
      </c>
      <c r="F66" s="23">
        <f>SUM(F2)</f>
        <v>37482</v>
      </c>
      <c r="G66" s="26">
        <v>-4.04</v>
      </c>
      <c r="H66" s="10"/>
      <c r="I66" s="10">
        <f t="shared" si="8"/>
        <v>913.06212291493057</v>
      </c>
      <c r="J66" s="10">
        <f t="shared" ref="J66:J67" si="9">IF(I66="","",I66*C66)</f>
        <v>14157793.727079852</v>
      </c>
      <c r="K66" s="11">
        <f t="shared" ref="K66" si="10">IFERROR(J66/J67-1,"")</f>
        <v>-2.6217111999999876E-2</v>
      </c>
    </row>
    <row r="67" spans="1:11" ht="22.5" customHeight="1">
      <c r="A67" s="3">
        <f t="shared" si="0"/>
        <v>1950</v>
      </c>
      <c r="B67" s="3">
        <v>1700</v>
      </c>
      <c r="C67" s="10">
        <v>15280</v>
      </c>
      <c r="D67" s="11">
        <v>1.4080000000000001E-2</v>
      </c>
      <c r="E67" s="3" t="s">
        <v>72</v>
      </c>
      <c r="F67" s="10">
        <f>SUM(C2)</f>
        <v>37466.586087327174</v>
      </c>
      <c r="G67" s="26">
        <v>5.82</v>
      </c>
      <c r="H67" s="10"/>
      <c r="I67" s="10">
        <f t="shared" ref="I67" si="11">IF(H67&lt;&gt;"",H67,I66/(1+IF(G66="",0,G66)/100))</f>
        <v>951.5028375520327</v>
      </c>
      <c r="J67" s="10">
        <f t="shared" si="9"/>
        <v>14538963.35779506</v>
      </c>
      <c r="K67" s="11"/>
    </row>
  </sheetData>
  <dataValidations count="1">
    <dataValidation type="custom" allowBlank="1" showDropDown="1" sqref="D2:D67" xr:uid="{00000000-0002-0000-4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M67"/>
  <sheetViews>
    <sheetView workbookViewId="0">
      <selection activeCell="G68" sqref="G6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13153870.456224238</v>
      </c>
      <c r="D2" s="11">
        <v>2.7279999999999999E-2</v>
      </c>
      <c r="E2" s="10">
        <f t="shared" ref="E2:E66" si="2">SUM(C2-C3)</f>
        <v>349308.45148917288</v>
      </c>
      <c r="F2" s="14">
        <v>13153004</v>
      </c>
      <c r="G2" s="29">
        <v>2.8</v>
      </c>
      <c r="H2" s="10"/>
      <c r="I2" s="10">
        <f>IF(H2&lt;&gt;"",H2,6856)</f>
        <v>857</v>
      </c>
      <c r="J2" s="10">
        <f t="shared" ref="J2:J33" si="3">IF(I2="","",I2*C2)</f>
        <v>11272866980.984173</v>
      </c>
      <c r="K2" s="11">
        <f t="shared" ref="K2:K33" si="4">IFERROR(J2/J3-1,"")</f>
        <v>5.6043840000000067E-2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12804562.004735066</v>
      </c>
      <c r="D3" s="11">
        <v>2.7799999999999998E-2</v>
      </c>
      <c r="E3" s="10">
        <f t="shared" si="2"/>
        <v>346338.61036353</v>
      </c>
      <c r="F3" s="3"/>
      <c r="G3" s="29">
        <v>5.63</v>
      </c>
      <c r="H3" s="10"/>
      <c r="I3" s="10">
        <f t="shared" ref="I3:I34" si="5">IF(H3&lt;&gt;"",H3,I2/(1+IF(G2="",0,G2)/100))</f>
        <v>833.65758754863816</v>
      </c>
      <c r="J3" s="10">
        <f t="shared" si="3"/>
        <v>10674620270.484388</v>
      </c>
      <c r="K3" s="11">
        <f t="shared" si="4"/>
        <v>8.566514000000014E-2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12458223.394371536</v>
      </c>
      <c r="D4" s="11">
        <v>2.8299999999999999E-2</v>
      </c>
      <c r="E4" s="10">
        <f t="shared" si="2"/>
        <v>342864.65239785425</v>
      </c>
      <c r="F4" s="3"/>
      <c r="G4" s="29">
        <v>5.41</v>
      </c>
      <c r="H4" s="10"/>
      <c r="I4" s="10">
        <f t="shared" si="5"/>
        <v>789.22426161946237</v>
      </c>
      <c r="J4" s="10">
        <f t="shared" si="3"/>
        <v>9832332159.5131874</v>
      </c>
      <c r="K4" s="11">
        <f t="shared" si="4"/>
        <v>8.3931030000000018E-2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12115358.741973681</v>
      </c>
      <c r="D5" s="11">
        <v>2.8459999999999999E-2</v>
      </c>
      <c r="E5" s="10">
        <f t="shared" si="2"/>
        <v>335261.56563849933</v>
      </c>
      <c r="F5" s="3"/>
      <c r="G5" s="29">
        <v>1.9</v>
      </c>
      <c r="H5" s="10"/>
      <c r="I5" s="10">
        <f t="shared" si="5"/>
        <v>748.71858611086452</v>
      </c>
      <c r="J5" s="10">
        <f t="shared" si="3"/>
        <v>9070994267.5164375</v>
      </c>
      <c r="K5" s="11">
        <f t="shared" si="4"/>
        <v>4.8000739999999986E-2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11780097.176335182</v>
      </c>
      <c r="D6" s="11">
        <v>2.896E-2</v>
      </c>
      <c r="E6" s="10">
        <f t="shared" si="2"/>
        <v>331549.92830301262</v>
      </c>
      <c r="F6" s="3"/>
      <c r="G6" s="29">
        <v>4.93</v>
      </c>
      <c r="H6" s="10"/>
      <c r="I6" s="10">
        <f t="shared" si="5"/>
        <v>734.75818067798286</v>
      </c>
      <c r="J6" s="10">
        <f t="shared" si="3"/>
        <v>8655522769.4938812</v>
      </c>
      <c r="K6" s="11">
        <f t="shared" si="4"/>
        <v>7.9687727999999902E-2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11448547.248032169</v>
      </c>
      <c r="D7" s="11">
        <v>2.9350000000000001E-2</v>
      </c>
      <c r="E7" s="10">
        <f t="shared" si="2"/>
        <v>326434.02315028384</v>
      </c>
      <c r="F7" s="3"/>
      <c r="G7" s="29">
        <v>6.87</v>
      </c>
      <c r="H7" s="10"/>
      <c r="I7" s="10">
        <f t="shared" si="5"/>
        <v>700.23652023061368</v>
      </c>
      <c r="J7" s="10">
        <f t="shared" si="3"/>
        <v>8016690886.657815</v>
      </c>
      <c r="K7" s="11">
        <f t="shared" si="4"/>
        <v>0.10006634499999989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11122113.224881886</v>
      </c>
      <c r="D8" s="11">
        <v>2.9610000000000001E-2</v>
      </c>
      <c r="E8" s="10">
        <f t="shared" si="2"/>
        <v>319854.869891271</v>
      </c>
      <c r="F8" s="3"/>
      <c r="G8" s="29">
        <v>8.33</v>
      </c>
      <c r="H8" s="10"/>
      <c r="I8" s="10">
        <f t="shared" si="5"/>
        <v>655.22271940733015</v>
      </c>
      <c r="J8" s="10">
        <f t="shared" si="3"/>
        <v>7287461272.76334</v>
      </c>
      <c r="K8" s="11">
        <f t="shared" si="4"/>
        <v>0.11537651299999996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10802258.354990615</v>
      </c>
      <c r="D9" s="11">
        <v>2.9520000000000001E-2</v>
      </c>
      <c r="E9" s="10">
        <f t="shared" si="2"/>
        <v>309739.16644584201</v>
      </c>
      <c r="F9" s="3"/>
      <c r="G9" s="29">
        <v>7.64</v>
      </c>
      <c r="H9" s="10"/>
      <c r="I9" s="10">
        <f t="shared" si="5"/>
        <v>604.83958220929583</v>
      </c>
      <c r="J9" s="10">
        <f t="shared" si="3"/>
        <v>6533633430.3493986</v>
      </c>
      <c r="K9" s="11">
        <f t="shared" si="4"/>
        <v>0.10817532799999996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10492519.188544773</v>
      </c>
      <c r="D10" s="11">
        <v>2.8549999999999999E-2</v>
      </c>
      <c r="E10" s="10">
        <f t="shared" si="2"/>
        <v>291246.33983078599</v>
      </c>
      <c r="F10" s="3"/>
      <c r="G10" s="29">
        <v>9.6</v>
      </c>
      <c r="H10" s="10"/>
      <c r="I10" s="10">
        <f t="shared" si="5"/>
        <v>561.90968246868806</v>
      </c>
      <c r="J10" s="10">
        <f t="shared" si="3"/>
        <v>5895848125.5318098</v>
      </c>
      <c r="K10" s="11">
        <f t="shared" si="4"/>
        <v>0.12729080000000037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10201272.848713987</v>
      </c>
      <c r="D11" s="11">
        <v>2.7859999999999999E-2</v>
      </c>
      <c r="E11" s="10">
        <f t="shared" si="2"/>
        <v>276504.05849548802</v>
      </c>
      <c r="F11" s="3"/>
      <c r="G11" s="29">
        <v>4.7</v>
      </c>
      <c r="H11" s="10"/>
      <c r="I11" s="10">
        <f t="shared" si="5"/>
        <v>512.69131612106571</v>
      </c>
      <c r="J11" s="10">
        <f t="shared" si="3"/>
        <v>5230104002.9172668</v>
      </c>
      <c r="K11" s="11">
        <f t="shared" si="4"/>
        <v>7.6169420000000043E-2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9924768.7902184986</v>
      </c>
      <c r="D12" s="11">
        <v>2.7230000000000001E-2</v>
      </c>
      <c r="E12" s="10">
        <f t="shared" si="2"/>
        <v>263087.57937136851</v>
      </c>
      <c r="F12" s="3"/>
      <c r="G12" s="29">
        <v>3.27</v>
      </c>
      <c r="H12" s="10"/>
      <c r="I12" s="10">
        <f t="shared" si="5"/>
        <v>489.67651969538275</v>
      </c>
      <c r="J12" s="10">
        <f t="shared" si="3"/>
        <v>4859926239.9755487</v>
      </c>
      <c r="K12" s="11">
        <f t="shared" si="4"/>
        <v>6.0820421000000069E-2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9661681.21084713</v>
      </c>
      <c r="D13" s="11">
        <v>2.631E-2</v>
      </c>
      <c r="E13" s="10">
        <f t="shared" si="2"/>
        <v>247682.3110535685</v>
      </c>
      <c r="F13" s="3"/>
      <c r="G13" s="29">
        <v>5.42</v>
      </c>
      <c r="H13" s="10"/>
      <c r="I13" s="10">
        <f t="shared" si="5"/>
        <v>474.17112394246419</v>
      </c>
      <c r="J13" s="10">
        <f t="shared" si="3"/>
        <v>4581290238.9211721</v>
      </c>
      <c r="K13" s="11">
        <f t="shared" si="4"/>
        <v>8.1936001999999952E-2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9413998.8997935615</v>
      </c>
      <c r="D14" s="11">
        <v>2.5399999999999999E-2</v>
      </c>
      <c r="E14" s="10">
        <f t="shared" si="2"/>
        <v>233192.48298688978</v>
      </c>
      <c r="F14" s="3"/>
      <c r="G14" s="29">
        <v>5.71</v>
      </c>
      <c r="H14" s="10"/>
      <c r="I14" s="10">
        <f t="shared" si="5"/>
        <v>449.79237710345683</v>
      </c>
      <c r="J14" s="10">
        <f t="shared" si="3"/>
        <v>4234344943.1874733</v>
      </c>
      <c r="K14" s="11">
        <f t="shared" si="4"/>
        <v>8.3950339999999901E-2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9180806.4168066718</v>
      </c>
      <c r="D15" s="11">
        <v>2.4649999999999998E-2</v>
      </c>
      <c r="E15" s="10">
        <f t="shared" si="2"/>
        <v>220862.61472140253</v>
      </c>
      <c r="F15" s="3"/>
      <c r="G15" s="29">
        <v>1.7</v>
      </c>
      <c r="H15" s="10"/>
      <c r="I15" s="10">
        <f t="shared" si="5"/>
        <v>425.49652549754694</v>
      </c>
      <c r="J15" s="10">
        <f t="shared" si="3"/>
        <v>3906401231.6168227</v>
      </c>
      <c r="K15" s="11">
        <f t="shared" si="4"/>
        <v>4.2069050000000052E-2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8959943.8020852692</v>
      </c>
      <c r="D16" s="11">
        <v>2.4320000000000001E-2</v>
      </c>
      <c r="E16" s="10">
        <f t="shared" si="2"/>
        <v>212732.1864912454</v>
      </c>
      <c r="F16" s="3"/>
      <c r="G16" s="29">
        <v>-4.97</v>
      </c>
      <c r="H16" s="10"/>
      <c r="I16" s="10">
        <f t="shared" si="5"/>
        <v>418.38399753937756</v>
      </c>
      <c r="J16" s="10">
        <f t="shared" si="3"/>
        <v>3748697105.6446047</v>
      </c>
      <c r="K16" s="11">
        <f t="shared" si="4"/>
        <v>-2.6588704000000019E-2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8747211.6155940238</v>
      </c>
      <c r="D17" s="11">
        <v>2.4070000000000001E-2</v>
      </c>
      <c r="E17" s="10">
        <f t="shared" si="2"/>
        <v>205596.67169954069</v>
      </c>
      <c r="F17" s="3"/>
      <c r="G17" s="29">
        <v>1.58</v>
      </c>
      <c r="H17" s="10"/>
      <c r="I17" s="10">
        <f t="shared" si="5"/>
        <v>440.26517682771498</v>
      </c>
      <c r="J17" s="10">
        <f t="shared" si="3"/>
        <v>3851092668.6889453</v>
      </c>
      <c r="K17" s="11">
        <f t="shared" si="4"/>
        <v>4.0250306000000124E-2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8541614.9438944831</v>
      </c>
      <c r="D18" s="11">
        <v>2.3890000000000002E-2</v>
      </c>
      <c r="E18" s="10">
        <f t="shared" si="2"/>
        <v>199297.95291451178</v>
      </c>
      <c r="F18" s="3"/>
      <c r="G18" s="29">
        <v>3.04</v>
      </c>
      <c r="H18" s="10"/>
      <c r="I18" s="10">
        <f t="shared" si="5"/>
        <v>433.41718529997536</v>
      </c>
      <c r="J18" s="10">
        <f t="shared" si="3"/>
        <v>3702082706.8989539</v>
      </c>
      <c r="K18" s="11">
        <f t="shared" si="4"/>
        <v>5.5016256000000041E-2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8342316.9909799714</v>
      </c>
      <c r="D19" s="11">
        <v>2.2790000000000001E-2</v>
      </c>
      <c r="E19" s="10">
        <f t="shared" si="2"/>
        <v>185885.08317878935</v>
      </c>
      <c r="F19" s="3"/>
      <c r="G19" s="29">
        <v>3.9</v>
      </c>
      <c r="H19" s="10"/>
      <c r="I19" s="10">
        <f t="shared" si="5"/>
        <v>420.63003231752265</v>
      </c>
      <c r="J19" s="10">
        <f t="shared" si="3"/>
        <v>3509029065.5189238</v>
      </c>
      <c r="K19" s="11">
        <f t="shared" si="4"/>
        <v>6.2678810000000196E-2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8156431.907801182</v>
      </c>
      <c r="D20" s="11">
        <v>2.043E-2</v>
      </c>
      <c r="E20" s="10">
        <f t="shared" si="2"/>
        <v>163299.69118545856</v>
      </c>
      <c r="F20" s="3"/>
      <c r="G20" s="29">
        <v>3.79</v>
      </c>
      <c r="H20" s="10"/>
      <c r="I20" s="10">
        <f t="shared" si="5"/>
        <v>404.84122455969458</v>
      </c>
      <c r="J20" s="10">
        <f t="shared" si="3"/>
        <v>3302059881.5919962</v>
      </c>
      <c r="K20" s="11">
        <f t="shared" si="4"/>
        <v>5.9104296999999972E-2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7993132.2166157234</v>
      </c>
      <c r="D21" s="11">
        <v>1.9689999999999999E-2</v>
      </c>
      <c r="E21" s="10">
        <f t="shared" si="2"/>
        <v>154345.70638641529</v>
      </c>
      <c r="F21" s="3"/>
      <c r="G21" s="29">
        <v>7.32</v>
      </c>
      <c r="H21" s="10"/>
      <c r="I21" s="10">
        <f t="shared" si="5"/>
        <v>390.05802539714284</v>
      </c>
      <c r="J21" s="10">
        <f t="shared" si="3"/>
        <v>3117785369.1514163</v>
      </c>
      <c r="K21" s="11">
        <f t="shared" si="4"/>
        <v>9.4331307999999892E-2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7838786.5102293082</v>
      </c>
      <c r="D22" s="11">
        <v>1.9740000000000001E-2</v>
      </c>
      <c r="E22" s="10">
        <f t="shared" si="2"/>
        <v>151742.25362536218</v>
      </c>
      <c r="F22" s="3"/>
      <c r="G22" s="29">
        <v>16.73</v>
      </c>
      <c r="H22" s="10"/>
      <c r="I22" s="10">
        <f t="shared" si="5"/>
        <v>363.45324766785581</v>
      </c>
      <c r="J22" s="10">
        <f t="shared" si="3"/>
        <v>2849032414.91782</v>
      </c>
      <c r="K22" s="11">
        <f t="shared" si="4"/>
        <v>0.19034250200000025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7687044.256603946</v>
      </c>
      <c r="D23" s="11">
        <v>-2.2620000000000001E-2</v>
      </c>
      <c r="E23" s="10">
        <f t="shared" si="2"/>
        <v>-177905.15570646152</v>
      </c>
      <c r="F23" s="3"/>
      <c r="G23" s="29">
        <v>-10.24</v>
      </c>
      <c r="H23" s="10"/>
      <c r="I23" s="10">
        <f t="shared" si="5"/>
        <v>311.36232987908488</v>
      </c>
      <c r="J23" s="10">
        <f t="shared" si="3"/>
        <v>2393456009.6198425</v>
      </c>
      <c r="K23" s="11">
        <f t="shared" si="4"/>
        <v>-0.12270371200000019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7864949.4123104075</v>
      </c>
      <c r="D24" s="11">
        <v>-8.0999999999999996E-4</v>
      </c>
      <c r="E24" s="10">
        <f t="shared" si="2"/>
        <v>-6375.7734004259109</v>
      </c>
      <c r="F24" s="3"/>
      <c r="G24" s="29">
        <v>9.69</v>
      </c>
      <c r="H24" s="10"/>
      <c r="I24" s="10">
        <f t="shared" si="5"/>
        <v>346.88316608632454</v>
      </c>
      <c r="J24" s="10">
        <f t="shared" si="3"/>
        <v>2728218553.2510118</v>
      </c>
      <c r="K24" s="11">
        <f t="shared" si="4"/>
        <v>9.601151100000016E-2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7871325.1857108334</v>
      </c>
      <c r="D25" s="11">
        <v>3.022E-2</v>
      </c>
      <c r="E25" s="10">
        <f t="shared" si="2"/>
        <v>230893.83540620562</v>
      </c>
      <c r="F25" s="3"/>
      <c r="G25" s="29">
        <v>-7.33</v>
      </c>
      <c r="H25" s="10"/>
      <c r="I25" s="10">
        <f t="shared" si="5"/>
        <v>316.23955336523341</v>
      </c>
      <c r="J25" s="10">
        <f t="shared" si="3"/>
        <v>2489224361.121707</v>
      </c>
      <c r="K25" s="11">
        <f t="shared" si="4"/>
        <v>-4.5295125999999963E-2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7640431.3503046278</v>
      </c>
      <c r="D26" s="11">
        <v>2.7990000000000001E-2</v>
      </c>
      <c r="E26" s="10">
        <f t="shared" si="2"/>
        <v>208032.83445853181</v>
      </c>
      <c r="F26" s="3"/>
      <c r="G26" s="29">
        <v>8.73</v>
      </c>
      <c r="H26" s="10"/>
      <c r="I26" s="10">
        <f t="shared" si="5"/>
        <v>341.25342976716672</v>
      </c>
      <c r="J26" s="10">
        <f t="shared" si="3"/>
        <v>2607323403.192039</v>
      </c>
      <c r="K26" s="11">
        <f t="shared" si="4"/>
        <v>0.11773352699999995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7432398.515846096</v>
      </c>
      <c r="D27" s="11">
        <v>3.3660000000000002E-2</v>
      </c>
      <c r="E27" s="10">
        <f t="shared" si="2"/>
        <v>242027.87574577704</v>
      </c>
      <c r="F27" s="3"/>
      <c r="G27" s="29">
        <v>-16.690000000000001</v>
      </c>
      <c r="H27" s="10"/>
      <c r="I27" s="10">
        <f t="shared" si="5"/>
        <v>313.85397752889429</v>
      </c>
      <c r="J27" s="10">
        <f t="shared" si="3"/>
        <v>2332687836.7781477</v>
      </c>
      <c r="K27" s="11">
        <f t="shared" si="4"/>
        <v>-0.13885785399999995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7190370.6401003189</v>
      </c>
      <c r="D28" s="11">
        <v>4.5560000000000003E-2</v>
      </c>
      <c r="E28" s="10">
        <f t="shared" si="2"/>
        <v>313318.4956989279</v>
      </c>
      <c r="F28" s="3"/>
      <c r="G28" s="29">
        <v>1.34</v>
      </c>
      <c r="H28" s="10"/>
      <c r="I28" s="10">
        <f t="shared" si="5"/>
        <v>376.73025750677505</v>
      </c>
      <c r="J28" s="10">
        <f t="shared" si="3"/>
        <v>2708830182.8141479</v>
      </c>
      <c r="K28" s="11">
        <f t="shared" si="4"/>
        <v>5.957050400000008E-2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6877052.144401391</v>
      </c>
      <c r="D29" s="11">
        <v>4.8899999999999999E-2</v>
      </c>
      <c r="E29" s="10">
        <f t="shared" si="2"/>
        <v>320610.01988867205</v>
      </c>
      <c r="F29" s="3"/>
      <c r="G29" s="29">
        <v>3.18</v>
      </c>
      <c r="H29" s="10"/>
      <c r="I29" s="10">
        <f t="shared" si="5"/>
        <v>371.74882327489149</v>
      </c>
      <c r="J29" s="10">
        <f t="shared" si="3"/>
        <v>2556536042.2812862</v>
      </c>
      <c r="K29" s="11">
        <f t="shared" si="4"/>
        <v>8.2255020000000068E-2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6556442.124512719</v>
      </c>
      <c r="D30" s="11">
        <v>5.9369999999999999E-2</v>
      </c>
      <c r="E30" s="10">
        <f t="shared" si="2"/>
        <v>367440.99694376811</v>
      </c>
      <c r="F30" s="3"/>
      <c r="G30" s="29">
        <v>1.63</v>
      </c>
      <c r="H30" s="10"/>
      <c r="I30" s="10">
        <f t="shared" si="5"/>
        <v>360.29155192371729</v>
      </c>
      <c r="J30" s="10">
        <f t="shared" si="3"/>
        <v>2362230708.1387215</v>
      </c>
      <c r="K30" s="11">
        <f t="shared" si="4"/>
        <v>7.6637730999999931E-2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6189001.1275689509</v>
      </c>
      <c r="D31" s="11">
        <v>3.5560000000000001E-2</v>
      </c>
      <c r="E31" s="10">
        <f t="shared" si="2"/>
        <v>212523.54291045666</v>
      </c>
      <c r="F31" s="3"/>
      <c r="G31" s="29">
        <v>-0.21</v>
      </c>
      <c r="H31" s="10"/>
      <c r="I31" s="10">
        <f t="shared" si="5"/>
        <v>354.51299018372259</v>
      </c>
      <c r="J31" s="10">
        <f t="shared" si="3"/>
        <v>2194081295.9848995</v>
      </c>
      <c r="K31" s="11">
        <f t="shared" si="4"/>
        <v>3.3385324000000161E-2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5976477.5846584942</v>
      </c>
      <c r="D32" s="11">
        <v>3.8170000000000003E-2</v>
      </c>
      <c r="E32" s="10">
        <f t="shared" si="2"/>
        <v>219734.86943989433</v>
      </c>
      <c r="F32" s="3"/>
      <c r="G32" s="29">
        <v>4.57</v>
      </c>
      <c r="H32" s="10"/>
      <c r="I32" s="10">
        <f t="shared" si="5"/>
        <v>355.25903415544906</v>
      </c>
      <c r="J32" s="10">
        <f t="shared" si="3"/>
        <v>2123197654.3774676</v>
      </c>
      <c r="K32" s="11">
        <f t="shared" si="4"/>
        <v>8.561436900000019E-2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5756742.7152185999</v>
      </c>
      <c r="D33" s="11">
        <v>3.8809999999999997E-2</v>
      </c>
      <c r="E33" s="10">
        <f t="shared" si="2"/>
        <v>215072.23147412296</v>
      </c>
      <c r="F33" s="3"/>
      <c r="G33" s="29">
        <v>5.36</v>
      </c>
      <c r="H33" s="10"/>
      <c r="I33" s="10">
        <f t="shared" si="5"/>
        <v>339.73322573916903</v>
      </c>
      <c r="J33" s="10">
        <f t="shared" si="3"/>
        <v>1955756772.3916774</v>
      </c>
      <c r="K33" s="11">
        <f t="shared" si="4"/>
        <v>9.4490216000000071E-2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5541670.4837444769</v>
      </c>
      <c r="D34" s="11">
        <v>3.9370000000000002E-2</v>
      </c>
      <c r="E34" s="10">
        <f t="shared" si="2"/>
        <v>209911.35682675056</v>
      </c>
      <c r="F34" s="3"/>
      <c r="G34" s="29">
        <v>2.42</v>
      </c>
      <c r="H34" s="10"/>
      <c r="I34" s="10">
        <f t="shared" si="5"/>
        <v>322.44991053451878</v>
      </c>
      <c r="J34" s="10">
        <f t="shared" ref="J34:J65" si="6">IF(I34="","",I34*C34)</f>
        <v>1786911151.69519</v>
      </c>
      <c r="K34" s="11">
        <f t="shared" ref="K34:K65" si="7">IFERROR(J34/J35-1,"")</f>
        <v>7.8034563999999751E-2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5331759.1269177264</v>
      </c>
      <c r="D35" s="11">
        <v>3.9550000000000002E-2</v>
      </c>
      <c r="E35" s="10">
        <f t="shared" si="2"/>
        <v>202848.41851723939</v>
      </c>
      <c r="F35" s="3"/>
      <c r="G35" s="29">
        <v>-2.2</v>
      </c>
      <c r="H35" s="10"/>
      <c r="I35" s="10">
        <f t="shared" ref="I35:I66" si="8">IF(H35&lt;&gt;"",H35,I34/(1+IF(G34="",0,G34)/100))</f>
        <v>310.8849889457374</v>
      </c>
      <c r="J35" s="10">
        <f t="shared" si="6"/>
        <v>1657563877.2331519</v>
      </c>
      <c r="K35" s="11">
        <f t="shared" si="7"/>
        <v>4.4747749999999975E-2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5128910.708400487</v>
      </c>
      <c r="D36" s="11">
        <v>3.9410000000000001E-2</v>
      </c>
      <c r="E36" s="10">
        <f t="shared" si="2"/>
        <v>194466.44829091802</v>
      </c>
      <c r="F36" s="3"/>
      <c r="G36" s="29">
        <v>-10.09</v>
      </c>
      <c r="H36" s="10"/>
      <c r="I36" s="10">
        <f t="shared" si="8"/>
        <v>309.3382974584452</v>
      </c>
      <c r="J36" s="10">
        <f t="shared" si="6"/>
        <v>1586568506.3529947</v>
      </c>
      <c r="K36" s="11">
        <f t="shared" si="7"/>
        <v>-1.5574788999999978E-2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4934444.2601095689</v>
      </c>
      <c r="D37" s="11">
        <v>3.9120000000000002E-2</v>
      </c>
      <c r="E37" s="10">
        <f t="shared" si="2"/>
        <v>185768.20719020534</v>
      </c>
      <c r="F37" s="3"/>
      <c r="G37" s="29">
        <v>-4.89</v>
      </c>
      <c r="H37" s="10"/>
      <c r="I37" s="10">
        <f t="shared" si="8"/>
        <v>326.61629971327756</v>
      </c>
      <c r="J37" s="10">
        <f t="shared" si="6"/>
        <v>1611669925.3784091</v>
      </c>
      <c r="K37" s="11">
        <f t="shared" si="7"/>
        <v>4.338039199999999E-2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4748676.0529193636</v>
      </c>
      <c r="D38" s="11">
        <v>3.7909999999999999E-2</v>
      </c>
      <c r="E38" s="10">
        <f t="shared" si="2"/>
        <v>173446.93582889996</v>
      </c>
      <c r="F38" s="3"/>
      <c r="G38" s="29">
        <v>0.7</v>
      </c>
      <c r="H38" s="10"/>
      <c r="I38" s="10">
        <f t="shared" si="8"/>
        <v>325.2826408856464</v>
      </c>
      <c r="J38" s="10">
        <f t="shared" si="6"/>
        <v>1544661887.2040381</v>
      </c>
      <c r="K38" s="11">
        <f t="shared" si="7"/>
        <v>8.3578040000000131E-2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4575229.1170904636</v>
      </c>
      <c r="D39" s="11">
        <v>3.5929999999999997E-2</v>
      </c>
      <c r="E39" s="10">
        <f t="shared" si="2"/>
        <v>158686.38052480388</v>
      </c>
      <c r="F39" s="3"/>
      <c r="G39" s="29">
        <v>9.75</v>
      </c>
      <c r="H39" s="10"/>
      <c r="I39" s="10">
        <f t="shared" si="8"/>
        <v>311.57341081000612</v>
      </c>
      <c r="J39" s="10">
        <f t="shared" si="6"/>
        <v>1425519741.2491286</v>
      </c>
      <c r="K39" s="11">
        <f t="shared" si="7"/>
        <v>0.1369331749999998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4416542.7365656598</v>
      </c>
      <c r="D40" s="11">
        <v>3.2340000000000001E-2</v>
      </c>
      <c r="E40" s="10">
        <f t="shared" si="2"/>
        <v>138356.54154690634</v>
      </c>
      <c r="F40" s="3"/>
      <c r="G40" s="29">
        <v>4.92</v>
      </c>
      <c r="H40" s="10"/>
      <c r="I40" s="10">
        <f t="shared" si="8"/>
        <v>283.89376839180517</v>
      </c>
      <c r="J40" s="10">
        <f t="shared" si="6"/>
        <v>1253828960.7470808</v>
      </c>
      <c r="K40" s="11">
        <f t="shared" si="7"/>
        <v>8.3131127999999999E-2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4278186.1950187534</v>
      </c>
      <c r="D41" s="11">
        <v>2.9690000000000001E-2</v>
      </c>
      <c r="E41" s="10">
        <f t="shared" si="2"/>
        <v>123356.88229477452</v>
      </c>
      <c r="F41" s="3"/>
      <c r="G41" s="29">
        <v>5</v>
      </c>
      <c r="H41" s="10"/>
      <c r="I41" s="10">
        <f t="shared" si="8"/>
        <v>270.58117460141557</v>
      </c>
      <c r="J41" s="10">
        <f t="shared" si="6"/>
        <v>1157596645.8117349</v>
      </c>
      <c r="K41" s="11">
        <f t="shared" si="7"/>
        <v>8.1174499999999705E-2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4154829.3127239789</v>
      </c>
      <c r="D42" s="11">
        <v>2.845E-2</v>
      </c>
      <c r="E42" s="10">
        <f t="shared" si="2"/>
        <v>114934.99338518875</v>
      </c>
      <c r="F42" s="3"/>
      <c r="G42" s="29">
        <v>-6.09</v>
      </c>
      <c r="H42" s="10"/>
      <c r="I42" s="10">
        <f t="shared" si="8"/>
        <v>257.69635676325294</v>
      </c>
      <c r="J42" s="10">
        <f t="shared" si="6"/>
        <v>1070684376.8621395</v>
      </c>
      <c r="K42" s="11">
        <f t="shared" si="7"/>
        <v>-3.4182605000000033E-2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4039894.3193387901</v>
      </c>
      <c r="D43" s="11">
        <v>2.7550000000000002E-2</v>
      </c>
      <c r="E43" s="10">
        <f t="shared" si="2"/>
        <v>108315.00997302681</v>
      </c>
      <c r="F43" s="3"/>
      <c r="G43" s="29">
        <v>7.18</v>
      </c>
      <c r="H43" s="10"/>
      <c r="I43" s="10">
        <f t="shared" si="8"/>
        <v>274.40779125040245</v>
      </c>
      <c r="J43" s="10">
        <f t="shared" si="6"/>
        <v>1108578477.0548055</v>
      </c>
      <c r="K43" s="11">
        <f t="shared" si="7"/>
        <v>0.1013280900000002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3931579.3093657633</v>
      </c>
      <c r="D44" s="11">
        <v>2.6610000000000002E-2</v>
      </c>
      <c r="E44" s="10">
        <f t="shared" si="2"/>
        <v>101907.56511452561</v>
      </c>
      <c r="F44" s="3"/>
      <c r="G44" s="29">
        <v>2.2999999999999998</v>
      </c>
      <c r="H44" s="10"/>
      <c r="I44" s="10">
        <f t="shared" si="8"/>
        <v>256.02518310356635</v>
      </c>
      <c r="J44" s="10">
        <f t="shared" si="6"/>
        <v>1006583312.5665625</v>
      </c>
      <c r="K44" s="11">
        <f t="shared" si="7"/>
        <v>5.0222030000000029E-2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3829671.7442512377</v>
      </c>
      <c r="D45" s="11">
        <v>2.58E-2</v>
      </c>
      <c r="E45" s="10">
        <f t="shared" si="2"/>
        <v>96320.46305486653</v>
      </c>
      <c r="F45" s="3"/>
      <c r="G45" s="29">
        <v>6.23</v>
      </c>
      <c r="H45" s="10"/>
      <c r="I45" s="10">
        <f t="shared" si="8"/>
        <v>250.26899619116946</v>
      </c>
      <c r="J45" s="10">
        <f t="shared" si="6"/>
        <v>958448103.17544234</v>
      </c>
      <c r="K45" s="11">
        <f t="shared" si="7"/>
        <v>8.9707339999999913E-2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3733351.2811963712</v>
      </c>
      <c r="D46" s="11">
        <v>2.5319999999999999E-2</v>
      </c>
      <c r="E46" s="10">
        <f t="shared" si="2"/>
        <v>92194.099832142238</v>
      </c>
      <c r="F46" s="3"/>
      <c r="G46" s="29">
        <v>16.22</v>
      </c>
      <c r="H46" s="10"/>
      <c r="I46" s="10">
        <f t="shared" si="8"/>
        <v>235.59163719398424</v>
      </c>
      <c r="J46" s="10">
        <f t="shared" si="6"/>
        <v>879546340.55731177</v>
      </c>
      <c r="K46" s="11">
        <f t="shared" si="7"/>
        <v>0.19162690400000004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3641157.1813642289</v>
      </c>
      <c r="D47" s="11">
        <v>2.4750000000000001E-2</v>
      </c>
      <c r="E47" s="10">
        <f t="shared" si="2"/>
        <v>87942.073909504805</v>
      </c>
      <c r="F47" s="3"/>
      <c r="G47" s="29">
        <v>0.48</v>
      </c>
      <c r="H47" s="10"/>
      <c r="I47" s="10">
        <f t="shared" si="8"/>
        <v>202.711785573898</v>
      </c>
      <c r="J47" s="10">
        <f t="shared" si="6"/>
        <v>738105473.78956437</v>
      </c>
      <c r="K47" s="11">
        <f t="shared" si="7"/>
        <v>2.9668799999999829E-2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3553215.1074547241</v>
      </c>
      <c r="D48" s="11">
        <v>2.452E-2</v>
      </c>
      <c r="E48" s="10">
        <f t="shared" si="2"/>
        <v>85039.661924403626</v>
      </c>
      <c r="F48" s="3"/>
      <c r="G48" s="29">
        <v>5.88</v>
      </c>
      <c r="H48" s="10"/>
      <c r="I48" s="10">
        <f t="shared" si="8"/>
        <v>201.74341717147493</v>
      </c>
      <c r="J48" s="10">
        <f t="shared" si="6"/>
        <v>716837757.72322559</v>
      </c>
      <c r="K48" s="11">
        <f t="shared" si="7"/>
        <v>8.47617759999999E-2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3468175.4455303205</v>
      </c>
      <c r="D49" s="11">
        <v>2.4799999999999999E-2</v>
      </c>
      <c r="E49" s="10">
        <f t="shared" si="2"/>
        <v>83929.304302450735</v>
      </c>
      <c r="F49" s="3"/>
      <c r="G49" s="29">
        <v>-1.92</v>
      </c>
      <c r="H49" s="10"/>
      <c r="I49" s="10">
        <f t="shared" si="8"/>
        <v>190.53968376603225</v>
      </c>
      <c r="J49" s="10">
        <f t="shared" si="6"/>
        <v>660825052.63646531</v>
      </c>
      <c r="K49" s="11">
        <f t="shared" si="7"/>
        <v>5.1238399999999906E-3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3384246.1412278698</v>
      </c>
      <c r="D50" s="11">
        <v>2.479E-2</v>
      </c>
      <c r="E50" s="10">
        <f t="shared" si="2"/>
        <v>81866.003611509688</v>
      </c>
      <c r="F50" s="3"/>
      <c r="G50" s="29">
        <v>7.28</v>
      </c>
      <c r="H50" s="10"/>
      <c r="I50" s="10">
        <f t="shared" si="8"/>
        <v>194.26966126226779</v>
      </c>
      <c r="J50" s="10">
        <f t="shared" si="6"/>
        <v>657456351.48447514</v>
      </c>
      <c r="K50" s="11">
        <f t="shared" si="7"/>
        <v>9.9394712000000052E-2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3302380.1376163601</v>
      </c>
      <c r="D51" s="11">
        <v>2.4660000000000001E-2</v>
      </c>
      <c r="E51" s="10">
        <f t="shared" si="2"/>
        <v>79476.796394530218</v>
      </c>
      <c r="F51" s="3"/>
      <c r="G51" s="29">
        <v>13.25</v>
      </c>
      <c r="H51" s="10"/>
      <c r="I51" s="10">
        <f t="shared" si="8"/>
        <v>181.08655971501472</v>
      </c>
      <c r="J51" s="10">
        <f t="shared" si="6"/>
        <v>598016657.99214351</v>
      </c>
      <c r="K51" s="11">
        <f t="shared" si="7"/>
        <v>0.16042745000000003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3222903.3412218299</v>
      </c>
      <c r="D52" s="11">
        <v>2.4420000000000001E-2</v>
      </c>
      <c r="E52" s="10">
        <f t="shared" si="2"/>
        <v>76827.179860445205</v>
      </c>
      <c r="F52" s="3"/>
      <c r="G52" s="29">
        <v>13.62</v>
      </c>
      <c r="H52" s="10"/>
      <c r="I52" s="10">
        <f t="shared" si="8"/>
        <v>159.89983197793794</v>
      </c>
      <c r="J52" s="10">
        <f t="shared" si="6"/>
        <v>515341702.74250537</v>
      </c>
      <c r="K52" s="11">
        <f t="shared" si="7"/>
        <v>0.16394600400000003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3146076.1613613847</v>
      </c>
      <c r="D53" s="11">
        <v>2.443E-2</v>
      </c>
      <c r="E53" s="10">
        <f t="shared" si="2"/>
        <v>75025.761274131481</v>
      </c>
      <c r="F53" s="3"/>
      <c r="G53" s="29">
        <v>2.66</v>
      </c>
      <c r="H53" s="10"/>
      <c r="I53" s="10">
        <f t="shared" si="8"/>
        <v>140.73211756551481</v>
      </c>
      <c r="J53" s="10">
        <f t="shared" si="6"/>
        <v>442753960.21077394</v>
      </c>
      <c r="K53" s="11">
        <f t="shared" si="7"/>
        <v>5.1679837999999867E-2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3071050.4000872532</v>
      </c>
      <c r="D54" s="11">
        <v>2.46E-2</v>
      </c>
      <c r="E54" s="10">
        <f t="shared" si="2"/>
        <v>73733.983839689754</v>
      </c>
      <c r="F54" s="3"/>
      <c r="G54" s="29">
        <v>-1.39</v>
      </c>
      <c r="H54" s="10"/>
      <c r="I54" s="10">
        <f t="shared" si="8"/>
        <v>137.08563955339451</v>
      </c>
      <c r="J54" s="10">
        <f t="shared" si="6"/>
        <v>420996908.19666922</v>
      </c>
      <c r="K54" s="11">
        <f t="shared" si="7"/>
        <v>1.0358059999999725E-2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2997316.4162475634</v>
      </c>
      <c r="D55" s="11">
        <v>2.4289999999999999E-2</v>
      </c>
      <c r="E55" s="10">
        <f t="shared" si="2"/>
        <v>71078.323278225027</v>
      </c>
      <c r="F55" s="3"/>
      <c r="G55" s="29">
        <v>0.67</v>
      </c>
      <c r="H55" s="10"/>
      <c r="I55" s="10">
        <f t="shared" si="8"/>
        <v>139.01798960895906</v>
      </c>
      <c r="J55" s="10">
        <f t="shared" si="6"/>
        <v>416680902.40866619</v>
      </c>
      <c r="K55" s="11">
        <f t="shared" si="7"/>
        <v>3.1152742999999816E-2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2926238.0929693384</v>
      </c>
      <c r="D56" s="11">
        <v>2.3980000000000001E-2</v>
      </c>
      <c r="E56" s="10">
        <f t="shared" si="2"/>
        <v>68527.890651579481</v>
      </c>
      <c r="F56" s="3"/>
      <c r="G56" s="29">
        <v>7.64</v>
      </c>
      <c r="H56" s="10"/>
      <c r="I56" s="10">
        <f t="shared" si="8"/>
        <v>138.09276806293738</v>
      </c>
      <c r="J56" s="10">
        <f t="shared" si="6"/>
        <v>404092318.26934707</v>
      </c>
      <c r="K56" s="11">
        <f t="shared" si="7"/>
        <v>0.10221207199999993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2857710.2023177589</v>
      </c>
      <c r="D57" s="11">
        <v>2.3630000000000002E-2</v>
      </c>
      <c r="E57" s="10">
        <f t="shared" si="2"/>
        <v>65968.848197853658</v>
      </c>
      <c r="F57" s="3"/>
      <c r="G57" s="30">
        <v>2.71</v>
      </c>
      <c r="H57" s="10"/>
      <c r="I57" s="10">
        <f t="shared" si="8"/>
        <v>128.2913118384777</v>
      </c>
      <c r="J57" s="10">
        <f t="shared" si="6"/>
        <v>366619390.7095468</v>
      </c>
      <c r="K57" s="11">
        <f t="shared" si="7"/>
        <v>5.1370372999999914E-2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2791741.3541199053</v>
      </c>
      <c r="D58" s="11">
        <v>2.3199999999999998E-2</v>
      </c>
      <c r="E58" s="10">
        <f t="shared" si="2"/>
        <v>63299.843056667596</v>
      </c>
      <c r="F58" s="3"/>
      <c r="G58" s="30">
        <v>3.61</v>
      </c>
      <c r="H58" s="10"/>
      <c r="I58" s="10">
        <f t="shared" si="8"/>
        <v>124.90634975998219</v>
      </c>
      <c r="J58" s="10">
        <f t="shared" si="6"/>
        <v>348706222.01710719</v>
      </c>
      <c r="K58" s="11">
        <f t="shared" si="7"/>
        <v>6.0137520000000055E-2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2728441.5110632377</v>
      </c>
      <c r="D59" s="11">
        <v>2.2579999999999999E-2</v>
      </c>
      <c r="E59" s="10">
        <f t="shared" si="2"/>
        <v>60247.813686761074</v>
      </c>
      <c r="F59" s="3"/>
      <c r="G59" s="30">
        <v>3.62</v>
      </c>
      <c r="H59" s="10"/>
      <c r="I59" s="10">
        <f t="shared" si="8"/>
        <v>120.55433815267078</v>
      </c>
      <c r="J59" s="10">
        <f t="shared" si="6"/>
        <v>328925460.55450159</v>
      </c>
      <c r="K59" s="11">
        <f t="shared" si="7"/>
        <v>5.9597396000000247E-2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2668193.6973764766</v>
      </c>
      <c r="D60" s="11">
        <v>2.1909999999999999E-2</v>
      </c>
      <c r="E60" s="10">
        <f t="shared" si="2"/>
        <v>57206.724574100226</v>
      </c>
      <c r="F60" s="3"/>
      <c r="G60" s="30">
        <v>4.08</v>
      </c>
      <c r="H60" s="10"/>
      <c r="I60" s="10">
        <f t="shared" si="8"/>
        <v>116.34273128032308</v>
      </c>
      <c r="J60" s="10">
        <f t="shared" si="6"/>
        <v>310424942.33772308</v>
      </c>
      <c r="K60" s="11">
        <f t="shared" si="7"/>
        <v>6.360392799999981E-2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2610986.9728023764</v>
      </c>
      <c r="D61" s="11">
        <v>2.1309999999999999E-2</v>
      </c>
      <c r="E61" s="10">
        <f t="shared" si="2"/>
        <v>54479.181042404845</v>
      </c>
      <c r="F61" s="3"/>
      <c r="G61" s="30">
        <v>8.4</v>
      </c>
      <c r="H61" s="10"/>
      <c r="I61" s="10">
        <f t="shared" si="8"/>
        <v>111.78202467363863</v>
      </c>
      <c r="J61" s="10">
        <f t="shared" si="6"/>
        <v>291861410.2163443</v>
      </c>
      <c r="K61" s="11">
        <f t="shared" si="7"/>
        <v>0.10710004000000017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2556507.7917599715</v>
      </c>
      <c r="D62" s="11">
        <v>2.0590000000000001E-2</v>
      </c>
      <c r="E62" s="10">
        <f t="shared" si="2"/>
        <v>51576.53458522819</v>
      </c>
      <c r="F62" s="3"/>
      <c r="G62" s="30">
        <v>1.6</v>
      </c>
      <c r="H62" s="10"/>
      <c r="I62" s="10">
        <f t="shared" si="8"/>
        <v>103.11994896092123</v>
      </c>
      <c r="J62" s="10">
        <f t="shared" si="6"/>
        <v>263626953.00448573</v>
      </c>
      <c r="K62" s="11">
        <f t="shared" si="7"/>
        <v>3.6919440000000137E-2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2504931.2571747433</v>
      </c>
      <c r="D63" s="11">
        <v>1.9859999999999999E-2</v>
      </c>
      <c r="E63" s="10">
        <f t="shared" si="2"/>
        <v>48779.180247769691</v>
      </c>
      <c r="F63" s="3"/>
      <c r="G63" s="30">
        <v>4.3</v>
      </c>
      <c r="H63" s="10"/>
      <c r="I63" s="10">
        <f t="shared" si="8"/>
        <v>101.49601275681223</v>
      </c>
      <c r="J63" s="10">
        <f t="shared" si="6"/>
        <v>254240534.83314547</v>
      </c>
      <c r="K63" s="11">
        <f t="shared" si="7"/>
        <v>6.3713979999999948E-2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2456152.0769269736</v>
      </c>
      <c r="D64" s="11">
        <v>1.9689999999999999E-2</v>
      </c>
      <c r="E64" s="10">
        <f t="shared" si="2"/>
        <v>47427.781379333232</v>
      </c>
      <c r="F64" s="3"/>
      <c r="G64" s="30">
        <v>4.3099999999999996</v>
      </c>
      <c r="H64" s="10"/>
      <c r="I64" s="10">
        <f t="shared" si="8"/>
        <v>97.311613381411547</v>
      </c>
      <c r="J64" s="10">
        <f t="shared" si="6"/>
        <v>239012121.31586865</v>
      </c>
      <c r="K64" s="11">
        <f t="shared" si="7"/>
        <v>6.3638639000000108E-2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2408724.2955476404</v>
      </c>
      <c r="D65" s="11">
        <v>1.9060000000000001E-2</v>
      </c>
      <c r="E65" s="10">
        <f t="shared" si="2"/>
        <v>45051.601547640283</v>
      </c>
      <c r="F65" s="3"/>
      <c r="G65" s="30">
        <v>3.92</v>
      </c>
      <c r="H65" s="10"/>
      <c r="I65" s="10">
        <f t="shared" si="8"/>
        <v>93.29078073186804</v>
      </c>
      <c r="J65" s="10">
        <f t="shared" si="6"/>
        <v>224711770.09945822</v>
      </c>
      <c r="K65" s="11">
        <f t="shared" si="7"/>
        <v>5.9007151999999952E-2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2363672.6940000001</v>
      </c>
      <c r="D66" s="11">
        <v>1.821E-2</v>
      </c>
      <c r="E66" s="10">
        <f t="shared" si="2"/>
        <v>42272.694000000134</v>
      </c>
      <c r="F66" s="23">
        <f>SUM(F2)</f>
        <v>13153004</v>
      </c>
      <c r="G66" s="30">
        <v>4.32</v>
      </c>
      <c r="H66" s="10"/>
      <c r="I66" s="10">
        <f t="shared" si="8"/>
        <v>89.771728956762942</v>
      </c>
      <c r="J66" s="10">
        <f t="shared" ref="J66:J67" si="9">IF(I66="","",I66*C66)</f>
        <v>212190984.42826968</v>
      </c>
      <c r="K66" s="11">
        <f t="shared" ref="K66" si="10">IFERROR(J66/J67-1,"")</f>
        <v>6.2196671999999786E-2</v>
      </c>
    </row>
    <row r="67" spans="1:11" ht="22.5" customHeight="1">
      <c r="A67" s="3">
        <f t="shared" si="0"/>
        <v>1950</v>
      </c>
      <c r="B67" s="3">
        <v>1700</v>
      </c>
      <c r="C67" s="10">
        <v>2321400</v>
      </c>
      <c r="D67" s="11">
        <v>1.711E-2</v>
      </c>
      <c r="E67" s="3" t="s">
        <v>72</v>
      </c>
      <c r="F67" s="10">
        <f>SUM(C2)</f>
        <v>13153870.456224238</v>
      </c>
      <c r="G67" s="30">
        <v>3.62</v>
      </c>
      <c r="H67" s="10"/>
      <c r="I67" s="10">
        <f t="shared" ref="I67" si="11">IF(H67&lt;&gt;"",H67,I66/(1+IF(G66="",0,G66)/100))</f>
        <v>86.054188033706822</v>
      </c>
      <c r="J67" s="10">
        <f t="shared" si="9"/>
        <v>199766192.10144702</v>
      </c>
      <c r="K67" s="11"/>
    </row>
  </sheetData>
  <dataValidations count="1">
    <dataValidation type="custom" allowBlank="1" showDropDown="1" sqref="D2:D67" xr:uid="{00000000-0002-0000-4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M67"/>
  <sheetViews>
    <sheetView workbookViewId="0">
      <selection activeCell="K17" sqref="K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22993508.527761962</v>
      </c>
      <c r="D2" s="11">
        <v>2.043E-2</v>
      </c>
      <c r="E2" s="10">
        <f t="shared" ref="E2:E66" si="2">SUM(C2-C3)</f>
        <v>460352.3800967969</v>
      </c>
      <c r="F2" s="14">
        <v>22993720</v>
      </c>
      <c r="G2" s="26">
        <v>2.36</v>
      </c>
      <c r="H2" s="10"/>
      <c r="I2" s="10">
        <f>IF(H2&lt;&gt;"",H2,3496)</f>
        <v>437</v>
      </c>
      <c r="J2" s="10">
        <f t="shared" ref="J2:J33" si="3">IF(I2="","",I2*C2)</f>
        <v>10048163226.631977</v>
      </c>
      <c r="K2" s="11">
        <f t="shared" ref="K2:K33" si="4">IFERROR(J2/J3-1,"")</f>
        <v>4.4512147999999918E-2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22533156.147665165</v>
      </c>
      <c r="D3" s="11">
        <v>2.1559999999999999E-2</v>
      </c>
      <c r="E3" s="10">
        <f t="shared" si="2"/>
        <v>475561.73552572727</v>
      </c>
      <c r="F3" s="3"/>
      <c r="G3" s="26">
        <v>-7.82</v>
      </c>
      <c r="H3" s="10"/>
      <c r="I3" s="10">
        <f t="shared" ref="I3:I34" si="5">IF(H3&lt;&gt;"",H3,I2/(1+IF(G2="",0,G2)/100))</f>
        <v>426.92457991402887</v>
      </c>
      <c r="J3" s="10">
        <f t="shared" si="3"/>
        <v>9619958222.4791679</v>
      </c>
      <c r="K3" s="11">
        <f t="shared" si="4"/>
        <v>-5.8325991999999993E-2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22057594.412139438</v>
      </c>
      <c r="D4" s="11">
        <v>2.3990000000000001E-2</v>
      </c>
      <c r="E4" s="10">
        <f t="shared" si="2"/>
        <v>516764.5093674995</v>
      </c>
      <c r="F4" s="3"/>
      <c r="G4" s="26">
        <v>14.66</v>
      </c>
      <c r="H4" s="10"/>
      <c r="I4" s="10">
        <f t="shared" si="5"/>
        <v>463.14230843353101</v>
      </c>
      <c r="J4" s="10">
        <f t="shared" si="3"/>
        <v>10215805194.528814</v>
      </c>
      <c r="K4" s="11">
        <f t="shared" si="4"/>
        <v>0.1741069340000001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21540829.902771939</v>
      </c>
      <c r="D5" s="11">
        <v>2.2089999999999999E-2</v>
      </c>
      <c r="E5" s="10">
        <f t="shared" si="2"/>
        <v>465552.86966140941</v>
      </c>
      <c r="F5" s="3"/>
      <c r="G5" s="26">
        <v>10.58</v>
      </c>
      <c r="H5" s="10"/>
      <c r="I5" s="10">
        <f t="shared" si="5"/>
        <v>403.92666006761817</v>
      </c>
      <c r="J5" s="10">
        <f t="shared" si="3"/>
        <v>8700915477.7113457</v>
      </c>
      <c r="K5" s="11">
        <f t="shared" si="4"/>
        <v>0.13022712199999975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21075277.033110529</v>
      </c>
      <c r="D6" s="11">
        <v>2.281E-2</v>
      </c>
      <c r="E6" s="10">
        <f t="shared" si="2"/>
        <v>470006.2270854339</v>
      </c>
      <c r="F6" s="3"/>
      <c r="G6" s="26">
        <v>8.1</v>
      </c>
      <c r="H6" s="10"/>
      <c r="I6" s="10">
        <f t="shared" si="5"/>
        <v>365.28003261676452</v>
      </c>
      <c r="J6" s="10">
        <f t="shared" si="3"/>
        <v>7698377882.0619621</v>
      </c>
      <c r="K6" s="11">
        <f t="shared" si="4"/>
        <v>0.10565760999999996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20605270.806025095</v>
      </c>
      <c r="D7" s="11">
        <v>1.924E-2</v>
      </c>
      <c r="E7" s="10">
        <f t="shared" si="2"/>
        <v>388961.78555386513</v>
      </c>
      <c r="F7" s="3"/>
      <c r="G7" s="26">
        <v>6.36</v>
      </c>
      <c r="H7" s="10"/>
      <c r="I7" s="10">
        <f t="shared" si="5"/>
        <v>337.90937337351022</v>
      </c>
      <c r="J7" s="10">
        <f t="shared" si="3"/>
        <v>6962714146.2554235</v>
      </c>
      <c r="K7" s="11">
        <f t="shared" si="4"/>
        <v>8.4063664000000093E-2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20216309.02047123</v>
      </c>
      <c r="D8" s="11">
        <v>1.9120000000000002E-2</v>
      </c>
      <c r="E8" s="10">
        <f t="shared" si="2"/>
        <v>379283.9199224934</v>
      </c>
      <c r="F8" s="3"/>
      <c r="G8" s="26">
        <v>1.53</v>
      </c>
      <c r="H8" s="10"/>
      <c r="I8" s="10">
        <f t="shared" si="5"/>
        <v>317.70343491304078</v>
      </c>
      <c r="J8" s="10">
        <f t="shared" si="3"/>
        <v>6422790817.0672007</v>
      </c>
      <c r="K8" s="11">
        <f t="shared" si="4"/>
        <v>3.4712536000000238E-2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19837025.100548737</v>
      </c>
      <c r="D9" s="11">
        <v>1.864E-2</v>
      </c>
      <c r="E9" s="10">
        <f t="shared" si="2"/>
        <v>362995.90421957523</v>
      </c>
      <c r="F9" s="3"/>
      <c r="G9" s="26">
        <v>3.69</v>
      </c>
      <c r="H9" s="10"/>
      <c r="I9" s="10">
        <f t="shared" si="5"/>
        <v>312.91582282383604</v>
      </c>
      <c r="J9" s="10">
        <f t="shared" si="3"/>
        <v>6207319031.7152967</v>
      </c>
      <c r="K9" s="11">
        <f t="shared" si="4"/>
        <v>5.6227816000000042E-2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19474029.196329162</v>
      </c>
      <c r="D10" s="11">
        <v>1.8700000000000001E-2</v>
      </c>
      <c r="E10" s="10">
        <f t="shared" si="2"/>
        <v>357479.47970094532</v>
      </c>
      <c r="F10" s="3"/>
      <c r="G10" s="26">
        <v>3.75</v>
      </c>
      <c r="H10" s="10"/>
      <c r="I10" s="10">
        <f t="shared" si="5"/>
        <v>301.78013581235996</v>
      </c>
      <c r="J10" s="10">
        <f t="shared" si="3"/>
        <v>5876875175.6820774</v>
      </c>
      <c r="K10" s="11">
        <f t="shared" si="4"/>
        <v>5.6901249999999903E-2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19116549.716628216</v>
      </c>
      <c r="D11" s="11">
        <v>1.9050000000000001E-2</v>
      </c>
      <c r="E11" s="10">
        <f t="shared" si="2"/>
        <v>357362.51616875455</v>
      </c>
      <c r="F11" s="3"/>
      <c r="G11" s="26">
        <v>4.28</v>
      </c>
      <c r="H11" s="10"/>
      <c r="I11" s="10">
        <f t="shared" si="5"/>
        <v>290.87242006010598</v>
      </c>
      <c r="J11" s="10">
        <f t="shared" si="3"/>
        <v>5560477079.2749825</v>
      </c>
      <c r="K11" s="11">
        <f t="shared" si="4"/>
        <v>6.2665340000000125E-2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18759187.200459462</v>
      </c>
      <c r="D12" s="11">
        <v>2.002E-2</v>
      </c>
      <c r="E12" s="10">
        <f t="shared" si="2"/>
        <v>368187.80784023553</v>
      </c>
      <c r="F12" s="3"/>
      <c r="G12" s="26">
        <v>4.3499999999999996</v>
      </c>
      <c r="H12" s="10"/>
      <c r="I12" s="10">
        <f t="shared" si="5"/>
        <v>278.93404301889717</v>
      </c>
      <c r="J12" s="10">
        <f t="shared" si="3"/>
        <v>5232575929.572505</v>
      </c>
      <c r="K12" s="11">
        <f t="shared" si="4"/>
        <v>6.4390869999999989E-2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18390999.392619226</v>
      </c>
      <c r="D13" s="11">
        <v>2.043E-2</v>
      </c>
      <c r="E13" s="10">
        <f t="shared" si="2"/>
        <v>368205.67563792691</v>
      </c>
      <c r="F13" s="3"/>
      <c r="G13" s="26">
        <v>6.48</v>
      </c>
      <c r="H13" s="10"/>
      <c r="I13" s="10">
        <f t="shared" si="5"/>
        <v>267.3062223468109</v>
      </c>
      <c r="J13" s="10">
        <f t="shared" si="3"/>
        <v>4916028572.8235388</v>
      </c>
      <c r="K13" s="11">
        <f t="shared" si="4"/>
        <v>8.6553863999999869E-2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18022793.716981299</v>
      </c>
      <c r="D14" s="11">
        <v>2.086E-2</v>
      </c>
      <c r="E14" s="10">
        <f t="shared" si="2"/>
        <v>368273.29598204792</v>
      </c>
      <c r="F14" s="3"/>
      <c r="G14" s="26">
        <v>9.48</v>
      </c>
      <c r="H14" s="10"/>
      <c r="I14" s="10">
        <f t="shared" si="5"/>
        <v>251.03890152780889</v>
      </c>
      <c r="J14" s="10">
        <f t="shared" si="3"/>
        <v>4524422337.1732807</v>
      </c>
      <c r="K14" s="11">
        <f t="shared" si="4"/>
        <v>0.11763752800000016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17654520.420999251</v>
      </c>
      <c r="D15" s="11">
        <v>2.1049999999999999E-2</v>
      </c>
      <c r="E15" s="10">
        <f t="shared" si="2"/>
        <v>363966.16704572365</v>
      </c>
      <c r="F15" s="3"/>
      <c r="G15" s="26">
        <v>26.52</v>
      </c>
      <c r="H15" s="10"/>
      <c r="I15" s="10">
        <f t="shared" si="5"/>
        <v>229.30115229065481</v>
      </c>
      <c r="J15" s="10">
        <f t="shared" si="3"/>
        <v>4048201875.6740246</v>
      </c>
      <c r="K15" s="11">
        <f t="shared" si="4"/>
        <v>0.29183246000000018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17290554.253953528</v>
      </c>
      <c r="D16" s="11">
        <v>2.103E-2</v>
      </c>
      <c r="E16" s="10">
        <f t="shared" si="2"/>
        <v>356130.92265716568</v>
      </c>
      <c r="F16" s="3"/>
      <c r="G16" s="26">
        <v>-6.35</v>
      </c>
      <c r="H16" s="10"/>
      <c r="I16" s="10">
        <f t="shared" si="5"/>
        <v>181.2370789524619</v>
      </c>
      <c r="J16" s="10">
        <f t="shared" si="3"/>
        <v>3133689546.4556017</v>
      </c>
      <c r="K16" s="11">
        <f t="shared" si="4"/>
        <v>-4.3805404999999742E-2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16934423.331296362</v>
      </c>
      <c r="D17" s="11">
        <v>2.146E-2</v>
      </c>
      <c r="E17" s="10">
        <f t="shared" si="2"/>
        <v>355777.73450709693</v>
      </c>
      <c r="F17" s="3"/>
      <c r="G17" s="26">
        <v>6.65</v>
      </c>
      <c r="H17" s="10"/>
      <c r="I17" s="10">
        <f t="shared" si="5"/>
        <v>193.52597859312536</v>
      </c>
      <c r="J17" s="10">
        <f t="shared" si="3"/>
        <v>3277250847.0993824</v>
      </c>
      <c r="K17" s="11">
        <f t="shared" si="4"/>
        <v>8.9387090000000002E-2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16578645.596789265</v>
      </c>
      <c r="D18" s="11">
        <v>2.1770000000000001E-2</v>
      </c>
      <c r="E18" s="10">
        <f t="shared" si="2"/>
        <v>353227.35512111709</v>
      </c>
      <c r="F18" s="3"/>
      <c r="G18" s="26">
        <v>-1.98</v>
      </c>
      <c r="H18" s="10"/>
      <c r="I18" s="10">
        <f t="shared" si="5"/>
        <v>181.45895789322583</v>
      </c>
      <c r="J18" s="10">
        <f t="shared" si="3"/>
        <v>3008343753.274497</v>
      </c>
      <c r="K18" s="11">
        <f t="shared" si="4"/>
        <v>1.5389540000001478E-3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16225418.241668148</v>
      </c>
      <c r="D19" s="11">
        <v>2.2859999999999998E-2</v>
      </c>
      <c r="E19" s="10">
        <f t="shared" si="2"/>
        <v>362623.48806731589</v>
      </c>
      <c r="F19" s="3"/>
      <c r="G19" s="26">
        <v>1.79</v>
      </c>
      <c r="H19" s="10"/>
      <c r="I19" s="10">
        <f t="shared" si="5"/>
        <v>185.12442143769215</v>
      </c>
      <c r="J19" s="10">
        <f t="shared" si="3"/>
        <v>3003721164.5733919</v>
      </c>
      <c r="K19" s="11">
        <f t="shared" si="4"/>
        <v>4.1169194000000076E-2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15862794.753600832</v>
      </c>
      <c r="D20" s="11">
        <v>2.0820000000000002E-2</v>
      </c>
      <c r="E20" s="10">
        <f t="shared" si="2"/>
        <v>323527.54331808724</v>
      </c>
      <c r="F20" s="3"/>
      <c r="G20" s="26">
        <v>-5.88</v>
      </c>
      <c r="H20" s="10"/>
      <c r="I20" s="10">
        <f t="shared" si="5"/>
        <v>181.86896692965138</v>
      </c>
      <c r="J20" s="10">
        <f t="shared" si="3"/>
        <v>2884950094.4544773</v>
      </c>
      <c r="K20" s="11">
        <f t="shared" si="4"/>
        <v>-3.9204215999999903E-2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15539267.210282745</v>
      </c>
      <c r="D21" s="11">
        <v>2.0629999999999999E-2</v>
      </c>
      <c r="E21" s="10">
        <f t="shared" si="2"/>
        <v>314095.29657969251</v>
      </c>
      <c r="F21" s="3"/>
      <c r="G21" s="26">
        <v>1.75</v>
      </c>
      <c r="H21" s="10"/>
      <c r="I21" s="10">
        <f t="shared" si="5"/>
        <v>193.23094658908985</v>
      </c>
      <c r="J21" s="10">
        <f t="shared" si="3"/>
        <v>3002667312.3437405</v>
      </c>
      <c r="K21" s="11">
        <f t="shared" si="4"/>
        <v>3.8491025000000123E-2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15225171.913703052</v>
      </c>
      <c r="D22" s="11">
        <v>2.0840000000000001E-2</v>
      </c>
      <c r="E22" s="10">
        <f t="shared" si="2"/>
        <v>310815.19403782301</v>
      </c>
      <c r="F22" s="3"/>
      <c r="G22" s="26">
        <v>-8</v>
      </c>
      <c r="H22" s="10"/>
      <c r="I22" s="10">
        <f t="shared" si="5"/>
        <v>189.90756421532171</v>
      </c>
      <c r="J22" s="10">
        <f t="shared" si="3"/>
        <v>2891375312.8908749</v>
      </c>
      <c r="K22" s="11">
        <f t="shared" si="4"/>
        <v>-6.082719999999997E-2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14914356.719665229</v>
      </c>
      <c r="D23" s="11">
        <v>2.1250000000000002E-2</v>
      </c>
      <c r="E23" s="10">
        <f t="shared" si="2"/>
        <v>310335.45193917863</v>
      </c>
      <c r="F23" s="3"/>
      <c r="G23" s="26">
        <v>-1.95</v>
      </c>
      <c r="H23" s="10"/>
      <c r="I23" s="10">
        <f t="shared" si="5"/>
        <v>206.42126545143662</v>
      </c>
      <c r="J23" s="10">
        <f t="shared" si="3"/>
        <v>3078640387.4674339</v>
      </c>
      <c r="K23" s="11">
        <f t="shared" si="4"/>
        <v>1.3356250000000625E-3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14604021.267726051</v>
      </c>
      <c r="D24" s="11">
        <v>2.1839999999999998E-2</v>
      </c>
      <c r="E24" s="10">
        <f t="shared" si="2"/>
        <v>312134.80044540949</v>
      </c>
      <c r="F24" s="3"/>
      <c r="G24" s="26">
        <v>1.37</v>
      </c>
      <c r="H24" s="10"/>
      <c r="I24" s="10">
        <f t="shared" si="5"/>
        <v>210.52653284185274</v>
      </c>
      <c r="J24" s="10">
        <f t="shared" si="3"/>
        <v>3074533963.0430441</v>
      </c>
      <c r="K24" s="11">
        <f t="shared" si="4"/>
        <v>3.5839208000000067E-2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14291886.467280641</v>
      </c>
      <c r="D25" s="11">
        <v>2.4340000000000001E-2</v>
      </c>
      <c r="E25" s="10">
        <f t="shared" si="2"/>
        <v>339598.68462972343</v>
      </c>
      <c r="F25" s="3"/>
      <c r="G25" s="26">
        <v>3.01</v>
      </c>
      <c r="H25" s="10"/>
      <c r="I25" s="10">
        <f t="shared" si="5"/>
        <v>207.68129904493711</v>
      </c>
      <c r="J25" s="10">
        <f t="shared" si="3"/>
        <v>2968157547.3276005</v>
      </c>
      <c r="K25" s="11">
        <f t="shared" si="4"/>
        <v>5.5172634000000054E-2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13952287.782650918</v>
      </c>
      <c r="D26" s="11">
        <v>2.3439999999999999E-2</v>
      </c>
      <c r="E26" s="10">
        <f t="shared" si="2"/>
        <v>319551.34216498956</v>
      </c>
      <c r="F26" s="3"/>
      <c r="G26" s="26">
        <v>2.35</v>
      </c>
      <c r="H26" s="10"/>
      <c r="I26" s="10">
        <f t="shared" si="5"/>
        <v>201.6127551159471</v>
      </c>
      <c r="J26" s="10">
        <f t="shared" si="3"/>
        <v>2812959180.0308199</v>
      </c>
      <c r="K26" s="11">
        <f t="shared" si="4"/>
        <v>4.7490840000000034E-2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13632736.440485928</v>
      </c>
      <c r="D27" s="11">
        <v>3.1820000000000001E-2</v>
      </c>
      <c r="E27" s="10">
        <f t="shared" si="2"/>
        <v>420416.03529323079</v>
      </c>
      <c r="F27" s="3"/>
      <c r="G27" s="26">
        <v>-19.010000000000002</v>
      </c>
      <c r="H27" s="10"/>
      <c r="I27" s="10">
        <f t="shared" si="5"/>
        <v>196.98363958568351</v>
      </c>
      <c r="J27" s="10">
        <f t="shared" si="3"/>
        <v>2685426041.5592937</v>
      </c>
      <c r="K27" s="11">
        <f t="shared" si="4"/>
        <v>-0.16432898200000012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13212320.405192697</v>
      </c>
      <c r="D28" s="11">
        <v>2.6700000000000002E-2</v>
      </c>
      <c r="E28" s="10">
        <f t="shared" si="2"/>
        <v>343594.96914253943</v>
      </c>
      <c r="F28" s="3"/>
      <c r="G28" s="26">
        <v>0.73</v>
      </c>
      <c r="H28" s="10"/>
      <c r="I28" s="10">
        <f t="shared" si="5"/>
        <v>243.21970562499507</v>
      </c>
      <c r="J28" s="10">
        <f t="shared" si="3"/>
        <v>3213496679.5740833</v>
      </c>
      <c r="K28" s="11">
        <f t="shared" si="4"/>
        <v>3.4194910000000078E-2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12868725.436050158</v>
      </c>
      <c r="D29" s="11">
        <v>2.776E-2</v>
      </c>
      <c r="E29" s="10">
        <f t="shared" si="2"/>
        <v>347586.80830617249</v>
      </c>
      <c r="F29" s="3"/>
      <c r="G29" s="26">
        <v>-7.08</v>
      </c>
      <c r="H29" s="10"/>
      <c r="I29" s="10">
        <f t="shared" si="5"/>
        <v>241.45706902114071</v>
      </c>
      <c r="J29" s="10">
        <f t="shared" si="3"/>
        <v>3107244725.8264723</v>
      </c>
      <c r="K29" s="11">
        <f t="shared" si="4"/>
        <v>-4.5005407999999858E-2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12521138.627743986</v>
      </c>
      <c r="D30" s="11">
        <v>2.785E-2</v>
      </c>
      <c r="E30" s="10">
        <f t="shared" si="2"/>
        <v>339265.17564106546</v>
      </c>
      <c r="F30" s="3"/>
      <c r="G30" s="26">
        <v>7.23</v>
      </c>
      <c r="H30" s="10"/>
      <c r="I30" s="10">
        <f t="shared" si="5"/>
        <v>259.85478801242004</v>
      </c>
      <c r="J30" s="10">
        <f t="shared" si="3"/>
        <v>3253677823.7865372</v>
      </c>
      <c r="K30" s="11">
        <f t="shared" si="4"/>
        <v>0.10216355499999996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12181873.45210292</v>
      </c>
      <c r="D31" s="11">
        <v>2.7609999999999999E-2</v>
      </c>
      <c r="E31" s="10">
        <f t="shared" si="2"/>
        <v>327304.64477044903</v>
      </c>
      <c r="F31" s="3"/>
      <c r="G31" s="26">
        <v>1.24</v>
      </c>
      <c r="H31" s="10"/>
      <c r="I31" s="10">
        <f t="shared" si="5"/>
        <v>242.3340371280612</v>
      </c>
      <c r="J31" s="10">
        <f t="shared" si="3"/>
        <v>2952082573.431252</v>
      </c>
      <c r="K31" s="11">
        <f t="shared" si="4"/>
        <v>4.0352363999999863E-2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11854568.807332471</v>
      </c>
      <c r="D32" s="11">
        <v>2.9590000000000002E-2</v>
      </c>
      <c r="E32" s="10">
        <f t="shared" si="2"/>
        <v>340695.51084312052</v>
      </c>
      <c r="F32" s="3"/>
      <c r="G32" s="26">
        <v>-5.31</v>
      </c>
      <c r="H32" s="10"/>
      <c r="I32" s="10">
        <f t="shared" si="5"/>
        <v>239.3658999684524</v>
      </c>
      <c r="J32" s="10">
        <f t="shared" si="3"/>
        <v>2837579531.3050804</v>
      </c>
      <c r="K32" s="11">
        <f t="shared" si="4"/>
        <v>-2.5081228999999872E-2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11513873.29648935</v>
      </c>
      <c r="D33" s="11">
        <v>2.9940000000000001E-2</v>
      </c>
      <c r="E33" s="10">
        <f t="shared" si="2"/>
        <v>334704.31918062456</v>
      </c>
      <c r="F33" s="3"/>
      <c r="G33" s="26">
        <v>4.09</v>
      </c>
      <c r="H33" s="10"/>
      <c r="I33" s="10">
        <f t="shared" si="5"/>
        <v>252.78899563676461</v>
      </c>
      <c r="J33" s="10">
        <f t="shared" si="3"/>
        <v>2910580466.5085068</v>
      </c>
      <c r="K33" s="11">
        <f t="shared" si="4"/>
        <v>7.2064546000000007E-2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11179168.977308726</v>
      </c>
      <c r="D34" s="11">
        <v>3.0300000000000001E-2</v>
      </c>
      <c r="E34" s="10">
        <f t="shared" si="2"/>
        <v>328767.17462142557</v>
      </c>
      <c r="F34" s="3"/>
      <c r="G34" s="26">
        <v>-3.4</v>
      </c>
      <c r="H34" s="10"/>
      <c r="I34" s="10">
        <f t="shared" si="5"/>
        <v>242.85617795827133</v>
      </c>
      <c r="J34" s="10">
        <f t="shared" ref="J34:J65" si="6">IF(I34="","",I34*C34)</f>
        <v>2714930250.5788741</v>
      </c>
      <c r="K34" s="11">
        <f t="shared" ref="K34:K65" si="7">IFERROR(J34/J35-1,"")</f>
        <v>8.6637000000000519E-3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10850401.8026873</v>
      </c>
      <c r="D35" s="11">
        <v>2.8230000000000002E-2</v>
      </c>
      <c r="E35" s="10">
        <f t="shared" si="2"/>
        <v>297897.20479840413</v>
      </c>
      <c r="F35" s="3"/>
      <c r="G35" s="26">
        <v>2.08</v>
      </c>
      <c r="H35" s="10"/>
      <c r="I35" s="10">
        <f t="shared" ref="I35:I66" si="8">IF(H35&lt;&gt;"",H35,I34/(1+IF(G34="",0,G34)/100))</f>
        <v>248.06555460497583</v>
      </c>
      <c r="J35" s="10">
        <f t="shared" si="6"/>
        <v>2691610940.8704548</v>
      </c>
      <c r="K35" s="11">
        <f t="shared" si="7"/>
        <v>7.7379394000000268E-2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10552504.597888896</v>
      </c>
      <c r="D36" s="11">
        <v>2.682E-2</v>
      </c>
      <c r="E36" s="10">
        <f t="shared" si="2"/>
        <v>275625.88702536002</v>
      </c>
      <c r="F36" s="3"/>
      <c r="G36" s="26">
        <v>-1.92</v>
      </c>
      <c r="H36" s="10"/>
      <c r="I36" s="10">
        <f t="shared" si="8"/>
        <v>236.74895457623194</v>
      </c>
      <c r="J36" s="10">
        <f t="shared" si="6"/>
        <v>2498294431.7110767</v>
      </c>
      <c r="K36" s="11">
        <f t="shared" si="7"/>
        <v>5.6392416000000001E-2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10276878.710863536</v>
      </c>
      <c r="D37" s="11">
        <v>2.691E-2</v>
      </c>
      <c r="E37" s="10">
        <f t="shared" si="2"/>
        <v>269303.83978083543</v>
      </c>
      <c r="F37" s="3"/>
      <c r="G37" s="26">
        <v>-0.46</v>
      </c>
      <c r="H37" s="10"/>
      <c r="I37" s="10">
        <f t="shared" si="8"/>
        <v>230.12145662541985</v>
      </c>
      <c r="J37" s="10">
        <f t="shared" si="6"/>
        <v>2364930298.5066838</v>
      </c>
      <c r="K37" s="11">
        <f t="shared" si="7"/>
        <v>7.6612444000000002E-2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10007574.871082701</v>
      </c>
      <c r="D38" s="11">
        <v>2.5239999999999999E-2</v>
      </c>
      <c r="E38" s="10">
        <f t="shared" si="2"/>
        <v>246372.74174449593</v>
      </c>
      <c r="F38" s="3"/>
      <c r="G38" s="26">
        <v>0.81</v>
      </c>
      <c r="H38" s="10"/>
      <c r="I38" s="10">
        <f t="shared" si="8"/>
        <v>219.49776480867976</v>
      </c>
      <c r="J38" s="10">
        <f t="shared" si="6"/>
        <v>2196640315.3581643</v>
      </c>
      <c r="K38" s="11">
        <f t="shared" si="7"/>
        <v>7.1478323999999871E-2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9761202.1293382049</v>
      </c>
      <c r="D39" s="11">
        <v>2.4750000000000001E-2</v>
      </c>
      <c r="E39" s="10">
        <f t="shared" si="2"/>
        <v>235754.82088423707</v>
      </c>
      <c r="F39" s="3"/>
      <c r="G39" s="26">
        <v>2.41</v>
      </c>
      <c r="H39" s="10"/>
      <c r="I39" s="10">
        <f t="shared" si="8"/>
        <v>210.02560980641067</v>
      </c>
      <c r="J39" s="10">
        <f t="shared" si="6"/>
        <v>2050102429.6578908</v>
      </c>
      <c r="K39" s="11">
        <f t="shared" si="7"/>
        <v>4.9446475000000101E-2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9525447.3084539678</v>
      </c>
      <c r="D40" s="11">
        <v>2.4340000000000001E-2</v>
      </c>
      <c r="E40" s="10">
        <f t="shared" si="2"/>
        <v>226340.2654272709</v>
      </c>
      <c r="F40" s="3"/>
      <c r="G40" s="26">
        <v>0.05</v>
      </c>
      <c r="H40" s="10"/>
      <c r="I40" s="10">
        <f t="shared" si="8"/>
        <v>205.08310692941185</v>
      </c>
      <c r="J40" s="10">
        <f t="shared" si="6"/>
        <v>1953508328.9101434</v>
      </c>
      <c r="K40" s="11">
        <f t="shared" si="7"/>
        <v>2.4852169999999951E-2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9299107.0430266969</v>
      </c>
      <c r="D41" s="11">
        <v>2.299E-2</v>
      </c>
      <c r="E41" s="10">
        <f t="shared" si="2"/>
        <v>208981.97530687973</v>
      </c>
      <c r="F41" s="3"/>
      <c r="G41" s="26">
        <v>-0.45</v>
      </c>
      <c r="H41" s="10"/>
      <c r="I41" s="10">
        <f t="shared" si="8"/>
        <v>204.98061662110132</v>
      </c>
      <c r="J41" s="10">
        <f t="shared" si="6"/>
        <v>1906136695.7052386</v>
      </c>
      <c r="K41" s="11">
        <f t="shared" si="7"/>
        <v>1.8386545000000254E-2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9090125.0677198172</v>
      </c>
      <c r="D42" s="11">
        <v>2.3810000000000001E-2</v>
      </c>
      <c r="E42" s="10">
        <f t="shared" si="2"/>
        <v>211402.38702728972</v>
      </c>
      <c r="F42" s="3"/>
      <c r="G42" s="26">
        <v>-6.67</v>
      </c>
      <c r="H42" s="10"/>
      <c r="I42" s="10">
        <f t="shared" si="8"/>
        <v>205.90719901667634</v>
      </c>
      <c r="J42" s="10">
        <f t="shared" si="6"/>
        <v>1871722191.405463</v>
      </c>
      <c r="K42" s="11">
        <f t="shared" si="7"/>
        <v>-4.4478126999999867E-2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8878722.6806925274</v>
      </c>
      <c r="D43" s="11">
        <v>2.333E-2</v>
      </c>
      <c r="E43" s="10">
        <f t="shared" si="2"/>
        <v>202418.18390993774</v>
      </c>
      <c r="F43" s="3"/>
      <c r="G43" s="26">
        <v>3.5</v>
      </c>
      <c r="H43" s="10"/>
      <c r="I43" s="10">
        <f t="shared" si="8"/>
        <v>220.62273547270581</v>
      </c>
      <c r="J43" s="10">
        <f t="shared" si="6"/>
        <v>1958848085.317941</v>
      </c>
      <c r="K43" s="11">
        <f t="shared" si="7"/>
        <v>5.9146549999999909E-2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8676304.4967825897</v>
      </c>
      <c r="D44" s="11">
        <v>2.2890000000000001E-2</v>
      </c>
      <c r="E44" s="10">
        <f t="shared" si="2"/>
        <v>194156.3706081342</v>
      </c>
      <c r="F44" s="3"/>
      <c r="G44" s="26">
        <v>2.2599999999999998</v>
      </c>
      <c r="H44" s="10"/>
      <c r="I44" s="10">
        <f t="shared" si="8"/>
        <v>213.16206325865298</v>
      </c>
      <c r="J44" s="10">
        <f t="shared" si="6"/>
        <v>1849458967.9945056</v>
      </c>
      <c r="K44" s="11">
        <f t="shared" si="7"/>
        <v>4.6007314000000132E-2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8482148.1261744555</v>
      </c>
      <c r="D45" s="11">
        <v>2.3109999999999999E-2</v>
      </c>
      <c r="E45" s="10">
        <f t="shared" si="2"/>
        <v>191594.68991202395</v>
      </c>
      <c r="F45" s="3"/>
      <c r="G45" s="26">
        <v>0.9</v>
      </c>
      <c r="H45" s="10"/>
      <c r="I45" s="10">
        <f t="shared" si="8"/>
        <v>208.45106909705945</v>
      </c>
      <c r="J45" s="10">
        <f t="shared" si="6"/>
        <v>1768112845.1406846</v>
      </c>
      <c r="K45" s="11">
        <f t="shared" si="7"/>
        <v>3.2317989999999686E-2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8290553.4362624316</v>
      </c>
      <c r="D46" s="11">
        <v>2.291E-2</v>
      </c>
      <c r="E46" s="10">
        <f t="shared" si="2"/>
        <v>185682.5910635069</v>
      </c>
      <c r="F46" s="3"/>
      <c r="G46" s="26">
        <v>3.47</v>
      </c>
      <c r="H46" s="10"/>
      <c r="I46" s="10">
        <f t="shared" si="8"/>
        <v>206.59174340640186</v>
      </c>
      <c r="J46" s="10">
        <f t="shared" si="6"/>
        <v>1712759888.2013915</v>
      </c>
      <c r="K46" s="11">
        <f t="shared" si="7"/>
        <v>5.8404976999999914E-2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8104870.8451989247</v>
      </c>
      <c r="D47" s="11">
        <v>2.3310000000000001E-2</v>
      </c>
      <c r="E47" s="10">
        <f t="shared" si="2"/>
        <v>184621.02334735915</v>
      </c>
      <c r="F47" s="3"/>
      <c r="G47" s="26">
        <v>8.6199999999999992</v>
      </c>
      <c r="H47" s="10"/>
      <c r="I47" s="10">
        <f t="shared" si="8"/>
        <v>199.66342264076724</v>
      </c>
      <c r="J47" s="10">
        <f t="shared" si="6"/>
        <v>1618246253.0137854</v>
      </c>
      <c r="K47" s="11">
        <f t="shared" si="7"/>
        <v>0.11151932200000014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7920249.8218515655</v>
      </c>
      <c r="D48" s="11">
        <v>2.419E-2</v>
      </c>
      <c r="E48" s="10">
        <f t="shared" si="2"/>
        <v>187065.72334292345</v>
      </c>
      <c r="F48" s="3"/>
      <c r="G48" s="26">
        <v>8.5299999999999994</v>
      </c>
      <c r="H48" s="10"/>
      <c r="I48" s="10">
        <f t="shared" si="8"/>
        <v>183.81828635681018</v>
      </c>
      <c r="J48" s="10">
        <f t="shared" si="6"/>
        <v>1455886749.7705858</v>
      </c>
      <c r="K48" s="11">
        <f t="shared" si="7"/>
        <v>0.11155340699999994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7733184.0985086421</v>
      </c>
      <c r="D49" s="11">
        <v>2.4510000000000001E-2</v>
      </c>
      <c r="E49" s="10">
        <f t="shared" si="2"/>
        <v>185005.84889795817</v>
      </c>
      <c r="F49" s="3"/>
      <c r="G49" s="26">
        <v>-2.02</v>
      </c>
      <c r="H49" s="10"/>
      <c r="I49" s="10">
        <f t="shared" si="8"/>
        <v>169.37094476809193</v>
      </c>
      <c r="J49" s="10">
        <f t="shared" si="6"/>
        <v>1309776696.829994</v>
      </c>
      <c r="K49" s="11">
        <f t="shared" si="7"/>
        <v>3.814898000000122E-3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7548178.2496106839</v>
      </c>
      <c r="D50" s="11">
        <v>2.47E-2</v>
      </c>
      <c r="E50" s="10">
        <f t="shared" si="2"/>
        <v>181945.93809445016</v>
      </c>
      <c r="F50" s="3"/>
      <c r="G50" s="26">
        <v>-0.04</v>
      </c>
      <c r="H50" s="10"/>
      <c r="I50" s="10">
        <f t="shared" si="8"/>
        <v>172.86277277821182</v>
      </c>
      <c r="J50" s="10">
        <f t="shared" si="6"/>
        <v>1304799021.6518922</v>
      </c>
      <c r="K50" s="11">
        <f t="shared" si="7"/>
        <v>2.429011999999986E-2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7366232.3115162337</v>
      </c>
      <c r="D51" s="11">
        <v>2.4979999999999999E-2</v>
      </c>
      <c r="E51" s="10">
        <f t="shared" si="2"/>
        <v>179523.97426454723</v>
      </c>
      <c r="F51" s="3"/>
      <c r="G51" s="26">
        <v>-1.7</v>
      </c>
      <c r="H51" s="10"/>
      <c r="I51" s="10">
        <f t="shared" si="8"/>
        <v>172.93194555643439</v>
      </c>
      <c r="J51" s="10">
        <f t="shared" si="6"/>
        <v>1273856885.0511732</v>
      </c>
      <c r="K51" s="11">
        <f t="shared" si="7"/>
        <v>7.5553400000001325E-3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7186708.3372516865</v>
      </c>
      <c r="D52" s="11">
        <v>2.5149999999999999E-2</v>
      </c>
      <c r="E52" s="10">
        <f t="shared" si="2"/>
        <v>176311.48093633167</v>
      </c>
      <c r="F52" s="3"/>
      <c r="G52" s="26">
        <v>-9.18</v>
      </c>
      <c r="H52" s="10"/>
      <c r="I52" s="10">
        <f t="shared" si="8"/>
        <v>175.9226302710421</v>
      </c>
      <c r="J52" s="10">
        <f t="shared" si="6"/>
        <v>1264304633.6801441</v>
      </c>
      <c r="K52" s="11">
        <f t="shared" si="7"/>
        <v>-6.8958770000000058E-2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7010396.8563153548</v>
      </c>
      <c r="D53" s="11">
        <v>2.58E-2</v>
      </c>
      <c r="E53" s="10">
        <f t="shared" si="2"/>
        <v>176319.2034440795</v>
      </c>
      <c r="F53" s="3"/>
      <c r="G53" s="26">
        <v>6.69</v>
      </c>
      <c r="H53" s="10"/>
      <c r="I53" s="10">
        <f t="shared" si="8"/>
        <v>193.70472392759535</v>
      </c>
      <c r="J53" s="10">
        <f t="shared" si="6"/>
        <v>1357946987.6754482</v>
      </c>
      <c r="K53" s="11">
        <f t="shared" si="7"/>
        <v>9.4426020000000221E-2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6834077.6528712753</v>
      </c>
      <c r="D54" s="11">
        <v>2.6259999999999999E-2</v>
      </c>
      <c r="E54" s="10">
        <f t="shared" si="2"/>
        <v>174870.77267398033</v>
      </c>
      <c r="F54" s="3"/>
      <c r="G54" s="26">
        <v>1.7</v>
      </c>
      <c r="H54" s="10"/>
      <c r="I54" s="10">
        <f t="shared" si="8"/>
        <v>181.55846276839006</v>
      </c>
      <c r="J54" s="10">
        <f t="shared" si="6"/>
        <v>1240784633.0951159</v>
      </c>
      <c r="K54" s="11">
        <f t="shared" si="7"/>
        <v>4.3706419999999691E-2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6659206.880197295</v>
      </c>
      <c r="D55" s="11">
        <v>2.632E-2</v>
      </c>
      <c r="E55" s="10">
        <f t="shared" si="2"/>
        <v>170775.51356963906</v>
      </c>
      <c r="F55" s="3"/>
      <c r="G55" s="26">
        <v>4.54</v>
      </c>
      <c r="H55" s="10"/>
      <c r="I55" s="10">
        <f t="shared" si="8"/>
        <v>178.52356221080638</v>
      </c>
      <c r="J55" s="10">
        <f t="shared" si="6"/>
        <v>1188825333.7515316</v>
      </c>
      <c r="K55" s="11">
        <f t="shared" si="7"/>
        <v>7.2914927999999879E-2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6488431.3666276559</v>
      </c>
      <c r="D56" s="11">
        <v>2.632E-2</v>
      </c>
      <c r="E56" s="10">
        <f t="shared" si="2"/>
        <v>166395.97159720119</v>
      </c>
      <c r="F56" s="3"/>
      <c r="G56" s="26">
        <v>1.81</v>
      </c>
      <c r="H56" s="10"/>
      <c r="I56" s="10">
        <f t="shared" si="8"/>
        <v>170.7705779709263</v>
      </c>
      <c r="J56" s="10">
        <f t="shared" si="6"/>
        <v>1108033174.6036921</v>
      </c>
      <c r="K56" s="11">
        <f t="shared" si="7"/>
        <v>4.4896392000000063E-2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6322035.3950304547</v>
      </c>
      <c r="D57" s="11">
        <v>2.537E-2</v>
      </c>
      <c r="E57" s="10">
        <f t="shared" si="2"/>
        <v>156421.62143608835</v>
      </c>
      <c r="F57" s="3"/>
      <c r="G57" s="26">
        <v>3.11</v>
      </c>
      <c r="H57" s="10"/>
      <c r="I57" s="10">
        <f t="shared" si="8"/>
        <v>167.73458203607336</v>
      </c>
      <c r="J57" s="10">
        <f t="shared" si="6"/>
        <v>1060423964.6026952</v>
      </c>
      <c r="K57" s="11">
        <f t="shared" si="7"/>
        <v>5.7259006999999862E-2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6165613.7735943664</v>
      </c>
      <c r="D58" s="11">
        <v>2.504E-2</v>
      </c>
      <c r="E58" s="10">
        <f t="shared" si="2"/>
        <v>150615.55538398772</v>
      </c>
      <c r="F58" s="3"/>
      <c r="G58" s="26">
        <v>5.85</v>
      </c>
      <c r="H58" s="10"/>
      <c r="I58" s="10">
        <f t="shared" si="8"/>
        <v>162.67537778690075</v>
      </c>
      <c r="J58" s="10">
        <f t="shared" si="6"/>
        <v>1002993549.9075823</v>
      </c>
      <c r="K58" s="11">
        <f t="shared" si="7"/>
        <v>8.5004839999999859E-2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6014998.2182103787</v>
      </c>
      <c r="D59" s="11">
        <v>2.3290000000000002E-2</v>
      </c>
      <c r="E59" s="10">
        <f t="shared" si="2"/>
        <v>136900.88684744295</v>
      </c>
      <c r="F59" s="3"/>
      <c r="G59" s="26">
        <v>2.88</v>
      </c>
      <c r="H59" s="10"/>
      <c r="I59" s="10">
        <f t="shared" si="8"/>
        <v>153.68481604808764</v>
      </c>
      <c r="J59" s="10">
        <f t="shared" si="6"/>
        <v>924413894.69523692</v>
      </c>
      <c r="K59" s="11">
        <f t="shared" si="7"/>
        <v>5.2760751999999966E-2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5878097.3313629357</v>
      </c>
      <c r="D60" s="11">
        <v>2.4629999999999999E-2</v>
      </c>
      <c r="E60" s="10">
        <f t="shared" si="2"/>
        <v>141297.38273471314</v>
      </c>
      <c r="F60" s="3"/>
      <c r="G60" s="26">
        <v>3.59</v>
      </c>
      <c r="H60" s="10"/>
      <c r="I60" s="10">
        <f t="shared" si="8"/>
        <v>149.38259724736358</v>
      </c>
      <c r="J60" s="10">
        <f t="shared" si="6"/>
        <v>878085446.23179209</v>
      </c>
      <c r="K60" s="11">
        <f t="shared" si="7"/>
        <v>6.1414217000000049E-2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5736799.9486282226</v>
      </c>
      <c r="D61" s="11">
        <v>2.4549999999999999E-2</v>
      </c>
      <c r="E61" s="10">
        <f t="shared" si="2"/>
        <v>137463.70478631929</v>
      </c>
      <c r="F61" s="3"/>
      <c r="G61" s="26">
        <v>3.91</v>
      </c>
      <c r="H61" s="10"/>
      <c r="I61" s="10">
        <f t="shared" si="8"/>
        <v>144.20561564568354</v>
      </c>
      <c r="J61" s="10">
        <f t="shared" si="6"/>
        <v>827278768.42805851</v>
      </c>
      <c r="K61" s="11">
        <f t="shared" si="7"/>
        <v>6.4609904999999968E-2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5599336.2438419033</v>
      </c>
      <c r="D62" s="11">
        <v>2.461E-2</v>
      </c>
      <c r="E62" s="10">
        <f t="shared" si="2"/>
        <v>134489.86927801743</v>
      </c>
      <c r="F62" s="3"/>
      <c r="G62" s="26">
        <v>3.49</v>
      </c>
      <c r="H62" s="10"/>
      <c r="I62" s="10">
        <f t="shared" si="8"/>
        <v>138.77934332180112</v>
      </c>
      <c r="J62" s="10">
        <f t="shared" si="6"/>
        <v>777072206.95833981</v>
      </c>
      <c r="K62" s="11">
        <f t="shared" si="7"/>
        <v>6.0368889000000037E-2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5464846.3745638859</v>
      </c>
      <c r="D63" s="11">
        <v>2.4969999999999999E-2</v>
      </c>
      <c r="E63" s="10">
        <f t="shared" si="2"/>
        <v>133132.88581408188</v>
      </c>
      <c r="F63" s="3"/>
      <c r="G63" s="26">
        <v>5.61</v>
      </c>
      <c r="H63" s="10"/>
      <c r="I63" s="10">
        <f t="shared" si="8"/>
        <v>134.09927850207859</v>
      </c>
      <c r="J63" s="10">
        <f t="shared" si="6"/>
        <v>732831955.95371699</v>
      </c>
      <c r="K63" s="11">
        <f t="shared" si="7"/>
        <v>8.2470816999999919E-2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5331713.488749804</v>
      </c>
      <c r="D64" s="11">
        <v>2.461E-2</v>
      </c>
      <c r="E64" s="10">
        <f t="shared" si="2"/>
        <v>128061.86642540339</v>
      </c>
      <c r="F64" s="3"/>
      <c r="G64" s="26">
        <v>3.89</v>
      </c>
      <c r="H64" s="10"/>
      <c r="I64" s="10">
        <f t="shared" si="8"/>
        <v>126.97592889127789</v>
      </c>
      <c r="J64" s="10">
        <f t="shared" si="6"/>
        <v>676999272.81616223</v>
      </c>
      <c r="K64" s="11">
        <f t="shared" si="7"/>
        <v>6.446732899999974E-2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5203651.6223244006</v>
      </c>
      <c r="D65" s="11">
        <v>2.358E-2</v>
      </c>
      <c r="E65" s="10">
        <f t="shared" si="2"/>
        <v>119875.44232439995</v>
      </c>
      <c r="F65" s="3"/>
      <c r="G65" s="26">
        <v>3.04</v>
      </c>
      <c r="H65" s="10"/>
      <c r="I65" s="10">
        <f t="shared" si="8"/>
        <v>122.22151207168919</v>
      </c>
      <c r="J65" s="10">
        <f t="shared" si="6"/>
        <v>635998169.57478678</v>
      </c>
      <c r="K65" s="11">
        <f t="shared" si="7"/>
        <v>5.4696832000000084E-2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5083776.1800000006</v>
      </c>
      <c r="D66" s="11">
        <v>2.2069999999999999E-2</v>
      </c>
      <c r="E66" s="10">
        <f t="shared" si="2"/>
        <v>109776.18000000063</v>
      </c>
      <c r="F66" s="23">
        <f>SUM(F2)</f>
        <v>22993720</v>
      </c>
      <c r="G66" s="26">
        <v>5.84</v>
      </c>
      <c r="H66" s="10"/>
      <c r="I66" s="10">
        <f t="shared" si="8"/>
        <v>118.6155978956611</v>
      </c>
      <c r="J66" s="10">
        <f t="shared" ref="J66:J67" si="9">IF(I66="","",I66*C66)</f>
        <v>603015151.15842009</v>
      </c>
      <c r="K66" s="11">
        <f t="shared" ref="K66" si="10">IFERROR(J66/J67-1,"")</f>
        <v>8.1758888000000196E-2</v>
      </c>
    </row>
    <row r="67" spans="1:11" ht="22.5" customHeight="1">
      <c r="A67" s="3">
        <f t="shared" si="0"/>
        <v>1950</v>
      </c>
      <c r="B67" s="3">
        <v>1700</v>
      </c>
      <c r="C67" s="10">
        <v>4974000</v>
      </c>
      <c r="D67" s="11">
        <v>2.0740000000000001E-2</v>
      </c>
      <c r="E67" s="3" t="s">
        <v>72</v>
      </c>
      <c r="F67" s="10">
        <f>SUM(C2)</f>
        <v>22993508.527761962</v>
      </c>
      <c r="G67" s="26">
        <v>5.85</v>
      </c>
      <c r="H67" s="10"/>
      <c r="I67" s="10">
        <f t="shared" ref="I67" si="11">IF(H67&lt;&gt;"",H67,I66/(1+IF(G66="",0,G66)/100))</f>
        <v>112.07067072530337</v>
      </c>
      <c r="J67" s="10">
        <f t="shared" si="9"/>
        <v>557439516.18765903</v>
      </c>
      <c r="K67" s="11"/>
    </row>
  </sheetData>
  <dataValidations count="1">
    <dataValidation type="custom" allowBlank="1" showDropDown="1" sqref="D2:D67" xr:uid="{00000000-0002-0000-4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M67"/>
  <sheetViews>
    <sheetView topLeftCell="A10" workbookViewId="0">
      <selection activeCell="L39" sqref="L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12584591.775440041</v>
      </c>
      <c r="D2" s="11">
        <v>1.2160000000000001E-2</v>
      </c>
      <c r="E2" s="10">
        <f t="shared" ref="E2:E66" si="2">SUM(C2-C3)</f>
        <v>151190.16359997541</v>
      </c>
      <c r="F2" s="14">
        <v>12584520</v>
      </c>
      <c r="G2" s="26">
        <v>1.7</v>
      </c>
      <c r="H2" s="10"/>
      <c r="I2" s="10">
        <f>IF(H2&lt;&gt;"",H2,23240)</f>
        <v>2905</v>
      </c>
      <c r="J2" s="10">
        <f t="shared" ref="J2:J33" si="3">IF(I2="","",I2*C2)</f>
        <v>36558239107.65332</v>
      </c>
      <c r="K2" s="11">
        <f t="shared" ref="K2:K33" si="4">IFERROR(J2/J3-1,"")</f>
        <v>2.9366720000000068E-2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12433401.611840066</v>
      </c>
      <c r="D3" s="11">
        <v>1.2959999999999999E-2</v>
      </c>
      <c r="E3" s="10">
        <f t="shared" si="2"/>
        <v>159075.26939805038</v>
      </c>
      <c r="F3" s="3"/>
      <c r="G3" s="26">
        <v>2.06</v>
      </c>
      <c r="H3" s="10"/>
      <c r="I3" s="10">
        <f t="shared" ref="I3:I34" si="5">IF(H3&lt;&gt;"",H3,I2/(1+IF(G2="",0,G2)/100))</f>
        <v>2856.4405113077682</v>
      </c>
      <c r="J3" s="10">
        <f t="shared" si="3"/>
        <v>35515272057.419266</v>
      </c>
      <c r="K3" s="11">
        <f t="shared" si="4"/>
        <v>3.3826976000000064E-2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12274326.342442015</v>
      </c>
      <c r="D4" s="11">
        <v>1.354E-2</v>
      </c>
      <c r="E4" s="10">
        <f t="shared" si="2"/>
        <v>163974.16843604296</v>
      </c>
      <c r="F4" s="3"/>
      <c r="G4" s="26">
        <v>4.09</v>
      </c>
      <c r="H4" s="10"/>
      <c r="I4" s="10">
        <f t="shared" si="5"/>
        <v>2798.7855294020856</v>
      </c>
      <c r="J4" s="10">
        <f t="shared" si="3"/>
        <v>34353206950.38554</v>
      </c>
      <c r="K4" s="11">
        <f t="shared" si="4"/>
        <v>5.4993786000000267E-2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12110352.174005972</v>
      </c>
      <c r="D5" s="11">
        <v>1.363E-2</v>
      </c>
      <c r="E5" s="10">
        <f t="shared" si="2"/>
        <v>162844.52919872291</v>
      </c>
      <c r="F5" s="3"/>
      <c r="G5" s="26">
        <v>4.09</v>
      </c>
      <c r="H5" s="10"/>
      <c r="I5" s="10">
        <f t="shared" si="5"/>
        <v>2688.8130746489437</v>
      </c>
      <c r="J5" s="10">
        <f t="shared" si="3"/>
        <v>32562473264.070518</v>
      </c>
      <c r="K5" s="11">
        <f t="shared" si="4"/>
        <v>5.508746699999989E-2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11947507.644807249</v>
      </c>
      <c r="D6" s="11">
        <v>1.213E-2</v>
      </c>
      <c r="E6" s="10">
        <f t="shared" si="2"/>
        <v>143186.41649937443</v>
      </c>
      <c r="F6" s="3"/>
      <c r="G6" s="26">
        <v>1.84</v>
      </c>
      <c r="H6" s="10"/>
      <c r="I6" s="10">
        <f t="shared" si="5"/>
        <v>2583.1617587174023</v>
      </c>
      <c r="J6" s="10">
        <f t="shared" si="3"/>
        <v>30862344860.049904</v>
      </c>
      <c r="K6" s="11">
        <f t="shared" si="4"/>
        <v>3.0753191999999929E-2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11804321.228307875</v>
      </c>
      <c r="D7" s="11">
        <v>1.163E-2</v>
      </c>
      <c r="E7" s="10">
        <f t="shared" si="2"/>
        <v>135705.99516149238</v>
      </c>
      <c r="F7" s="3"/>
      <c r="G7" s="26">
        <v>3.82</v>
      </c>
      <c r="H7" s="10"/>
      <c r="I7" s="10">
        <f t="shared" si="5"/>
        <v>2536.4903365253363</v>
      </c>
      <c r="J7" s="10">
        <f t="shared" si="3"/>
        <v>29941546724.843811</v>
      </c>
      <c r="K7" s="11">
        <f t="shared" si="4"/>
        <v>5.0274265999999956E-2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11668615.233146382</v>
      </c>
      <c r="D8" s="11">
        <v>1.047E-2</v>
      </c>
      <c r="E8" s="10">
        <f t="shared" si="2"/>
        <v>120904.53105093911</v>
      </c>
      <c r="F8" s="3"/>
      <c r="G8" s="26">
        <v>1.43</v>
      </c>
      <c r="H8" s="10"/>
      <c r="I8" s="10">
        <f t="shared" si="5"/>
        <v>2443.161564751817</v>
      </c>
      <c r="J8" s="10">
        <f t="shared" si="3"/>
        <v>28508312251.500805</v>
      </c>
      <c r="K8" s="11">
        <f t="shared" si="4"/>
        <v>2.4919720999999839E-2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11547710.702095443</v>
      </c>
      <c r="D9" s="11">
        <v>1.26E-2</v>
      </c>
      <c r="E9" s="10">
        <f t="shared" si="2"/>
        <v>143690.65262334794</v>
      </c>
      <c r="F9" s="3"/>
      <c r="G9" s="26">
        <v>1.44</v>
      </c>
      <c r="H9" s="10"/>
      <c r="I9" s="10">
        <f t="shared" si="5"/>
        <v>2408.7169128973846</v>
      </c>
      <c r="J9" s="10">
        <f t="shared" si="3"/>
        <v>27815166073.383427</v>
      </c>
      <c r="K9" s="11">
        <f t="shared" si="4"/>
        <v>2.718143999999989E-2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11404020.049472095</v>
      </c>
      <c r="D10" s="11">
        <v>1.3129999999999999E-2</v>
      </c>
      <c r="E10" s="10">
        <f t="shared" si="2"/>
        <v>147794.24481514655</v>
      </c>
      <c r="F10" s="3"/>
      <c r="G10" s="26">
        <v>4.32</v>
      </c>
      <c r="H10" s="10"/>
      <c r="I10" s="10">
        <f t="shared" si="5"/>
        <v>2374.5237706007342</v>
      </c>
      <c r="J10" s="10">
        <f t="shared" si="3"/>
        <v>27079116687.878853</v>
      </c>
      <c r="K10" s="11">
        <f t="shared" si="4"/>
        <v>5.6897215999999862E-2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11256225.804656949</v>
      </c>
      <c r="D11" s="11">
        <v>1.354E-2</v>
      </c>
      <c r="E11" s="10">
        <f t="shared" si="2"/>
        <v>150373.24367568828</v>
      </c>
      <c r="F11" s="3"/>
      <c r="G11" s="26">
        <v>6.73</v>
      </c>
      <c r="H11" s="10"/>
      <c r="I11" s="10">
        <f t="shared" si="5"/>
        <v>2276.192264762974</v>
      </c>
      <c r="J11" s="10">
        <f t="shared" si="3"/>
        <v>25621334106.985531</v>
      </c>
      <c r="K11" s="11">
        <f t="shared" si="4"/>
        <v>8.1751242000000168E-2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11105852.560981261</v>
      </c>
      <c r="D12" s="11">
        <v>1.2829999999999999E-2</v>
      </c>
      <c r="E12" s="10">
        <f t="shared" si="2"/>
        <v>140683.12387803383</v>
      </c>
      <c r="F12" s="3"/>
      <c r="G12" s="26">
        <v>5.99</v>
      </c>
      <c r="H12" s="10"/>
      <c r="I12" s="10">
        <f t="shared" si="5"/>
        <v>2132.6639789777701</v>
      </c>
      <c r="J12" s="10">
        <f t="shared" si="3"/>
        <v>23685051712.642754</v>
      </c>
      <c r="K12" s="11">
        <f t="shared" si="4"/>
        <v>7.3498516999999985E-2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10965169.437103227</v>
      </c>
      <c r="D13" s="11">
        <v>1.23E-2</v>
      </c>
      <c r="E13" s="10">
        <f t="shared" si="2"/>
        <v>133232.82038562559</v>
      </c>
      <c r="F13" s="3"/>
      <c r="G13" s="26">
        <v>3.62</v>
      </c>
      <c r="H13" s="10"/>
      <c r="I13" s="10">
        <f t="shared" si="5"/>
        <v>2012.1369742218794</v>
      </c>
      <c r="J13" s="10">
        <f t="shared" si="3"/>
        <v>22063422853.003117</v>
      </c>
      <c r="K13" s="11">
        <f t="shared" si="4"/>
        <v>4.894525999999999E-2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10831936.616717601</v>
      </c>
      <c r="D14" s="11">
        <v>8.8400000000000006E-3</v>
      </c>
      <c r="E14" s="10">
        <f t="shared" si="2"/>
        <v>94915.268716331571</v>
      </c>
      <c r="F14" s="3"/>
      <c r="G14" s="26">
        <v>4.54</v>
      </c>
      <c r="H14" s="10"/>
      <c r="I14" s="10">
        <f t="shared" si="5"/>
        <v>1941.8422835571121</v>
      </c>
      <c r="J14" s="10">
        <f t="shared" si="3"/>
        <v>21033912535.152805</v>
      </c>
      <c r="K14" s="11">
        <f t="shared" si="4"/>
        <v>5.4641336000000207E-2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10737021.34800127</v>
      </c>
      <c r="D15" s="11">
        <v>8.9499999999999996E-3</v>
      </c>
      <c r="E15" s="10">
        <f t="shared" si="2"/>
        <v>95243.908087231219</v>
      </c>
      <c r="F15" s="3"/>
      <c r="G15" s="26">
        <v>4.09</v>
      </c>
      <c r="H15" s="10"/>
      <c r="I15" s="10">
        <f t="shared" si="5"/>
        <v>1857.5112718166365</v>
      </c>
      <c r="J15" s="10">
        <f t="shared" si="3"/>
        <v>19944138179.648216</v>
      </c>
      <c r="K15" s="11">
        <f t="shared" si="4"/>
        <v>5.0216055000000148E-2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10641777.439914038</v>
      </c>
      <c r="D16" s="11">
        <v>8.9899999999999997E-3</v>
      </c>
      <c r="E16" s="10">
        <f t="shared" si="2"/>
        <v>94817.172801343724</v>
      </c>
      <c r="F16" s="3"/>
      <c r="G16" s="26">
        <v>1.41</v>
      </c>
      <c r="H16" s="10"/>
      <c r="I16" s="10">
        <f t="shared" si="5"/>
        <v>1784.5242307778237</v>
      </c>
      <c r="J16" s="10">
        <f t="shared" si="3"/>
        <v>18990509700.071396</v>
      </c>
      <c r="K16" s="11">
        <f t="shared" si="4"/>
        <v>2.3216758999999865E-2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10546960.267112695</v>
      </c>
      <c r="D17" s="11">
        <v>9.7599999999999996E-3</v>
      </c>
      <c r="E17" s="10">
        <f t="shared" si="2"/>
        <v>101943.36496496201</v>
      </c>
      <c r="F17" s="3"/>
      <c r="G17" s="26">
        <v>1.76</v>
      </c>
      <c r="H17" s="10"/>
      <c r="I17" s="10">
        <f t="shared" si="5"/>
        <v>1759.712287523739</v>
      </c>
      <c r="J17" s="10">
        <f t="shared" si="3"/>
        <v>18559615578.062866</v>
      </c>
      <c r="K17" s="11">
        <f t="shared" si="4"/>
        <v>2.7531776000000008E-2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10445016.902147733</v>
      </c>
      <c r="D18" s="11">
        <v>8.5000000000000006E-3</v>
      </c>
      <c r="E18" s="10">
        <f t="shared" si="2"/>
        <v>88034.35167898424</v>
      </c>
      <c r="F18" s="3"/>
      <c r="G18" s="26">
        <v>2.95</v>
      </c>
      <c r="H18" s="10"/>
      <c r="I18" s="10">
        <f t="shared" si="5"/>
        <v>1729.2770121105925</v>
      </c>
      <c r="J18" s="10">
        <f t="shared" si="3"/>
        <v>18062327619.990669</v>
      </c>
      <c r="K18" s="11">
        <f t="shared" si="4"/>
        <v>3.8250750000000222E-2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10356982.550468748</v>
      </c>
      <c r="D19" s="11">
        <v>1.0030000000000001E-2</v>
      </c>
      <c r="E19" s="10">
        <f t="shared" si="2"/>
        <v>102848.95991327055</v>
      </c>
      <c r="F19" s="3"/>
      <c r="G19" s="26">
        <v>2.6</v>
      </c>
      <c r="H19" s="10"/>
      <c r="I19" s="10">
        <f t="shared" si="5"/>
        <v>1679.7251210399149</v>
      </c>
      <c r="J19" s="10">
        <f t="shared" si="3"/>
        <v>17396883768.194405</v>
      </c>
      <c r="K19" s="11">
        <f t="shared" si="4"/>
        <v>3.6290779999999856E-2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10254133.590555478</v>
      </c>
      <c r="D20" s="11">
        <v>1.244E-2</v>
      </c>
      <c r="E20" s="10">
        <f t="shared" si="2"/>
        <v>125994.05581220612</v>
      </c>
      <c r="F20" s="3"/>
      <c r="G20" s="26">
        <v>3.1</v>
      </c>
      <c r="H20" s="10"/>
      <c r="I20" s="10">
        <f t="shared" si="5"/>
        <v>1637.1589873683381</v>
      </c>
      <c r="J20" s="10">
        <f t="shared" si="3"/>
        <v>16787646965.453466</v>
      </c>
      <c r="K20" s="11">
        <f t="shared" si="4"/>
        <v>4.3825639999999888E-2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10128139.534743272</v>
      </c>
      <c r="D21" s="11">
        <v>1.427E-2</v>
      </c>
      <c r="E21" s="10">
        <f t="shared" si="2"/>
        <v>142495.14543542266</v>
      </c>
      <c r="F21" s="3"/>
      <c r="G21" s="26">
        <v>3.84</v>
      </c>
      <c r="H21" s="10"/>
      <c r="I21" s="10">
        <f t="shared" si="5"/>
        <v>1587.9330624329177</v>
      </c>
      <c r="J21" s="10">
        <f t="shared" si="3"/>
        <v>16082807628.15279</v>
      </c>
      <c r="K21" s="11">
        <f t="shared" si="4"/>
        <v>5.3217968000000004E-2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9985644.3893078491</v>
      </c>
      <c r="D22" s="11">
        <v>1.4460000000000001E-2</v>
      </c>
      <c r="E22" s="10">
        <f t="shared" si="2"/>
        <v>142334.26440607943</v>
      </c>
      <c r="F22" s="3"/>
      <c r="G22" s="26">
        <v>4.83</v>
      </c>
      <c r="H22" s="10"/>
      <c r="I22" s="10">
        <f t="shared" si="5"/>
        <v>1529.2113467189115</v>
      </c>
      <c r="J22" s="10">
        <f t="shared" si="3"/>
        <v>15270160704.429598</v>
      </c>
      <c r="K22" s="11">
        <f t="shared" si="4"/>
        <v>6.3458417999999961E-2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9843310.1249017697</v>
      </c>
      <c r="D23" s="11">
        <v>1.435E-2</v>
      </c>
      <c r="E23" s="10">
        <f t="shared" si="2"/>
        <v>139253.21663364768</v>
      </c>
      <c r="F23" s="3"/>
      <c r="G23" s="26">
        <v>2.4</v>
      </c>
      <c r="H23" s="10"/>
      <c r="I23" s="10">
        <f t="shared" si="5"/>
        <v>1458.7535502422127</v>
      </c>
      <c r="J23" s="10">
        <f t="shared" si="3"/>
        <v>14358963590.835575</v>
      </c>
      <c r="K23" s="11">
        <f t="shared" si="4"/>
        <v>3.869440000000024E-2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9704056.908268122</v>
      </c>
      <c r="D24" s="11">
        <v>1.338E-2</v>
      </c>
      <c r="E24" s="10">
        <f t="shared" si="2"/>
        <v>128125.9561394807</v>
      </c>
      <c r="F24" s="3"/>
      <c r="G24" s="26">
        <v>3.11</v>
      </c>
      <c r="H24" s="10"/>
      <c r="I24" s="10">
        <f t="shared" si="5"/>
        <v>1424.5640139084107</v>
      </c>
      <c r="J24" s="10">
        <f t="shared" si="3"/>
        <v>13824050260.438078</v>
      </c>
      <c r="K24" s="11">
        <f t="shared" si="4"/>
        <v>4.4896117999999818E-2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9575930.9521286413</v>
      </c>
      <c r="D25" s="11">
        <v>1.2999999999999999E-2</v>
      </c>
      <c r="E25" s="10">
        <f t="shared" si="2"/>
        <v>122889.53837874718</v>
      </c>
      <c r="F25" s="3"/>
      <c r="G25" s="26">
        <v>3.23</v>
      </c>
      <c r="H25" s="10"/>
      <c r="I25" s="10">
        <f t="shared" si="5"/>
        <v>1381.5963668978866</v>
      </c>
      <c r="J25" s="10">
        <f t="shared" si="3"/>
        <v>13230071413.12595</v>
      </c>
      <c r="K25" s="11">
        <f t="shared" si="4"/>
        <v>4.5719899999999924E-2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9453041.4137498941</v>
      </c>
      <c r="D26" s="11">
        <v>1.1849999999999999E-2</v>
      </c>
      <c r="E26" s="10">
        <f t="shared" si="2"/>
        <v>110706.6667519249</v>
      </c>
      <c r="F26" s="3"/>
      <c r="G26" s="26">
        <v>8.76</v>
      </c>
      <c r="H26" s="10"/>
      <c r="I26" s="10">
        <f t="shared" si="5"/>
        <v>1338.3671092685136</v>
      </c>
      <c r="J26" s="10">
        <f t="shared" si="3"/>
        <v>12651639710.715988</v>
      </c>
      <c r="K26" s="11">
        <f t="shared" si="4"/>
        <v>0.10048805999999999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9342334.7469979692</v>
      </c>
      <c r="D27" s="11">
        <v>1.103E-2</v>
      </c>
      <c r="E27" s="10">
        <f t="shared" si="2"/>
        <v>101921.75529844686</v>
      </c>
      <c r="F27" s="3"/>
      <c r="G27" s="26">
        <v>-13.02</v>
      </c>
      <c r="H27" s="10"/>
      <c r="I27" s="10">
        <f t="shared" si="5"/>
        <v>1230.5692435348599</v>
      </c>
      <c r="J27" s="10">
        <f t="shared" si="3"/>
        <v>11496389802.462727</v>
      </c>
      <c r="K27" s="11">
        <f t="shared" si="4"/>
        <v>-0.12060610599999999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9240412.9916995224</v>
      </c>
      <c r="D28" s="11">
        <v>6.5900000000000004E-3</v>
      </c>
      <c r="E28" s="10">
        <f t="shared" si="2"/>
        <v>60495.65524722077</v>
      </c>
      <c r="F28" s="3"/>
      <c r="G28" s="26">
        <v>12.91</v>
      </c>
      <c r="H28" s="10"/>
      <c r="I28" s="10">
        <f t="shared" si="5"/>
        <v>1414.7726414518968</v>
      </c>
      <c r="J28" s="10">
        <f t="shared" si="3"/>
        <v>13073083496.373158</v>
      </c>
      <c r="K28" s="11">
        <f t="shared" si="4"/>
        <v>0.13654076900000001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9179917.3364523016</v>
      </c>
      <c r="D29" s="11">
        <v>1.7670000000000002E-2</v>
      </c>
      <c r="E29" s="10">
        <f t="shared" si="2"/>
        <v>159392.67084134556</v>
      </c>
      <c r="F29" s="3"/>
      <c r="G29" s="26">
        <v>6.57</v>
      </c>
      <c r="H29" s="10"/>
      <c r="I29" s="10">
        <f t="shared" si="5"/>
        <v>1253.0091590221386</v>
      </c>
      <c r="J29" s="10">
        <f t="shared" si="3"/>
        <v>11502520501.64085</v>
      </c>
      <c r="K29" s="11">
        <f t="shared" si="4"/>
        <v>8.4530919000000093E-2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9020524.665610956</v>
      </c>
      <c r="D30" s="11">
        <v>1.18E-2</v>
      </c>
      <c r="E30" s="10">
        <f t="shared" si="2"/>
        <v>105200.82136213593</v>
      </c>
      <c r="F30" s="3"/>
      <c r="G30" s="26">
        <v>14.61</v>
      </c>
      <c r="H30" s="10"/>
      <c r="I30" s="10">
        <f t="shared" si="5"/>
        <v>1175.76162055188</v>
      </c>
      <c r="J30" s="10">
        <f t="shared" si="3"/>
        <v>10605986699.066944</v>
      </c>
      <c r="K30" s="11">
        <f t="shared" si="4"/>
        <v>0.15962398000000011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8915323.8442488201</v>
      </c>
      <c r="D31" s="11">
        <v>1.3100000000000001E-2</v>
      </c>
      <c r="E31" s="10">
        <f t="shared" si="2"/>
        <v>115280.56693284027</v>
      </c>
      <c r="F31" s="3"/>
      <c r="G31" s="26">
        <v>12.26</v>
      </c>
      <c r="H31" s="10"/>
      <c r="I31" s="10">
        <f t="shared" si="5"/>
        <v>1025.880482114894</v>
      </c>
      <c r="J31" s="10">
        <f t="shared" si="3"/>
        <v>9146056723.5483894</v>
      </c>
      <c r="K31" s="11">
        <f t="shared" si="4"/>
        <v>0.13730606000000023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8800043.2773159798</v>
      </c>
      <c r="D32" s="11">
        <v>1.3650000000000001E-2</v>
      </c>
      <c r="E32" s="10">
        <f t="shared" si="2"/>
        <v>118503.02445159853</v>
      </c>
      <c r="F32" s="3"/>
      <c r="G32" s="26">
        <v>3.79</v>
      </c>
      <c r="H32" s="10"/>
      <c r="I32" s="10">
        <f t="shared" si="5"/>
        <v>913.84329424095313</v>
      </c>
      <c r="J32" s="10">
        <f t="shared" si="3"/>
        <v>8041860538.0053883</v>
      </c>
      <c r="K32" s="11">
        <f t="shared" si="4"/>
        <v>5.2067335000000048E-2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8681540.2528643813</v>
      </c>
      <c r="D33" s="11">
        <v>1.406E-2</v>
      </c>
      <c r="E33" s="10">
        <f t="shared" si="2"/>
        <v>120370.05300995335</v>
      </c>
      <c r="F33" s="3"/>
      <c r="G33" s="26">
        <v>6.16</v>
      </c>
      <c r="H33" s="10"/>
      <c r="I33" s="10">
        <f t="shared" si="5"/>
        <v>880.47335411981226</v>
      </c>
      <c r="J33" s="10">
        <f t="shared" si="3"/>
        <v>7643864865.3656645</v>
      </c>
      <c r="K33" s="11">
        <f t="shared" si="4"/>
        <v>7.6526096000000043E-2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8561170.1998544279</v>
      </c>
      <c r="D34" s="11">
        <v>1.721E-2</v>
      </c>
      <c r="E34" s="10">
        <f t="shared" si="2"/>
        <v>144844.95742225647</v>
      </c>
      <c r="F34" s="3"/>
      <c r="G34" s="26">
        <v>-0.1</v>
      </c>
      <c r="H34" s="10"/>
      <c r="I34" s="10">
        <f t="shared" si="5"/>
        <v>829.38334035400544</v>
      </c>
      <c r="J34" s="10">
        <f t="shared" ref="J34:J65" si="6">IF(I34="","",I34*C34)</f>
        <v>7100491937.6944342</v>
      </c>
      <c r="K34" s="11">
        <f t="shared" ref="K34:K65" si="7">IFERROR(J34/J35-1,"")</f>
        <v>2.9416519999999835E-2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8416325.2424321715</v>
      </c>
      <c r="D35" s="11">
        <v>1.6660000000000001E-2</v>
      </c>
      <c r="E35" s="10">
        <f t="shared" si="2"/>
        <v>137918.26032195613</v>
      </c>
      <c r="F35" s="3"/>
      <c r="G35" s="26">
        <v>-1.53</v>
      </c>
      <c r="H35" s="10"/>
      <c r="I35" s="10">
        <f t="shared" ref="I35:I66" si="8">IF(H35&lt;&gt;"",H35,I34/(1+IF(G34="",0,G34)/100))</f>
        <v>819.54875529051924</v>
      </c>
      <c r="J35" s="10">
        <f t="shared" si="6"/>
        <v>6897588876.5554638</v>
      </c>
      <c r="K35" s="11">
        <f t="shared" si="7"/>
        <v>2.8554921999999872E-2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8278406.9821102154</v>
      </c>
      <c r="D36" s="11">
        <v>1.6209999999999999E-2</v>
      </c>
      <c r="E36" s="10">
        <f t="shared" si="2"/>
        <v>132052.4076519683</v>
      </c>
      <c r="F36" s="3"/>
      <c r="G36" s="26">
        <v>9.84</v>
      </c>
      <c r="H36" s="10"/>
      <c r="I36" s="10">
        <f t="shared" si="8"/>
        <v>810.07092546260674</v>
      </c>
      <c r="J36" s="10">
        <f t="shared" si="6"/>
        <v>6706096805.3541279</v>
      </c>
      <c r="K36" s="11">
        <f t="shared" si="7"/>
        <v>0.16498314400000025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8146354.5744582471</v>
      </c>
      <c r="D37" s="11">
        <v>1.5640000000000001E-2</v>
      </c>
      <c r="E37" s="10">
        <f t="shared" si="2"/>
        <v>125446.99454976898</v>
      </c>
      <c r="F37" s="3"/>
      <c r="G37" s="26">
        <v>7.15</v>
      </c>
      <c r="H37" s="10"/>
      <c r="I37" s="10">
        <f t="shared" si="8"/>
        <v>706.62153302739591</v>
      </c>
      <c r="J37" s="10">
        <f t="shared" si="6"/>
        <v>5756389557.9884262</v>
      </c>
      <c r="K37" s="11">
        <f t="shared" si="7"/>
        <v>0.14208718000000031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8020907.5799084781</v>
      </c>
      <c r="D38" s="11">
        <v>1.566E-2</v>
      </c>
      <c r="E38" s="10">
        <f t="shared" si="2"/>
        <v>123670.72908391245</v>
      </c>
      <c r="F38" s="3"/>
      <c r="G38" s="26">
        <v>-0.59</v>
      </c>
      <c r="H38" s="10"/>
      <c r="I38" s="10">
        <f t="shared" si="8"/>
        <v>628.38731260773307</v>
      </c>
      <c r="J38" s="10">
        <f t="shared" si="6"/>
        <v>5040236558.8136845</v>
      </c>
      <c r="K38" s="11">
        <f t="shared" si="7"/>
        <v>4.7247025999999748E-2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7897236.8508245656</v>
      </c>
      <c r="D39" s="11">
        <v>2.095E-2</v>
      </c>
      <c r="E39" s="10">
        <f t="shared" si="2"/>
        <v>162052.12010850199</v>
      </c>
      <c r="F39" s="3"/>
      <c r="G39" s="26">
        <v>1.33</v>
      </c>
      <c r="H39" s="10"/>
      <c r="I39" s="10">
        <f t="shared" si="8"/>
        <v>609.43391776523436</v>
      </c>
      <c r="J39" s="10">
        <f t="shared" si="6"/>
        <v>4812843993.5179968</v>
      </c>
      <c r="K39" s="11">
        <f t="shared" si="7"/>
        <v>3.452863500000003E-2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7735184.7307160636</v>
      </c>
      <c r="D40" s="11">
        <v>2.486E-2</v>
      </c>
      <c r="E40" s="10">
        <f t="shared" si="2"/>
        <v>187632.15698300488</v>
      </c>
      <c r="F40" s="3"/>
      <c r="G40" s="26">
        <v>1.01</v>
      </c>
      <c r="H40" s="10"/>
      <c r="I40" s="10">
        <f t="shared" si="8"/>
        <v>601.43483446682558</v>
      </c>
      <c r="J40" s="10">
        <f t="shared" si="6"/>
        <v>4652209548.0885324</v>
      </c>
      <c r="K40" s="11">
        <f t="shared" si="7"/>
        <v>3.5211086000000114E-2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7547552.5737330588</v>
      </c>
      <c r="D41" s="11">
        <v>2.5139999999999999E-2</v>
      </c>
      <c r="E41" s="10">
        <f t="shared" si="2"/>
        <v>185092.25247639231</v>
      </c>
      <c r="F41" s="3"/>
      <c r="G41" s="26">
        <v>-2.12</v>
      </c>
      <c r="H41" s="10"/>
      <c r="I41" s="10">
        <f t="shared" si="8"/>
        <v>595.42108154323887</v>
      </c>
      <c r="J41" s="10">
        <f t="shared" si="6"/>
        <v>4493971916.4565935</v>
      </c>
      <c r="K41" s="11">
        <f t="shared" si="7"/>
        <v>3.407031999999921E-3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7362460.3212566664</v>
      </c>
      <c r="D42" s="11">
        <v>1.729E-2</v>
      </c>
      <c r="E42" s="10">
        <f t="shared" si="2"/>
        <v>125133.38276649546</v>
      </c>
      <c r="F42" s="3"/>
      <c r="G42" s="26">
        <v>13.91</v>
      </c>
      <c r="H42" s="10"/>
      <c r="I42" s="10">
        <f t="shared" si="8"/>
        <v>608.31741064899757</v>
      </c>
      <c r="J42" s="10">
        <f t="shared" si="6"/>
        <v>4478712798.6328421</v>
      </c>
      <c r="K42" s="11">
        <f t="shared" si="7"/>
        <v>0.15879503899999992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7237326.938490171</v>
      </c>
      <c r="D43" s="11">
        <v>1.7239999999999998E-2</v>
      </c>
      <c r="E43" s="10">
        <f t="shared" si="2"/>
        <v>122656.91126928758</v>
      </c>
      <c r="F43" s="3"/>
      <c r="G43" s="26">
        <v>5.74</v>
      </c>
      <c r="H43" s="10"/>
      <c r="I43" s="10">
        <f t="shared" si="8"/>
        <v>534.03336901852128</v>
      </c>
      <c r="J43" s="10">
        <f t="shared" si="6"/>
        <v>3864974087.6504064</v>
      </c>
      <c r="K43" s="11">
        <f t="shared" si="7"/>
        <v>7.5629575999999865E-2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7114670.0272208834</v>
      </c>
      <c r="D44" s="11">
        <v>1.738E-2</v>
      </c>
      <c r="E44" s="10">
        <f t="shared" si="2"/>
        <v>121540.58962540887</v>
      </c>
      <c r="F44" s="3"/>
      <c r="G44" s="26">
        <v>9.02</v>
      </c>
      <c r="H44" s="10"/>
      <c r="I44" s="10">
        <f t="shared" si="8"/>
        <v>505.04385191840487</v>
      </c>
      <c r="J44" s="10">
        <f t="shared" si="6"/>
        <v>3593220355.6760573</v>
      </c>
      <c r="K44" s="11">
        <f t="shared" si="7"/>
        <v>0.10914767600000008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6993129.4375954745</v>
      </c>
      <c r="D45" s="11">
        <v>1.788E-2</v>
      </c>
      <c r="E45" s="10">
        <f t="shared" si="2"/>
        <v>122840.76152808405</v>
      </c>
      <c r="F45" s="3"/>
      <c r="G45" s="26">
        <v>5.42</v>
      </c>
      <c r="H45" s="10"/>
      <c r="I45" s="10">
        <f t="shared" si="8"/>
        <v>463.25798194680317</v>
      </c>
      <c r="J45" s="10">
        <f t="shared" si="6"/>
        <v>3239623030.753262</v>
      </c>
      <c r="K45" s="11">
        <f t="shared" si="7"/>
        <v>7.3049095999999869E-2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6870288.6760673905</v>
      </c>
      <c r="D46" s="11">
        <v>1.866E-2</v>
      </c>
      <c r="E46" s="10">
        <f t="shared" si="2"/>
        <v>125851.20324290451</v>
      </c>
      <c r="F46" s="3"/>
      <c r="G46" s="26">
        <v>13.74</v>
      </c>
      <c r="H46" s="10"/>
      <c r="I46" s="10">
        <f t="shared" si="8"/>
        <v>439.4403167774646</v>
      </c>
      <c r="J46" s="10">
        <f t="shared" si="6"/>
        <v>3019081832.163682</v>
      </c>
      <c r="K46" s="11">
        <f t="shared" si="7"/>
        <v>0.15862388399999983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6744437.472824486</v>
      </c>
      <c r="D47" s="11">
        <v>1.9439999999999999E-2</v>
      </c>
      <c r="E47" s="10">
        <f t="shared" si="2"/>
        <v>128611.65391951241</v>
      </c>
      <c r="F47" s="3"/>
      <c r="G47" s="26">
        <v>4.9000000000000004</v>
      </c>
      <c r="H47" s="10"/>
      <c r="I47" s="10">
        <f t="shared" si="8"/>
        <v>386.35512289209129</v>
      </c>
      <c r="J47" s="10">
        <f t="shared" si="6"/>
        <v>2605747968.6511297</v>
      </c>
      <c r="K47" s="11">
        <f t="shared" si="7"/>
        <v>6.9392559999999825E-2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6615825.8189049736</v>
      </c>
      <c r="D48" s="11">
        <v>2.034E-2</v>
      </c>
      <c r="E48" s="10">
        <f t="shared" si="2"/>
        <v>131883.38902378362</v>
      </c>
      <c r="F48" s="3"/>
      <c r="G48" s="26">
        <v>7.5</v>
      </c>
      <c r="H48" s="10"/>
      <c r="I48" s="10">
        <f t="shared" si="8"/>
        <v>368.30802944908612</v>
      </c>
      <c r="J48" s="10">
        <f t="shared" si="6"/>
        <v>2436661770.5392771</v>
      </c>
      <c r="K48" s="11">
        <f t="shared" si="7"/>
        <v>9.6865499999999827E-2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6483942.4298811899</v>
      </c>
      <c r="D49" s="11">
        <v>2.155E-2</v>
      </c>
      <c r="E49" s="10">
        <f t="shared" si="2"/>
        <v>136781.32187747955</v>
      </c>
      <c r="F49" s="3"/>
      <c r="G49" s="26">
        <v>7.7</v>
      </c>
      <c r="H49" s="10"/>
      <c r="I49" s="10">
        <f t="shared" si="8"/>
        <v>342.61212041775457</v>
      </c>
      <c r="J49" s="10">
        <f t="shared" si="6"/>
        <v>2221477264.5682425</v>
      </c>
      <c r="K49" s="11">
        <f t="shared" si="7"/>
        <v>0.10020934999999986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6347161.1080037104</v>
      </c>
      <c r="D50" s="11">
        <v>2.283E-2</v>
      </c>
      <c r="E50" s="10">
        <f t="shared" si="2"/>
        <v>141671.33159540128</v>
      </c>
      <c r="F50" s="3"/>
      <c r="G50" s="26">
        <v>5.9</v>
      </c>
      <c r="H50" s="10"/>
      <c r="I50" s="10">
        <f t="shared" si="8"/>
        <v>318.11710345195411</v>
      </c>
      <c r="J50" s="10">
        <f t="shared" si="6"/>
        <v>2019140506.8210361</v>
      </c>
      <c r="K50" s="11">
        <f t="shared" si="7"/>
        <v>8.3176969999999795E-2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6205489.7764083091</v>
      </c>
      <c r="D51" s="11">
        <v>2.5190000000000001E-2</v>
      </c>
      <c r="E51" s="10">
        <f t="shared" si="2"/>
        <v>152475.43135196902</v>
      </c>
      <c r="F51" s="3"/>
      <c r="G51" s="26">
        <v>5.2</v>
      </c>
      <c r="H51" s="10"/>
      <c r="I51" s="10">
        <f t="shared" si="8"/>
        <v>300.39386539372441</v>
      </c>
      <c r="J51" s="10">
        <f t="shared" si="6"/>
        <v>1864091060.5965307</v>
      </c>
      <c r="K51" s="11">
        <f t="shared" si="7"/>
        <v>7.8499880000000077E-2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6053014.3450563401</v>
      </c>
      <c r="D52" s="11">
        <v>2.6669999999999999E-2</v>
      </c>
      <c r="E52" s="10">
        <f t="shared" si="2"/>
        <v>157240.29394318722</v>
      </c>
      <c r="F52" s="3"/>
      <c r="G52" s="26">
        <v>6</v>
      </c>
      <c r="H52" s="10"/>
      <c r="I52" s="10">
        <f t="shared" si="8"/>
        <v>285.54549942369238</v>
      </c>
      <c r="J52" s="10">
        <f t="shared" si="6"/>
        <v>1728411004.177887</v>
      </c>
      <c r="K52" s="11">
        <f t="shared" si="7"/>
        <v>8.8270200000000187E-2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5895774.0511131529</v>
      </c>
      <c r="D53" s="11">
        <v>2.8830000000000001E-2</v>
      </c>
      <c r="E53" s="10">
        <f t="shared" si="2"/>
        <v>165212.10102115199</v>
      </c>
      <c r="F53" s="3"/>
      <c r="G53" s="26">
        <v>6.2</v>
      </c>
      <c r="H53" s="10"/>
      <c r="I53" s="10">
        <f t="shared" si="8"/>
        <v>269.38254662612485</v>
      </c>
      <c r="J53" s="10">
        <f t="shared" si="6"/>
        <v>1588218628.2210858</v>
      </c>
      <c r="K53" s="11">
        <f t="shared" si="7"/>
        <v>9.2617459999999818E-2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5730561.9500920009</v>
      </c>
      <c r="D54" s="11">
        <v>3.0509999999999999E-2</v>
      </c>
      <c r="E54" s="10">
        <f t="shared" si="2"/>
        <v>169663.02616889402</v>
      </c>
      <c r="F54" s="3"/>
      <c r="G54" s="26">
        <v>5.4</v>
      </c>
      <c r="H54" s="10"/>
      <c r="I54" s="10">
        <f t="shared" si="8"/>
        <v>253.65588194550361</v>
      </c>
      <c r="J54" s="10">
        <f t="shared" si="6"/>
        <v>1453590745.4939315</v>
      </c>
      <c r="K54" s="11">
        <f t="shared" si="7"/>
        <v>8.6157540000000088E-2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5560898.9239231069</v>
      </c>
      <c r="D55" s="11">
        <v>3.1109999999999999E-2</v>
      </c>
      <c r="E55" s="10">
        <f t="shared" si="2"/>
        <v>167779.93184359372</v>
      </c>
      <c r="F55" s="3"/>
      <c r="G55" s="26">
        <v>5.3</v>
      </c>
      <c r="H55" s="10"/>
      <c r="I55" s="10">
        <f t="shared" si="8"/>
        <v>240.66022954981366</v>
      </c>
      <c r="J55" s="10">
        <f t="shared" si="6"/>
        <v>1338287211.5346467</v>
      </c>
      <c r="K55" s="11">
        <f t="shared" si="7"/>
        <v>8.5758830000000064E-2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5393118.9920795131</v>
      </c>
      <c r="D56" s="11">
        <v>3.1390000000000001E-2</v>
      </c>
      <c r="E56" s="10">
        <f t="shared" si="2"/>
        <v>164137.72206573281</v>
      </c>
      <c r="F56" s="3"/>
      <c r="G56" s="29">
        <v>0.8</v>
      </c>
      <c r="H56" s="10"/>
      <c r="I56" s="10">
        <f t="shared" si="8"/>
        <v>228.54722654303293</v>
      </c>
      <c r="J56" s="10">
        <f t="shared" si="6"/>
        <v>1232582388.05633</v>
      </c>
      <c r="K56" s="11">
        <f t="shared" si="7"/>
        <v>3.9641120000000196E-2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5228981.2700137803</v>
      </c>
      <c r="D57" s="11">
        <v>3.1029999999999999E-2</v>
      </c>
      <c r="E57" s="10">
        <f t="shared" si="2"/>
        <v>157372.03457564488</v>
      </c>
      <c r="F57" s="3"/>
      <c r="G57" s="26">
        <v>13.7</v>
      </c>
      <c r="H57" s="10"/>
      <c r="I57" s="10">
        <f t="shared" si="8"/>
        <v>226.73335966570727</v>
      </c>
      <c r="J57" s="10">
        <f t="shared" si="6"/>
        <v>1185584490.9792812</v>
      </c>
      <c r="K57" s="11">
        <f t="shared" si="7"/>
        <v>0.1722811099999999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5071609.2354381355</v>
      </c>
      <c r="D58" s="11">
        <v>3.0079999999999999E-2</v>
      </c>
      <c r="E58" s="10">
        <f t="shared" si="2"/>
        <v>148099.18239552248</v>
      </c>
      <c r="F58" s="3"/>
      <c r="G58" s="26">
        <v>5.79</v>
      </c>
      <c r="H58" s="10"/>
      <c r="I58" s="10">
        <f t="shared" si="8"/>
        <v>199.41368484231069</v>
      </c>
      <c r="J58" s="10">
        <f t="shared" si="6"/>
        <v>1011348285.7190126</v>
      </c>
      <c r="K58" s="11">
        <f t="shared" si="7"/>
        <v>8.9721632000000273E-2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4923510.053042613</v>
      </c>
      <c r="D59" s="11">
        <v>2.8809999999999999E-2</v>
      </c>
      <c r="E59" s="10">
        <f t="shared" si="2"/>
        <v>137874.16979632527</v>
      </c>
      <c r="F59" s="3"/>
      <c r="G59" s="26">
        <v>2.78</v>
      </c>
      <c r="H59" s="10"/>
      <c r="I59" s="10">
        <f t="shared" si="8"/>
        <v>188.49956030088919</v>
      </c>
      <c r="J59" s="10">
        <f t="shared" si="6"/>
        <v>928079480.13554013</v>
      </c>
      <c r="K59" s="11">
        <f t="shared" si="7"/>
        <v>5.74109180000002E-2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4785635.8832462877</v>
      </c>
      <c r="D60" s="11">
        <v>2.7310000000000001E-2</v>
      </c>
      <c r="E60" s="10">
        <f t="shared" si="2"/>
        <v>127221.30220815167</v>
      </c>
      <c r="F60" s="3"/>
      <c r="G60" s="26">
        <v>3.83</v>
      </c>
      <c r="H60" s="10"/>
      <c r="I60" s="10">
        <f t="shared" si="8"/>
        <v>183.40101216276432</v>
      </c>
      <c r="J60" s="10">
        <f t="shared" si="6"/>
        <v>877690464.82981372</v>
      </c>
      <c r="K60" s="11">
        <f t="shared" si="7"/>
        <v>6.6655973000000035E-2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4658414.581038136</v>
      </c>
      <c r="D61" s="11">
        <v>2.5729999999999999E-2</v>
      </c>
      <c r="E61" s="10">
        <f t="shared" si="2"/>
        <v>116854.34487644024</v>
      </c>
      <c r="F61" s="3"/>
      <c r="G61" s="26">
        <v>3.97</v>
      </c>
      <c r="H61" s="10"/>
      <c r="I61" s="10">
        <f t="shared" si="8"/>
        <v>176.63585877180421</v>
      </c>
      <c r="J61" s="10">
        <f t="shared" si="6"/>
        <v>822843060.03676569</v>
      </c>
      <c r="K61" s="11">
        <f t="shared" si="7"/>
        <v>6.645148100000009E-2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4541560.2361616958</v>
      </c>
      <c r="D62" s="11">
        <v>2.4029999999999999E-2</v>
      </c>
      <c r="E62" s="10">
        <f t="shared" si="2"/>
        <v>106572.74930906855</v>
      </c>
      <c r="F62" s="3"/>
      <c r="G62" s="26">
        <v>3.18</v>
      </c>
      <c r="H62" s="10"/>
      <c r="I62" s="10">
        <f t="shared" si="8"/>
        <v>169.8911789668214</v>
      </c>
      <c r="J62" s="10">
        <f t="shared" si="6"/>
        <v>771571022.87034631</v>
      </c>
      <c r="K62" s="11">
        <f t="shared" si="7"/>
        <v>5.6594153999999897E-2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4434987.4868526272</v>
      </c>
      <c r="D63" s="11">
        <v>2.231E-2</v>
      </c>
      <c r="E63" s="10">
        <f t="shared" si="2"/>
        <v>96785.290989701636</v>
      </c>
      <c r="F63" s="3"/>
      <c r="G63" s="26">
        <v>5.58</v>
      </c>
      <c r="H63" s="10"/>
      <c r="I63" s="10">
        <f t="shared" si="8"/>
        <v>164.65514534485501</v>
      </c>
      <c r="J63" s="10">
        <f t="shared" si="6"/>
        <v>730243509.25033259</v>
      </c>
      <c r="K63" s="11">
        <f t="shared" si="7"/>
        <v>7.9354898000000063E-2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4338202.1958629256</v>
      </c>
      <c r="D64" s="11">
        <v>2.0740000000000001E-2</v>
      </c>
      <c r="E64" s="10">
        <f t="shared" si="2"/>
        <v>88146.162139425054</v>
      </c>
      <c r="F64" s="3"/>
      <c r="G64" s="26">
        <v>3.97</v>
      </c>
      <c r="H64" s="10"/>
      <c r="I64" s="10">
        <f t="shared" si="8"/>
        <v>155.95296963899887</v>
      </c>
      <c r="J64" s="10">
        <f t="shared" si="6"/>
        <v>676555515.33924901</v>
      </c>
      <c r="K64" s="11">
        <f t="shared" si="7"/>
        <v>6.1263377999999813E-2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4250056.0337235006</v>
      </c>
      <c r="D65" s="11">
        <v>1.925E-2</v>
      </c>
      <c r="E65" s="10">
        <f t="shared" si="2"/>
        <v>80268.411723500118</v>
      </c>
      <c r="F65" s="3"/>
      <c r="G65" s="26">
        <v>3.13</v>
      </c>
      <c r="H65" s="10"/>
      <c r="I65" s="10">
        <f t="shared" si="8"/>
        <v>149.99804716648924</v>
      </c>
      <c r="J65" s="10">
        <f t="shared" si="6"/>
        <v>637500105.40667987</v>
      </c>
      <c r="K65" s="11">
        <f t="shared" si="7"/>
        <v>5.1152525000000226E-2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4169787.6220000004</v>
      </c>
      <c r="D66" s="11">
        <v>1.7940000000000001E-2</v>
      </c>
      <c r="E66" s="10">
        <f t="shared" si="2"/>
        <v>73487.62200000044</v>
      </c>
      <c r="F66" s="23">
        <f>SUM(F2)</f>
        <v>12584520</v>
      </c>
      <c r="G66" s="26">
        <v>5.49</v>
      </c>
      <c r="H66" s="10"/>
      <c r="I66" s="10">
        <f t="shared" si="8"/>
        <v>145.44559988993427</v>
      </c>
      <c r="J66" s="10">
        <f t="shared" ref="J66:J67" si="9">IF(I66="","",I66*C66)</f>
        <v>606477262.09541261</v>
      </c>
      <c r="K66" s="11">
        <f t="shared" ref="K66" si="10">IFERROR(J66/J67-1,"")</f>
        <v>7.3824906000000245E-2</v>
      </c>
    </row>
    <row r="67" spans="1:11" ht="22.5" customHeight="1">
      <c r="A67" s="3">
        <f t="shared" si="0"/>
        <v>1950</v>
      </c>
      <c r="B67" s="3">
        <v>1700</v>
      </c>
      <c r="C67" s="10">
        <v>4096300</v>
      </c>
      <c r="D67" s="11">
        <v>1.6979999999999999E-2</v>
      </c>
      <c r="E67" s="3" t="s">
        <v>72</v>
      </c>
      <c r="F67" s="10">
        <f>SUM(C2)</f>
        <v>12584591.775440041</v>
      </c>
      <c r="G67" s="26">
        <v>5.58</v>
      </c>
      <c r="H67" s="10"/>
      <c r="I67" s="10">
        <f t="shared" ref="I67" si="11">IF(H67&lt;&gt;"",H67,I66/(1+IF(G66="",0,G66)/100))</f>
        <v>137.87619669156723</v>
      </c>
      <c r="J67" s="10">
        <f t="shared" si="9"/>
        <v>564782264.50766683</v>
      </c>
      <c r="K67" s="11"/>
    </row>
  </sheetData>
  <dataValidations count="1">
    <dataValidation type="custom" allowBlank="1" showDropDown="1" sqref="D2:D67" xr:uid="{00000000-0002-0000-4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M67"/>
  <sheetViews>
    <sheetView workbookViewId="0">
      <selection activeCell="K8" sqref="K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4348249.0110484492</v>
      </c>
      <c r="D2" s="11">
        <v>2.1649999999999999E-2</v>
      </c>
      <c r="E2" s="10">
        <f t="shared" ref="E2:E66" si="2">SUM(C2-C3)</f>
        <v>92144.659217147157</v>
      </c>
      <c r="F2" s="14">
        <v>4348275</v>
      </c>
      <c r="G2" s="29">
        <v>2.38</v>
      </c>
      <c r="H2" s="10"/>
      <c r="I2" s="10">
        <f>IF(H2&lt;&gt;"",H2,58728)</f>
        <v>7341</v>
      </c>
      <c r="J2" s="10">
        <f t="shared" ref="J2:J33" si="3">IF(I2="","",I2*C2)</f>
        <v>31920495990.106667</v>
      </c>
      <c r="K2" s="11">
        <f t="shared" ref="K2:K33" si="4">IFERROR(J2/J3-1,"")</f>
        <v>4.5965269999999947E-2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4256104.351831302</v>
      </c>
      <c r="D3" s="11">
        <v>2.147E-2</v>
      </c>
      <c r="E3" s="10">
        <f t="shared" si="2"/>
        <v>89457.899335094262</v>
      </c>
      <c r="F3" s="3"/>
      <c r="G3" s="29">
        <v>7.89</v>
      </c>
      <c r="H3" s="10"/>
      <c r="I3" s="10">
        <f t="shared" ref="I3:I34" si="5">IF(H3&lt;&gt;"",H3,I2/(1+IF(G2="",0,G2)/100))</f>
        <v>7170.3457706583313</v>
      </c>
      <c r="J3" s="10">
        <f t="shared" si="3"/>
        <v>30517739838.634094</v>
      </c>
      <c r="K3" s="11">
        <f t="shared" si="4"/>
        <v>0.10206398300000008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4166646.4524962078</v>
      </c>
      <c r="D4" s="11">
        <v>2.0959999999999999E-2</v>
      </c>
      <c r="E4" s="10">
        <f t="shared" si="2"/>
        <v>85539.991424072534</v>
      </c>
      <c r="F4" s="3"/>
      <c r="G4" s="29">
        <v>11.65</v>
      </c>
      <c r="H4" s="10"/>
      <c r="I4" s="10">
        <f t="shared" si="5"/>
        <v>6645.9780986730293</v>
      </c>
      <c r="J4" s="10">
        <f t="shared" si="3"/>
        <v>27691441068.203468</v>
      </c>
      <c r="K4" s="11">
        <f t="shared" si="4"/>
        <v>0.13990184000000006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4081106.4610721353</v>
      </c>
      <c r="D5" s="11">
        <v>1.899E-2</v>
      </c>
      <c r="E5" s="10">
        <f t="shared" si="2"/>
        <v>76055.909965515137</v>
      </c>
      <c r="F5" s="3"/>
      <c r="G5" s="29">
        <v>12.32</v>
      </c>
      <c r="H5" s="10"/>
      <c r="I5" s="10">
        <f t="shared" si="5"/>
        <v>5952.5106123358973</v>
      </c>
      <c r="J5" s="10">
        <f t="shared" si="3"/>
        <v>24292829519.604485</v>
      </c>
      <c r="K5" s="11">
        <f t="shared" si="4"/>
        <v>0.14452956800000027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4005050.5511066201</v>
      </c>
      <c r="D6" s="11">
        <v>1.7299999999999999E-2</v>
      </c>
      <c r="E6" s="10">
        <f t="shared" si="2"/>
        <v>68109.087323449086</v>
      </c>
      <c r="F6" s="3"/>
      <c r="G6" s="29">
        <v>17.29</v>
      </c>
      <c r="H6" s="10"/>
      <c r="I6" s="10">
        <f t="shared" si="5"/>
        <v>5299.5999041452078</v>
      </c>
      <c r="J6" s="10">
        <f t="shared" si="3"/>
        <v>21225165516.741356</v>
      </c>
      <c r="K6" s="11">
        <f t="shared" si="4"/>
        <v>0.19319117000000019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3936941.463783171</v>
      </c>
      <c r="D7" s="11">
        <v>1.4590000000000001E-2</v>
      </c>
      <c r="E7" s="10">
        <f t="shared" si="2"/>
        <v>56613.978017324116</v>
      </c>
      <c r="F7" s="3"/>
      <c r="G7" s="29">
        <v>6.37</v>
      </c>
      <c r="H7" s="10"/>
      <c r="I7" s="10">
        <f t="shared" si="5"/>
        <v>4518.3731811281505</v>
      </c>
      <c r="J7" s="10">
        <f t="shared" si="3"/>
        <v>17788570725.629284</v>
      </c>
      <c r="K7" s="11">
        <f t="shared" si="4"/>
        <v>7.921938300000031E-2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3880327.4857658469</v>
      </c>
      <c r="D8" s="11">
        <v>1.2529999999999999E-2</v>
      </c>
      <c r="E8" s="10">
        <f t="shared" si="2"/>
        <v>48018.827488218434</v>
      </c>
      <c r="F8" s="3"/>
      <c r="G8" s="29">
        <v>-1.27</v>
      </c>
      <c r="H8" s="10"/>
      <c r="I8" s="10">
        <f t="shared" si="5"/>
        <v>4247.7890205209642</v>
      </c>
      <c r="J8" s="10">
        <f t="shared" si="3"/>
        <v>16482812490.061882</v>
      </c>
      <c r="K8" s="11">
        <f t="shared" si="4"/>
        <v>-3.2913100000020457E-4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3832308.6582776285</v>
      </c>
      <c r="D9" s="11">
        <v>1.078E-2</v>
      </c>
      <c r="E9" s="10">
        <f t="shared" si="2"/>
        <v>40871.690512508154</v>
      </c>
      <c r="F9" s="3"/>
      <c r="G9" s="29">
        <v>8.9</v>
      </c>
      <c r="H9" s="10"/>
      <c r="I9" s="10">
        <f t="shared" si="5"/>
        <v>4302.4298799969256</v>
      </c>
      <c r="J9" s="10">
        <f t="shared" si="3"/>
        <v>16488239280.744596</v>
      </c>
      <c r="K9" s="11">
        <f t="shared" si="4"/>
        <v>0.10073942000000002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3791436.9677651203</v>
      </c>
      <c r="D10" s="11">
        <v>9.4000000000000004E-3</v>
      </c>
      <c r="E10" s="10">
        <f t="shared" si="2"/>
        <v>35307.615907462314</v>
      </c>
      <c r="F10" s="3"/>
      <c r="G10" s="29">
        <v>10.25</v>
      </c>
      <c r="H10" s="10"/>
      <c r="I10" s="10">
        <f t="shared" si="5"/>
        <v>3950.8079706124204</v>
      </c>
      <c r="J10" s="10">
        <f t="shared" si="3"/>
        <v>14979239392.321024</v>
      </c>
      <c r="K10" s="11">
        <f t="shared" si="4"/>
        <v>0.11286350000000001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3756129.351857658</v>
      </c>
      <c r="D11" s="11">
        <v>8.4799999999999997E-3</v>
      </c>
      <c r="E11" s="10">
        <f t="shared" si="2"/>
        <v>31584.143367992714</v>
      </c>
      <c r="F11" s="3"/>
      <c r="G11" s="29">
        <v>8.56</v>
      </c>
      <c r="H11" s="10"/>
      <c r="I11" s="10">
        <f t="shared" si="5"/>
        <v>3583.4992930724902</v>
      </c>
      <c r="J11" s="10">
        <f t="shared" si="3"/>
        <v>13460086877.070749</v>
      </c>
      <c r="K11" s="11">
        <f t="shared" si="4"/>
        <v>9.4805888000000227E-2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3724545.2084896653</v>
      </c>
      <c r="D12" s="11">
        <v>8.0700000000000008E-3</v>
      </c>
      <c r="E12" s="10">
        <f t="shared" si="2"/>
        <v>29816.460992303677</v>
      </c>
      <c r="F12" s="3"/>
      <c r="G12" s="29">
        <v>7.25</v>
      </c>
      <c r="H12" s="10"/>
      <c r="I12" s="10">
        <f t="shared" si="5"/>
        <v>3300.9389214005992</v>
      </c>
      <c r="J12" s="10">
        <f t="shared" si="3"/>
        <v>12294496243.219645</v>
      </c>
      <c r="K12" s="11">
        <f t="shared" si="4"/>
        <v>8.1155075000000076E-2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3694728.7474973616</v>
      </c>
      <c r="D13" s="11">
        <v>8.1200000000000005E-3</v>
      </c>
      <c r="E13" s="10">
        <f t="shared" si="2"/>
        <v>29759.549884615</v>
      </c>
      <c r="F13" s="3"/>
      <c r="G13" s="29">
        <v>10.63</v>
      </c>
      <c r="H13" s="10"/>
      <c r="I13" s="10">
        <f t="shared" si="5"/>
        <v>3077.7985281124465</v>
      </c>
      <c r="J13" s="10">
        <f t="shared" si="3"/>
        <v>11371630700.822123</v>
      </c>
      <c r="K13" s="11">
        <f t="shared" si="4"/>
        <v>0.11528315599999983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3664969.1976127466</v>
      </c>
      <c r="D14" s="11">
        <v>8.4499999999999992E-3</v>
      </c>
      <c r="E14" s="10">
        <f t="shared" si="2"/>
        <v>30709.494491375983</v>
      </c>
      <c r="F14" s="3"/>
      <c r="G14" s="29">
        <v>7</v>
      </c>
      <c r="H14" s="10"/>
      <c r="I14" s="10">
        <f t="shared" si="5"/>
        <v>2782.06501682405</v>
      </c>
      <c r="J14" s="10">
        <f t="shared" si="3"/>
        <v>10196182592.41613</v>
      </c>
      <c r="K14" s="11">
        <f t="shared" si="4"/>
        <v>7.9041500000000209E-2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3634259.7031213706</v>
      </c>
      <c r="D15" s="11">
        <v>8.8599999999999998E-3</v>
      </c>
      <c r="E15" s="10">
        <f t="shared" si="2"/>
        <v>31916.758489439264</v>
      </c>
      <c r="F15" s="3"/>
      <c r="G15" s="29">
        <v>4.7300000000000004</v>
      </c>
      <c r="H15" s="10"/>
      <c r="I15" s="10">
        <f t="shared" si="5"/>
        <v>2600.0607633869622</v>
      </c>
      <c r="J15" s="10">
        <f t="shared" si="3"/>
        <v>9449296058.0442257</v>
      </c>
      <c r="K15" s="11">
        <f t="shared" si="4"/>
        <v>5.6579077999999949E-2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3602342.9446319314</v>
      </c>
      <c r="D16" s="11">
        <v>9.1199999999999996E-3</v>
      </c>
      <c r="E16" s="10">
        <f t="shared" si="2"/>
        <v>32556.452805457637</v>
      </c>
      <c r="F16" s="3"/>
      <c r="G16" s="29">
        <v>2.95</v>
      </c>
      <c r="H16" s="10"/>
      <c r="I16" s="10">
        <f t="shared" si="5"/>
        <v>2482.6322576023704</v>
      </c>
      <c r="J16" s="10">
        <f t="shared" si="3"/>
        <v>8943292797.2895432</v>
      </c>
      <c r="K16" s="11">
        <f t="shared" si="4"/>
        <v>3.8889040000000152E-2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3569786.4918264737</v>
      </c>
      <c r="D17" s="11">
        <v>9.1400000000000006E-3</v>
      </c>
      <c r="E17" s="10">
        <f t="shared" si="2"/>
        <v>32332.33102968242</v>
      </c>
      <c r="F17" s="3"/>
      <c r="G17" s="29">
        <v>1.1499999999999999</v>
      </c>
      <c r="H17" s="10"/>
      <c r="I17" s="10">
        <f t="shared" si="5"/>
        <v>2411.493207967334</v>
      </c>
      <c r="J17" s="10">
        <f t="shared" si="3"/>
        <v>8608515878.9330788</v>
      </c>
      <c r="K17" s="11">
        <f t="shared" si="4"/>
        <v>2.0745110000000011E-2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3537454.1607967913</v>
      </c>
      <c r="D18" s="11">
        <v>8.1600000000000006E-3</v>
      </c>
      <c r="E18" s="10">
        <f t="shared" si="2"/>
        <v>28631.988922493998</v>
      </c>
      <c r="F18" s="3"/>
      <c r="G18" s="29">
        <v>3.07</v>
      </c>
      <c r="H18" s="10"/>
      <c r="I18" s="10">
        <f t="shared" si="5"/>
        <v>2384.0763301703746</v>
      </c>
      <c r="J18" s="10">
        <f t="shared" si="3"/>
        <v>8433560733.8183365</v>
      </c>
      <c r="K18" s="11">
        <f t="shared" si="4"/>
        <v>3.9110511999999931E-2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3508822.1718742973</v>
      </c>
      <c r="D19" s="11">
        <v>9.3900000000000008E-3</v>
      </c>
      <c r="E19" s="10">
        <f t="shared" si="2"/>
        <v>32641.338029799983</v>
      </c>
      <c r="F19" s="3"/>
      <c r="G19" s="29">
        <v>3.34</v>
      </c>
      <c r="H19" s="10"/>
      <c r="I19" s="10">
        <f t="shared" si="5"/>
        <v>2313.0652276805808</v>
      </c>
      <c r="J19" s="10">
        <f t="shared" si="3"/>
        <v>8116134555.8770914</v>
      </c>
      <c r="K19" s="11">
        <f t="shared" si="4"/>
        <v>4.310362599999995E-2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3476180.8338444973</v>
      </c>
      <c r="D20" s="11">
        <v>1.0319999999999999E-2</v>
      </c>
      <c r="E20" s="10">
        <f t="shared" si="2"/>
        <v>35507.746263832785</v>
      </c>
      <c r="F20" s="3"/>
      <c r="G20" s="29">
        <v>3.9</v>
      </c>
      <c r="H20" s="10"/>
      <c r="I20" s="10">
        <f t="shared" si="5"/>
        <v>2238.3058135093679</v>
      </c>
      <c r="J20" s="10">
        <f t="shared" si="3"/>
        <v>7780755769.2039804</v>
      </c>
      <c r="K20" s="11">
        <f t="shared" si="4"/>
        <v>4.9722480000000013E-2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3440673.0875806645</v>
      </c>
      <c r="D21" s="11">
        <v>1.128E-2</v>
      </c>
      <c r="E21" s="10">
        <f t="shared" si="2"/>
        <v>38377.889830620494</v>
      </c>
      <c r="F21" s="3"/>
      <c r="G21" s="29">
        <v>2.2400000000000002</v>
      </c>
      <c r="H21" s="10"/>
      <c r="I21" s="10">
        <f t="shared" si="5"/>
        <v>2154.2885596817787</v>
      </c>
      <c r="J21" s="10">
        <f t="shared" si="3"/>
        <v>7412202670.1800079</v>
      </c>
      <c r="K21" s="11">
        <f t="shared" si="4"/>
        <v>3.3932671999999942E-2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3402295.1977500441</v>
      </c>
      <c r="D22" s="11">
        <v>1.234E-2</v>
      </c>
      <c r="E22" s="10">
        <f t="shared" si="2"/>
        <v>41472.551455277484</v>
      </c>
      <c r="F22" s="3"/>
      <c r="G22" s="29">
        <v>6.38</v>
      </c>
      <c r="H22" s="10"/>
      <c r="I22" s="10">
        <f t="shared" si="5"/>
        <v>2107.0897492975146</v>
      </c>
      <c r="J22" s="10">
        <f t="shared" si="3"/>
        <v>7168941335.263278</v>
      </c>
      <c r="K22" s="11">
        <f t="shared" si="4"/>
        <v>7.6927292000000147E-2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3360822.6462947666</v>
      </c>
      <c r="D23" s="11">
        <v>1.349E-2</v>
      </c>
      <c r="E23" s="10">
        <f t="shared" si="2"/>
        <v>44734.035361489747</v>
      </c>
      <c r="F23" s="3"/>
      <c r="G23" s="29">
        <v>2.13</v>
      </c>
      <c r="H23" s="10"/>
      <c r="I23" s="10">
        <f t="shared" si="5"/>
        <v>1980.7198244947494</v>
      </c>
      <c r="J23" s="10">
        <f t="shared" si="3"/>
        <v>6656848042.1269493</v>
      </c>
      <c r="K23" s="11">
        <f t="shared" si="4"/>
        <v>3.5077336999999931E-2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3316088.6109332768</v>
      </c>
      <c r="D24" s="11">
        <v>1.4670000000000001E-2</v>
      </c>
      <c r="E24" s="10">
        <f t="shared" si="2"/>
        <v>47943.686048065778</v>
      </c>
      <c r="F24" s="3"/>
      <c r="G24" s="29">
        <v>-3.17</v>
      </c>
      <c r="H24" s="10"/>
      <c r="I24" s="10">
        <f t="shared" si="5"/>
        <v>1939.4103833298241</v>
      </c>
      <c r="J24" s="10">
        <f t="shared" si="3"/>
        <v>6431256684.0857706</v>
      </c>
      <c r="K24" s="11">
        <f t="shared" si="4"/>
        <v>-1.7495038999999823E-2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3268144.924885211</v>
      </c>
      <c r="D25" s="11">
        <v>1.5820000000000001E-2</v>
      </c>
      <c r="E25" s="10">
        <f t="shared" si="2"/>
        <v>50896.864318170585</v>
      </c>
      <c r="F25" s="3"/>
      <c r="G25" s="29">
        <v>-9.26</v>
      </c>
      <c r="H25" s="10"/>
      <c r="I25" s="10">
        <f t="shared" si="5"/>
        <v>2002.9023890631249</v>
      </c>
      <c r="J25" s="10">
        <f t="shared" si="3"/>
        <v>6545775277.8571157</v>
      </c>
      <c r="K25" s="11">
        <f t="shared" si="4"/>
        <v>-7.8244932000000156E-2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3217248.0605670405</v>
      </c>
      <c r="D26" s="11">
        <v>1.6920000000000001E-2</v>
      </c>
      <c r="E26" s="10">
        <f t="shared" si="2"/>
        <v>53530.107761470601</v>
      </c>
      <c r="F26" s="3"/>
      <c r="G26" s="29">
        <v>-8.69</v>
      </c>
      <c r="H26" s="10"/>
      <c r="I26" s="10">
        <f t="shared" si="5"/>
        <v>2207.2982026263226</v>
      </c>
      <c r="J26" s="10">
        <f t="shared" si="3"/>
        <v>7101425861.492651</v>
      </c>
      <c r="K26" s="11">
        <f t="shared" si="4"/>
        <v>-7.145034799999983E-2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3163717.9528055699</v>
      </c>
      <c r="D27" s="11">
        <v>1.8069999999999999E-2</v>
      </c>
      <c r="E27" s="10">
        <f t="shared" si="2"/>
        <v>56153.68629583111</v>
      </c>
      <c r="F27" s="3"/>
      <c r="G27" s="29">
        <v>3.18</v>
      </c>
      <c r="H27" s="10"/>
      <c r="I27" s="10">
        <f t="shared" si="5"/>
        <v>2417.3674325115785</v>
      </c>
      <c r="J27" s="10">
        <f t="shared" si="3"/>
        <v>7647868744.7643881</v>
      </c>
      <c r="K27" s="11">
        <f t="shared" si="4"/>
        <v>5.0444626000000214E-2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3107564.2665097388</v>
      </c>
      <c r="D28" s="11">
        <v>1.9619999999999999E-2</v>
      </c>
      <c r="E28" s="10">
        <f t="shared" si="2"/>
        <v>59797.190040329937</v>
      </c>
      <c r="F28" s="3"/>
      <c r="G28" s="29">
        <v>4.18</v>
      </c>
      <c r="H28" s="10"/>
      <c r="I28" s="10">
        <f t="shared" si="5"/>
        <v>2342.8643462992618</v>
      </c>
      <c r="J28" s="10">
        <f t="shared" si="3"/>
        <v>7280601523.8392839</v>
      </c>
      <c r="K28" s="11">
        <f t="shared" si="4"/>
        <v>6.2240116000000123E-2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3047767.0764694088</v>
      </c>
      <c r="D29" s="11">
        <v>2.6040000000000001E-2</v>
      </c>
      <c r="E29" s="10">
        <f t="shared" si="2"/>
        <v>77349.669283130672</v>
      </c>
      <c r="F29" s="3"/>
      <c r="G29" s="29">
        <v>5.1100000000000003</v>
      </c>
      <c r="H29" s="10"/>
      <c r="I29" s="10">
        <f t="shared" si="5"/>
        <v>2248.8619181217714</v>
      </c>
      <c r="J29" s="10">
        <f t="shared" si="3"/>
        <v>6854007313.5773783</v>
      </c>
      <c r="K29" s="11">
        <f t="shared" si="4"/>
        <v>7.8470644000000034E-2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2970417.4071862781</v>
      </c>
      <c r="D30" s="11">
        <v>2.6200000000000001E-2</v>
      </c>
      <c r="E30" s="10">
        <f t="shared" si="2"/>
        <v>75837.980966946576</v>
      </c>
      <c r="F30" s="3"/>
      <c r="G30" s="29">
        <v>3.46</v>
      </c>
      <c r="H30" s="10"/>
      <c r="I30" s="10">
        <f t="shared" si="5"/>
        <v>2139.5318410444024</v>
      </c>
      <c r="J30" s="10">
        <f t="shared" si="3"/>
        <v>6355302623.8675976</v>
      </c>
      <c r="K30" s="11">
        <f t="shared" si="4"/>
        <v>6.1706519999999987E-2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2894579.4262193316</v>
      </c>
      <c r="D31" s="11">
        <v>2.572E-2</v>
      </c>
      <c r="E31" s="10">
        <f t="shared" si="2"/>
        <v>72581.779474282637</v>
      </c>
      <c r="F31" s="3"/>
      <c r="G31" s="29">
        <v>9.3699999999999992</v>
      </c>
      <c r="H31" s="10"/>
      <c r="I31" s="10">
        <f t="shared" si="5"/>
        <v>2067.9797419721654</v>
      </c>
      <c r="J31" s="10">
        <f t="shared" si="3"/>
        <v>5985931614.9509916</v>
      </c>
      <c r="K31" s="11">
        <f t="shared" si="4"/>
        <v>0.12182996399999979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2821997.6467450489</v>
      </c>
      <c r="D32" s="11">
        <v>2.5100000000000001E-2</v>
      </c>
      <c r="E32" s="10">
        <f t="shared" si="2"/>
        <v>69097.786492342595</v>
      </c>
      <c r="F32" s="3"/>
      <c r="G32" s="29">
        <v>5.71</v>
      </c>
      <c r="H32" s="10"/>
      <c r="I32" s="10">
        <f t="shared" si="5"/>
        <v>1890.8107725812979</v>
      </c>
      <c r="J32" s="10">
        <f t="shared" si="3"/>
        <v>5335863550.6646109</v>
      </c>
      <c r="K32" s="11">
        <f t="shared" si="4"/>
        <v>8.3633209999999902E-2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2752899.8602527063</v>
      </c>
      <c r="D33" s="11">
        <v>2.46E-2</v>
      </c>
      <c r="E33" s="10">
        <f t="shared" si="2"/>
        <v>66095.389968979638</v>
      </c>
      <c r="F33" s="3"/>
      <c r="G33" s="29">
        <v>5.93</v>
      </c>
      <c r="H33" s="10"/>
      <c r="I33" s="10">
        <f t="shared" si="5"/>
        <v>1788.6772988187474</v>
      </c>
      <c r="J33" s="10">
        <f t="shared" si="3"/>
        <v>4924049485.9553185</v>
      </c>
      <c r="K33" s="11">
        <f t="shared" si="4"/>
        <v>8.5358779999999967E-2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2686804.4702837267</v>
      </c>
      <c r="D34" s="11">
        <v>2.4279999999999999E-2</v>
      </c>
      <c r="E34" s="10">
        <f t="shared" si="2"/>
        <v>63689.237843645271</v>
      </c>
      <c r="F34" s="3"/>
      <c r="G34" s="29">
        <v>4.53</v>
      </c>
      <c r="H34" s="10"/>
      <c r="I34" s="10">
        <f t="shared" si="5"/>
        <v>1688.5464918519283</v>
      </c>
      <c r="J34" s="10">
        <f t="shared" ref="J34:J65" si="6">IF(I34="","",I34*C34)</f>
        <v>4536794262.5896654</v>
      </c>
      <c r="K34" s="11">
        <f t="shared" ref="K34:K65" si="7">IFERROR(J34/J35-1,"")</f>
        <v>8.3995524000000099E-2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2623115.2324400814</v>
      </c>
      <c r="D35" s="11">
        <v>2.4119999999999999E-2</v>
      </c>
      <c r="E35" s="10">
        <f t="shared" si="2"/>
        <v>61779.419800858013</v>
      </c>
      <c r="F35" s="3"/>
      <c r="G35" s="29">
        <v>5.64</v>
      </c>
      <c r="H35" s="10"/>
      <c r="I35" s="10">
        <f t="shared" ref="I35:I66" si="8">IF(H35&lt;&gt;"",H35,I34/(1+IF(G34="",0,G34)/100))</f>
        <v>1595.5272530019165</v>
      </c>
      <c r="J35" s="10">
        <f t="shared" si="6"/>
        <v>4185251841.1226068</v>
      </c>
      <c r="K35" s="11">
        <f t="shared" si="7"/>
        <v>0.10953160799999972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2561335.8126392234</v>
      </c>
      <c r="D36" s="11">
        <v>2.4080000000000001E-2</v>
      </c>
      <c r="E36" s="10">
        <f t="shared" si="2"/>
        <v>60226.707257589791</v>
      </c>
      <c r="F36" s="3"/>
      <c r="G36" s="29">
        <v>-0.97</v>
      </c>
      <c r="H36" s="10"/>
      <c r="I36" s="10">
        <f t="shared" si="8"/>
        <v>1472.7037594627254</v>
      </c>
      <c r="J36" s="10">
        <f t="shared" si="6"/>
        <v>3772088880.5202994</v>
      </c>
      <c r="K36" s="11">
        <f t="shared" si="7"/>
        <v>6.3302264000000052E-2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2501109.1053816336</v>
      </c>
      <c r="D37" s="11">
        <v>2.4150000000000001E-2</v>
      </c>
      <c r="E37" s="10">
        <f t="shared" si="2"/>
        <v>58977.478782372084</v>
      </c>
      <c r="F37" s="3"/>
      <c r="G37" s="29">
        <v>-2.74</v>
      </c>
      <c r="H37" s="10"/>
      <c r="I37" s="10">
        <f t="shared" si="8"/>
        <v>1418.3798126386646</v>
      </c>
      <c r="J37" s="10">
        <f t="shared" si="6"/>
        <v>3547522664.2800593</v>
      </c>
      <c r="K37" s="11">
        <f t="shared" si="7"/>
        <v>5.0368240000000064E-2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2442131.6265992615</v>
      </c>
      <c r="D38" s="11">
        <v>2.4250000000000001E-2</v>
      </c>
      <c r="E38" s="10">
        <f t="shared" si="2"/>
        <v>57819.567434739787</v>
      </c>
      <c r="F38" s="3"/>
      <c r="G38" s="29">
        <v>-10.99</v>
      </c>
      <c r="H38" s="10"/>
      <c r="I38" s="10">
        <f t="shared" si="8"/>
        <v>1382.9756363481517</v>
      </c>
      <c r="J38" s="10">
        <f t="shared" si="6"/>
        <v>3377408540.3420606</v>
      </c>
      <c r="K38" s="11">
        <f t="shared" si="7"/>
        <v>-5.0387097499999922E-2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2384312.0591645218</v>
      </c>
      <c r="D39" s="11">
        <v>2.5999999999999999E-2</v>
      </c>
      <c r="E39" s="10">
        <f t="shared" si="2"/>
        <v>60421.163292668294</v>
      </c>
      <c r="F39" s="3"/>
      <c r="G39" s="29">
        <v>17.98</v>
      </c>
      <c r="H39" s="10"/>
      <c r="I39" s="10">
        <f t="shared" si="8"/>
        <v>1491.6739144975911</v>
      </c>
      <c r="J39" s="10">
        <f t="shared" si="6"/>
        <v>3556616102.6777544</v>
      </c>
      <c r="K39" s="11">
        <f t="shared" si="7"/>
        <v>0.21047480000000029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2323890.8958718535</v>
      </c>
      <c r="D40" s="11">
        <v>2.8129999999999999E-2</v>
      </c>
      <c r="E40" s="10">
        <f t="shared" si="2"/>
        <v>63582.475855072029</v>
      </c>
      <c r="F40" s="3"/>
      <c r="G40" s="29">
        <v>20.3</v>
      </c>
      <c r="H40" s="10"/>
      <c r="I40" s="10">
        <f>IF(H40&lt;&gt;"",H40,I39/(1+IF(G39="",0,G39)/100))</f>
        <v>1264.3447317321504</v>
      </c>
      <c r="J40" s="10">
        <f t="shared" si="6"/>
        <v>2938199211.3158851</v>
      </c>
      <c r="K40" s="11">
        <f t="shared" si="7"/>
        <v>0.23684039000000001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2260308.4200167814</v>
      </c>
      <c r="D41" s="11">
        <v>2.8889999999999999E-2</v>
      </c>
      <c r="E41" s="10">
        <f t="shared" si="2"/>
        <v>63466.755682614166</v>
      </c>
      <c r="F41" s="3"/>
      <c r="G41" s="29">
        <v>19.07</v>
      </c>
      <c r="H41" s="10"/>
      <c r="I41" s="10">
        <f t="shared" si="8"/>
        <v>1050.9931269593935</v>
      </c>
      <c r="J41" s="10">
        <f t="shared" si="6"/>
        <v>2375568614.2460833</v>
      </c>
      <c r="K41" s="11">
        <f t="shared" si="7"/>
        <v>0.22509932300000024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2196841.6643341673</v>
      </c>
      <c r="D42" s="11">
        <v>2.8920000000000001E-2</v>
      </c>
      <c r="E42" s="10">
        <f t="shared" si="2"/>
        <v>61746.939443828538</v>
      </c>
      <c r="F42" s="3"/>
      <c r="G42" s="29">
        <v>-5.31</v>
      </c>
      <c r="H42" s="10"/>
      <c r="I42" s="10">
        <f t="shared" si="8"/>
        <v>882.66828500830889</v>
      </c>
      <c r="J42" s="10">
        <f t="shared" si="6"/>
        <v>1939082464.2926383</v>
      </c>
      <c r="K42" s="11">
        <f t="shared" si="7"/>
        <v>-2.5715652000000033E-2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2135094.7248903387</v>
      </c>
      <c r="D43" s="11">
        <v>2.8670000000000001E-2</v>
      </c>
      <c r="E43" s="10">
        <f t="shared" si="2"/>
        <v>59507.097283488372</v>
      </c>
      <c r="F43" s="3"/>
      <c r="G43" s="29">
        <v>11.55</v>
      </c>
      <c r="H43" s="10"/>
      <c r="I43" s="10">
        <f t="shared" si="8"/>
        <v>932.16631640966193</v>
      </c>
      <c r="J43" s="10">
        <f t="shared" si="6"/>
        <v>1990263384.8867276</v>
      </c>
      <c r="K43" s="11">
        <f t="shared" si="7"/>
        <v>0.14748138499999985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2075587.6276068504</v>
      </c>
      <c r="D44" s="11">
        <v>2.8209999999999999E-2</v>
      </c>
      <c r="E44" s="10">
        <f t="shared" si="2"/>
        <v>56945.883598476416</v>
      </c>
      <c r="F44" s="3"/>
      <c r="G44" s="29">
        <v>9.69</v>
      </c>
      <c r="H44" s="10"/>
      <c r="I44" s="10">
        <f t="shared" si="8"/>
        <v>835.64887172538056</v>
      </c>
      <c r="J44" s="10">
        <f t="shared" si="6"/>
        <v>1734462459.1768239</v>
      </c>
      <c r="K44" s="11">
        <f t="shared" si="7"/>
        <v>0.12784354900000006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2018641.7440083739</v>
      </c>
      <c r="D45" s="11">
        <v>2.76E-2</v>
      </c>
      <c r="E45" s="10">
        <f t="shared" si="2"/>
        <v>54218.092774067074</v>
      </c>
      <c r="F45" s="3"/>
      <c r="G45" s="29">
        <v>6.68</v>
      </c>
      <c r="H45" s="10"/>
      <c r="I45" s="10">
        <f t="shared" si="8"/>
        <v>761.82776162401365</v>
      </c>
      <c r="J45" s="10">
        <f t="shared" si="6"/>
        <v>1537857321.3586948</v>
      </c>
      <c r="K45" s="11">
        <f t="shared" si="7"/>
        <v>9.6243680000000165E-2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1964423.6512343069</v>
      </c>
      <c r="D46" s="11">
        <v>2.69E-2</v>
      </c>
      <c r="E46" s="10">
        <f t="shared" si="2"/>
        <v>51458.755690138089</v>
      </c>
      <c r="F46" s="3"/>
      <c r="G46" s="29">
        <v>3.23</v>
      </c>
      <c r="H46" s="10"/>
      <c r="I46" s="10">
        <f t="shared" si="8"/>
        <v>714.12426098988908</v>
      </c>
      <c r="J46" s="10">
        <f t="shared" si="6"/>
        <v>1402842588.2087591</v>
      </c>
      <c r="K46" s="11">
        <f t="shared" si="7"/>
        <v>6.006886999999983E-2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1912964.8955441688</v>
      </c>
      <c r="D47" s="11">
        <v>2.6110000000000001E-2</v>
      </c>
      <c r="E47" s="10">
        <f t="shared" si="2"/>
        <v>48676.568226270378</v>
      </c>
      <c r="F47" s="3"/>
      <c r="G47" s="29">
        <v>3.42</v>
      </c>
      <c r="H47" s="10"/>
      <c r="I47" s="10">
        <f t="shared" si="8"/>
        <v>691.77977428062491</v>
      </c>
      <c r="J47" s="10">
        <f t="shared" si="6"/>
        <v>1323350423.6463044</v>
      </c>
      <c r="K47" s="11">
        <f t="shared" si="7"/>
        <v>6.1202962000000083E-2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1864288.3273178984</v>
      </c>
      <c r="D48" s="11">
        <v>2.5479999999999999E-2</v>
      </c>
      <c r="E48" s="10">
        <f t="shared" si="2"/>
        <v>46321.78743618587</v>
      </c>
      <c r="F48" s="3"/>
      <c r="G48" s="29">
        <v>3.84</v>
      </c>
      <c r="H48" s="10"/>
      <c r="I48" s="10">
        <f t="shared" si="8"/>
        <v>668.90328203502702</v>
      </c>
      <c r="J48" s="10">
        <f t="shared" si="6"/>
        <v>1247028580.8025329</v>
      </c>
      <c r="K48" s="11">
        <f t="shared" si="7"/>
        <v>6.4858431999999855E-2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1817966.5398817125</v>
      </c>
      <c r="D49" s="11">
        <v>2.647E-2</v>
      </c>
      <c r="E49" s="10">
        <f t="shared" si="2"/>
        <v>46880.643672653707</v>
      </c>
      <c r="F49" s="3"/>
      <c r="G49" s="29">
        <v>1.34</v>
      </c>
      <c r="H49" s="10"/>
      <c r="I49" s="10">
        <f t="shared" si="8"/>
        <v>644.16725927872403</v>
      </c>
      <c r="J49" s="10">
        <f t="shared" si="6"/>
        <v>1171074523.456028</v>
      </c>
      <c r="K49" s="11">
        <f t="shared" si="7"/>
        <v>4.0224698000000281E-2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1771085.8962090588</v>
      </c>
      <c r="D50" s="11">
        <v>2.7830000000000001E-2</v>
      </c>
      <c r="E50" s="10">
        <f t="shared" si="2"/>
        <v>47954.74007520522</v>
      </c>
      <c r="F50" s="3"/>
      <c r="G50" s="29">
        <v>-0.53</v>
      </c>
      <c r="H50" s="10"/>
      <c r="I50" s="10">
        <f t="shared" si="8"/>
        <v>635.64955523852768</v>
      </c>
      <c r="J50" s="10">
        <f t="shared" si="6"/>
        <v>1125789962.2145174</v>
      </c>
      <c r="K50" s="11">
        <f t="shared" si="7"/>
        <v>2.2382501000000055E-2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1723131.1561338536</v>
      </c>
      <c r="D51" s="11">
        <v>2.8510000000000001E-2</v>
      </c>
      <c r="E51" s="10">
        <f t="shared" si="2"/>
        <v>47764.6977291191</v>
      </c>
      <c r="F51" s="3"/>
      <c r="G51" s="29">
        <v>3.67</v>
      </c>
      <c r="H51" s="10"/>
      <c r="I51" s="10">
        <f t="shared" si="8"/>
        <v>639.03644841512789</v>
      </c>
      <c r="J51" s="10">
        <f t="shared" si="6"/>
        <v>1101143614.1692309</v>
      </c>
      <c r="K51" s="11">
        <f t="shared" si="7"/>
        <v>6.6256316999999898E-2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1675366.4584047345</v>
      </c>
      <c r="D52" s="11">
        <v>2.828E-2</v>
      </c>
      <c r="E52" s="10">
        <f t="shared" si="2"/>
        <v>46076.324973437237</v>
      </c>
      <c r="F52" s="3"/>
      <c r="G52" s="29">
        <v>1.05</v>
      </c>
      <c r="H52" s="10"/>
      <c r="I52" s="10">
        <f t="shared" si="8"/>
        <v>616.41405268170922</v>
      </c>
      <c r="J52" s="10">
        <f t="shared" si="6"/>
        <v>1032719428.3522646</v>
      </c>
      <c r="K52" s="11">
        <f t="shared" si="7"/>
        <v>3.9076940000000171E-2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1629290.1334312973</v>
      </c>
      <c r="D53" s="11">
        <v>2.7179999999999999E-2</v>
      </c>
      <c r="E53" s="10">
        <f t="shared" si="2"/>
        <v>43112.313155106734</v>
      </c>
      <c r="F53" s="3"/>
      <c r="G53" s="29">
        <v>11.29</v>
      </c>
      <c r="H53" s="10"/>
      <c r="I53" s="10">
        <f t="shared" si="8"/>
        <v>610.00895861623871</v>
      </c>
      <c r="J53" s="10">
        <f t="shared" si="6"/>
        <v>993881577.57813823</v>
      </c>
      <c r="K53" s="11">
        <f t="shared" si="7"/>
        <v>0.14314862199999978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1586177.8202761905</v>
      </c>
      <c r="D54" s="11">
        <v>2.5989999999999999E-2</v>
      </c>
      <c r="E54" s="10">
        <f t="shared" si="2"/>
        <v>40180.47110496019</v>
      </c>
      <c r="F54" s="3"/>
      <c r="G54" s="29">
        <v>6.45</v>
      </c>
      <c r="H54" s="10"/>
      <c r="I54" s="10">
        <f t="shared" si="8"/>
        <v>548.12558056989735</v>
      </c>
      <c r="J54" s="10">
        <f t="shared" si="6"/>
        <v>869424638.62598121</v>
      </c>
      <c r="K54" s="11">
        <f t="shared" si="7"/>
        <v>9.2166354999999811E-2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1545997.3491712303</v>
      </c>
      <c r="D55" s="11">
        <v>3.073E-2</v>
      </c>
      <c r="E55" s="10">
        <f t="shared" si="2"/>
        <v>46092.088655643864</v>
      </c>
      <c r="F55" s="3"/>
      <c r="G55" s="29">
        <v>8.11</v>
      </c>
      <c r="H55" s="10"/>
      <c r="I55" s="10">
        <f t="shared" si="8"/>
        <v>514.91365013611778</v>
      </c>
      <c r="J55" s="10">
        <f t="shared" si="6"/>
        <v>796055138.16252041</v>
      </c>
      <c r="K55" s="11">
        <f t="shared" si="7"/>
        <v>0.11432220299999996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1499905.2605155865</v>
      </c>
      <c r="D56" s="11">
        <v>3.2030000000000003E-2</v>
      </c>
      <c r="E56" s="10">
        <f t="shared" si="2"/>
        <v>46550.938920684624</v>
      </c>
      <c r="F56" s="3"/>
      <c r="G56" s="29">
        <v>4.3</v>
      </c>
      <c r="H56" s="10"/>
      <c r="I56" s="10">
        <f t="shared" si="8"/>
        <v>476.28679135706022</v>
      </c>
      <c r="J56" s="10">
        <f t="shared" si="6"/>
        <v>714385063.8705442</v>
      </c>
      <c r="K56" s="11">
        <f t="shared" si="7"/>
        <v>7.6407289999999906E-2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1453354.3215949018</v>
      </c>
      <c r="D57" s="11">
        <v>3.177E-2</v>
      </c>
      <c r="E57" s="10">
        <f t="shared" si="2"/>
        <v>44751.317441939609</v>
      </c>
      <c r="F57" s="3"/>
      <c r="G57" s="30">
        <v>5.93</v>
      </c>
      <c r="H57" s="10"/>
      <c r="I57" s="10">
        <f>IF(H57&lt;&gt;"",H57,I56/(1+IF(G56="",0,G56)/100))</f>
        <v>456.65080667023994</v>
      </c>
      <c r="J57" s="10">
        <f t="shared" si="6"/>
        <v>663675423.33399129</v>
      </c>
      <c r="K57" s="11">
        <f t="shared" si="7"/>
        <v>9.2953960999999863E-2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1408603.0041529622</v>
      </c>
      <c r="D58" s="11">
        <v>3.0939999999999999E-2</v>
      </c>
      <c r="E58" s="10">
        <f t="shared" si="2"/>
        <v>42274.212804326788</v>
      </c>
      <c r="F58" s="3"/>
      <c r="G58" s="30">
        <v>5.88</v>
      </c>
      <c r="H58" s="10"/>
      <c r="I58" s="10">
        <f t="shared" si="8"/>
        <v>431.08732811313132</v>
      </c>
      <c r="J58" s="10">
        <f t="shared" si="6"/>
        <v>607230905.43243051</v>
      </c>
      <c r="K58" s="11">
        <f t="shared" si="7"/>
        <v>9.1559272000000025E-2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1366328.7913486355</v>
      </c>
      <c r="D59" s="11">
        <v>2.93E-2</v>
      </c>
      <c r="E59" s="10">
        <f t="shared" si="2"/>
        <v>38893.843958530109</v>
      </c>
      <c r="F59" s="3"/>
      <c r="G59" s="30">
        <v>5.44</v>
      </c>
      <c r="H59" s="10"/>
      <c r="I59" s="10">
        <f t="shared" si="8"/>
        <v>407.14707981973112</v>
      </c>
      <c r="J59" s="10">
        <f t="shared" si="6"/>
        <v>556296777.47121966</v>
      </c>
      <c r="K59" s="11">
        <f t="shared" si="7"/>
        <v>8.5293920000000023E-2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1327434.9473901053</v>
      </c>
      <c r="D60" s="11">
        <v>2.819E-2</v>
      </c>
      <c r="E60" s="10">
        <f t="shared" si="2"/>
        <v>36394.432125314372</v>
      </c>
      <c r="F60" s="3"/>
      <c r="G60" s="30">
        <v>5.48</v>
      </c>
      <c r="H60" s="10"/>
      <c r="I60" s="10">
        <f t="shared" si="8"/>
        <v>386.14100893373586</v>
      </c>
      <c r="J60" s="10">
        <f t="shared" si="6"/>
        <v>512577069.87911588</v>
      </c>
      <c r="K60" s="11">
        <f t="shared" si="7"/>
        <v>8.4534811999999793E-2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1291040.515264791</v>
      </c>
      <c r="D61" s="11">
        <v>2.801E-2</v>
      </c>
      <c r="E61" s="10">
        <f t="shared" si="2"/>
        <v>35176.744226774899</v>
      </c>
      <c r="F61" s="3"/>
      <c r="G61" s="30">
        <v>5.25</v>
      </c>
      <c r="H61" s="10"/>
      <c r="I61" s="10">
        <f t="shared" si="8"/>
        <v>366.07983402894945</v>
      </c>
      <c r="J61" s="10">
        <f t="shared" si="6"/>
        <v>472623897.55278409</v>
      </c>
      <c r="K61" s="11">
        <f t="shared" si="7"/>
        <v>8.1980525000000082E-2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1255863.7710380161</v>
      </c>
      <c r="D62" s="11">
        <v>1.7999999999999999E-2</v>
      </c>
      <c r="E62" s="10">
        <f t="shared" si="2"/>
        <v>22205.842709905934</v>
      </c>
      <c r="F62" s="3"/>
      <c r="G62" s="30">
        <v>4.87</v>
      </c>
      <c r="H62" s="10"/>
      <c r="I62" s="10">
        <f t="shared" si="8"/>
        <v>347.81931974246982</v>
      </c>
      <c r="J62" s="10">
        <f t="shared" si="6"/>
        <v>436813682.53165561</v>
      </c>
      <c r="K62" s="11">
        <f t="shared" si="7"/>
        <v>6.7576599999999987E-2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1233657.9283281101</v>
      </c>
      <c r="D63" s="11">
        <v>1.686E-2</v>
      </c>
      <c r="E63" s="10">
        <f t="shared" si="2"/>
        <v>20454.607981051551</v>
      </c>
      <c r="F63" s="3"/>
      <c r="G63" s="30">
        <v>4.88</v>
      </c>
      <c r="H63" s="10"/>
      <c r="I63" s="10">
        <f t="shared" si="8"/>
        <v>331.66713048771794</v>
      </c>
      <c r="J63" s="10">
        <f t="shared" si="6"/>
        <v>409163785.0920071</v>
      </c>
      <c r="K63" s="11">
        <f t="shared" si="7"/>
        <v>6.648276799999997E-2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1213203.3203470586</v>
      </c>
      <c r="D64" s="11">
        <v>1.6369999999999999E-2</v>
      </c>
      <c r="E64" s="10">
        <f t="shared" si="2"/>
        <v>19540.264228658285</v>
      </c>
      <c r="F64" s="3"/>
      <c r="G64" s="30">
        <v>4.7300000000000004</v>
      </c>
      <c r="H64" s="10"/>
      <c r="I64" s="10">
        <f t="shared" si="8"/>
        <v>316.23486888607738</v>
      </c>
      <c r="J64" s="10">
        <f t="shared" si="6"/>
        <v>383657192.94210583</v>
      </c>
      <c r="K64" s="11">
        <f t="shared" si="7"/>
        <v>6.4444301000000204E-2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1193663.0561184003</v>
      </c>
      <c r="D65" s="11">
        <v>1.6039999999999999E-2</v>
      </c>
      <c r="E65" s="10">
        <f t="shared" si="2"/>
        <v>18844.096118400106</v>
      </c>
      <c r="F65" s="3"/>
      <c r="G65" s="30">
        <v>4.7300000000000004</v>
      </c>
      <c r="H65" s="10"/>
      <c r="I65" s="10">
        <f t="shared" si="8"/>
        <v>301.95251492989343</v>
      </c>
      <c r="J65" s="10">
        <f t="shared" si="6"/>
        <v>360429561.77385348</v>
      </c>
      <c r="K65" s="11">
        <f t="shared" si="7"/>
        <v>6.4098691999999957E-2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1174818.9600000002</v>
      </c>
      <c r="D66" s="11">
        <v>1.584E-2</v>
      </c>
      <c r="E66" s="10">
        <f t="shared" si="2"/>
        <v>18318.960000000196</v>
      </c>
      <c r="F66" s="23">
        <f>SUM(F2)</f>
        <v>4348275</v>
      </c>
      <c r="G66" s="30">
        <v>4.28</v>
      </c>
      <c r="H66" s="10"/>
      <c r="I66" s="10">
        <f t="shared" si="8"/>
        <v>288.31520570027067</v>
      </c>
      <c r="J66" s="10">
        <f t="shared" ref="J66:J67" si="9">IF(I66="","",I66*C66)</f>
        <v>338718170.1129781</v>
      </c>
      <c r="K66" s="11">
        <f t="shared" ref="K66" si="10">IFERROR(J66/J67-1,"")</f>
        <v>5.9317952000000007E-2</v>
      </c>
    </row>
    <row r="67" spans="1:11" ht="22.5" customHeight="1">
      <c r="A67" s="3">
        <f t="shared" si="0"/>
        <v>1950</v>
      </c>
      <c r="B67" s="3">
        <v>1700</v>
      </c>
      <c r="C67" s="10">
        <v>1156500</v>
      </c>
      <c r="D67" s="11">
        <v>1.6240000000000001E-2</v>
      </c>
      <c r="E67" s="3" t="s">
        <v>72</v>
      </c>
      <c r="F67" s="10">
        <f>SUM(C2)</f>
        <v>4348249.0110484492</v>
      </c>
      <c r="G67" s="30">
        <v>5.48</v>
      </c>
      <c r="H67" s="10"/>
      <c r="I67" s="10">
        <f t="shared" ref="I67" si="11">IF(H67&lt;&gt;"",H67,I66/(1+IF(G66="",0,G66)/100))</f>
        <v>276.48178528986449</v>
      </c>
      <c r="J67" s="10">
        <f t="shared" si="9"/>
        <v>319751184.68772829</v>
      </c>
      <c r="K67" s="11"/>
    </row>
  </sheetData>
  <dataValidations count="1">
    <dataValidation type="custom" allowBlank="1" showDropDown="1" sqref="D2:D67" xr:uid="{00000000-0002-0000-4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M67"/>
  <sheetViews>
    <sheetView topLeftCell="A9" workbookViewId="0">
      <selection activeCell="L26" sqref="L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820977.25533157552</v>
      </c>
      <c r="D2" s="11">
        <v>2.15E-3</v>
      </c>
      <c r="E2" s="10">
        <f t="shared" ref="E2:E66" si="2">SUM(C2-C3)</f>
        <v>1761.314273275435</v>
      </c>
      <c r="F2" s="14">
        <v>820937</v>
      </c>
      <c r="G2" s="26">
        <v>3.42</v>
      </c>
      <c r="H2" s="10"/>
      <c r="I2" s="10">
        <f>IF(H2&lt;&gt;"",H2,146032)</f>
        <v>18254</v>
      </c>
      <c r="J2" s="10">
        <f t="shared" ref="J2:J33" si="3">IF(I2="","",I2*C2)</f>
        <v>14986118818.82258</v>
      </c>
      <c r="K2" s="11">
        <f t="shared" ref="K2:K33" si="4">IFERROR(J2/J3-1,"")</f>
        <v>3.6423530000000204E-2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819215.94105830009</v>
      </c>
      <c r="D3" s="11">
        <v>-1.97E-3</v>
      </c>
      <c r="E3" s="10">
        <f t="shared" si="2"/>
        <v>-1617.0409746048972</v>
      </c>
      <c r="F3" s="3"/>
      <c r="G3" s="26">
        <v>-1.78</v>
      </c>
      <c r="H3" s="10"/>
      <c r="I3" s="10">
        <f t="shared" ref="I3:I34" si="5">IF(H3&lt;&gt;"",H3,I2/(1+IF(G2="",0,G2)/100))</f>
        <v>17650.357764455617</v>
      </c>
      <c r="J3" s="10">
        <f t="shared" si="3"/>
        <v>14459454446.024181</v>
      </c>
      <c r="K3" s="11">
        <f t="shared" si="4"/>
        <v>-1.9734934000000259E-2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820832.98203290498</v>
      </c>
      <c r="D4" s="11">
        <v>-3.3E-3</v>
      </c>
      <c r="E4" s="10">
        <f t="shared" si="2"/>
        <v>-2717.7173078244086</v>
      </c>
      <c r="F4" s="3"/>
      <c r="G4" s="26">
        <v>-6.59</v>
      </c>
      <c r="H4" s="10"/>
      <c r="I4" s="10">
        <f t="shared" si="5"/>
        <v>17970.227819645304</v>
      </c>
      <c r="J4" s="10">
        <f t="shared" si="3"/>
        <v>14750555689.010124</v>
      </c>
      <c r="K4" s="11">
        <f t="shared" si="4"/>
        <v>-6.8982529999999875E-2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823550.69934072939</v>
      </c>
      <c r="D5" s="11">
        <v>-3.81E-3</v>
      </c>
      <c r="E5" s="10">
        <f t="shared" si="2"/>
        <v>-3149.7286305706948</v>
      </c>
      <c r="F5" s="3"/>
      <c r="G5" s="26">
        <v>-3.45</v>
      </c>
      <c r="H5" s="10"/>
      <c r="I5" s="10">
        <f t="shared" si="5"/>
        <v>19238.012867621565</v>
      </c>
      <c r="J5" s="10">
        <f t="shared" si="3"/>
        <v>15843478951.055691</v>
      </c>
      <c r="K5" s="11">
        <f t="shared" si="4"/>
        <v>-3.8178555000000003E-2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826700.42797130009</v>
      </c>
      <c r="D6" s="11">
        <v>-3.3500000000000001E-3</v>
      </c>
      <c r="E6" s="10">
        <f t="shared" si="2"/>
        <v>-2778.7552638376364</v>
      </c>
      <c r="F6" s="3"/>
      <c r="G6" s="26">
        <v>0.42</v>
      </c>
      <c r="H6" s="10"/>
      <c r="I6" s="10">
        <f t="shared" si="5"/>
        <v>19925.440567189606</v>
      </c>
      <c r="J6" s="10">
        <f t="shared" si="3"/>
        <v>16472370244.412352</v>
      </c>
      <c r="K6" s="11">
        <f t="shared" si="4"/>
        <v>8.359300000002623E-4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829479.18323513772</v>
      </c>
      <c r="D7" s="11">
        <v>-2.81E-3</v>
      </c>
      <c r="E7" s="10">
        <f t="shared" si="2"/>
        <v>-2337.404611850041</v>
      </c>
      <c r="F7" s="3"/>
      <c r="G7" s="26">
        <v>2.2799999999999998</v>
      </c>
      <c r="H7" s="10"/>
      <c r="I7" s="10">
        <f t="shared" si="5"/>
        <v>19842.103731517233</v>
      </c>
      <c r="J7" s="10">
        <f t="shared" si="3"/>
        <v>16458611996.885792</v>
      </c>
      <c r="K7" s="11">
        <f t="shared" si="4"/>
        <v>1.9925932000000035E-2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831816.58784698776</v>
      </c>
      <c r="D8" s="11">
        <v>-1.81E-3</v>
      </c>
      <c r="E8" s="10">
        <f t="shared" si="2"/>
        <v>-1508.3180797273526</v>
      </c>
      <c r="F8" s="3"/>
      <c r="G8" s="26">
        <v>-2.02</v>
      </c>
      <c r="H8" s="10"/>
      <c r="I8" s="10">
        <f t="shared" si="5"/>
        <v>19399.788552519782</v>
      </c>
      <c r="J8" s="10">
        <f t="shared" si="3"/>
        <v>16137065918.710058</v>
      </c>
      <c r="K8" s="11">
        <f t="shared" si="4"/>
        <v>-2.1973438000000067E-2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833324.90592671512</v>
      </c>
      <c r="D9" s="11">
        <v>-2E-3</v>
      </c>
      <c r="E9" s="10">
        <f t="shared" si="2"/>
        <v>-1669.9897914363537</v>
      </c>
      <c r="F9" s="3"/>
      <c r="G9" s="26">
        <v>3.65</v>
      </c>
      <c r="H9" s="10"/>
      <c r="I9" s="10">
        <f t="shared" si="5"/>
        <v>19799.743368564792</v>
      </c>
      <c r="J9" s="10">
        <f t="shared" si="3"/>
        <v>16499619279.982357</v>
      </c>
      <c r="K9" s="11">
        <f t="shared" si="4"/>
        <v>3.4426999999999763E-2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834994.89571815147</v>
      </c>
      <c r="D10" s="11">
        <v>-3.4199999999999999E-3</v>
      </c>
      <c r="E10" s="10">
        <f t="shared" si="2"/>
        <v>-2865.4824934838107</v>
      </c>
      <c r="F10" s="3"/>
      <c r="G10" s="26">
        <v>5.0999999999999996</v>
      </c>
      <c r="H10" s="10"/>
      <c r="I10" s="10">
        <f t="shared" si="5"/>
        <v>19102.502043960245</v>
      </c>
      <c r="J10" s="10">
        <f t="shared" si="3"/>
        <v>15950491702.152361</v>
      </c>
      <c r="K10" s="11">
        <f t="shared" si="4"/>
        <v>4.7405579999999947E-2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837860.37821163528</v>
      </c>
      <c r="D11" s="11">
        <v>-5.7600000000000004E-3</v>
      </c>
      <c r="E11" s="10">
        <f t="shared" si="2"/>
        <v>-4854.0350202154368</v>
      </c>
      <c r="F11" s="3"/>
      <c r="G11" s="26">
        <v>4.71</v>
      </c>
      <c r="H11" s="10"/>
      <c r="I11" s="10">
        <f t="shared" si="5"/>
        <v>18175.549042778541</v>
      </c>
      <c r="J11" s="10">
        <f t="shared" si="3"/>
        <v>15228572395.186554</v>
      </c>
      <c r="K11" s="11">
        <f t="shared" si="4"/>
        <v>4.1068703999999956E-2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842714.41323185072</v>
      </c>
      <c r="D12" s="11">
        <v>-6.0299999999999998E-3</v>
      </c>
      <c r="E12" s="10">
        <f t="shared" si="2"/>
        <v>-5112.3956576033961</v>
      </c>
      <c r="F12" s="3"/>
      <c r="G12" s="26">
        <v>4.8499999999999996</v>
      </c>
      <c r="H12" s="10"/>
      <c r="I12" s="10">
        <f t="shared" si="5"/>
        <v>17357.987816615932</v>
      </c>
      <c r="J12" s="10">
        <f t="shared" si="3"/>
        <v>14627826517.765108</v>
      </c>
      <c r="K12" s="11">
        <f t="shared" si="4"/>
        <v>4.2177544999999927E-2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847826.80888945411</v>
      </c>
      <c r="D13" s="11">
        <v>-5.4900000000000001E-3</v>
      </c>
      <c r="E13" s="10">
        <f t="shared" si="2"/>
        <v>-4680.2638292255579</v>
      </c>
      <c r="F13" s="3"/>
      <c r="G13" s="26">
        <v>5.03</v>
      </c>
      <c r="H13" s="10"/>
      <c r="I13" s="10">
        <f t="shared" si="5"/>
        <v>16555.067064011382</v>
      </c>
      <c r="J13" s="10">
        <f t="shared" si="3"/>
        <v>14035829679.831675</v>
      </c>
      <c r="K13" s="11">
        <f t="shared" si="4"/>
        <v>4.4533853000000123E-2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852507.07271867967</v>
      </c>
      <c r="D14" s="11">
        <v>-6.4599999999999996E-3</v>
      </c>
      <c r="E14" s="10">
        <f t="shared" si="2"/>
        <v>-5543.0034923230996</v>
      </c>
      <c r="F14" s="3"/>
      <c r="G14" s="26">
        <v>2.62</v>
      </c>
      <c r="H14" s="10"/>
      <c r="I14" s="10">
        <f t="shared" si="5"/>
        <v>15762.227043712637</v>
      </c>
      <c r="J14" s="10">
        <f t="shared" si="3"/>
        <v>13437410036.562668</v>
      </c>
      <c r="K14" s="11">
        <f t="shared" si="4"/>
        <v>1.9570747999999805E-2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858050.07621100277</v>
      </c>
      <c r="D15" s="11">
        <v>-6.0200000000000002E-3</v>
      </c>
      <c r="E15" s="10">
        <f t="shared" si="2"/>
        <v>-5196.7458689211635</v>
      </c>
      <c r="F15" s="3"/>
      <c r="G15" s="26">
        <v>3.72</v>
      </c>
      <c r="H15" s="10"/>
      <c r="I15" s="10">
        <f t="shared" si="5"/>
        <v>15359.800276469146</v>
      </c>
      <c r="J15" s="10">
        <f t="shared" si="3"/>
        <v>13179477797.810133</v>
      </c>
      <c r="K15" s="11">
        <f t="shared" si="4"/>
        <v>3.0956055999999732E-2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863246.82207992394</v>
      </c>
      <c r="D16" s="11">
        <v>-6.6E-3</v>
      </c>
      <c r="E16" s="10">
        <f t="shared" si="2"/>
        <v>-5735.2818861763226</v>
      </c>
      <c r="F16" s="3"/>
      <c r="G16" s="26">
        <v>3.95</v>
      </c>
      <c r="H16" s="10"/>
      <c r="I16" s="10">
        <f t="shared" si="5"/>
        <v>14808.908866630494</v>
      </c>
      <c r="J16" s="10">
        <f t="shared" si="3"/>
        <v>12783743517.589983</v>
      </c>
      <c r="K16" s="11">
        <f t="shared" si="4"/>
        <v>3.2639300000000038E-2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868982.10396610026</v>
      </c>
      <c r="D17" s="11">
        <v>-6.0699999999999999E-3</v>
      </c>
      <c r="E17" s="10">
        <f t="shared" si="2"/>
        <v>-5306.9344632662833</v>
      </c>
      <c r="F17" s="3"/>
      <c r="G17" s="26">
        <v>5.97</v>
      </c>
      <c r="H17" s="10"/>
      <c r="I17" s="10">
        <f t="shared" si="5"/>
        <v>14246.18457588311</v>
      </c>
      <c r="J17" s="10">
        <f t="shared" si="3"/>
        <v>12379679446.240311</v>
      </c>
      <c r="K17" s="11">
        <f t="shared" si="4"/>
        <v>5.3267621000000043E-2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874289.03842936654</v>
      </c>
      <c r="D18" s="11">
        <v>-3.3300000000000001E-3</v>
      </c>
      <c r="E18" s="10">
        <f t="shared" si="2"/>
        <v>-2921.1097935824655</v>
      </c>
      <c r="F18" s="3"/>
      <c r="G18" s="26">
        <v>5</v>
      </c>
      <c r="H18" s="10"/>
      <c r="I18" s="10">
        <f t="shared" si="5"/>
        <v>13443.601562596121</v>
      </c>
      <c r="J18" s="10">
        <f t="shared" si="3"/>
        <v>11753593483.189692</v>
      </c>
      <c r="K18" s="11">
        <f t="shared" si="4"/>
        <v>4.6503499999999809E-2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877210.14822294901</v>
      </c>
      <c r="D19" s="11">
        <v>-7.4900000000000001E-3</v>
      </c>
      <c r="E19" s="10">
        <f t="shared" si="2"/>
        <v>-6619.8869635468582</v>
      </c>
      <c r="F19" s="3"/>
      <c r="G19" s="26">
        <v>6.11</v>
      </c>
      <c r="H19" s="10"/>
      <c r="I19" s="10">
        <f t="shared" si="5"/>
        <v>12803.430059615353</v>
      </c>
      <c r="J19" s="10">
        <f t="shared" si="3"/>
        <v>11231298780.357346</v>
      </c>
      <c r="K19" s="11">
        <f t="shared" si="4"/>
        <v>5.3152360999999981E-2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883830.03518649586</v>
      </c>
      <c r="D20" s="11">
        <v>-7.0400000000000003E-3</v>
      </c>
      <c r="E20" s="10">
        <f t="shared" si="2"/>
        <v>-6266.2780451508006</v>
      </c>
      <c r="F20" s="3"/>
      <c r="G20" s="26">
        <v>2.64</v>
      </c>
      <c r="H20" s="10"/>
      <c r="I20" s="10">
        <f t="shared" si="5"/>
        <v>12066.186089544204</v>
      </c>
      <c r="J20" s="10">
        <f t="shared" si="3"/>
        <v>10664457676.088661</v>
      </c>
      <c r="K20" s="11">
        <f t="shared" si="4"/>
        <v>1.9174144000000171E-2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890096.31323164667</v>
      </c>
      <c r="D21" s="11">
        <v>-1.136E-2</v>
      </c>
      <c r="E21" s="10">
        <f t="shared" si="2"/>
        <v>-10227.680569582037</v>
      </c>
      <c r="F21" s="3"/>
      <c r="G21" s="26">
        <v>1.25</v>
      </c>
      <c r="H21" s="10"/>
      <c r="I21" s="10">
        <f t="shared" si="5"/>
        <v>11755.832121535663</v>
      </c>
      <c r="J21" s="10">
        <f t="shared" si="3"/>
        <v>10463822830.34906</v>
      </c>
      <c r="K21" s="11">
        <f t="shared" si="4"/>
        <v>9.9799999999983235E-4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900323.9938012287</v>
      </c>
      <c r="D22" s="11">
        <v>-1.374E-2</v>
      </c>
      <c r="E22" s="10">
        <f t="shared" si="2"/>
        <v>-12542.789603987592</v>
      </c>
      <c r="F22" s="3"/>
      <c r="G22" s="26">
        <v>4.3600000000000003</v>
      </c>
      <c r="H22" s="10"/>
      <c r="I22" s="10">
        <f t="shared" si="5"/>
        <v>11610.69839164016</v>
      </c>
      <c r="J22" s="10">
        <f t="shared" si="3"/>
        <v>10453390346.782972</v>
      </c>
      <c r="K22" s="11">
        <f t="shared" si="4"/>
        <v>2.9260936000000015E-2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912866.78340521629</v>
      </c>
      <c r="D23" s="11">
        <v>-1.7559999999999999E-2</v>
      </c>
      <c r="E23" s="10">
        <f t="shared" si="2"/>
        <v>-16316.457714054384</v>
      </c>
      <c r="F23" s="3"/>
      <c r="G23" s="26">
        <v>5.9</v>
      </c>
      <c r="H23" s="10"/>
      <c r="I23" s="10">
        <f t="shared" si="5"/>
        <v>11125.621302836489</v>
      </c>
      <c r="J23" s="10">
        <f t="shared" si="3"/>
        <v>10156210132.104898</v>
      </c>
      <c r="K23" s="11">
        <f t="shared" si="4"/>
        <v>4.0403959999999906E-2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929183.24111927068</v>
      </c>
      <c r="D24" s="11">
        <v>-2.0830000000000001E-2</v>
      </c>
      <c r="E24" s="10">
        <f t="shared" si="2"/>
        <v>-19766.625726395287</v>
      </c>
      <c r="F24" s="3"/>
      <c r="G24" s="26">
        <v>0.7</v>
      </c>
      <c r="H24" s="10"/>
      <c r="I24" s="10">
        <f t="shared" si="5"/>
        <v>10505.780267078839</v>
      </c>
      <c r="J24" s="10">
        <f t="shared" si="3"/>
        <v>9761794959.0511932</v>
      </c>
      <c r="K24" s="11">
        <f t="shared" si="4"/>
        <v>-1.3975810000000033E-2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948949.86684566597</v>
      </c>
      <c r="D25" s="11">
        <v>-2.623E-2</v>
      </c>
      <c r="E25" s="10">
        <f t="shared" si="2"/>
        <v>-25561.431351717329</v>
      </c>
      <c r="F25" s="3"/>
      <c r="G25" s="26">
        <v>2.4</v>
      </c>
      <c r="H25" s="10"/>
      <c r="I25" s="10">
        <f t="shared" si="5"/>
        <v>10432.751010008778</v>
      </c>
      <c r="J25" s="10">
        <f t="shared" si="3"/>
        <v>9900157681.7818165</v>
      </c>
      <c r="K25" s="11">
        <f t="shared" si="4"/>
        <v>-2.8595200000001153E-3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974511.29819738329</v>
      </c>
      <c r="D26" s="11">
        <v>-6.3499999999999997E-3</v>
      </c>
      <c r="E26" s="10">
        <f t="shared" si="2"/>
        <v>-6227.6925915094325</v>
      </c>
      <c r="F26" s="3"/>
      <c r="G26" s="26">
        <v>0.74</v>
      </c>
      <c r="H26" s="10"/>
      <c r="I26" s="10">
        <f t="shared" si="5"/>
        <v>10188.233408211698</v>
      </c>
      <c r="J26" s="10">
        <f t="shared" si="3"/>
        <v>9928548564.9743328</v>
      </c>
      <c r="K26" s="11">
        <f t="shared" si="4"/>
        <v>1.0030100000002484E-3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980738.99078889273</v>
      </c>
      <c r="D27" s="11">
        <v>6.0000000000000002E-5</v>
      </c>
      <c r="E27" s="10">
        <f t="shared" si="2"/>
        <v>58.840808998793364</v>
      </c>
      <c r="F27" s="3"/>
      <c r="G27" s="26">
        <v>-5.3</v>
      </c>
      <c r="H27" s="10"/>
      <c r="I27" s="10">
        <f t="shared" si="5"/>
        <v>10113.394290462276</v>
      </c>
      <c r="J27" s="10">
        <f t="shared" si="3"/>
        <v>9918600109.8781223</v>
      </c>
      <c r="K27" s="11">
        <f t="shared" si="4"/>
        <v>-5.294318000000009E-2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980680.14997989393</v>
      </c>
      <c r="D28" s="11">
        <v>3.3999999999999998E-3</v>
      </c>
      <c r="E28" s="10">
        <f t="shared" si="2"/>
        <v>3323.0142614428187</v>
      </c>
      <c r="F28" s="3"/>
      <c r="G28" s="26">
        <v>1.95</v>
      </c>
      <c r="H28" s="10"/>
      <c r="I28" s="10">
        <f t="shared" si="5"/>
        <v>10679.402629844009</v>
      </c>
      <c r="J28" s="10">
        <f t="shared" si="3"/>
        <v>10473078172.731096</v>
      </c>
      <c r="K28" s="11">
        <f t="shared" si="4"/>
        <v>2.2966299999999995E-2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977357.13571845111</v>
      </c>
      <c r="D29" s="11">
        <v>7.4700000000000001E-3</v>
      </c>
      <c r="E29" s="10">
        <f t="shared" si="2"/>
        <v>7246.7247697865823</v>
      </c>
      <c r="F29" s="3"/>
      <c r="G29" s="26">
        <v>4.6500000000000004</v>
      </c>
      <c r="H29" s="10"/>
      <c r="I29" s="10">
        <f t="shared" si="5"/>
        <v>10475.137449577252</v>
      </c>
      <c r="J29" s="10">
        <f t="shared" si="3"/>
        <v>10237950333.975904</v>
      </c>
      <c r="K29" s="11">
        <f t="shared" si="4"/>
        <v>5.4317355000000012E-2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970110.41094866453</v>
      </c>
      <c r="D30" s="11">
        <v>7.7799999999999996E-3</v>
      </c>
      <c r="E30" s="10">
        <f t="shared" si="2"/>
        <v>7489.1930750565371</v>
      </c>
      <c r="F30" s="3"/>
      <c r="G30" s="26">
        <v>2</v>
      </c>
      <c r="H30" s="10"/>
      <c r="I30" s="10">
        <f t="shared" si="5"/>
        <v>10009.687003896084</v>
      </c>
      <c r="J30" s="10">
        <f t="shared" si="3"/>
        <v>9710501572.8171368</v>
      </c>
      <c r="K30" s="11">
        <f t="shared" si="4"/>
        <v>2.7935599999999949E-2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962621.21787360799</v>
      </c>
      <c r="D31" s="11">
        <v>7.3499999999999998E-3</v>
      </c>
      <c r="E31" s="10">
        <f t="shared" si="2"/>
        <v>7023.6421813381603</v>
      </c>
      <c r="F31" s="3"/>
      <c r="G31" s="26">
        <v>3.7</v>
      </c>
      <c r="H31" s="10"/>
      <c r="I31" s="10">
        <f t="shared" si="5"/>
        <v>9813.4186312706697</v>
      </c>
      <c r="J31" s="10">
        <f t="shared" si="3"/>
        <v>9446604994.337328</v>
      </c>
      <c r="K31" s="11">
        <f t="shared" si="4"/>
        <v>4.4621950000000021E-2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955597.57569226983</v>
      </c>
      <c r="D32" s="11">
        <v>6.1199999999999996E-3</v>
      </c>
      <c r="E32" s="10">
        <f t="shared" si="2"/>
        <v>5812.6835399719421</v>
      </c>
      <c r="F32" s="3"/>
      <c r="G32" s="26">
        <v>4.88</v>
      </c>
      <c r="H32" s="10"/>
      <c r="I32" s="10">
        <f t="shared" si="5"/>
        <v>9463.2773686313121</v>
      </c>
      <c r="J32" s="10">
        <f t="shared" si="3"/>
        <v>9043084911.5676041</v>
      </c>
      <c r="K32" s="11">
        <f t="shared" si="4"/>
        <v>5.5218655999999644E-2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949784.89215229789</v>
      </c>
      <c r="D33" s="11">
        <v>6.6E-3</v>
      </c>
      <c r="E33" s="10">
        <f t="shared" si="2"/>
        <v>6227.4789272850612</v>
      </c>
      <c r="F33" s="3"/>
      <c r="G33" s="26">
        <v>3.76</v>
      </c>
      <c r="H33" s="10"/>
      <c r="I33" s="10">
        <f t="shared" si="5"/>
        <v>9022.9570639123885</v>
      </c>
      <c r="J33" s="10">
        <f t="shared" si="3"/>
        <v>8569868301.8428421</v>
      </c>
      <c r="K33" s="11">
        <f t="shared" si="4"/>
        <v>4.4448159999999959E-2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943557.41322501283</v>
      </c>
      <c r="D34" s="11">
        <v>7.1399999999999996E-3</v>
      </c>
      <c r="E34" s="10">
        <f t="shared" si="2"/>
        <v>6689.238765639835</v>
      </c>
      <c r="F34" s="3"/>
      <c r="G34" s="26">
        <v>4.28</v>
      </c>
      <c r="H34" s="10"/>
      <c r="I34" s="10">
        <f t="shared" si="5"/>
        <v>8695.9879181885008</v>
      </c>
      <c r="J34" s="10">
        <f t="shared" ref="J34:J65" si="6">IF(I34="","",I34*C34)</f>
        <v>8205163865.5219059</v>
      </c>
      <c r="K34" s="11">
        <f t="shared" ref="K34:K65" si="7">IFERROR(J34/J35-1,"")</f>
        <v>6.3338412000000011E-2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936868.174459373</v>
      </c>
      <c r="D35" s="11">
        <v>6.6299999999999996E-3</v>
      </c>
      <c r="E35" s="10">
        <f t="shared" si="2"/>
        <v>6170.5254131761612</v>
      </c>
      <c r="F35" s="3"/>
      <c r="G35" s="26">
        <v>1.32</v>
      </c>
      <c r="H35" s="10"/>
      <c r="I35" s="10">
        <f t="shared" ref="I35:I66" si="8">IF(H35&lt;&gt;"",H35,I34/(1+IF(G34="",0,G34)/100))</f>
        <v>8236.3969674071795</v>
      </c>
      <c r="J35" s="10">
        <f t="shared" si="6"/>
        <v>7716418190.9774799</v>
      </c>
      <c r="K35" s="11">
        <f t="shared" si="7"/>
        <v>4.7096525999999805E-2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930697.64904619684</v>
      </c>
      <c r="D36" s="11">
        <v>6.2100000000000002E-3</v>
      </c>
      <c r="E36" s="10">
        <f t="shared" si="2"/>
        <v>5743.9623941094615</v>
      </c>
      <c r="F36" s="3"/>
      <c r="G36" s="26">
        <v>-2.28</v>
      </c>
      <c r="H36" s="10"/>
      <c r="I36" s="10">
        <f t="shared" si="8"/>
        <v>7918.0897590916929</v>
      </c>
      <c r="J36" s="10">
        <f t="shared" si="6"/>
        <v>7369347523.7234058</v>
      </c>
      <c r="K36" s="11">
        <f t="shared" si="7"/>
        <v>3.1566491999999835E-2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924953.68665208737</v>
      </c>
      <c r="D37" s="11">
        <v>5.7800000000000004E-3</v>
      </c>
      <c r="E37" s="10">
        <f t="shared" si="2"/>
        <v>5315.508668743656</v>
      </c>
      <c r="F37" s="3"/>
      <c r="G37" s="26">
        <v>0.45</v>
      </c>
      <c r="H37" s="10"/>
      <c r="I37" s="10">
        <f t="shared" si="8"/>
        <v>7723.4586023133961</v>
      </c>
      <c r="J37" s="10">
        <f t="shared" si="6"/>
        <v>7143841507.9145536</v>
      </c>
      <c r="K37" s="11">
        <f t="shared" si="7"/>
        <v>6.3612350000000095E-2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919638.17798334372</v>
      </c>
      <c r="D38" s="11">
        <v>5.6899999999999997E-3</v>
      </c>
      <c r="E38" s="10">
        <f t="shared" si="2"/>
        <v>5203.1353923428105</v>
      </c>
      <c r="F38" s="3"/>
      <c r="G38" s="26">
        <v>6.21</v>
      </c>
      <c r="H38" s="10"/>
      <c r="I38" s="10">
        <f t="shared" si="8"/>
        <v>7303.5069525422177</v>
      </c>
      <c r="J38" s="10">
        <f t="shared" si="6"/>
        <v>6716583826.7246084</v>
      </c>
      <c r="K38" s="11">
        <f t="shared" si="7"/>
        <v>0.10535387899999993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914435.04259100091</v>
      </c>
      <c r="D39" s="11">
        <v>7.7099999999999998E-3</v>
      </c>
      <c r="E39" s="10">
        <f t="shared" si="2"/>
        <v>6996.3523021272849</v>
      </c>
      <c r="F39" s="3"/>
      <c r="G39" s="26">
        <v>7.78</v>
      </c>
      <c r="H39" s="10"/>
      <c r="I39" s="10">
        <f t="shared" si="8"/>
        <v>6644.9885838797363</v>
      </c>
      <c r="J39" s="10">
        <f t="shared" si="6"/>
        <v>6076410418.7167816</v>
      </c>
      <c r="K39" s="11">
        <f t="shared" si="7"/>
        <v>8.610983800000005E-2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907438.69028887362</v>
      </c>
      <c r="D40" s="11">
        <v>8.3499999999999998E-3</v>
      </c>
      <c r="E40" s="10">
        <f t="shared" si="2"/>
        <v>7514.3680903576314</v>
      </c>
      <c r="F40" s="3"/>
      <c r="G40" s="26">
        <v>16.36</v>
      </c>
      <c r="H40" s="10"/>
      <c r="I40" s="10">
        <f t="shared" si="8"/>
        <v>6165.3262051212987</v>
      </c>
      <c r="J40" s="10">
        <f t="shared" si="6"/>
        <v>5594655536.7789431</v>
      </c>
      <c r="K40" s="11">
        <f t="shared" si="7"/>
        <v>0.17331606000000011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899924.32219851599</v>
      </c>
      <c r="D41" s="11">
        <v>7.8799999999999999E-3</v>
      </c>
      <c r="E41" s="10">
        <f t="shared" si="2"/>
        <v>7035.9602918247692</v>
      </c>
      <c r="F41" s="3"/>
      <c r="G41" s="26">
        <v>-5.65</v>
      </c>
      <c r="H41" s="10"/>
      <c r="I41" s="10">
        <f t="shared" si="8"/>
        <v>5298.4927854256612</v>
      </c>
      <c r="J41" s="10">
        <f t="shared" si="6"/>
        <v>4768242528.5979147</v>
      </c>
      <c r="K41" s="11">
        <f t="shared" si="7"/>
        <v>-4.906522000000002E-2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892888.36190669122</v>
      </c>
      <c r="D42" s="11">
        <v>8.0300000000000007E-3</v>
      </c>
      <c r="E42" s="10">
        <f t="shared" si="2"/>
        <v>7112.7779392584926</v>
      </c>
      <c r="F42" s="3"/>
      <c r="G42" s="26">
        <v>20.27</v>
      </c>
      <c r="H42" s="10"/>
      <c r="I42" s="10">
        <f t="shared" si="8"/>
        <v>5615.7846162434143</v>
      </c>
      <c r="J42" s="10">
        <f t="shared" si="6"/>
        <v>5014268726.8183784</v>
      </c>
      <c r="K42" s="11">
        <f t="shared" si="7"/>
        <v>0.21235768099999985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885775.58396743273</v>
      </c>
      <c r="D43" s="11">
        <v>8.8500000000000002E-3</v>
      </c>
      <c r="E43" s="10">
        <f t="shared" si="2"/>
        <v>7770.3463528887369</v>
      </c>
      <c r="F43" s="3"/>
      <c r="G43" s="29">
        <v>3.32</v>
      </c>
      <c r="H43" s="10"/>
      <c r="I43" s="10">
        <f t="shared" si="8"/>
        <v>4669.3145557856606</v>
      </c>
      <c r="J43" s="10">
        <f t="shared" si="6"/>
        <v>4135964827.3786774</v>
      </c>
      <c r="K43" s="11">
        <f t="shared" si="7"/>
        <v>4.2343819999999921E-2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878005.23761454399</v>
      </c>
      <c r="D44" s="11">
        <v>8.5199999999999998E-3</v>
      </c>
      <c r="E44" s="10">
        <f t="shared" si="2"/>
        <v>7417.4083057113457</v>
      </c>
      <c r="F44" s="3"/>
      <c r="G44" s="29">
        <v>7.9</v>
      </c>
      <c r="H44" s="10"/>
      <c r="I44" s="10">
        <f t="shared" si="8"/>
        <v>4519.2746378103575</v>
      </c>
      <c r="J44" s="10">
        <f t="shared" si="6"/>
        <v>3967946802.2160649</v>
      </c>
      <c r="K44" s="11">
        <f t="shared" si="7"/>
        <v>8.8193080000000146E-2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870587.82930883265</v>
      </c>
      <c r="D45" s="11">
        <v>8.8900000000000003E-3</v>
      </c>
      <c r="E45" s="10">
        <f t="shared" si="2"/>
        <v>7671.3276993087493</v>
      </c>
      <c r="F45" s="3"/>
      <c r="G45" s="26">
        <v>2.66</v>
      </c>
      <c r="H45" s="10"/>
      <c r="I45" s="10">
        <f t="shared" si="8"/>
        <v>4188.3916939855026</v>
      </c>
      <c r="J45" s="10">
        <f t="shared" si="6"/>
        <v>3646362833.161983</v>
      </c>
      <c r="K45" s="11">
        <f t="shared" si="7"/>
        <v>3.5726474000000064E-2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862916.5016095239</v>
      </c>
      <c r="D46" s="11">
        <v>9.4999999999999998E-3</v>
      </c>
      <c r="E46" s="10">
        <f t="shared" si="2"/>
        <v>8120.5614316895371</v>
      </c>
      <c r="F46" s="3"/>
      <c r="G46" s="26">
        <v>4.71</v>
      </c>
      <c r="H46" s="10"/>
      <c r="I46" s="10">
        <f t="shared" si="8"/>
        <v>4079.8672257797612</v>
      </c>
      <c r="J46" s="10">
        <f t="shared" si="6"/>
        <v>3520584753.501225</v>
      </c>
      <c r="K46" s="11">
        <f t="shared" si="7"/>
        <v>5.704745E-2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854795.94017783436</v>
      </c>
      <c r="D47" s="11">
        <v>8.9899999999999997E-3</v>
      </c>
      <c r="E47" s="10">
        <f t="shared" si="2"/>
        <v>7616.1463465433335</v>
      </c>
      <c r="F47" s="3"/>
      <c r="G47" s="26">
        <v>1.77</v>
      </c>
      <c r="H47" s="10"/>
      <c r="I47" s="10">
        <f t="shared" si="8"/>
        <v>3896.3491794286711</v>
      </c>
      <c r="J47" s="10">
        <f t="shared" si="6"/>
        <v>3330583460.0908642</v>
      </c>
      <c r="K47" s="11">
        <f t="shared" si="7"/>
        <v>2.6849122999999864E-2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847179.79383129103</v>
      </c>
      <c r="D48" s="11">
        <v>1.0449999999999999E-2</v>
      </c>
      <c r="E48" s="10">
        <f t="shared" si="2"/>
        <v>8761.4714686892694</v>
      </c>
      <c r="F48" s="3"/>
      <c r="G48" s="26">
        <v>3.07</v>
      </c>
      <c r="H48" s="10"/>
      <c r="I48" s="10">
        <f t="shared" si="8"/>
        <v>3828.5832558009934</v>
      </c>
      <c r="J48" s="10">
        <f t="shared" si="6"/>
        <v>3243498373.3154187</v>
      </c>
      <c r="K48" s="11">
        <f t="shared" si="7"/>
        <v>4.147081500000005E-2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838418.32236260176</v>
      </c>
      <c r="D49" s="11">
        <v>1.103E-2</v>
      </c>
      <c r="E49" s="10">
        <f t="shared" si="2"/>
        <v>9146.8641837132163</v>
      </c>
      <c r="F49" s="3"/>
      <c r="G49" s="26">
        <v>-1.32</v>
      </c>
      <c r="H49" s="10"/>
      <c r="I49" s="10">
        <f t="shared" si="8"/>
        <v>3714.5466729416839</v>
      </c>
      <c r="J49" s="10">
        <f t="shared" si="6"/>
        <v>3114343989.8653507</v>
      </c>
      <c r="K49" s="11">
        <f t="shared" si="7"/>
        <v>-2.3155959999997533E-3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829271.45817888854</v>
      </c>
      <c r="D50" s="11">
        <v>1.043E-2</v>
      </c>
      <c r="E50" s="10">
        <f t="shared" si="2"/>
        <v>8560.0202971069375</v>
      </c>
      <c r="F50" s="3"/>
      <c r="G50" s="26">
        <v>3.48</v>
      </c>
      <c r="H50" s="10"/>
      <c r="I50" s="10">
        <f t="shared" si="8"/>
        <v>3764.2345692558611</v>
      </c>
      <c r="J50" s="10">
        <f t="shared" si="6"/>
        <v>3121572290.1741881</v>
      </c>
      <c r="K50" s="11">
        <f t="shared" si="7"/>
        <v>4.5592963999999681E-2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820711.4378817816</v>
      </c>
      <c r="D51" s="11">
        <v>1.03E-2</v>
      </c>
      <c r="E51" s="10">
        <f t="shared" si="2"/>
        <v>8367.1462042782223</v>
      </c>
      <c r="F51" s="3"/>
      <c r="G51" s="26">
        <v>1.05</v>
      </c>
      <c r="H51" s="10"/>
      <c r="I51" s="10">
        <f t="shared" si="8"/>
        <v>3637.6445392886176</v>
      </c>
      <c r="J51" s="10">
        <f t="shared" si="6"/>
        <v>2985456480.3423724</v>
      </c>
      <c r="K51" s="11">
        <f t="shared" si="7"/>
        <v>2.0908149999999903E-2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812344.29167750338</v>
      </c>
      <c r="D52" s="11">
        <v>1.068E-2</v>
      </c>
      <c r="E52" s="10">
        <f t="shared" si="2"/>
        <v>8584.1582252698718</v>
      </c>
      <c r="F52" s="3"/>
      <c r="G52" s="29">
        <v>5.16</v>
      </c>
      <c r="H52" s="10"/>
      <c r="I52" s="10">
        <f t="shared" si="8"/>
        <v>3599.846154664639</v>
      </c>
      <c r="J52" s="10">
        <f t="shared" si="6"/>
        <v>2924314474.6590304</v>
      </c>
      <c r="K52" s="11">
        <f t="shared" si="7"/>
        <v>6.2831088000000035E-2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803760.13345223351</v>
      </c>
      <c r="D53" s="11">
        <v>1.1820000000000001E-2</v>
      </c>
      <c r="E53" s="10">
        <f t="shared" si="2"/>
        <v>9389.461344315554</v>
      </c>
      <c r="F53" s="3"/>
      <c r="G53" s="29">
        <v>3.66</v>
      </c>
      <c r="H53" s="10"/>
      <c r="I53" s="10">
        <f t="shared" si="8"/>
        <v>3423.2085913509309</v>
      </c>
      <c r="J53" s="10">
        <f t="shared" si="6"/>
        <v>2751438594.2190566</v>
      </c>
      <c r="K53" s="11">
        <f t="shared" si="7"/>
        <v>4.8852611999999906E-2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794370.67210791796</v>
      </c>
      <c r="D54" s="11">
        <v>1.112E-2</v>
      </c>
      <c r="E54" s="10">
        <f t="shared" si="2"/>
        <v>8736.2547213387443</v>
      </c>
      <c r="F54" s="3"/>
      <c r="G54" s="29">
        <v>2.5</v>
      </c>
      <c r="H54" s="10"/>
      <c r="I54" s="10">
        <f t="shared" si="8"/>
        <v>3302.3428432866399</v>
      </c>
      <c r="J54" s="10">
        <f t="shared" si="6"/>
        <v>2623284303.9523811</v>
      </c>
      <c r="K54" s="11">
        <f t="shared" si="7"/>
        <v>3.639799999999993E-2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785634.41738657921</v>
      </c>
      <c r="D55" s="11">
        <v>1.137E-2</v>
      </c>
      <c r="E55" s="10">
        <f t="shared" si="2"/>
        <v>8832.2407483764691</v>
      </c>
      <c r="F55" s="3"/>
      <c r="G55" s="29">
        <v>3.81</v>
      </c>
      <c r="H55" s="10"/>
      <c r="I55" s="10">
        <f t="shared" si="8"/>
        <v>3221.797895889405</v>
      </c>
      <c r="J55" s="10">
        <f t="shared" si="6"/>
        <v>2531155312.8743796</v>
      </c>
      <c r="K55" s="11">
        <f t="shared" si="7"/>
        <v>4.9903197000000121E-2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776802.17663820274</v>
      </c>
      <c r="D56" s="11">
        <v>1.1900000000000001E-2</v>
      </c>
      <c r="E56" s="10">
        <f t="shared" si="2"/>
        <v>9135.2365866139298</v>
      </c>
      <c r="F56" s="3"/>
      <c r="G56" s="29">
        <v>3.64</v>
      </c>
      <c r="H56" s="10"/>
      <c r="I56" s="10">
        <f t="shared" si="8"/>
        <v>3103.5525439643629</v>
      </c>
      <c r="J56" s="10">
        <f t="shared" si="6"/>
        <v>2410846371.4625487</v>
      </c>
      <c r="K56" s="11">
        <f t="shared" si="7"/>
        <v>4.8733160000000053E-2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767666.94005158881</v>
      </c>
      <c r="D57" s="11">
        <v>1.2070000000000001E-2</v>
      </c>
      <c r="E57" s="10">
        <f t="shared" si="2"/>
        <v>9155.236264707637</v>
      </c>
      <c r="F57" s="3"/>
      <c r="G57" s="29">
        <v>5.18</v>
      </c>
      <c r="H57" s="10"/>
      <c r="I57" s="10">
        <f t="shared" si="8"/>
        <v>2994.5508915132796</v>
      </c>
      <c r="J57" s="10">
        <f t="shared" si="6"/>
        <v>2298817719.7167568</v>
      </c>
      <c r="K57" s="11">
        <f t="shared" si="7"/>
        <v>6.4495226000000017E-2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758511.70378688117</v>
      </c>
      <c r="D58" s="11">
        <v>5.2100000000000002E-3</v>
      </c>
      <c r="E58" s="10">
        <f t="shared" si="2"/>
        <v>3931.3635725168278</v>
      </c>
      <c r="F58" s="3"/>
      <c r="G58" s="29">
        <v>4.46</v>
      </c>
      <c r="H58" s="10"/>
      <c r="I58" s="10">
        <f t="shared" si="8"/>
        <v>2847.0725342396649</v>
      </c>
      <c r="J58" s="10">
        <f t="shared" si="6"/>
        <v>2159537838.7509618</v>
      </c>
      <c r="K58" s="11">
        <f t="shared" si="7"/>
        <v>5.0042366000000005E-2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754580.34021436435</v>
      </c>
      <c r="D59" s="11">
        <v>1.0630000000000001E-2</v>
      </c>
      <c r="E59" s="10">
        <f t="shared" si="2"/>
        <v>7936.8206133586355</v>
      </c>
      <c r="F59" s="3"/>
      <c r="G59" s="29">
        <v>4.6100000000000003</v>
      </c>
      <c r="H59" s="10"/>
      <c r="I59" s="10">
        <f t="shared" si="8"/>
        <v>2725.5145838020917</v>
      </c>
      <c r="J59" s="10">
        <f t="shared" si="6"/>
        <v>2056619721.9045939</v>
      </c>
      <c r="K59" s="11">
        <f t="shared" si="7"/>
        <v>5.7220042999999832E-2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746643.51960100571</v>
      </c>
      <c r="D60" s="11">
        <v>8.8199999999999997E-3</v>
      </c>
      <c r="E60" s="10">
        <f t="shared" si="2"/>
        <v>6527.8204663675278</v>
      </c>
      <c r="F60" s="3"/>
      <c r="G60" s="26">
        <v>4.0199999999999996</v>
      </c>
      <c r="H60" s="10"/>
      <c r="I60" s="10">
        <f t="shared" si="8"/>
        <v>2605.4053950885113</v>
      </c>
      <c r="J60" s="10">
        <f t="shared" si="6"/>
        <v>1945309054.1763349</v>
      </c>
      <c r="K60" s="11">
        <f t="shared" si="7"/>
        <v>4.9374564000000065E-2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740115.69913463818</v>
      </c>
      <c r="D61" s="11">
        <v>9.1000000000000004E-3</v>
      </c>
      <c r="E61" s="10">
        <f t="shared" si="2"/>
        <v>6674.3165812360821</v>
      </c>
      <c r="F61" s="3"/>
      <c r="G61" s="29">
        <v>-1.73</v>
      </c>
      <c r="H61" s="10"/>
      <c r="I61" s="10">
        <f t="shared" si="8"/>
        <v>2504.7158191583458</v>
      </c>
      <c r="J61" s="10">
        <f t="shared" si="6"/>
        <v>1853779499.629967</v>
      </c>
      <c r="K61" s="11">
        <f t="shared" si="7"/>
        <v>-8.357429999999888E-3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733441.3825534021</v>
      </c>
      <c r="D62" s="11">
        <v>1.018E-2</v>
      </c>
      <c r="E62" s="10">
        <f t="shared" si="2"/>
        <v>7391.1909505174262</v>
      </c>
      <c r="F62" s="3"/>
      <c r="G62" s="29">
        <v>-0.04</v>
      </c>
      <c r="H62" s="10"/>
      <c r="I62" s="10">
        <f t="shared" si="8"/>
        <v>2548.810236245391</v>
      </c>
      <c r="J62" s="10">
        <f t="shared" si="6"/>
        <v>1869402903.5380831</v>
      </c>
      <c r="K62" s="11">
        <f t="shared" si="7"/>
        <v>9.7759280000002668E-3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726050.19160288468</v>
      </c>
      <c r="D63" s="11">
        <v>1.0619999999999999E-2</v>
      </c>
      <c r="E63" s="10">
        <f t="shared" si="2"/>
        <v>7629.6264024288394</v>
      </c>
      <c r="F63" s="3"/>
      <c r="G63" s="29">
        <v>-0.48</v>
      </c>
      <c r="H63" s="10"/>
      <c r="I63" s="10">
        <f t="shared" si="8"/>
        <v>2549.8301683127161</v>
      </c>
      <c r="J63" s="10">
        <f t="shared" si="6"/>
        <v>1851304682.2582631</v>
      </c>
      <c r="K63" s="11">
        <f t="shared" si="7"/>
        <v>5.7690240000001225E-3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718420.56520045584</v>
      </c>
      <c r="D64" s="11">
        <v>1.056E-2</v>
      </c>
      <c r="E64" s="10">
        <f t="shared" si="2"/>
        <v>7507.2446648558835</v>
      </c>
      <c r="F64" s="3"/>
      <c r="G64" s="29">
        <v>-1.02</v>
      </c>
      <c r="H64" s="10"/>
      <c r="I64" s="10">
        <f t="shared" si="8"/>
        <v>2562.1283845585972</v>
      </c>
      <c r="J64" s="10">
        <f t="shared" si="6"/>
        <v>1840685722.1507182</v>
      </c>
      <c r="K64" s="11">
        <f t="shared" si="7"/>
        <v>2.5228799999998941E-4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710913.32053559995</v>
      </c>
      <c r="D65" s="11">
        <v>1.192E-2</v>
      </c>
      <c r="E65" s="10">
        <f t="shared" si="2"/>
        <v>8374.2655355999013</v>
      </c>
      <c r="F65" s="3"/>
      <c r="G65" s="29">
        <v>9.6</v>
      </c>
      <c r="H65" s="10"/>
      <c r="I65" s="10">
        <f t="shared" si="8"/>
        <v>2588.5314048884593</v>
      </c>
      <c r="J65" s="10">
        <f t="shared" si="6"/>
        <v>1840221456.3599362</v>
      </c>
      <c r="K65" s="11">
        <f t="shared" si="7"/>
        <v>0.10906431999999988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702539.05500000005</v>
      </c>
      <c r="D66" s="11">
        <v>1.2449999999999999E-2</v>
      </c>
      <c r="E66" s="10">
        <f t="shared" si="2"/>
        <v>8639.0550000000512</v>
      </c>
      <c r="F66" s="23">
        <f>SUM(F2)</f>
        <v>820937</v>
      </c>
      <c r="G66" s="29">
        <v>5.9</v>
      </c>
      <c r="H66" s="10"/>
      <c r="I66" s="10">
        <f t="shared" si="8"/>
        <v>2361.7987270880103</v>
      </c>
      <c r="J66" s="10">
        <f t="shared" ref="J66:J67" si="9">IF(I66="","",I66*C66)</f>
        <v>1659255845.8286138</v>
      </c>
      <c r="K66" s="11">
        <f t="shared" ref="K66" si="10">IFERROR(J66/J67-1,"")</f>
        <v>7.2184550000000014E-2</v>
      </c>
    </row>
    <row r="67" spans="1:11" ht="22.5" customHeight="1">
      <c r="A67" s="3">
        <f t="shared" si="0"/>
        <v>1950</v>
      </c>
      <c r="B67" s="3">
        <v>1700</v>
      </c>
      <c r="C67" s="10">
        <v>693900</v>
      </c>
      <c r="D67" s="11">
        <v>1.3089999999999999E-2</v>
      </c>
      <c r="E67" s="3" t="s">
        <v>72</v>
      </c>
      <c r="F67" s="10">
        <f>SUM(C2)</f>
        <v>820977.25533157552</v>
      </c>
      <c r="G67" s="29">
        <v>3.3</v>
      </c>
      <c r="H67" s="10"/>
      <c r="I67" s="10">
        <f t="shared" ref="I67" si="11">IF(H67&lt;&gt;"",H67,I66/(1+IF(G66="",0,G66)/100))</f>
        <v>2230.215984030227</v>
      </c>
      <c r="J67" s="10">
        <f t="shared" si="9"/>
        <v>1547546871.3185744</v>
      </c>
      <c r="K67" s="11"/>
    </row>
  </sheetData>
  <dataValidations count="1">
    <dataValidation type="custom" allowBlank="1" showDropDown="1" sqref="D2:D67" xr:uid="{00000000-0002-0000-4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M67"/>
  <sheetViews>
    <sheetView topLeftCell="A36" workbookViewId="0">
      <selection activeCell="L44" sqref="L4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9164625.6366110574</v>
      </c>
      <c r="D2" s="11">
        <v>1.7319999999999999E-2</v>
      </c>
      <c r="E2" s="10">
        <f t="shared" ref="E2:E66" si="2">SUM(C2-C3)</f>
        <v>156028.89555509016</v>
      </c>
      <c r="F2" s="14">
        <v>9164021</v>
      </c>
      <c r="G2" s="29">
        <v>6.37</v>
      </c>
      <c r="H2" s="10"/>
      <c r="I2" s="10">
        <f>IF(H2&lt;&gt;"",H2,51432)</f>
        <v>6429</v>
      </c>
      <c r="J2" s="10">
        <f t="shared" ref="J2:J33" si="3">IF(I2="","",I2*C2)</f>
        <v>58919378217.772491</v>
      </c>
      <c r="K2" s="11">
        <f t="shared" ref="K2:K33" si="4">IFERROR(J2/J3-1,"")</f>
        <v>8.2123284000000352E-2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9008596.7410559673</v>
      </c>
      <c r="D3" s="11">
        <v>1.8190000000000001E-2</v>
      </c>
      <c r="E3" s="10">
        <f t="shared" si="2"/>
        <v>160938.89619796723</v>
      </c>
      <c r="F3" s="3"/>
      <c r="G3" s="29">
        <v>6.22</v>
      </c>
      <c r="H3" s="10"/>
      <c r="I3" s="10">
        <f t="shared" ref="I3:I34" si="5">IF(H3&lt;&gt;"",H3,I2/(1+IF(G2="",0,G2)/100))</f>
        <v>6043.9973676788559</v>
      </c>
      <c r="J3" s="10">
        <f t="shared" si="3"/>
        <v>54447934989.422585</v>
      </c>
      <c r="K3" s="11">
        <f t="shared" si="4"/>
        <v>8.1521418000000123E-2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8847657.8448580001</v>
      </c>
      <c r="D4" s="11">
        <v>1.8939999999999999E-2</v>
      </c>
      <c r="E4" s="10">
        <f t="shared" si="2"/>
        <v>164459.77150922455</v>
      </c>
      <c r="F4" s="3"/>
      <c r="G4" s="29">
        <v>2.41</v>
      </c>
      <c r="H4" s="10"/>
      <c r="I4" s="10">
        <f t="shared" si="5"/>
        <v>5690.0747200893011</v>
      </c>
      <c r="J4" s="10">
        <f t="shared" si="3"/>
        <v>50343834235.026291</v>
      </c>
      <c r="K4" s="11">
        <f t="shared" si="4"/>
        <v>4.3496453999999796E-2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8683198.0733487755</v>
      </c>
      <c r="D5" s="11">
        <v>1.984E-2</v>
      </c>
      <c r="E5" s="10">
        <f t="shared" si="2"/>
        <v>168923.21322485991</v>
      </c>
      <c r="F5" s="3"/>
      <c r="G5" s="29">
        <v>4</v>
      </c>
      <c r="H5" s="10"/>
      <c r="I5" s="10">
        <f t="shared" si="5"/>
        <v>5556.1709990130857</v>
      </c>
      <c r="J5" s="10">
        <f t="shared" si="3"/>
        <v>48245333313.826767</v>
      </c>
      <c r="K5" s="11">
        <f t="shared" si="4"/>
        <v>6.0633600000000287E-2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8514274.8601239156</v>
      </c>
      <c r="D6" s="11">
        <v>2.0580000000000001E-2</v>
      </c>
      <c r="E6" s="10">
        <f t="shared" si="2"/>
        <v>171690.38842751179</v>
      </c>
      <c r="F6" s="3"/>
      <c r="G6" s="29">
        <v>1.33</v>
      </c>
      <c r="H6" s="10"/>
      <c r="I6" s="10">
        <f t="shared" si="5"/>
        <v>5342.472114435659</v>
      </c>
      <c r="J6" s="10">
        <f t="shared" si="3"/>
        <v>45487276014.852592</v>
      </c>
      <c r="K6" s="11">
        <f t="shared" si="4"/>
        <v>3.4153714000000113E-2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8342584.4716964038</v>
      </c>
      <c r="D7" s="11">
        <v>2.1309999999999999E-2</v>
      </c>
      <c r="E7" s="10">
        <f t="shared" si="2"/>
        <v>174071.02162110433</v>
      </c>
      <c r="F7" s="3"/>
      <c r="G7" s="29">
        <v>3.39</v>
      </c>
      <c r="H7" s="10"/>
      <c r="I7" s="10">
        <f t="shared" si="5"/>
        <v>5272.3498612806261</v>
      </c>
      <c r="J7" s="10">
        <f t="shared" si="3"/>
        <v>43985024082.070442</v>
      </c>
      <c r="K7" s="11">
        <f t="shared" si="4"/>
        <v>5.5932409000000183E-2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8168513.4500752995</v>
      </c>
      <c r="D8" s="11">
        <v>2.2620000000000001E-2</v>
      </c>
      <c r="E8" s="10">
        <f t="shared" si="2"/>
        <v>180684.68662915286</v>
      </c>
      <c r="F8" s="3"/>
      <c r="G8" s="29">
        <v>2.75</v>
      </c>
      <c r="H8" s="10"/>
      <c r="I8" s="10">
        <f t="shared" si="5"/>
        <v>5099.4775716032746</v>
      </c>
      <c r="J8" s="10">
        <f t="shared" si="3"/>
        <v>41655151131.998672</v>
      </c>
      <c r="K8" s="11">
        <f t="shared" si="4"/>
        <v>5.0742050000000205E-2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7987828.7634461466</v>
      </c>
      <c r="D9" s="11">
        <v>2.358E-2</v>
      </c>
      <c r="E9" s="10">
        <f t="shared" si="2"/>
        <v>184013.9532250138</v>
      </c>
      <c r="F9" s="3"/>
      <c r="G9" s="29">
        <v>3.7</v>
      </c>
      <c r="H9" s="10"/>
      <c r="I9" s="10">
        <f t="shared" si="5"/>
        <v>4962.9952035068363</v>
      </c>
      <c r="J9" s="10">
        <f t="shared" si="3"/>
        <v>39643555839.417168</v>
      </c>
      <c r="K9" s="11">
        <f t="shared" si="4"/>
        <v>6.1452459999999931E-2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7803814.8102211328</v>
      </c>
      <c r="D10" s="11">
        <v>2.41E-2</v>
      </c>
      <c r="E10" s="10">
        <f t="shared" si="2"/>
        <v>183646.06671841536</v>
      </c>
      <c r="F10" s="3"/>
      <c r="G10" s="29">
        <v>2.83</v>
      </c>
      <c r="H10" s="10"/>
      <c r="I10" s="10">
        <f t="shared" si="5"/>
        <v>4785.9163003923204</v>
      </c>
      <c r="J10" s="10">
        <f t="shared" si="3"/>
        <v>37348404505.480324</v>
      </c>
      <c r="K10" s="11">
        <f t="shared" si="4"/>
        <v>5.3082029999999891E-2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7620168.7435027175</v>
      </c>
      <c r="D11" s="11">
        <v>2.436E-2</v>
      </c>
      <c r="E11" s="10">
        <f t="shared" si="2"/>
        <v>181212.96281749196</v>
      </c>
      <c r="F11" s="3"/>
      <c r="G11" s="29">
        <v>2.33</v>
      </c>
      <c r="H11" s="10"/>
      <c r="I11" s="10">
        <f t="shared" si="5"/>
        <v>4654.202373229914</v>
      </c>
      <c r="J11" s="10">
        <f t="shared" si="3"/>
        <v>35465807450.42276</v>
      </c>
      <c r="K11" s="11">
        <f t="shared" si="4"/>
        <v>4.8227588000000043E-2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7438955.7806852255</v>
      </c>
      <c r="D12" s="11">
        <v>2.452E-2</v>
      </c>
      <c r="E12" s="10">
        <f t="shared" si="2"/>
        <v>178037.71106703859</v>
      </c>
      <c r="F12" s="3"/>
      <c r="G12" s="29">
        <v>4.3099999999999996</v>
      </c>
      <c r="H12" s="10"/>
      <c r="I12" s="10">
        <f t="shared" si="5"/>
        <v>4548.228645783166</v>
      </c>
      <c r="J12" s="10">
        <f t="shared" si="3"/>
        <v>33834071776.426819</v>
      </c>
      <c r="K12" s="11">
        <f t="shared" si="4"/>
        <v>6.8676812000000087E-2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7260918.0696181869</v>
      </c>
      <c r="D13" s="11">
        <v>2.477E-2</v>
      </c>
      <c r="E13" s="10">
        <f t="shared" si="2"/>
        <v>175505.66525604948</v>
      </c>
      <c r="F13" s="3"/>
      <c r="G13" s="29">
        <v>4.6399999999999997</v>
      </c>
      <c r="H13" s="10"/>
      <c r="I13" s="10">
        <f t="shared" si="5"/>
        <v>4360.2997275267626</v>
      </c>
      <c r="J13" s="10">
        <f t="shared" si="3"/>
        <v>31659779080.550327</v>
      </c>
      <c r="K13" s="11">
        <f t="shared" si="4"/>
        <v>7.231932799999985E-2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7085412.4043621374</v>
      </c>
      <c r="D14" s="11">
        <v>2.52E-2</v>
      </c>
      <c r="E14" s="10">
        <f t="shared" si="2"/>
        <v>174163.4730685968</v>
      </c>
      <c r="F14" s="3"/>
      <c r="G14" s="29">
        <v>5.59</v>
      </c>
      <c r="H14" s="10"/>
      <c r="I14" s="10">
        <f t="shared" si="5"/>
        <v>4166.9531035232822</v>
      </c>
      <c r="J14" s="10">
        <f t="shared" si="3"/>
        <v>29524581208.099171</v>
      </c>
      <c r="K14" s="11">
        <f t="shared" si="4"/>
        <v>8.2508680000000112E-2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6911248.9312935406</v>
      </c>
      <c r="D15" s="11">
        <v>2.6079999999999999E-2</v>
      </c>
      <c r="E15" s="10">
        <f t="shared" si="2"/>
        <v>175664.05360998772</v>
      </c>
      <c r="F15" s="3"/>
      <c r="G15" s="29">
        <v>7.0000000000000007E-2</v>
      </c>
      <c r="H15" s="10"/>
      <c r="I15" s="10">
        <f t="shared" si="5"/>
        <v>3946.3520253085348</v>
      </c>
      <c r="J15" s="10">
        <f t="shared" si="3"/>
        <v>27274221217.421711</v>
      </c>
      <c r="K15" s="11">
        <f t="shared" si="4"/>
        <v>2.6798256000000187E-2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6735584.8776835529</v>
      </c>
      <c r="D16" s="11">
        <v>2.1749999999999999E-2</v>
      </c>
      <c r="E16" s="10">
        <f t="shared" si="2"/>
        <v>143380.4463808341</v>
      </c>
      <c r="F16" s="3"/>
      <c r="G16" s="29">
        <v>4.3099999999999996</v>
      </c>
      <c r="H16" s="10"/>
      <c r="I16" s="10">
        <f t="shared" si="5"/>
        <v>3943.5915112506596</v>
      </c>
      <c r="J16" s="10">
        <f t="shared" si="3"/>
        <v>26562395346.94117</v>
      </c>
      <c r="K16" s="11">
        <f t="shared" si="4"/>
        <v>6.5787424999999899E-2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6592204.4313027188</v>
      </c>
      <c r="D17" s="11">
        <v>1.0619999999999999E-2</v>
      </c>
      <c r="E17" s="10">
        <f t="shared" si="2"/>
        <v>69273.526212063618</v>
      </c>
      <c r="F17" s="3"/>
      <c r="G17" s="29">
        <v>3.89</v>
      </c>
      <c r="H17" s="10"/>
      <c r="I17" s="10">
        <f t="shared" si="5"/>
        <v>3780.6456823417311</v>
      </c>
      <c r="J17" s="10">
        <f t="shared" si="3"/>
        <v>24922789220.318649</v>
      </c>
      <c r="K17" s="11">
        <f t="shared" si="4"/>
        <v>4.9933117999999999E-2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6522930.9050906552</v>
      </c>
      <c r="D18" s="11">
        <v>1.14E-2</v>
      </c>
      <c r="E18" s="10">
        <f t="shared" si="2"/>
        <v>73523.247298827395</v>
      </c>
      <c r="F18" s="3"/>
      <c r="G18" s="29">
        <v>6.28</v>
      </c>
      <c r="H18" s="10"/>
      <c r="I18" s="10">
        <f t="shared" si="5"/>
        <v>3639.0852655132653</v>
      </c>
      <c r="J18" s="10">
        <f t="shared" si="3"/>
        <v>23737501744.67651</v>
      </c>
      <c r="K18" s="11">
        <f t="shared" si="4"/>
        <v>7.4915920000000025E-2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6449407.6577918278</v>
      </c>
      <c r="D19" s="11">
        <v>1.2489999999999999E-2</v>
      </c>
      <c r="E19" s="10">
        <f t="shared" si="2"/>
        <v>79559.404681349173</v>
      </c>
      <c r="F19" s="3"/>
      <c r="G19" s="29">
        <v>5.9</v>
      </c>
      <c r="H19" s="10"/>
      <c r="I19" s="10">
        <f t="shared" si="5"/>
        <v>3424.054634468635</v>
      </c>
      <c r="J19" s="10">
        <f t="shared" si="3"/>
        <v>22083124180.239613</v>
      </c>
      <c r="K19" s="11">
        <f t="shared" si="4"/>
        <v>7.2226909999999922E-2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6369848.2531104786</v>
      </c>
      <c r="D20" s="11">
        <v>1.3679999999999999E-2</v>
      </c>
      <c r="E20" s="10">
        <f t="shared" si="2"/>
        <v>85963.542836546898</v>
      </c>
      <c r="F20" s="3"/>
      <c r="G20" s="29">
        <v>3.05</v>
      </c>
      <c r="H20" s="10"/>
      <c r="I20" s="10">
        <f t="shared" si="5"/>
        <v>3233.2904952489471</v>
      </c>
      <c r="J20" s="10">
        <f t="shared" si="3"/>
        <v>20595569812.96022</v>
      </c>
      <c r="K20" s="11">
        <f t="shared" si="4"/>
        <v>4.4597240000000093E-2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6283884.7102739317</v>
      </c>
      <c r="D21" s="11">
        <v>1.473E-2</v>
      </c>
      <c r="E21" s="10">
        <f t="shared" si="2"/>
        <v>91217.980923334137</v>
      </c>
      <c r="F21" s="3"/>
      <c r="G21" s="29">
        <v>2.02</v>
      </c>
      <c r="H21" s="10"/>
      <c r="I21" s="10">
        <f t="shared" si="5"/>
        <v>3137.5938818524473</v>
      </c>
      <c r="J21" s="10">
        <f t="shared" si="3"/>
        <v>19716278221.221626</v>
      </c>
      <c r="K21" s="11">
        <f t="shared" si="4"/>
        <v>3.5227545999999998E-2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6192666.7293505976</v>
      </c>
      <c r="D22" s="11">
        <v>1.5689999999999999E-2</v>
      </c>
      <c r="E22" s="10">
        <f t="shared" si="2"/>
        <v>95662.004138576798</v>
      </c>
      <c r="F22" s="3"/>
      <c r="G22" s="29">
        <v>5.47</v>
      </c>
      <c r="H22" s="10"/>
      <c r="I22" s="10">
        <f t="shared" si="5"/>
        <v>3075.469399972993</v>
      </c>
      <c r="J22" s="10">
        <f t="shared" si="3"/>
        <v>19045357030.348598</v>
      </c>
      <c r="K22" s="11">
        <f t="shared" si="4"/>
        <v>7.1248242999999878E-2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6097004.7252120208</v>
      </c>
      <c r="D23" s="11">
        <v>1.6639999999999999E-2</v>
      </c>
      <c r="E23" s="10">
        <f t="shared" si="2"/>
        <v>99793.59323607944</v>
      </c>
      <c r="F23" s="3"/>
      <c r="G23" s="29">
        <v>-0.05</v>
      </c>
      <c r="H23" s="10"/>
      <c r="I23" s="10">
        <f t="shared" si="5"/>
        <v>2915.9660566729808</v>
      </c>
      <c r="J23" s="10">
        <f t="shared" si="3"/>
        <v>17778658826.093029</v>
      </c>
      <c r="K23" s="11">
        <f t="shared" si="4"/>
        <v>1.6131680000000204E-2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5997211.1319759414</v>
      </c>
      <c r="D24" s="11">
        <v>1.78E-2</v>
      </c>
      <c r="E24" s="10">
        <f t="shared" si="2"/>
        <v>104883.43304104172</v>
      </c>
      <c r="F24" s="3"/>
      <c r="G24" s="29">
        <v>1.36</v>
      </c>
      <c r="H24" s="10"/>
      <c r="I24" s="10">
        <f t="shared" si="5"/>
        <v>2917.4247690575094</v>
      </c>
      <c r="J24" s="10">
        <f t="shared" si="3"/>
        <v>17496412301.694035</v>
      </c>
      <c r="K24" s="11">
        <f t="shared" si="4"/>
        <v>3.1642080000000128E-2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5892327.6989348996</v>
      </c>
      <c r="D25" s="11">
        <v>1.8669999999999999E-2</v>
      </c>
      <c r="E25" s="10">
        <f t="shared" si="2"/>
        <v>107993.5191368293</v>
      </c>
      <c r="F25" s="3"/>
      <c r="G25" s="29">
        <v>1.32</v>
      </c>
      <c r="H25" s="10"/>
      <c r="I25" s="10">
        <f t="shared" si="5"/>
        <v>2878.2801588965167</v>
      </c>
      <c r="J25" s="10">
        <f t="shared" si="3"/>
        <v>16959769905.56069</v>
      </c>
      <c r="K25" s="11">
        <f t="shared" si="4"/>
        <v>3.2116443999999911E-2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5784334.1797980703</v>
      </c>
      <c r="D26" s="11">
        <v>1.9369999999999998E-2</v>
      </c>
      <c r="E26" s="10">
        <f t="shared" si="2"/>
        <v>109913.52802484669</v>
      </c>
      <c r="F26" s="3"/>
      <c r="G26" s="29">
        <v>12.66</v>
      </c>
      <c r="H26" s="10"/>
      <c r="I26" s="10">
        <f t="shared" si="5"/>
        <v>2840.7818386266449</v>
      </c>
      <c r="J26" s="10">
        <f t="shared" si="3"/>
        <v>16432031486.517708</v>
      </c>
      <c r="K26" s="11">
        <f t="shared" si="4"/>
        <v>0.14842224199999987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5674420.6517732237</v>
      </c>
      <c r="D27" s="11">
        <v>2.4379999999999999E-2</v>
      </c>
      <c r="E27" s="10">
        <f t="shared" si="2"/>
        <v>135049.85990573</v>
      </c>
      <c r="F27" s="3"/>
      <c r="G27" s="29">
        <v>-6.75</v>
      </c>
      <c r="H27" s="10"/>
      <c r="I27" s="10">
        <f t="shared" si="5"/>
        <v>2521.5532031125908</v>
      </c>
      <c r="J27" s="10">
        <f t="shared" si="3"/>
        <v>14308353570.287008</v>
      </c>
      <c r="K27" s="11">
        <f t="shared" si="4"/>
        <v>-4.4765649999999879E-2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5539370.7918674937</v>
      </c>
      <c r="D28" s="11">
        <v>2.504E-2</v>
      </c>
      <c r="E28" s="10">
        <f t="shared" si="2"/>
        <v>135317.49456446711</v>
      </c>
      <c r="F28" s="3"/>
      <c r="G28" s="29">
        <v>3.97</v>
      </c>
      <c r="H28" s="10"/>
      <c r="I28" s="10">
        <f t="shared" si="5"/>
        <v>2704.0785019974164</v>
      </c>
      <c r="J28" s="10">
        <f t="shared" si="3"/>
        <v>14978893472.881294</v>
      </c>
      <c r="K28" s="11">
        <f t="shared" si="4"/>
        <v>6.5734088000000135E-2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5404053.2973030265</v>
      </c>
      <c r="D29" s="11">
        <v>2.631E-2</v>
      </c>
      <c r="E29" s="10">
        <f t="shared" si="2"/>
        <v>138535.76624221075</v>
      </c>
      <c r="F29" s="3"/>
      <c r="G29" s="29">
        <v>-0.82</v>
      </c>
      <c r="H29" s="10"/>
      <c r="I29" s="10">
        <f t="shared" si="5"/>
        <v>2600.825720878538</v>
      </c>
      <c r="J29" s="10">
        <f t="shared" si="3"/>
        <v>14055000812.624184</v>
      </c>
      <c r="K29" s="11">
        <f t="shared" si="4"/>
        <v>1.7894258000000107E-2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5265517.5310608158</v>
      </c>
      <c r="D30" s="11">
        <v>2.5989999999999999E-2</v>
      </c>
      <c r="E30" s="10">
        <f t="shared" si="2"/>
        <v>133384.1466605626</v>
      </c>
      <c r="F30" s="3"/>
      <c r="G30" s="29">
        <v>6.26</v>
      </c>
      <c r="H30" s="10"/>
      <c r="I30" s="10">
        <f t="shared" si="5"/>
        <v>2622.3288171794093</v>
      </c>
      <c r="J30" s="10">
        <f t="shared" si="3"/>
        <v>13807918359.064152</v>
      </c>
      <c r="K30" s="11">
        <f t="shared" si="4"/>
        <v>9.0216974000000061E-2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5132133.3844002532</v>
      </c>
      <c r="D31" s="11">
        <v>2.3189999999999999E-2</v>
      </c>
      <c r="E31" s="10">
        <f t="shared" si="2"/>
        <v>116316.78689612076</v>
      </c>
      <c r="F31" s="3"/>
      <c r="G31" s="29">
        <v>3.13</v>
      </c>
      <c r="H31" s="10"/>
      <c r="I31" s="10">
        <f t="shared" si="5"/>
        <v>2467.8419134005358</v>
      </c>
      <c r="J31" s="10">
        <f t="shared" si="3"/>
        <v>12665293871.185087</v>
      </c>
      <c r="K31" s="11">
        <f t="shared" si="4"/>
        <v>5.5215846999999929E-2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5015816.5975041324</v>
      </c>
      <c r="D32" s="11">
        <v>2.214E-2</v>
      </c>
      <c r="E32" s="10">
        <f t="shared" si="2"/>
        <v>108644.78395204339</v>
      </c>
      <c r="F32" s="3"/>
      <c r="G32" s="29">
        <v>3.46</v>
      </c>
      <c r="H32" s="10"/>
      <c r="I32" s="10">
        <f t="shared" si="5"/>
        <v>2392.9428036464033</v>
      </c>
      <c r="J32" s="10">
        <f t="shared" si="3"/>
        <v>12002562231.407701</v>
      </c>
      <c r="K32" s="11">
        <f t="shared" si="4"/>
        <v>5.7506043999999923E-2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4907171.813552089</v>
      </c>
      <c r="D33" s="11">
        <v>1.9949999999999999E-2</v>
      </c>
      <c r="E33" s="10">
        <f t="shared" si="2"/>
        <v>95983.212589208968</v>
      </c>
      <c r="F33" s="3"/>
      <c r="G33" s="29">
        <v>3.94</v>
      </c>
      <c r="H33" s="10"/>
      <c r="I33" s="10">
        <f t="shared" si="5"/>
        <v>2312.9159130547105</v>
      </c>
      <c r="J33" s="10">
        <f t="shared" si="3"/>
        <v>11349875775.658169</v>
      </c>
      <c r="K33" s="11">
        <f t="shared" si="4"/>
        <v>6.0136030000000007E-2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4811188.6009628801</v>
      </c>
      <c r="D34" s="11">
        <v>1.8249999999999999E-2</v>
      </c>
      <c r="E34" s="10">
        <f t="shared" si="2"/>
        <v>86230.485605277121</v>
      </c>
      <c r="F34" s="3"/>
      <c r="G34" s="29">
        <v>-6.95</v>
      </c>
      <c r="H34" s="10"/>
      <c r="I34" s="10">
        <f t="shared" si="5"/>
        <v>2225.2414018228883</v>
      </c>
      <c r="J34" s="10">
        <f t="shared" ref="J34:J65" si="6">IF(I34="","",I34*C34)</f>
        <v>10706056066.84094</v>
      </c>
      <c r="K34" s="11">
        <f t="shared" ref="K34:K65" si="7">IFERROR(J34/J35-1,"")</f>
        <v>-3.9281124999999806E-2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4724958.1153576029</v>
      </c>
      <c r="D35" s="11">
        <v>1.7950000000000001E-2</v>
      </c>
      <c r="E35" s="10">
        <f t="shared" si="2"/>
        <v>83317.449944171123</v>
      </c>
      <c r="F35" s="3"/>
      <c r="G35" s="29">
        <v>5.31</v>
      </c>
      <c r="H35" s="10"/>
      <c r="I35" s="10">
        <f t="shared" ref="I35:I66" si="8">IF(H35&lt;&gt;"",H35,I34/(1+IF(G34="",0,G34)/100))</f>
        <v>2358.4964513226159</v>
      </c>
      <c r="J35" s="10">
        <f t="shared" si="6"/>
        <v>11143796947.718903</v>
      </c>
      <c r="K35" s="11">
        <f t="shared" si="7"/>
        <v>9.9487795000000157E-2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4641640.6654134318</v>
      </c>
      <c r="D36" s="11">
        <v>1.934E-2</v>
      </c>
      <c r="E36" s="10">
        <f t="shared" si="2"/>
        <v>88066.13148615323</v>
      </c>
      <c r="F36" s="3"/>
      <c r="G36" s="29">
        <v>0.38</v>
      </c>
      <c r="H36" s="10"/>
      <c r="I36" s="10">
        <f t="shared" si="8"/>
        <v>2183.5908261481491</v>
      </c>
      <c r="J36" s="10">
        <f t="shared" si="6"/>
        <v>10135443975.272961</v>
      </c>
      <c r="K36" s="11">
        <f t="shared" si="7"/>
        <v>7.2141811999999916E-2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4553574.5339272786</v>
      </c>
      <c r="D37" s="11">
        <v>2.2290000000000001E-2</v>
      </c>
      <c r="E37" s="10">
        <f t="shared" si="2"/>
        <v>99286.089427891187</v>
      </c>
      <c r="F37" s="3"/>
      <c r="G37" s="29">
        <v>-1.31</v>
      </c>
      <c r="H37" s="10"/>
      <c r="I37" s="10">
        <f t="shared" si="8"/>
        <v>2076.0513654194228</v>
      </c>
      <c r="J37" s="10">
        <f t="shared" si="6"/>
        <v>9453454628.6988392</v>
      </c>
      <c r="K37" s="11">
        <f t="shared" si="7"/>
        <v>6.3079371000000162E-2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4454288.4444993874</v>
      </c>
      <c r="D38" s="11">
        <v>2.4799999999999999E-2</v>
      </c>
      <c r="E38" s="10">
        <f t="shared" si="2"/>
        <v>107793.08491762727</v>
      </c>
      <c r="F38" s="3"/>
      <c r="G38" s="29">
        <v>3.3</v>
      </c>
      <c r="H38" s="10"/>
      <c r="I38" s="10">
        <f t="shared" si="8"/>
        <v>1996.3951970568542</v>
      </c>
      <c r="J38" s="10">
        <f t="shared" si="6"/>
        <v>8892520056.9044228</v>
      </c>
      <c r="K38" s="11">
        <f t="shared" si="7"/>
        <v>9.6535999999999955E-2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4346495.3595817601</v>
      </c>
      <c r="D39" s="11">
        <v>2.6980000000000001E-2</v>
      </c>
      <c r="E39" s="10">
        <f t="shared" si="2"/>
        <v>114187.6616891427</v>
      </c>
      <c r="F39" s="3"/>
      <c r="G39" s="29">
        <v>-3.95</v>
      </c>
      <c r="H39" s="10"/>
      <c r="I39" s="10">
        <f t="shared" si="8"/>
        <v>1865.7899037914524</v>
      </c>
      <c r="J39" s="10">
        <f t="shared" si="6"/>
        <v>8109647158.7840462</v>
      </c>
      <c r="K39" s="11">
        <f t="shared" si="7"/>
        <v>-1.3585710000000084E-2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4232307.6978926174</v>
      </c>
      <c r="D40" s="11">
        <v>2.69E-2</v>
      </c>
      <c r="E40" s="10">
        <f t="shared" si="2"/>
        <v>110866.76119710878</v>
      </c>
      <c r="F40" s="3"/>
      <c r="G40" s="29">
        <v>-2.68</v>
      </c>
      <c r="H40" s="10"/>
      <c r="I40" s="10">
        <f t="shared" si="8"/>
        <v>1942.5194209177016</v>
      </c>
      <c r="J40" s="10">
        <f t="shared" si="6"/>
        <v>8221339898.4558983</v>
      </c>
      <c r="K40" s="11">
        <f t="shared" si="7"/>
        <v>-6.2092000000013581E-4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4121440.9366955087</v>
      </c>
      <c r="D41" s="11">
        <v>2.588E-2</v>
      </c>
      <c r="E41" s="10">
        <f t="shared" si="2"/>
        <v>103972.0936578149</v>
      </c>
      <c r="F41" s="3"/>
      <c r="G41" s="29">
        <v>8.92</v>
      </c>
      <c r="H41" s="10"/>
      <c r="I41" s="10">
        <f t="shared" si="8"/>
        <v>1996.0125574575645</v>
      </c>
      <c r="J41" s="10">
        <f t="shared" si="6"/>
        <v>8226447864.4639025</v>
      </c>
      <c r="K41" s="11">
        <f t="shared" si="7"/>
        <v>0.11738849599999979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4017468.8430376938</v>
      </c>
      <c r="D42" s="11">
        <v>2.4539999999999999E-2</v>
      </c>
      <c r="E42" s="10">
        <f t="shared" si="2"/>
        <v>96227.268245402724</v>
      </c>
      <c r="F42" s="3"/>
      <c r="G42" s="29">
        <v>-7.54</v>
      </c>
      <c r="H42" s="10"/>
      <c r="I42" s="10">
        <f t="shared" si="8"/>
        <v>1832.5491713712493</v>
      </c>
      <c r="J42" s="10">
        <f t="shared" si="6"/>
        <v>7362209199.3185368</v>
      </c>
      <c r="K42" s="11">
        <f t="shared" si="7"/>
        <v>-5.271031600000009E-2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3921241.574792291</v>
      </c>
      <c r="D43" s="11">
        <v>2.2960000000000001E-2</v>
      </c>
      <c r="E43" s="10">
        <f t="shared" si="2"/>
        <v>88010.974580855109</v>
      </c>
      <c r="F43" s="3"/>
      <c r="G43" s="29">
        <v>4.2</v>
      </c>
      <c r="H43" s="10"/>
      <c r="I43" s="10">
        <f t="shared" si="8"/>
        <v>1981.9913166463868</v>
      </c>
      <c r="J43" s="10">
        <f t="shared" si="6"/>
        <v>7771866751.7111244</v>
      </c>
      <c r="K43" s="11">
        <f t="shared" si="7"/>
        <v>6.5924320000000147E-2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3833230.6002114359</v>
      </c>
      <c r="D44" s="11">
        <v>2.179E-2</v>
      </c>
      <c r="E44" s="10">
        <f t="shared" si="2"/>
        <v>81744.873974698596</v>
      </c>
      <c r="F44" s="3"/>
      <c r="G44" s="29">
        <v>-5.58</v>
      </c>
      <c r="H44" s="10"/>
      <c r="I44" s="10">
        <f t="shared" si="8"/>
        <v>1902.1029910234038</v>
      </c>
      <c r="J44" s="10">
        <f t="shared" si="6"/>
        <v>7291199389.9446096</v>
      </c>
      <c r="K44" s="11">
        <f t="shared" si="7"/>
        <v>-3.5225881999999875E-2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3751485.7262367373</v>
      </c>
      <c r="D45" s="11">
        <v>2.1100000000000001E-2</v>
      </c>
      <c r="E45" s="10">
        <f t="shared" si="2"/>
        <v>77520.662837719079</v>
      </c>
      <c r="F45" s="3"/>
      <c r="G45" s="29">
        <v>6.38</v>
      </c>
      <c r="H45" s="10"/>
      <c r="I45" s="10">
        <f t="shared" si="8"/>
        <v>2014.5128055744585</v>
      </c>
      <c r="J45" s="10">
        <f t="shared" si="6"/>
        <v>7557416035.4337044</v>
      </c>
      <c r="K45" s="11">
        <f t="shared" si="7"/>
        <v>8.6246180000000061E-2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3673965.0633990183</v>
      </c>
      <c r="D46" s="11">
        <v>2.1579999999999998E-2</v>
      </c>
      <c r="E46" s="10">
        <f t="shared" si="2"/>
        <v>77609.35616217088</v>
      </c>
      <c r="F46" s="3"/>
      <c r="G46" s="29">
        <v>-0.14000000000000001</v>
      </c>
      <c r="H46" s="10"/>
      <c r="I46" s="10">
        <f t="shared" si="8"/>
        <v>1893.6950607016904</v>
      </c>
      <c r="J46" s="10">
        <f t="shared" si="6"/>
        <v>6957369493.7492933</v>
      </c>
      <c r="K46" s="11">
        <f t="shared" si="7"/>
        <v>2.0149787999999891E-2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3596355.7072368474</v>
      </c>
      <c r="D47" s="11">
        <v>2.1839999999999998E-2</v>
      </c>
      <c r="E47" s="10">
        <f t="shared" si="2"/>
        <v>76865.662575406022</v>
      </c>
      <c r="F47" s="3"/>
      <c r="G47" s="29">
        <v>8.56</v>
      </c>
      <c r="H47" s="10"/>
      <c r="I47" s="10">
        <f t="shared" si="8"/>
        <v>1896.3499506325759</v>
      </c>
      <c r="J47" s="10">
        <f t="shared" si="6"/>
        <v>6819948967.8757782</v>
      </c>
      <c r="K47" s="11">
        <f t="shared" si="7"/>
        <v>0.10930950400000006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3519490.0446614414</v>
      </c>
      <c r="D48" s="11">
        <v>1.83E-2</v>
      </c>
      <c r="E48" s="10">
        <f t="shared" si="2"/>
        <v>63249.207323288079</v>
      </c>
      <c r="F48" s="3"/>
      <c r="G48" s="29">
        <v>-6.55</v>
      </c>
      <c r="H48" s="10"/>
      <c r="I48" s="10">
        <f t="shared" si="8"/>
        <v>1746.8219884235225</v>
      </c>
      <c r="J48" s="10">
        <f t="shared" si="6"/>
        <v>6147922598.0522909</v>
      </c>
      <c r="K48" s="11">
        <f t="shared" si="7"/>
        <v>-4.8398650000000099E-2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3456240.8373381533</v>
      </c>
      <c r="D49" s="11">
        <v>1.6639999999999999E-2</v>
      </c>
      <c r="E49" s="10">
        <f t="shared" si="2"/>
        <v>56570.514177395031</v>
      </c>
      <c r="F49" s="3"/>
      <c r="G49" s="29">
        <v>6.29</v>
      </c>
      <c r="H49" s="10"/>
      <c r="I49" s="10">
        <f t="shared" si="8"/>
        <v>1869.2584145784083</v>
      </c>
      <c r="J49" s="10">
        <f t="shared" si="6"/>
        <v>6460607268.0038671</v>
      </c>
      <c r="K49" s="11">
        <f t="shared" si="7"/>
        <v>8.0586656000000145E-2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3399670.3231607582</v>
      </c>
      <c r="D50" s="11">
        <v>1.487E-2</v>
      </c>
      <c r="E50" s="10">
        <f t="shared" si="2"/>
        <v>49812.387503227219</v>
      </c>
      <c r="F50" s="3"/>
      <c r="G50" s="29">
        <v>-1.22</v>
      </c>
      <c r="H50" s="10"/>
      <c r="I50" s="10">
        <f t="shared" si="8"/>
        <v>1758.6399610296437</v>
      </c>
      <c r="J50" s="10">
        <f t="shared" si="6"/>
        <v>5978796084.6370716</v>
      </c>
      <c r="K50" s="11">
        <f t="shared" si="7"/>
        <v>2.4885859999999038E-3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3349857.935657531</v>
      </c>
      <c r="D51" s="11">
        <v>1.3050000000000001E-2</v>
      </c>
      <c r="E51" s="10">
        <f t="shared" si="2"/>
        <v>43152.505858872551</v>
      </c>
      <c r="F51" s="3"/>
      <c r="G51" s="29">
        <v>2.88</v>
      </c>
      <c r="H51" s="10"/>
      <c r="I51" s="10">
        <f t="shared" si="8"/>
        <v>1780.3603573897992</v>
      </c>
      <c r="J51" s="10">
        <f t="shared" si="6"/>
        <v>5963954271.5322971</v>
      </c>
      <c r="K51" s="11">
        <f t="shared" si="7"/>
        <v>4.2225839999999959E-2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3306705.4297986585</v>
      </c>
      <c r="D52" s="11">
        <v>1.1769999999999999E-2</v>
      </c>
      <c r="E52" s="10">
        <f t="shared" si="2"/>
        <v>38467.164383931551</v>
      </c>
      <c r="F52" s="3"/>
      <c r="G52" s="29">
        <v>1.33</v>
      </c>
      <c r="H52" s="10"/>
      <c r="I52" s="10">
        <f t="shared" si="8"/>
        <v>1730.5213427194783</v>
      </c>
      <c r="J52" s="10">
        <f t="shared" si="6"/>
        <v>5722324320.3529644</v>
      </c>
      <c r="K52" s="11">
        <f t="shared" si="7"/>
        <v>2.5226541000000102E-2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3268238.2654147269</v>
      </c>
      <c r="D53" s="11">
        <v>1.108E-2</v>
      </c>
      <c r="E53" s="10">
        <f t="shared" si="2"/>
        <v>35815.247043552343</v>
      </c>
      <c r="F53" s="3"/>
      <c r="G53" s="29">
        <v>3.88</v>
      </c>
      <c r="H53" s="10"/>
      <c r="I53" s="10">
        <f t="shared" si="8"/>
        <v>1707.8075029305026</v>
      </c>
      <c r="J53" s="10">
        <f t="shared" si="6"/>
        <v>5581521831.0398417</v>
      </c>
      <c r="K53" s="11">
        <f t="shared" si="7"/>
        <v>5.0309903999999683E-2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3232423.0183711746</v>
      </c>
      <c r="D54" s="11">
        <v>1.031E-2</v>
      </c>
      <c r="E54" s="10">
        <f t="shared" si="2"/>
        <v>32986.193662744015</v>
      </c>
      <c r="F54" s="3"/>
      <c r="G54" s="29">
        <v>1.86</v>
      </c>
      <c r="H54" s="10"/>
      <c r="I54" s="10">
        <f t="shared" si="8"/>
        <v>1644.0195446000218</v>
      </c>
      <c r="J54" s="10">
        <f t="shared" si="6"/>
        <v>5314166618.6172066</v>
      </c>
      <c r="K54" s="11">
        <f t="shared" si="7"/>
        <v>2.9101765999999918E-2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3199436.8247084306</v>
      </c>
      <c r="D55" s="11">
        <v>1.001E-2</v>
      </c>
      <c r="E55" s="10">
        <f t="shared" si="2"/>
        <v>31708.955966110807</v>
      </c>
      <c r="F55" s="3"/>
      <c r="G55" s="29">
        <v>-0.14000000000000001</v>
      </c>
      <c r="H55" s="10"/>
      <c r="I55" s="10">
        <f t="shared" si="8"/>
        <v>1613.9991602199311</v>
      </c>
      <c r="J55" s="10">
        <f t="shared" si="6"/>
        <v>5163888348.2561302</v>
      </c>
      <c r="K55" s="11">
        <f t="shared" si="7"/>
        <v>8.5959860000002219E-3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3167727.8687423198</v>
      </c>
      <c r="D56" s="11">
        <v>1.014E-2</v>
      </c>
      <c r="E56" s="10">
        <f t="shared" si="2"/>
        <v>31798.325567789841</v>
      </c>
      <c r="F56" s="3"/>
      <c r="G56" s="29">
        <v>2.99</v>
      </c>
      <c r="H56" s="10"/>
      <c r="I56" s="10">
        <f t="shared" si="8"/>
        <v>1616.2619269176157</v>
      </c>
      <c r="J56" s="10">
        <f t="shared" si="6"/>
        <v>5119877949.084094</v>
      </c>
      <c r="K56" s="11">
        <f t="shared" si="7"/>
        <v>4.0343186000000086E-2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3135929.5431745299</v>
      </c>
      <c r="D57" s="11">
        <v>1.017E-2</v>
      </c>
      <c r="E57" s="10">
        <f t="shared" si="2"/>
        <v>31571.323098176625</v>
      </c>
      <c r="F57" s="3"/>
      <c r="G57" s="30">
        <v>2.13</v>
      </c>
      <c r="H57" s="10"/>
      <c r="I57" s="10">
        <f t="shared" si="8"/>
        <v>1569.3386997937816</v>
      </c>
      <c r="J57" s="10">
        <f t="shared" si="6"/>
        <v>4921335591.9304247</v>
      </c>
      <c r="K57" s="11">
        <f t="shared" si="7"/>
        <v>3.1686621000000192E-2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3104358.2200763533</v>
      </c>
      <c r="D58" s="11">
        <v>1.115E-2</v>
      </c>
      <c r="E58" s="10">
        <f t="shared" si="2"/>
        <v>34231.908375464845</v>
      </c>
      <c r="F58" s="3"/>
      <c r="G58" s="30">
        <v>3.64</v>
      </c>
      <c r="H58" s="10"/>
      <c r="I58" s="10">
        <f t="shared" si="8"/>
        <v>1536.6089295934412</v>
      </c>
      <c r="J58" s="10">
        <f t="shared" si="6"/>
        <v>4770184561.6261253</v>
      </c>
      <c r="K58" s="11">
        <f t="shared" si="7"/>
        <v>4.7955860000000072E-2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3070126.3117008884</v>
      </c>
      <c r="D59" s="11">
        <v>1.077E-2</v>
      </c>
      <c r="E59" s="10">
        <f t="shared" si="2"/>
        <v>32712.941991766915</v>
      </c>
      <c r="F59" s="3"/>
      <c r="G59" s="30">
        <v>3.7</v>
      </c>
      <c r="H59" s="10"/>
      <c r="I59" s="10">
        <f t="shared" si="8"/>
        <v>1482.6408043163269</v>
      </c>
      <c r="J59" s="10">
        <f t="shared" si="6"/>
        <v>4551894544.1329231</v>
      </c>
      <c r="K59" s="11">
        <f t="shared" si="7"/>
        <v>4.8168489999999675E-2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3037413.3697091215</v>
      </c>
      <c r="D60" s="11">
        <v>9.9600000000000001E-3</v>
      </c>
      <c r="E60" s="10">
        <f t="shared" si="2"/>
        <v>29954.29240990011</v>
      </c>
      <c r="F60" s="3"/>
      <c r="G60" s="30">
        <v>3.75</v>
      </c>
      <c r="H60" s="10"/>
      <c r="I60" s="10">
        <f t="shared" si="8"/>
        <v>1429.740409176786</v>
      </c>
      <c r="J60" s="10">
        <f t="shared" si="6"/>
        <v>4342712634.0469599</v>
      </c>
      <c r="K60" s="11">
        <f t="shared" si="7"/>
        <v>4.7833500000000306E-2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3007459.0772992214</v>
      </c>
      <c r="D61" s="11">
        <v>9.7400000000000004E-3</v>
      </c>
      <c r="E61" s="10">
        <f t="shared" si="2"/>
        <v>29010.093106041662</v>
      </c>
      <c r="F61" s="3"/>
      <c r="G61" s="30">
        <v>3.68</v>
      </c>
      <c r="H61" s="10"/>
      <c r="I61" s="10">
        <f t="shared" si="8"/>
        <v>1378.063044989673</v>
      </c>
      <c r="J61" s="10">
        <f t="shared" si="6"/>
        <v>4144468213.7447972</v>
      </c>
      <c r="K61" s="11">
        <f t="shared" si="7"/>
        <v>4.6898432000000101E-2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2978448.9841931798</v>
      </c>
      <c r="D62" s="11">
        <v>9.3500000000000007E-3</v>
      </c>
      <c r="E62" s="10">
        <f t="shared" si="2"/>
        <v>27590.526578695513</v>
      </c>
      <c r="F62" s="3"/>
      <c r="G62" s="30">
        <v>3.65</v>
      </c>
      <c r="H62" s="10"/>
      <c r="I62" s="10">
        <f t="shared" si="8"/>
        <v>1329.1503134545458</v>
      </c>
      <c r="J62" s="10">
        <f t="shared" si="6"/>
        <v>3958806400.9487381</v>
      </c>
      <c r="K62" s="11">
        <f t="shared" si="7"/>
        <v>4.6191274999999976E-2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2950858.4576144842</v>
      </c>
      <c r="D63" s="11">
        <v>9.9100000000000004E-3</v>
      </c>
      <c r="E63" s="10">
        <f t="shared" si="2"/>
        <v>28956.052831400651</v>
      </c>
      <c r="F63" s="3"/>
      <c r="G63" s="30">
        <v>3.77</v>
      </c>
      <c r="H63" s="10"/>
      <c r="I63" s="10">
        <f t="shared" si="8"/>
        <v>1282.3447307810379</v>
      </c>
      <c r="J63" s="10">
        <f t="shared" si="6"/>
        <v>3784017794.4025946</v>
      </c>
      <c r="K63" s="11">
        <f t="shared" si="7"/>
        <v>4.798360700000015E-2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2921902.4047830836</v>
      </c>
      <c r="D64" s="11">
        <v>1.0829999999999999E-2</v>
      </c>
      <c r="E64" s="10">
        <f t="shared" si="2"/>
        <v>31305.168073563837</v>
      </c>
      <c r="F64" s="3"/>
      <c r="G64" s="30">
        <v>3.6</v>
      </c>
      <c r="H64" s="10"/>
      <c r="I64" s="10">
        <f t="shared" si="8"/>
        <v>1235.7567030751063</v>
      </c>
      <c r="J64" s="10">
        <f t="shared" si="6"/>
        <v>3610760482.441968</v>
      </c>
      <c r="K64" s="11">
        <f t="shared" si="7"/>
        <v>4.7219879999999881E-2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2890597.2367095198</v>
      </c>
      <c r="D65" s="11">
        <v>1.2489999999999999E-2</v>
      </c>
      <c r="E65" s="10">
        <f t="shared" si="2"/>
        <v>35658.188709519804</v>
      </c>
      <c r="F65" s="3"/>
      <c r="G65" s="30">
        <v>3.68</v>
      </c>
      <c r="H65" s="10"/>
      <c r="I65" s="10">
        <f t="shared" si="8"/>
        <v>1192.8153504585969</v>
      </c>
      <c r="J65" s="10">
        <f t="shared" si="6"/>
        <v>3447948755.9403176</v>
      </c>
      <c r="K65" s="11">
        <f t="shared" si="7"/>
        <v>4.9749631999999711E-2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2854939.048</v>
      </c>
      <c r="D66" s="11">
        <v>1.426E-2</v>
      </c>
      <c r="E66" s="10">
        <f t="shared" si="2"/>
        <v>40139.047999999952</v>
      </c>
      <c r="F66" s="23">
        <f>SUM(F2)</f>
        <v>9164021</v>
      </c>
      <c r="G66" s="30">
        <v>3.65</v>
      </c>
      <c r="H66" s="10"/>
      <c r="I66" s="10">
        <f t="shared" si="8"/>
        <v>1150.4777685750357</v>
      </c>
      <c r="J66" s="10">
        <f t="shared" ref="J66:J67" si="9">IF(I66="","",I66*C66)</f>
        <v>3284543905.3607769</v>
      </c>
      <c r="K66" s="11">
        <f t="shared" ref="K66" si="10">IFERROR(J66/J67-1,"")</f>
        <v>5.1280489999999901E-2</v>
      </c>
    </row>
    <row r="67" spans="1:11" ht="22.5" customHeight="1">
      <c r="A67" s="3">
        <f t="shared" si="0"/>
        <v>1950</v>
      </c>
      <c r="B67" s="3">
        <v>1700</v>
      </c>
      <c r="C67" s="10">
        <v>2814800</v>
      </c>
      <c r="D67" s="11">
        <v>1.47E-2</v>
      </c>
      <c r="E67" s="3" t="s">
        <v>72</v>
      </c>
      <c r="F67" s="10">
        <f>SUM(C2)</f>
        <v>9164625.6366110574</v>
      </c>
      <c r="G67" s="30">
        <v>3.68</v>
      </c>
      <c r="H67" s="10"/>
      <c r="I67" s="10">
        <f t="shared" ref="I67" si="11">IF(H67&lt;&gt;"",H67,I66/(1+IF(G66="",0,G66)/100))</f>
        <v>1109.9640796671836</v>
      </c>
      <c r="J67" s="10">
        <f t="shared" si="9"/>
        <v>3124326891.4471884</v>
      </c>
      <c r="K67" s="11"/>
    </row>
  </sheetData>
  <dataValidations count="1">
    <dataValidation type="custom" allowBlank="1" showDropDown="1" sqref="D2:D67" xr:uid="{00000000-0002-0000-4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M67"/>
  <sheetViews>
    <sheetView topLeftCell="A38" workbookViewId="0">
      <selection activeCell="K62" sqref="K6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6524314.5465817414</v>
      </c>
      <c r="D2" s="11">
        <v>-2.0000000000000002E-5</v>
      </c>
      <c r="E2" s="10">
        <f t="shared" ref="E2:E66" si="2">SUM(C2-C3)</f>
        <v>-130.48890070989728</v>
      </c>
      <c r="F2" s="14">
        <v>6524522</v>
      </c>
      <c r="G2" s="29">
        <v>2.1</v>
      </c>
      <c r="H2" s="10"/>
      <c r="I2" s="10">
        <f>IF(H2&lt;&gt;"",H2,197776)</f>
        <v>24722</v>
      </c>
      <c r="J2" s="10">
        <f t="shared" ref="J2:J33" si="3">IF(I2="","",I2*C2)</f>
        <v>161294104220.59381</v>
      </c>
      <c r="K2" s="11">
        <f t="shared" ref="K2:K33" si="4">IFERROR(J2/J3-1,"")</f>
        <v>2.0979579999999887E-2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6524445.0354824513</v>
      </c>
      <c r="D3" s="11">
        <v>8.0000000000000007E-5</v>
      </c>
      <c r="E3" s="10">
        <f t="shared" si="2"/>
        <v>521.91384973097593</v>
      </c>
      <c r="F3" s="3"/>
      <c r="G3" s="29">
        <v>1.28</v>
      </c>
      <c r="H3" s="10"/>
      <c r="I3" s="10">
        <f t="shared" ref="I3:I34" si="5">IF(H3&lt;&gt;"",H3,I2/(1+IF(G2="",0,G2)/100))</f>
        <v>24213.516160626838</v>
      </c>
      <c r="J3" s="10">
        <f t="shared" si="3"/>
        <v>157979755305.77588</v>
      </c>
      <c r="K3" s="11">
        <f t="shared" si="4"/>
        <v>1.2881023999999908E-2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6523923.1216327203</v>
      </c>
      <c r="D4" s="11">
        <v>2.2000000000000001E-4</v>
      </c>
      <c r="E4" s="10">
        <f t="shared" si="2"/>
        <v>1434.9473983319476</v>
      </c>
      <c r="F4" s="3"/>
      <c r="G4" s="29">
        <v>1.39</v>
      </c>
      <c r="H4" s="10"/>
      <c r="I4" s="10">
        <f t="shared" si="5"/>
        <v>23907.500158596802</v>
      </c>
      <c r="J4" s="10">
        <f t="shared" si="3"/>
        <v>155970693065.1076</v>
      </c>
      <c r="K4" s="11">
        <f t="shared" si="4"/>
        <v>1.4123058000000022E-2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6522488.1742343884</v>
      </c>
      <c r="D5" s="11">
        <v>3.6999999999999999E-4</v>
      </c>
      <c r="E5" s="10">
        <f t="shared" si="2"/>
        <v>2412.4280260968953</v>
      </c>
      <c r="F5" s="3"/>
      <c r="G5" s="29">
        <v>0.01</v>
      </c>
      <c r="H5" s="10"/>
      <c r="I5" s="10">
        <f t="shared" si="5"/>
        <v>23579.741748295495</v>
      </c>
      <c r="J5" s="10">
        <f t="shared" si="3"/>
        <v>153798586704.75827</v>
      </c>
      <c r="K5" s="11">
        <f t="shared" si="4"/>
        <v>4.7003699999992321E-4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6520075.7462082915</v>
      </c>
      <c r="D6" s="11">
        <v>1.6800000000000001E-3</v>
      </c>
      <c r="E6" s="10">
        <f t="shared" si="2"/>
        <v>10935.35585579183</v>
      </c>
      <c r="F6" s="3"/>
      <c r="G6" s="29">
        <v>1.31</v>
      </c>
      <c r="H6" s="10"/>
      <c r="I6" s="10">
        <f t="shared" si="5"/>
        <v>23577.384009894507</v>
      </c>
      <c r="J6" s="10">
        <f t="shared" si="3"/>
        <v>153726329641.95236</v>
      </c>
      <c r="K6" s="11">
        <f t="shared" si="4"/>
        <v>1.4802007999999978E-2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6509140.3903524997</v>
      </c>
      <c r="D7" s="11">
        <v>4.2599999999999999E-3</v>
      </c>
      <c r="E7" s="10">
        <f t="shared" si="2"/>
        <v>27611.313865832984</v>
      </c>
      <c r="F7" s="3"/>
      <c r="G7" s="29">
        <v>1.58</v>
      </c>
      <c r="H7" s="10"/>
      <c r="I7" s="10">
        <f t="shared" si="5"/>
        <v>23272.514075505384</v>
      </c>
      <c r="J7" s="10">
        <f t="shared" si="3"/>
        <v>151484061353.91916</v>
      </c>
      <c r="K7" s="11">
        <f t="shared" si="4"/>
        <v>2.0127307999999955E-2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6481529.0764866667</v>
      </c>
      <c r="D8" s="11">
        <v>6.3000000000000003E-4</v>
      </c>
      <c r="E8" s="10">
        <f t="shared" si="2"/>
        <v>4080.7924189623445</v>
      </c>
      <c r="F8" s="3"/>
      <c r="G8" s="29">
        <v>1.97</v>
      </c>
      <c r="H8" s="10"/>
      <c r="I8" s="10">
        <f t="shared" si="5"/>
        <v>22910.527737256725</v>
      </c>
      <c r="J8" s="10">
        <f t="shared" si="3"/>
        <v>148495251686.68375</v>
      </c>
      <c r="K8" s="11">
        <f t="shared" si="4"/>
        <v>2.0342410999999894E-2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6477448.2840677043</v>
      </c>
      <c r="D9" s="11">
        <v>-2.9999999999999997E-4</v>
      </c>
      <c r="E9" s="10">
        <f t="shared" si="2"/>
        <v>-1943.8176305089146</v>
      </c>
      <c r="F9" s="3"/>
      <c r="G9" s="29">
        <v>-0.42</v>
      </c>
      <c r="H9" s="10"/>
      <c r="I9" s="10">
        <f t="shared" si="5"/>
        <v>22467.909911990511</v>
      </c>
      <c r="J9" s="10">
        <f t="shared" si="3"/>
        <v>145534724506.01071</v>
      </c>
      <c r="K9" s="11">
        <f t="shared" si="4"/>
        <v>-4.4987399999998345E-3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6479392.1016982133</v>
      </c>
      <c r="D10" s="11">
        <v>-9.8999999999999999E-4</v>
      </c>
      <c r="E10" s="10">
        <f t="shared" si="2"/>
        <v>-6420.95492605865</v>
      </c>
      <c r="F10" s="3"/>
      <c r="G10" s="29">
        <v>0.99</v>
      </c>
      <c r="H10" s="10"/>
      <c r="I10" s="10">
        <f t="shared" si="5"/>
        <v>22562.673139175047</v>
      </c>
      <c r="J10" s="10">
        <f t="shared" si="3"/>
        <v>146192406131.16922</v>
      </c>
      <c r="K10" s="11">
        <f t="shared" si="4"/>
        <v>8.90019899999972E-3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6485813.0566242719</v>
      </c>
      <c r="D11" s="11">
        <v>-1.6800000000000001E-3</v>
      </c>
      <c r="E11" s="10">
        <f t="shared" si="2"/>
        <v>-10914.502298991196</v>
      </c>
      <c r="F11" s="3"/>
      <c r="G11" s="29">
        <v>3.82</v>
      </c>
      <c r="H11" s="10"/>
      <c r="I11" s="10">
        <f t="shared" si="5"/>
        <v>22341.492364763886</v>
      </c>
      <c r="J11" s="10">
        <f t="shared" si="3"/>
        <v>144902742883.85709</v>
      </c>
      <c r="K11" s="11">
        <f t="shared" si="4"/>
        <v>3.6455824000000137E-2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6496727.5589232631</v>
      </c>
      <c r="D12" s="11">
        <v>-1.1100000000000001E-3</v>
      </c>
      <c r="E12" s="10">
        <f t="shared" si="2"/>
        <v>-7219.3811034299433</v>
      </c>
      <c r="F12" s="3"/>
      <c r="G12" s="29">
        <v>2.36</v>
      </c>
      <c r="H12" s="10"/>
      <c r="I12" s="10">
        <f t="shared" si="5"/>
        <v>21519.449397769105</v>
      </c>
      <c r="J12" s="10">
        <f t="shared" si="3"/>
        <v>139805999955.34116</v>
      </c>
      <c r="K12" s="11">
        <f t="shared" si="4"/>
        <v>2.2463804000000032E-2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6503946.940026693</v>
      </c>
      <c r="D13" s="11">
        <v>-1.15E-3</v>
      </c>
      <c r="E13" s="10">
        <f t="shared" si="2"/>
        <v>-7488.1503539374098</v>
      </c>
      <c r="F13" s="3"/>
      <c r="G13" s="29">
        <v>2.78</v>
      </c>
      <c r="H13" s="10"/>
      <c r="I13" s="10">
        <f t="shared" si="5"/>
        <v>21023.299528887361</v>
      </c>
      <c r="J13" s="10">
        <f t="shared" si="3"/>
        <v>136734424640.17157</v>
      </c>
      <c r="K13" s="11">
        <f t="shared" si="4"/>
        <v>2.6618030000000292E-2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6511435.0903806305</v>
      </c>
      <c r="D14" s="11">
        <v>-7.2999999999999996E-4</v>
      </c>
      <c r="E14" s="10">
        <f t="shared" si="2"/>
        <v>-4756.820094646886</v>
      </c>
      <c r="F14" s="3"/>
      <c r="G14" s="29">
        <v>0.44</v>
      </c>
      <c r="H14" s="10"/>
      <c r="I14" s="10">
        <f t="shared" si="5"/>
        <v>20454.659981404318</v>
      </c>
      <c r="J14" s="10">
        <f t="shared" si="3"/>
        <v>133189190764.72049</v>
      </c>
      <c r="K14" s="11">
        <f t="shared" si="4"/>
        <v>3.6667879999998654E-3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6516191.9104752773</v>
      </c>
      <c r="D15" s="11">
        <v>-6.2E-4</v>
      </c>
      <c r="E15" s="10">
        <f t="shared" si="2"/>
        <v>-4042.5453626187518</v>
      </c>
      <c r="F15" s="3"/>
      <c r="G15" s="29">
        <v>0.46</v>
      </c>
      <c r="H15" s="10"/>
      <c r="I15" s="10">
        <f t="shared" si="5"/>
        <v>20365.053744926641</v>
      </c>
      <c r="J15" s="10">
        <f t="shared" si="3"/>
        <v>132702598469.08524</v>
      </c>
      <c r="K15" s="11">
        <f t="shared" si="4"/>
        <v>3.9771480000001525E-3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6520234.4558378961</v>
      </c>
      <c r="D16" s="11">
        <v>-3.2000000000000003E-4</v>
      </c>
      <c r="E16" s="10">
        <f t="shared" si="2"/>
        <v>-2087.142911599949</v>
      </c>
      <c r="F16" s="3"/>
      <c r="G16" s="29">
        <v>0.95</v>
      </c>
      <c r="H16" s="10"/>
      <c r="I16" s="10">
        <f t="shared" si="5"/>
        <v>20271.803449060961</v>
      </c>
      <c r="J16" s="10">
        <f t="shared" si="3"/>
        <v>132176911330.54077</v>
      </c>
      <c r="K16" s="11">
        <f t="shared" si="4"/>
        <v>9.1769600000000118E-3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6522321.598749496</v>
      </c>
      <c r="D17" s="11">
        <v>-2.4000000000000001E-4</v>
      </c>
      <c r="E17" s="10">
        <f t="shared" si="2"/>
        <v>-1565.73295961041</v>
      </c>
      <c r="F17" s="3"/>
      <c r="G17" s="29">
        <v>3.72</v>
      </c>
      <c r="H17" s="10"/>
      <c r="I17" s="10">
        <f t="shared" si="5"/>
        <v>20081.03362957995</v>
      </c>
      <c r="J17" s="10">
        <f t="shared" si="3"/>
        <v>130974959367.42429</v>
      </c>
      <c r="K17" s="11">
        <f t="shared" si="4"/>
        <v>3.6951071999999696E-2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6523887.3317091065</v>
      </c>
      <c r="D18" s="11">
        <v>-1.2999999999999999E-3</v>
      </c>
      <c r="E18" s="10">
        <f t="shared" si="2"/>
        <v>-8492.0932524502277</v>
      </c>
      <c r="F18" s="3"/>
      <c r="G18" s="29">
        <v>2.97</v>
      </c>
      <c r="H18" s="10"/>
      <c r="I18" s="10">
        <f t="shared" si="5"/>
        <v>19360.81144386806</v>
      </c>
      <c r="J18" s="10">
        <f t="shared" si="3"/>
        <v>126307752510.25954</v>
      </c>
      <c r="K18" s="11">
        <f t="shared" si="4"/>
        <v>2.8361390000000153E-2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6532379.4249615567</v>
      </c>
      <c r="D19" s="11">
        <v>-7.2000000000000005E-4</v>
      </c>
      <c r="E19" s="10">
        <f t="shared" si="2"/>
        <v>-4706.7020114213228</v>
      </c>
      <c r="F19" s="3"/>
      <c r="G19" s="29">
        <v>2.33</v>
      </c>
      <c r="H19" s="10"/>
      <c r="I19" s="10">
        <f t="shared" si="5"/>
        <v>18802.380736008603</v>
      </c>
      <c r="J19" s="10">
        <f t="shared" si="3"/>
        <v>122824285060.19612</v>
      </c>
      <c r="K19" s="11">
        <f t="shared" si="4"/>
        <v>2.2563223999999993E-2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6537086.126972978</v>
      </c>
      <c r="D20" s="11">
        <v>-4.2000000000000002E-4</v>
      </c>
      <c r="E20" s="10">
        <f t="shared" si="2"/>
        <v>-2746.7297998443246</v>
      </c>
      <c r="F20" s="3"/>
      <c r="G20" s="29">
        <v>3.17</v>
      </c>
      <c r="H20" s="10"/>
      <c r="I20" s="10">
        <f t="shared" si="5"/>
        <v>18374.260467124597</v>
      </c>
      <c r="J20" s="10">
        <f t="shared" si="3"/>
        <v>120114123193.02823</v>
      </c>
      <c r="K20" s="11">
        <f t="shared" si="4"/>
        <v>3.1266686000000155E-2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6539832.8567728223</v>
      </c>
      <c r="D21" s="11">
        <v>-1.3999999999999999E-4</v>
      </c>
      <c r="E21" s="10">
        <f t="shared" si="2"/>
        <v>-915.7047986201942</v>
      </c>
      <c r="F21" s="3"/>
      <c r="G21" s="29">
        <v>2.9</v>
      </c>
      <c r="H21" s="10"/>
      <c r="I21" s="10">
        <f t="shared" si="5"/>
        <v>17809.69319290937</v>
      </c>
      <c r="J21" s="10">
        <f t="shared" si="3"/>
        <v>116472416712.03197</v>
      </c>
      <c r="K21" s="11">
        <f t="shared" si="4"/>
        <v>2.8855939999999913E-2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6540748.5615714425</v>
      </c>
      <c r="D22" s="11">
        <v>-1.3999999999999999E-4</v>
      </c>
      <c r="E22" s="10">
        <f t="shared" si="2"/>
        <v>-915.8330152425915</v>
      </c>
      <c r="F22" s="3"/>
      <c r="G22" s="29">
        <v>3.04</v>
      </c>
      <c r="H22" s="10"/>
      <c r="I22" s="10">
        <f t="shared" si="5"/>
        <v>17307.767923138359</v>
      </c>
      <c r="J22" s="10">
        <f t="shared" si="3"/>
        <v>113205758147.27957</v>
      </c>
      <c r="K22" s="11">
        <f t="shared" si="4"/>
        <v>3.0255743999999973E-2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6541664.3945866851</v>
      </c>
      <c r="D23" s="11">
        <v>1.2099999999999999E-3</v>
      </c>
      <c r="E23" s="10">
        <f t="shared" si="2"/>
        <v>7905.8478415608406</v>
      </c>
      <c r="F23" s="3"/>
      <c r="G23" s="29">
        <v>5.29</v>
      </c>
      <c r="H23" s="10"/>
      <c r="I23" s="10">
        <f t="shared" si="5"/>
        <v>16797.135018573717</v>
      </c>
      <c r="J23" s="10">
        <f t="shared" si="3"/>
        <v>109881220082.06885</v>
      </c>
      <c r="K23" s="11">
        <f t="shared" si="4"/>
        <v>5.4174008999999801E-2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6533758.5467451243</v>
      </c>
      <c r="D24" s="11">
        <v>1.3699999999999999E-3</v>
      </c>
      <c r="E24" s="10">
        <f t="shared" si="2"/>
        <v>8939.0027752397582</v>
      </c>
      <c r="F24" s="3"/>
      <c r="G24" s="29">
        <v>-0.08</v>
      </c>
      <c r="H24" s="10"/>
      <c r="I24" s="10">
        <f t="shared" si="5"/>
        <v>15953.210199044275</v>
      </c>
      <c r="J24" s="10">
        <f t="shared" si="3"/>
        <v>104234423486.02702</v>
      </c>
      <c r="K24" s="11">
        <f t="shared" si="4"/>
        <v>5.6890400000009222E-4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6524819.5439698845</v>
      </c>
      <c r="D25" s="11">
        <v>1.83E-3</v>
      </c>
      <c r="E25" s="10">
        <f t="shared" si="2"/>
        <v>11918.608711523004</v>
      </c>
      <c r="F25" s="3"/>
      <c r="G25" s="29">
        <v>2.02</v>
      </c>
      <c r="H25" s="10"/>
      <c r="I25" s="10">
        <f t="shared" si="5"/>
        <v>15965.982985432622</v>
      </c>
      <c r="J25" s="10">
        <f t="shared" si="3"/>
        <v>104175157822.04141</v>
      </c>
      <c r="K25" s="11">
        <f t="shared" si="4"/>
        <v>2.206696599999991E-2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6512900.9352583615</v>
      </c>
      <c r="D26" s="11">
        <v>2.3999999999999998E-3</v>
      </c>
      <c r="E26" s="10">
        <f t="shared" si="2"/>
        <v>15593.537754010409</v>
      </c>
      <c r="F26" s="3"/>
      <c r="G26" s="29">
        <v>1.46</v>
      </c>
      <c r="H26" s="10"/>
      <c r="I26" s="10">
        <f t="shared" si="5"/>
        <v>15649.855896326821</v>
      </c>
      <c r="J26" s="10">
        <f t="shared" si="3"/>
        <v>101925961103.84554</v>
      </c>
      <c r="K26" s="11">
        <f t="shared" si="4"/>
        <v>1.703503999999989E-2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6497307.3975043511</v>
      </c>
      <c r="D27" s="11">
        <v>2.7200000000000002E-3</v>
      </c>
      <c r="E27" s="10">
        <f t="shared" si="2"/>
        <v>17624.736837015487</v>
      </c>
      <c r="F27" s="3"/>
      <c r="G27" s="29">
        <v>-3.66</v>
      </c>
      <c r="H27" s="10"/>
      <c r="I27" s="10">
        <f t="shared" si="5"/>
        <v>15424.655919896335</v>
      </c>
      <c r="J27" s="10">
        <f t="shared" si="3"/>
        <v>100218731012.30174</v>
      </c>
      <c r="K27" s="11">
        <f t="shared" si="4"/>
        <v>-3.3979551999999913E-2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6479682.6606673356</v>
      </c>
      <c r="D28" s="11">
        <v>3.46E-3</v>
      </c>
      <c r="E28" s="10">
        <f t="shared" si="2"/>
        <v>22342.397311212495</v>
      </c>
      <c r="F28" s="3"/>
      <c r="G28" s="29">
        <v>0.7</v>
      </c>
      <c r="H28" s="10"/>
      <c r="I28" s="10">
        <f t="shared" si="5"/>
        <v>16010.645546913363</v>
      </c>
      <c r="J28" s="10">
        <f t="shared" si="3"/>
        <v>103743902336.42522</v>
      </c>
      <c r="K28" s="11">
        <f t="shared" si="4"/>
        <v>1.0484219999999933E-2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6457340.2633561231</v>
      </c>
      <c r="D29" s="11">
        <v>2.8900000000000002E-3</v>
      </c>
      <c r="E29" s="10">
        <f t="shared" si="2"/>
        <v>18607.93642483186</v>
      </c>
      <c r="F29" s="3"/>
      <c r="G29" s="29">
        <v>0.27</v>
      </c>
      <c r="H29" s="10"/>
      <c r="I29" s="10">
        <f t="shared" si="5"/>
        <v>15899.350096239687</v>
      </c>
      <c r="J29" s="10">
        <f t="shared" si="3"/>
        <v>102667513537.64359</v>
      </c>
      <c r="K29" s="11">
        <f t="shared" si="4"/>
        <v>5.5978030000001233E-3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6438732.3269312913</v>
      </c>
      <c r="D30" s="11">
        <v>5.1799999999999997E-3</v>
      </c>
      <c r="E30" s="10">
        <f t="shared" si="2"/>
        <v>33180.757131562568</v>
      </c>
      <c r="F30" s="3"/>
      <c r="G30" s="29">
        <v>0.46</v>
      </c>
      <c r="H30" s="10"/>
      <c r="I30" s="10">
        <f t="shared" si="5"/>
        <v>15856.537445137816</v>
      </c>
      <c r="J30" s="10">
        <f t="shared" si="3"/>
        <v>102096000241.20535</v>
      </c>
      <c r="K30" s="11">
        <f t="shared" si="4"/>
        <v>9.8038279999999034E-3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6405551.5697997287</v>
      </c>
      <c r="D31" s="11">
        <v>6.1700000000000001E-3</v>
      </c>
      <c r="E31" s="10">
        <f t="shared" si="2"/>
        <v>39279.896225950681</v>
      </c>
      <c r="F31" s="3"/>
      <c r="G31" s="29">
        <v>4.7300000000000004</v>
      </c>
      <c r="H31" s="10"/>
      <c r="I31" s="10">
        <f t="shared" si="5"/>
        <v>15783.931360877779</v>
      </c>
      <c r="J31" s="10">
        <f t="shared" si="3"/>
        <v>101104786306.28183</v>
      </c>
      <c r="K31" s="11">
        <f t="shared" si="4"/>
        <v>5.3761841000000032E-2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6366271.673573778</v>
      </c>
      <c r="D32" s="11">
        <v>7.3200000000000001E-3</v>
      </c>
      <c r="E32" s="10">
        <f t="shared" si="2"/>
        <v>46262.467389270663</v>
      </c>
      <c r="F32" s="3"/>
      <c r="G32" s="29">
        <v>4.1500000000000004</v>
      </c>
      <c r="H32" s="10"/>
      <c r="I32" s="10">
        <f t="shared" si="5"/>
        <v>15071.06976117424</v>
      </c>
      <c r="J32" s="10">
        <f t="shared" si="3"/>
        <v>95946524511.017883</v>
      </c>
      <c r="K32" s="11">
        <f t="shared" si="4"/>
        <v>4.9123780000000172E-2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6320009.2061845073</v>
      </c>
      <c r="D33" s="11">
        <v>8.6099999999999996E-3</v>
      </c>
      <c r="E33" s="10">
        <f t="shared" si="2"/>
        <v>53950.763194147497</v>
      </c>
      <c r="F33" s="3"/>
      <c r="G33" s="29">
        <v>4.34</v>
      </c>
      <c r="H33" s="10"/>
      <c r="I33" s="10">
        <f t="shared" si="5"/>
        <v>14470.542257488467</v>
      </c>
      <c r="J33" s="10">
        <f t="shared" si="3"/>
        <v>91453960285.809052</v>
      </c>
      <c r="K33" s="11">
        <f t="shared" si="4"/>
        <v>5.2383674000000102E-2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6266058.4429903599</v>
      </c>
      <c r="D34" s="11">
        <v>9.4800000000000006E-3</v>
      </c>
      <c r="E34" s="10">
        <f t="shared" si="2"/>
        <v>58844.389229651541</v>
      </c>
      <c r="F34" s="3"/>
      <c r="G34" s="29">
        <v>1.35</v>
      </c>
      <c r="H34" s="10"/>
      <c r="I34" s="10">
        <f t="shared" si="5"/>
        <v>13868.643144995654</v>
      </c>
      <c r="J34" s="10">
        <f t="shared" ref="J34:J65" si="6">IF(I34="","",I34*C34)</f>
        <v>86901728471.520401</v>
      </c>
      <c r="K34" s="11">
        <f t="shared" ref="K34:K65" si="7">IFERROR(J34/J35-1,"")</f>
        <v>3.6231220000000119E-2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6207214.0537607083</v>
      </c>
      <c r="D35" s="11">
        <v>9.2200000000000008E-3</v>
      </c>
      <c r="E35" s="10">
        <f t="shared" si="2"/>
        <v>56707.668868704699</v>
      </c>
      <c r="F35" s="3"/>
      <c r="G35" s="29">
        <v>1.19</v>
      </c>
      <c r="H35" s="10"/>
      <c r="I35" s="10">
        <f t="shared" ref="I35:I66" si="8">IF(H35&lt;&gt;"",H35,I34/(1+IF(G34="",0,G34)/100))</f>
        <v>13510.611928880326</v>
      </c>
      <c r="J35" s="10">
        <f t="shared" si="6"/>
        <v>83863260239.853027</v>
      </c>
      <c r="K35" s="11">
        <f t="shared" si="7"/>
        <v>4.8478658000000063E-2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6150506.3848920036</v>
      </c>
      <c r="D36" s="11">
        <v>9.2200000000000008E-3</v>
      </c>
      <c r="E36" s="10">
        <f t="shared" si="2"/>
        <v>56189.6007497916</v>
      </c>
      <c r="F36" s="3"/>
      <c r="G36" s="29">
        <v>-5.54</v>
      </c>
      <c r="H36" s="10"/>
      <c r="I36" s="10">
        <f t="shared" si="8"/>
        <v>13004.728009317862</v>
      </c>
      <c r="J36" s="10">
        <f t="shared" si="6"/>
        <v>79985662655.093384</v>
      </c>
      <c r="K36" s="11">
        <f t="shared" si="7"/>
        <v>1.7517719999999848E-3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6094316.784142212</v>
      </c>
      <c r="D37" s="11">
        <v>8.9300000000000004E-3</v>
      </c>
      <c r="E37" s="10">
        <f t="shared" si="2"/>
        <v>53940.559684408829</v>
      </c>
      <c r="F37" s="3"/>
      <c r="G37" s="29">
        <v>-6.05</v>
      </c>
      <c r="H37" s="10"/>
      <c r="I37" s="10">
        <f t="shared" si="8"/>
        <v>13101.68044460796</v>
      </c>
      <c r="J37" s="10">
        <f t="shared" si="6"/>
        <v>79845791034.042099</v>
      </c>
      <c r="K37" s="11">
        <f t="shared" si="7"/>
        <v>1.3630250000002953E-3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6040376.2244578032</v>
      </c>
      <c r="D38" s="11">
        <v>9.6100000000000005E-3</v>
      </c>
      <c r="E38" s="10">
        <f t="shared" si="2"/>
        <v>57495.483916600235</v>
      </c>
      <c r="F38" s="3"/>
      <c r="G38" s="29">
        <v>0.35</v>
      </c>
      <c r="H38" s="10"/>
      <c r="I38" s="10">
        <f t="shared" si="8"/>
        <v>13200.685586506761</v>
      </c>
      <c r="J38" s="10">
        <f t="shared" si="6"/>
        <v>79737107363.278244</v>
      </c>
      <c r="K38" s="11">
        <f t="shared" si="7"/>
        <v>5.0499204999999714E-2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5982880.7405412029</v>
      </c>
      <c r="D39" s="11">
        <v>8.2900000000000005E-3</v>
      </c>
      <c r="E39" s="10">
        <f t="shared" si="2"/>
        <v>49190.293803455308</v>
      </c>
      <c r="F39" s="3"/>
      <c r="G39" s="29">
        <v>2.42</v>
      </c>
      <c r="H39" s="10"/>
      <c r="I39" s="10">
        <f t="shared" si="8"/>
        <v>12686.867454595638</v>
      </c>
      <c r="J39" s="10">
        <f t="shared" si="6"/>
        <v>75904014951.899246</v>
      </c>
      <c r="K39" s="11">
        <f t="shared" si="7"/>
        <v>3.2690617999999949E-2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5933690.4467377476</v>
      </c>
      <c r="D40" s="11">
        <v>9.2899999999999996E-3</v>
      </c>
      <c r="E40" s="10">
        <f t="shared" si="2"/>
        <v>54616.596072678454</v>
      </c>
      <c r="F40" s="3"/>
      <c r="G40" s="29">
        <v>1.99</v>
      </c>
      <c r="H40" s="10"/>
      <c r="I40" s="10">
        <f t="shared" si="8"/>
        <v>12387.099643229485</v>
      </c>
      <c r="J40" s="10">
        <f t="shared" si="6"/>
        <v>73501214815.819351</v>
      </c>
      <c r="K40" s="11">
        <f t="shared" si="7"/>
        <v>2.9374871000000136E-2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5879073.8506650692</v>
      </c>
      <c r="D41" s="11">
        <v>9.9799999999999993E-3</v>
      </c>
      <c r="E41" s="10">
        <f t="shared" si="2"/>
        <v>58093.385046870448</v>
      </c>
      <c r="F41" s="3"/>
      <c r="G41" s="29">
        <v>5.99</v>
      </c>
      <c r="H41" s="10"/>
      <c r="I41" s="10">
        <f t="shared" si="8"/>
        <v>12145.406062584061</v>
      </c>
      <c r="J41" s="10">
        <f t="shared" si="6"/>
        <v>71403739188.246948</v>
      </c>
      <c r="K41" s="11">
        <f t="shared" si="7"/>
        <v>7.0477802000000311E-2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5820980.4656181987</v>
      </c>
      <c r="D42" s="11">
        <v>9.4900000000000002E-3</v>
      </c>
      <c r="E42" s="10">
        <f t="shared" si="2"/>
        <v>54721.794786195271</v>
      </c>
      <c r="F42" s="3"/>
      <c r="G42" s="29">
        <v>-7.41</v>
      </c>
      <c r="H42" s="10"/>
      <c r="I42" s="10">
        <f t="shared" si="8"/>
        <v>11459.011286521427</v>
      </c>
      <c r="J42" s="10">
        <f t="shared" si="6"/>
        <v>66702680854.139687</v>
      </c>
      <c r="K42" s="11">
        <f t="shared" si="7"/>
        <v>-6.5313209000000261E-2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5766258.6708320035</v>
      </c>
      <c r="D43" s="11">
        <v>9.5600000000000008E-3</v>
      </c>
      <c r="E43" s="10">
        <f t="shared" si="2"/>
        <v>54603.424158201553</v>
      </c>
      <c r="F43" s="3"/>
      <c r="G43" s="29">
        <v>-0.96</v>
      </c>
      <c r="H43" s="10"/>
      <c r="I43" s="10">
        <f t="shared" si="8"/>
        <v>12376.078719647292</v>
      </c>
      <c r="J43" s="10">
        <f t="shared" si="6"/>
        <v>71363671228.065643</v>
      </c>
      <c r="K43" s="11">
        <f t="shared" si="7"/>
        <v>-1.3177600000002787E-4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5711655.2466738019</v>
      </c>
      <c r="D44" s="11">
        <v>8.8999999999999999E-3</v>
      </c>
      <c r="E44" s="10">
        <f t="shared" si="2"/>
        <v>50385.302503118291</v>
      </c>
      <c r="F44" s="3"/>
      <c r="G44" s="29">
        <v>4.72</v>
      </c>
      <c r="H44" s="10"/>
      <c r="I44" s="10">
        <f t="shared" si="8"/>
        <v>12496.040710467783</v>
      </c>
      <c r="J44" s="10">
        <f t="shared" si="6"/>
        <v>71373076486.592743</v>
      </c>
      <c r="K44" s="11">
        <f t="shared" si="7"/>
        <v>5.6520079999999862E-2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5661269.9441706836</v>
      </c>
      <c r="D45" s="11">
        <v>8.6499999999999997E-3</v>
      </c>
      <c r="E45" s="10">
        <f t="shared" si="2"/>
        <v>48550.027281095274</v>
      </c>
      <c r="F45" s="3"/>
      <c r="G45" s="29">
        <v>3.8</v>
      </c>
      <c r="H45" s="10"/>
      <c r="I45" s="10">
        <f t="shared" si="8"/>
        <v>11932.811984785891</v>
      </c>
      <c r="J45" s="10">
        <f t="shared" si="6"/>
        <v>67554869838.908081</v>
      </c>
      <c r="K45" s="11">
        <f t="shared" si="7"/>
        <v>4.6978700000000151E-2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5612719.9168895883</v>
      </c>
      <c r="D46" s="11">
        <v>7.7999999999999996E-3</v>
      </c>
      <c r="E46" s="10">
        <f t="shared" si="2"/>
        <v>43440.380384737626</v>
      </c>
      <c r="F46" s="3"/>
      <c r="G46" s="29">
        <v>3.18</v>
      </c>
      <c r="H46" s="10"/>
      <c r="I46" s="10">
        <f t="shared" si="8"/>
        <v>11495.965303261937</v>
      </c>
      <c r="J46" s="10">
        <f t="shared" si="6"/>
        <v>64523633421.489929</v>
      </c>
      <c r="K46" s="11">
        <f t="shared" si="7"/>
        <v>3.9848039999999862E-2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5569279.5365048507</v>
      </c>
      <c r="D47" s="11">
        <v>6.1999999999999998E-3</v>
      </c>
      <c r="E47" s="10">
        <f t="shared" si="2"/>
        <v>34316.769157553092</v>
      </c>
      <c r="F47" s="3"/>
      <c r="G47" s="29">
        <v>1.86</v>
      </c>
      <c r="H47" s="10"/>
      <c r="I47" s="10">
        <f t="shared" si="8"/>
        <v>11141.660499381602</v>
      </c>
      <c r="J47" s="10">
        <f t="shared" si="6"/>
        <v>62051021821.890373</v>
      </c>
      <c r="K47" s="11">
        <f t="shared" si="7"/>
        <v>2.4915320000000074E-2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5534962.7673472976</v>
      </c>
      <c r="D48" s="11">
        <v>7.3600000000000002E-3</v>
      </c>
      <c r="E48" s="10">
        <f t="shared" si="2"/>
        <v>40439.68985037785</v>
      </c>
      <c r="F48" s="3"/>
      <c r="G48" s="29">
        <v>6.8</v>
      </c>
      <c r="H48" s="10"/>
      <c r="I48" s="10">
        <f t="shared" si="8"/>
        <v>10938.209797154528</v>
      </c>
      <c r="J48" s="10">
        <f t="shared" si="6"/>
        <v>60542583968.683746</v>
      </c>
      <c r="K48" s="11">
        <f t="shared" si="7"/>
        <v>7.5860480000000008E-2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5494523.0774969198</v>
      </c>
      <c r="D49" s="11">
        <v>7.8200000000000006E-3</v>
      </c>
      <c r="E49" s="10">
        <f t="shared" si="2"/>
        <v>42633.774350604042</v>
      </c>
      <c r="F49" s="3"/>
      <c r="G49" s="29">
        <v>5.85</v>
      </c>
      <c r="H49" s="10"/>
      <c r="I49" s="10">
        <f t="shared" si="8"/>
        <v>10241.769472991131</v>
      </c>
      <c r="J49" s="10">
        <f t="shared" si="6"/>
        <v>56273638723.753235</v>
      </c>
      <c r="K49" s="11">
        <f t="shared" si="7"/>
        <v>6.6777470000000116E-2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5451889.3031463157</v>
      </c>
      <c r="D50" s="11">
        <v>7.8200000000000006E-3</v>
      </c>
      <c r="E50" s="10">
        <f t="shared" si="2"/>
        <v>42302.965163028799</v>
      </c>
      <c r="F50" s="3"/>
      <c r="G50" s="29">
        <v>5.89</v>
      </c>
      <c r="H50" s="10"/>
      <c r="I50" s="10">
        <f t="shared" si="8"/>
        <v>9675.7387557781112</v>
      </c>
      <c r="J50" s="10">
        <f t="shared" si="6"/>
        <v>52751056622.664925</v>
      </c>
      <c r="K50" s="11">
        <f t="shared" si="7"/>
        <v>6.718059799999998E-2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5409586.3379832869</v>
      </c>
      <c r="D51" s="11">
        <v>8.6099999999999996E-3</v>
      </c>
      <c r="E51" s="10">
        <f t="shared" si="2"/>
        <v>46178.937716298737</v>
      </c>
      <c r="F51" s="3"/>
      <c r="G51" s="29">
        <v>2.74</v>
      </c>
      <c r="H51" s="10"/>
      <c r="I51" s="10">
        <f t="shared" si="8"/>
        <v>9137.5377805062908</v>
      </c>
      <c r="J51" s="10">
        <f t="shared" si="6"/>
        <v>49430299540.232956</v>
      </c>
      <c r="K51" s="11">
        <f t="shared" si="7"/>
        <v>3.624591399999999E-2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5363407.4002669882</v>
      </c>
      <c r="D52" s="11">
        <v>9.1999999999999998E-3</v>
      </c>
      <c r="E52" s="10">
        <f t="shared" si="2"/>
        <v>48893.527628276497</v>
      </c>
      <c r="F52" s="3"/>
      <c r="G52" s="29">
        <v>4.5599999999999996</v>
      </c>
      <c r="H52" s="10"/>
      <c r="I52" s="10">
        <f t="shared" si="8"/>
        <v>8893.8463894357501</v>
      </c>
      <c r="J52" s="10">
        <f t="shared" si="6"/>
        <v>47701321541.937538</v>
      </c>
      <c r="K52" s="11">
        <f t="shared" si="7"/>
        <v>5.5219520000000299E-2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5314513.8726387117</v>
      </c>
      <c r="D53" s="11">
        <v>9.7599999999999996E-3</v>
      </c>
      <c r="E53" s="10">
        <f t="shared" si="2"/>
        <v>51368.300781328231</v>
      </c>
      <c r="F53" s="3"/>
      <c r="G53" s="29">
        <v>9.27</v>
      </c>
      <c r="H53" s="10"/>
      <c r="I53" s="10">
        <f t="shared" si="8"/>
        <v>8505.9739761244728</v>
      </c>
      <c r="J53" s="10">
        <f t="shared" si="6"/>
        <v>45205116696.417374</v>
      </c>
      <c r="K53" s="11">
        <f t="shared" si="7"/>
        <v>0.10336475200000006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5263145.5718573835</v>
      </c>
      <c r="D54" s="11">
        <v>1.095E-2</v>
      </c>
      <c r="E54" s="10">
        <f t="shared" si="2"/>
        <v>57007.215007506311</v>
      </c>
      <c r="F54" s="3"/>
      <c r="G54" s="29">
        <v>0.64</v>
      </c>
      <c r="H54" s="10"/>
      <c r="I54" s="10">
        <f t="shared" si="8"/>
        <v>7784.3634813988037</v>
      </c>
      <c r="J54" s="10">
        <f t="shared" si="6"/>
        <v>40970238186.85244</v>
      </c>
      <c r="K54" s="11">
        <f t="shared" si="7"/>
        <v>1.7420079999999949E-2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5206138.3568498772</v>
      </c>
      <c r="D55" s="11">
        <v>1.108E-2</v>
      </c>
      <c r="E55" s="10">
        <f t="shared" si="2"/>
        <v>57051.878183621913</v>
      </c>
      <c r="F55" s="3"/>
      <c r="G55" s="29">
        <v>5.67</v>
      </c>
      <c r="H55" s="10"/>
      <c r="I55" s="10">
        <f t="shared" si="8"/>
        <v>7734.8603749988115</v>
      </c>
      <c r="J55" s="10">
        <f t="shared" si="6"/>
        <v>40268753283.159538</v>
      </c>
      <c r="K55" s="11">
        <f t="shared" si="7"/>
        <v>6.8408236000000011E-2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5149086.4786662553</v>
      </c>
      <c r="D56" s="11">
        <v>1.2699999999999999E-2</v>
      </c>
      <c r="E56" s="10">
        <f t="shared" si="2"/>
        <v>64573.317151240073</v>
      </c>
      <c r="F56" s="3"/>
      <c r="G56" s="29">
        <v>6.38</v>
      </c>
      <c r="H56" s="10"/>
      <c r="I56" s="10">
        <f t="shared" si="8"/>
        <v>7319.8262278781222</v>
      </c>
      <c r="J56" s="10">
        <f t="shared" si="6"/>
        <v>37690418256.153854</v>
      </c>
      <c r="K56" s="11">
        <f t="shared" si="7"/>
        <v>7.7310259999999742E-2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5084513.1615150152</v>
      </c>
      <c r="D57" s="11">
        <v>1.443E-2</v>
      </c>
      <c r="E57" s="10">
        <f t="shared" si="2"/>
        <v>72325.862721588463</v>
      </c>
      <c r="F57" s="3"/>
      <c r="G57" s="30">
        <v>2.8</v>
      </c>
      <c r="H57" s="10"/>
      <c r="I57" s="10">
        <f t="shared" si="8"/>
        <v>6880.8293174263226</v>
      </c>
      <c r="J57" s="10">
        <f t="shared" si="6"/>
        <v>34985667226.592514</v>
      </c>
      <c r="K57" s="11">
        <f t="shared" si="7"/>
        <v>4.2834039999999796E-2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5012187.2987934267</v>
      </c>
      <c r="D58" s="11">
        <v>1.5800000000000002E-2</v>
      </c>
      <c r="E58" s="10">
        <f t="shared" si="2"/>
        <v>77960.779012538493</v>
      </c>
      <c r="F58" s="3"/>
      <c r="G58" s="30">
        <v>7.44</v>
      </c>
      <c r="H58" s="10"/>
      <c r="I58" s="10">
        <f t="shared" si="8"/>
        <v>6693.4137329049827</v>
      </c>
      <c r="J58" s="10">
        <f t="shared" si="6"/>
        <v>33548643297.635853</v>
      </c>
      <c r="K58" s="11">
        <f t="shared" si="7"/>
        <v>9.1375520000000154E-2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4934226.5197808882</v>
      </c>
      <c r="D59" s="11">
        <v>1.8069999999999999E-2</v>
      </c>
      <c r="E59" s="10">
        <f t="shared" si="2"/>
        <v>87578.922090269625</v>
      </c>
      <c r="F59" s="3"/>
      <c r="G59" s="30">
        <v>2.25</v>
      </c>
      <c r="H59" s="10"/>
      <c r="I59" s="10">
        <f t="shared" si="8"/>
        <v>6229.9085377000956</v>
      </c>
      <c r="J59" s="10">
        <f t="shared" si="6"/>
        <v>30739779922.529186</v>
      </c>
      <c r="K59" s="11">
        <f t="shared" si="7"/>
        <v>4.097657499999996E-2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4846647.5976906186</v>
      </c>
      <c r="D60" s="11">
        <v>2.197E-2</v>
      </c>
      <c r="E60" s="10">
        <f t="shared" si="2"/>
        <v>104191.75486683846</v>
      </c>
      <c r="F60" s="3"/>
      <c r="G60" s="30">
        <v>7.58</v>
      </c>
      <c r="H60" s="10"/>
      <c r="I60" s="10">
        <f t="shared" si="8"/>
        <v>6092.820085770265</v>
      </c>
      <c r="J60" s="10">
        <f t="shared" si="6"/>
        <v>29529751831.859604</v>
      </c>
      <c r="K60" s="11">
        <f t="shared" si="7"/>
        <v>9.9435326000000268E-2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4742455.8428237801</v>
      </c>
      <c r="D61" s="11">
        <v>1.6889999999999999E-2</v>
      </c>
      <c r="E61" s="10">
        <f t="shared" si="2"/>
        <v>78769.659634074196</v>
      </c>
      <c r="F61" s="3"/>
      <c r="G61" s="30">
        <v>1.22</v>
      </c>
      <c r="H61" s="10"/>
      <c r="I61" s="10">
        <f t="shared" si="8"/>
        <v>5663.5248984665031</v>
      </c>
      <c r="J61" s="10">
        <f t="shared" si="6"/>
        <v>26859016745.710423</v>
      </c>
      <c r="K61" s="11">
        <f t="shared" si="7"/>
        <v>2.9296057999999903E-2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4663686.1831897059</v>
      </c>
      <c r="D62" s="11">
        <v>1.7690000000000001E-2</v>
      </c>
      <c r="E62" s="10">
        <f t="shared" si="2"/>
        <v>81066.541462160647</v>
      </c>
      <c r="F62" s="3"/>
      <c r="G62" s="30">
        <v>1.08</v>
      </c>
      <c r="H62" s="10"/>
      <c r="I62" s="10">
        <f t="shared" si="8"/>
        <v>5595.2626936045281</v>
      </c>
      <c r="J62" s="10">
        <f t="shared" si="6"/>
        <v>26094549315.480255</v>
      </c>
      <c r="K62" s="11">
        <f t="shared" si="7"/>
        <v>2.868105200000004E-2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4582619.6417275453</v>
      </c>
      <c r="D63" s="11">
        <v>1.7590000000000001E-2</v>
      </c>
      <c r="E63" s="10">
        <f t="shared" si="2"/>
        <v>79214.889590097591</v>
      </c>
      <c r="F63" s="3"/>
      <c r="G63" s="30">
        <v>1.93</v>
      </c>
      <c r="H63" s="10"/>
      <c r="I63" s="10">
        <f t="shared" si="8"/>
        <v>5535.4795148442108</v>
      </c>
      <c r="J63" s="10">
        <f t="shared" si="6"/>
        <v>25366997151.105545</v>
      </c>
      <c r="K63" s="11">
        <f t="shared" si="7"/>
        <v>3.7229487000000283E-2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4503404.7521374477</v>
      </c>
      <c r="D64" s="11">
        <v>1.762E-2</v>
      </c>
      <c r="E64" s="10">
        <f t="shared" si="2"/>
        <v>77976.053667047992</v>
      </c>
      <c r="F64" s="3"/>
      <c r="G64" s="30">
        <v>5.7</v>
      </c>
      <c r="H64" s="10"/>
      <c r="I64" s="10">
        <f t="shared" si="8"/>
        <v>5430.6676295930638</v>
      </c>
      <c r="J64" s="10">
        <f t="shared" si="6"/>
        <v>24456494410.388412</v>
      </c>
      <c r="K64" s="11">
        <f t="shared" si="7"/>
        <v>7.5624339999999846E-2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4425428.6984703997</v>
      </c>
      <c r="D65" s="11">
        <v>1.7440000000000001E-2</v>
      </c>
      <c r="E65" s="10">
        <f t="shared" si="2"/>
        <v>75856.538470399566</v>
      </c>
      <c r="F65" s="3"/>
      <c r="G65" s="30">
        <v>0.98</v>
      </c>
      <c r="H65" s="10"/>
      <c r="I65" s="10">
        <f t="shared" si="8"/>
        <v>5137.8123269565413</v>
      </c>
      <c r="J65" s="10">
        <f t="shared" si="6"/>
        <v>22737022119.068462</v>
      </c>
      <c r="K65" s="11">
        <f t="shared" si="7"/>
        <v>2.7410911999999898E-2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4349572.16</v>
      </c>
      <c r="D66" s="11">
        <v>1.7919999999999998E-2</v>
      </c>
      <c r="E66" s="10">
        <f t="shared" si="2"/>
        <v>76572.160000000149</v>
      </c>
      <c r="F66" s="23">
        <f>SUM(F2)</f>
        <v>6524522</v>
      </c>
      <c r="G66" s="30">
        <v>0.66</v>
      </c>
      <c r="H66" s="10"/>
      <c r="I66" s="10">
        <f t="shared" si="8"/>
        <v>5087.9504129100233</v>
      </c>
      <c r="J66" s="10">
        <f t="shared" ref="J66:J67" si="9">IF(I66="","",I66*C66)</f>
        <v>22130407467.453941</v>
      </c>
      <c r="K66" s="11">
        <f t="shared" ref="K66" si="10">IFERROR(J66/J67-1,"")</f>
        <v>2.4638272000000017E-2</v>
      </c>
    </row>
    <row r="67" spans="1:11" ht="22.5" customHeight="1">
      <c r="A67" s="3">
        <f t="shared" si="0"/>
        <v>1950</v>
      </c>
      <c r="B67" s="3">
        <v>1700</v>
      </c>
      <c r="C67" s="10">
        <v>4273000</v>
      </c>
      <c r="D67" s="11">
        <v>1.7479999999999999E-2</v>
      </c>
      <c r="E67" s="3" t="s">
        <v>72</v>
      </c>
      <c r="F67" s="10">
        <f>SUM(C2)</f>
        <v>6524314.5465817414</v>
      </c>
      <c r="G67" s="30">
        <v>7.95</v>
      </c>
      <c r="H67" s="10"/>
      <c r="I67" s="10">
        <f t="shared" ref="I67" si="11">IF(H67&lt;&gt;"",H67,I66/(1+IF(G66="",0,G66)/100))</f>
        <v>5054.5901181303634</v>
      </c>
      <c r="J67" s="10">
        <f t="shared" si="9"/>
        <v>21598263574.771042</v>
      </c>
      <c r="K67" s="11"/>
    </row>
  </sheetData>
  <dataValidations count="1">
    <dataValidation type="custom" allowBlank="1" showDropDown="1" sqref="D2:D67" xr:uid="{00000000-0002-0000-4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M67"/>
  <sheetViews>
    <sheetView workbookViewId="0">
      <selection activeCell="K54" sqref="K5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2170098.1130326623</v>
      </c>
      <c r="D2" s="11">
        <v>8.7000000000000001E-4</v>
      </c>
      <c r="E2" s="10">
        <f t="shared" ref="E2:E66" si="2">SUM(C2-C3)</f>
        <v>1886.3442388502881</v>
      </c>
      <c r="F2" s="14">
        <v>2170550</v>
      </c>
      <c r="G2" s="26">
        <v>5.27</v>
      </c>
      <c r="H2" s="10"/>
      <c r="I2" s="10">
        <f>IF(H2&lt;&gt;"",H2,66664)</f>
        <v>8333</v>
      </c>
      <c r="J2" s="10">
        <f t="shared" ref="J2:J33" si="3">IF(I2="","",I2*C2)</f>
        <v>18083427575.901176</v>
      </c>
      <c r="K2" s="11">
        <f t="shared" ref="K2:K33" si="4">IFERROR(J2/J3-1,"")</f>
        <v>5.3615848999999827E-2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2168211.768793812</v>
      </c>
      <c r="D3" s="11">
        <v>1.2999999999999999E-3</v>
      </c>
      <c r="E3" s="10">
        <f t="shared" si="2"/>
        <v>2815.0157789196819</v>
      </c>
      <c r="F3" s="3"/>
      <c r="G3" s="26">
        <v>4.63</v>
      </c>
      <c r="H3" s="10"/>
      <c r="I3" s="10">
        <f t="shared" ref="I3:I34" si="5">IF(H3&lt;&gt;"",H3,I2/(1+IF(G2="",0,G2)/100))</f>
        <v>7915.8354706944046</v>
      </c>
      <c r="J3" s="10">
        <f t="shared" si="3"/>
        <v>17163207627.395113</v>
      </c>
      <c r="K3" s="11">
        <f t="shared" si="4"/>
        <v>4.7660190000000213E-2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2165396.7530148923</v>
      </c>
      <c r="D4" s="11">
        <v>1.39E-3</v>
      </c>
      <c r="E4" s="10">
        <f t="shared" si="2"/>
        <v>3005.723530982621</v>
      </c>
      <c r="F4" s="3"/>
      <c r="G4" s="26">
        <v>6.32</v>
      </c>
      <c r="H4" s="10"/>
      <c r="I4" s="10">
        <f t="shared" si="5"/>
        <v>7565.5504833168352</v>
      </c>
      <c r="J4" s="10">
        <f t="shared" si="3"/>
        <v>16382418451.344524</v>
      </c>
      <c r="K4" s="11">
        <f t="shared" si="4"/>
        <v>6.4677847999999871E-2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2162391.0294839097</v>
      </c>
      <c r="D5" s="11">
        <v>1.74E-3</v>
      </c>
      <c r="E5" s="10">
        <f t="shared" si="2"/>
        <v>3756.0249079624191</v>
      </c>
      <c r="F5" s="3"/>
      <c r="G5" s="26">
        <v>9.6300000000000008</v>
      </c>
      <c r="H5" s="10"/>
      <c r="I5" s="10">
        <f t="shared" si="5"/>
        <v>7115.8300256930361</v>
      </c>
      <c r="J5" s="10">
        <f t="shared" si="3"/>
        <v>15387207014.890881</v>
      </c>
      <c r="K5" s="11">
        <f t="shared" si="4"/>
        <v>9.8207562000000248E-2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2158635.0045759473</v>
      </c>
      <c r="D6" s="11">
        <v>2.48E-3</v>
      </c>
      <c r="E6" s="10">
        <f t="shared" si="2"/>
        <v>5340.1711868052371</v>
      </c>
      <c r="F6" s="3"/>
      <c r="G6" s="26">
        <v>11.91</v>
      </c>
      <c r="H6" s="10"/>
      <c r="I6" s="10">
        <f t="shared" si="5"/>
        <v>6490.768973541034</v>
      </c>
      <c r="J6" s="10">
        <f t="shared" si="3"/>
        <v>14011201112.901167</v>
      </c>
      <c r="K6" s="11">
        <f t="shared" si="4"/>
        <v>0.12187536800000021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2153294.8333891421</v>
      </c>
      <c r="D7" s="11">
        <v>3.15E-3</v>
      </c>
      <c r="E7" s="10">
        <f t="shared" si="2"/>
        <v>6761.5797489667311</v>
      </c>
      <c r="F7" s="3"/>
      <c r="G7" s="26">
        <v>6.07</v>
      </c>
      <c r="H7" s="10"/>
      <c r="I7" s="10">
        <f t="shared" si="5"/>
        <v>5799.9901470297864</v>
      </c>
      <c r="J7" s="10">
        <f t="shared" si="3"/>
        <v>12489088817.307169</v>
      </c>
      <c r="K7" s="11">
        <f t="shared" si="4"/>
        <v>6.4041205000000101E-2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2146533.2536401753</v>
      </c>
      <c r="D8" s="11">
        <v>3.8400000000000001E-3</v>
      </c>
      <c r="E8" s="10">
        <f t="shared" si="2"/>
        <v>8211.1568516679108</v>
      </c>
      <c r="F8" s="3"/>
      <c r="G8" s="26">
        <v>1.61</v>
      </c>
      <c r="H8" s="10"/>
      <c r="I8" s="10">
        <f t="shared" si="5"/>
        <v>5468.0778231637469</v>
      </c>
      <c r="J8" s="10">
        <f t="shared" si="3"/>
        <v>11737410880.913364</v>
      </c>
      <c r="K8" s="11">
        <f t="shared" si="4"/>
        <v>2.0001824000000168E-2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2138322.0967885074</v>
      </c>
      <c r="D9" s="11">
        <v>4.64E-3</v>
      </c>
      <c r="E9" s="10">
        <f t="shared" si="2"/>
        <v>9875.9899357967079</v>
      </c>
      <c r="F9" s="3"/>
      <c r="G9" s="26">
        <v>10.199999999999999</v>
      </c>
      <c r="H9" s="10"/>
      <c r="I9" s="10">
        <f t="shared" si="5"/>
        <v>5381.4366924158512</v>
      </c>
      <c r="J9" s="10">
        <f t="shared" si="3"/>
        <v>11507244991.861273</v>
      </c>
      <c r="K9" s="11">
        <f t="shared" si="4"/>
        <v>0.10711328000000009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2128446.1068527107</v>
      </c>
      <c r="D10" s="11">
        <v>7.7299999999999999E-3</v>
      </c>
      <c r="E10" s="10">
        <f t="shared" si="2"/>
        <v>16326.683145258576</v>
      </c>
      <c r="F10" s="3"/>
      <c r="G10" s="26">
        <v>13.15</v>
      </c>
      <c r="H10" s="10"/>
      <c r="I10" s="10">
        <f t="shared" si="5"/>
        <v>4883.3363815025868</v>
      </c>
      <c r="J10" s="10">
        <f t="shared" si="3"/>
        <v>10393918309.661385</v>
      </c>
      <c r="K10" s="11">
        <f t="shared" si="4"/>
        <v>0.14024649499999997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2112119.4237074521</v>
      </c>
      <c r="D11" s="11">
        <v>8.9800000000000001E-3</v>
      </c>
      <c r="E11" s="10">
        <f t="shared" si="2"/>
        <v>18798.026150065474</v>
      </c>
      <c r="F11" s="3"/>
      <c r="G11" s="26">
        <v>9.86</v>
      </c>
      <c r="H11" s="10"/>
      <c r="I11" s="10">
        <f t="shared" si="5"/>
        <v>4315.8076725608371</v>
      </c>
      <c r="J11" s="10">
        <f t="shared" si="3"/>
        <v>9115501214.201395</v>
      </c>
      <c r="K11" s="11">
        <f t="shared" si="4"/>
        <v>0.10846542799999992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2093321.3975573867</v>
      </c>
      <c r="D12" s="11">
        <v>9.0500000000000008E-3</v>
      </c>
      <c r="E12" s="10">
        <f t="shared" si="2"/>
        <v>18774.648082745494</v>
      </c>
      <c r="F12" s="3"/>
      <c r="G12" s="26">
        <v>8.2799999999999994</v>
      </c>
      <c r="H12" s="10"/>
      <c r="I12" s="10">
        <f t="shared" si="5"/>
        <v>3928.4613804486048</v>
      </c>
      <c r="J12" s="10">
        <f t="shared" si="3"/>
        <v>8223532267.1708937</v>
      </c>
      <c r="K12" s="11">
        <f t="shared" si="4"/>
        <v>9.259934000000003E-2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2074546.7494746412</v>
      </c>
      <c r="D13" s="11">
        <v>9.1999999999999998E-3</v>
      </c>
      <c r="E13" s="10">
        <f t="shared" si="2"/>
        <v>18911.841156526934</v>
      </c>
      <c r="F13" s="3"/>
      <c r="G13" s="26">
        <v>8.18</v>
      </c>
      <c r="H13" s="10"/>
      <c r="I13" s="10">
        <f t="shared" si="5"/>
        <v>3628.0581644335102</v>
      </c>
      <c r="J13" s="10">
        <f t="shared" si="3"/>
        <v>7526576271.9304714</v>
      </c>
      <c r="K13" s="11">
        <f t="shared" si="4"/>
        <v>9.1752560000000205E-2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2055634.9083181142</v>
      </c>
      <c r="D14" s="11">
        <v>9.3699999999999999E-3</v>
      </c>
      <c r="E14" s="10">
        <f t="shared" si="2"/>
        <v>19082.496102460893</v>
      </c>
      <c r="F14" s="3"/>
      <c r="G14" s="26">
        <v>5.0999999999999996</v>
      </c>
      <c r="H14" s="10"/>
      <c r="I14" s="10">
        <f t="shared" si="5"/>
        <v>3353.723575923008</v>
      </c>
      <c r="J14" s="10">
        <f t="shared" si="3"/>
        <v>6894031255.5167904</v>
      </c>
      <c r="K14" s="11">
        <f t="shared" si="4"/>
        <v>6.0847869999999915E-2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2036552.4122156533</v>
      </c>
      <c r="D15" s="11">
        <v>9.7400000000000004E-3</v>
      </c>
      <c r="E15" s="10">
        <f t="shared" si="2"/>
        <v>19644.681299127173</v>
      </c>
      <c r="F15" s="3"/>
      <c r="G15" s="26">
        <v>2.5099999999999998</v>
      </c>
      <c r="H15" s="10"/>
      <c r="I15" s="10">
        <f t="shared" si="5"/>
        <v>3190.9834214300745</v>
      </c>
      <c r="J15" s="10">
        <f t="shared" si="3"/>
        <v>6498604984.2535772</v>
      </c>
      <c r="K15" s="11">
        <f t="shared" si="4"/>
        <v>3.5084474000000032E-2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2016907.7309165262</v>
      </c>
      <c r="D16" s="11">
        <v>1.0059999999999999E-2</v>
      </c>
      <c r="E16" s="10">
        <f t="shared" si="2"/>
        <v>20088.006428350927</v>
      </c>
      <c r="F16" s="3"/>
      <c r="G16" s="26">
        <v>0.95</v>
      </c>
      <c r="H16" s="10"/>
      <c r="I16" s="10">
        <f t="shared" si="5"/>
        <v>3112.8508647254657</v>
      </c>
      <c r="J16" s="10">
        <f t="shared" si="3"/>
        <v>6278332974.2549858</v>
      </c>
      <c r="K16" s="11">
        <f t="shared" si="4"/>
        <v>1.9655570000000067E-2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1996819.7244881752</v>
      </c>
      <c r="D17" s="11">
        <v>1.0489999999999999E-2</v>
      </c>
      <c r="E17" s="10">
        <f t="shared" si="2"/>
        <v>20729.189709824743</v>
      </c>
      <c r="F17" s="3"/>
      <c r="G17" s="26">
        <v>4.21</v>
      </c>
      <c r="H17" s="10"/>
      <c r="I17" s="10">
        <f t="shared" si="5"/>
        <v>3083.55707253637</v>
      </c>
      <c r="J17" s="10">
        <f t="shared" si="3"/>
        <v>6157307584.0256386</v>
      </c>
      <c r="K17" s="11">
        <f t="shared" si="4"/>
        <v>5.3031628999999914E-2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1976090.5347783505</v>
      </c>
      <c r="D18" s="11">
        <v>1.123E-2</v>
      </c>
      <c r="E18" s="10">
        <f t="shared" si="2"/>
        <v>21945.053751926869</v>
      </c>
      <c r="F18" s="3"/>
      <c r="G18" s="26">
        <v>5.21</v>
      </c>
      <c r="H18" s="10"/>
      <c r="I18" s="10">
        <f t="shared" si="5"/>
        <v>2958.9838523523367</v>
      </c>
      <c r="J18" s="10">
        <f t="shared" si="3"/>
        <v>5847219983.1954327</v>
      </c>
      <c r="K18" s="11">
        <f t="shared" si="4"/>
        <v>6.3915082999999928E-2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1954145.4810264236</v>
      </c>
      <c r="D19" s="11">
        <v>1.192E-2</v>
      </c>
      <c r="E19" s="10">
        <f t="shared" si="2"/>
        <v>23019.02732808399</v>
      </c>
      <c r="F19" s="3"/>
      <c r="G19" s="26">
        <v>8.39</v>
      </c>
      <c r="H19" s="10"/>
      <c r="I19" s="10">
        <f t="shared" si="5"/>
        <v>2812.4549494842095</v>
      </c>
      <c r="J19" s="10">
        <f t="shared" si="3"/>
        <v>5495946130.1249666</v>
      </c>
      <c r="K19" s="11">
        <f t="shared" si="4"/>
        <v>9.6820088000000082E-2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1931126.4536983396</v>
      </c>
      <c r="D20" s="11">
        <v>1.285E-2</v>
      </c>
      <c r="E20" s="10">
        <f t="shared" si="2"/>
        <v>24500.148027865682</v>
      </c>
      <c r="F20" s="3"/>
      <c r="G20" s="26">
        <v>7.71</v>
      </c>
      <c r="H20" s="10"/>
      <c r="I20" s="10">
        <f t="shared" si="5"/>
        <v>2594.755004598403</v>
      </c>
      <c r="J20" s="10">
        <f t="shared" si="3"/>
        <v>5010800030.2461329</v>
      </c>
      <c r="K20" s="11">
        <f t="shared" si="4"/>
        <v>9.0940734999999995E-2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1906626.305670474</v>
      </c>
      <c r="D21" s="11">
        <v>7.79E-3</v>
      </c>
      <c r="E21" s="10">
        <f t="shared" si="2"/>
        <v>14737.811370596057</v>
      </c>
      <c r="F21" s="3"/>
      <c r="G21" s="26">
        <v>4.08</v>
      </c>
      <c r="H21" s="10"/>
      <c r="I21" s="10">
        <f t="shared" si="5"/>
        <v>2409.0195939080895</v>
      </c>
      <c r="J21" s="10">
        <f t="shared" si="3"/>
        <v>4593100128.6207657</v>
      </c>
      <c r="K21" s="11">
        <f t="shared" si="4"/>
        <v>4.8907831999999818E-2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1891888.4942998779</v>
      </c>
      <c r="D22" s="11">
        <v>4.79E-3</v>
      </c>
      <c r="E22" s="10">
        <f t="shared" si="2"/>
        <v>9018.9451404737774</v>
      </c>
      <c r="F22" s="3"/>
      <c r="G22" s="26">
        <v>1.75</v>
      </c>
      <c r="H22" s="10"/>
      <c r="I22" s="10">
        <f t="shared" si="5"/>
        <v>2314.5845444927841</v>
      </c>
      <c r="J22" s="10">
        <f t="shared" si="3"/>
        <v>4378935868.8102217</v>
      </c>
      <c r="K22" s="11">
        <f t="shared" si="4"/>
        <v>2.2373825000000291E-2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1882869.5491594041</v>
      </c>
      <c r="D23" s="11">
        <v>5.1900000000000002E-3</v>
      </c>
      <c r="E23" s="10">
        <f t="shared" si="2"/>
        <v>9721.6376606784761</v>
      </c>
      <c r="F23" s="3"/>
      <c r="G23" s="26">
        <v>2.85</v>
      </c>
      <c r="H23" s="10"/>
      <c r="I23" s="10">
        <f t="shared" si="5"/>
        <v>2274.775965103473</v>
      </c>
      <c r="J23" s="10">
        <f t="shared" si="3"/>
        <v>4283106395.8530245</v>
      </c>
      <c r="K23" s="11">
        <f t="shared" si="4"/>
        <v>3.3837914999999885E-2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1873147.9114987256</v>
      </c>
      <c r="D24" s="11">
        <v>5.9199999999999999E-3</v>
      </c>
      <c r="E24" s="10">
        <f t="shared" si="2"/>
        <v>11023.774888731074</v>
      </c>
      <c r="F24" s="3"/>
      <c r="G24" s="26">
        <v>5.46</v>
      </c>
      <c r="H24" s="10"/>
      <c r="I24" s="10">
        <f t="shared" si="5"/>
        <v>2211.7413369990018</v>
      </c>
      <c r="J24" s="10">
        <f t="shared" si="3"/>
        <v>4142918666.1750793</v>
      </c>
      <c r="K24" s="11">
        <f t="shared" si="4"/>
        <v>6.0843231999999858E-2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1862124.1366099946</v>
      </c>
      <c r="D25" s="11">
        <v>6.8399999999999997E-3</v>
      </c>
      <c r="E25" s="10">
        <f t="shared" si="2"/>
        <v>12650.400355977472</v>
      </c>
      <c r="F25" s="3"/>
      <c r="G25" s="26">
        <v>8.1999999999999993</v>
      </c>
      <c r="H25" s="10"/>
      <c r="I25" s="10">
        <f t="shared" si="5"/>
        <v>2097.2324454760114</v>
      </c>
      <c r="J25" s="10">
        <f t="shared" si="3"/>
        <v>3905307156.8024855</v>
      </c>
      <c r="K25" s="11">
        <f t="shared" si="4"/>
        <v>8.9400880000000127E-2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1849473.7362540171</v>
      </c>
      <c r="D26" s="11">
        <v>7.7099999999999998E-3</v>
      </c>
      <c r="E26" s="10">
        <f t="shared" si="2"/>
        <v>14150.343359219143</v>
      </c>
      <c r="F26" s="3"/>
      <c r="G26" s="26">
        <v>9.42</v>
      </c>
      <c r="H26" s="10"/>
      <c r="I26" s="10">
        <f t="shared" si="5"/>
        <v>1938.2924634713597</v>
      </c>
      <c r="J26" s="10">
        <f t="shared" si="3"/>
        <v>3584821004.3693786</v>
      </c>
      <c r="K26" s="11">
        <f t="shared" si="4"/>
        <v>0.10263628200000019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1835323.392894798</v>
      </c>
      <c r="D27" s="11">
        <v>8.6199999999999992E-3</v>
      </c>
      <c r="E27" s="10">
        <f t="shared" si="2"/>
        <v>15685.280528596835</v>
      </c>
      <c r="F27" s="3"/>
      <c r="G27" s="26">
        <v>-13.38</v>
      </c>
      <c r="H27" s="10"/>
      <c r="I27" s="10">
        <f t="shared" si="5"/>
        <v>1771.4242948924873</v>
      </c>
      <c r="J27" s="10">
        <f t="shared" si="3"/>
        <v>3251136447.1583548</v>
      </c>
      <c r="K27" s="11">
        <f t="shared" si="4"/>
        <v>-0.12633335599999995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1819638.1123662011</v>
      </c>
      <c r="D28" s="11">
        <v>9.5499999999999995E-3</v>
      </c>
      <c r="E28" s="10">
        <f t="shared" si="2"/>
        <v>17213.158311225008</v>
      </c>
      <c r="F28" s="3"/>
      <c r="G28" s="26">
        <v>-1.81</v>
      </c>
      <c r="H28" s="10"/>
      <c r="I28" s="10">
        <f t="shared" si="5"/>
        <v>2045.052291494444</v>
      </c>
      <c r="J28" s="10">
        <f t="shared" si="3"/>
        <v>3721255091.3851242</v>
      </c>
      <c r="K28" s="11">
        <f t="shared" si="4"/>
        <v>-8.7228550000000293E-3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1802424.9540549761</v>
      </c>
      <c r="D29" s="11">
        <v>1.0449999999999999E-2</v>
      </c>
      <c r="E29" s="10">
        <f t="shared" si="2"/>
        <v>18640.547053168993</v>
      </c>
      <c r="F29" s="3"/>
      <c r="G29" s="30">
        <v>6.02</v>
      </c>
      <c r="H29" s="10"/>
      <c r="I29" s="10">
        <f t="shared" si="5"/>
        <v>2082.7500677201792</v>
      </c>
      <c r="J29" s="10">
        <f t="shared" si="3"/>
        <v>3754000695.1185427</v>
      </c>
      <c r="K29" s="11">
        <f t="shared" si="4"/>
        <v>7.1279090000000211E-2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1783784.4070018071</v>
      </c>
      <c r="D30" s="11">
        <v>1.1180000000000001E-2</v>
      </c>
      <c r="E30" s="10">
        <f t="shared" si="2"/>
        <v>19722.215303190518</v>
      </c>
      <c r="F30" s="3"/>
      <c r="G30" s="30">
        <v>6.52</v>
      </c>
      <c r="H30" s="10"/>
      <c r="I30" s="10">
        <f t="shared" si="5"/>
        <v>1964.4878963593465</v>
      </c>
      <c r="J30" s="10">
        <f t="shared" si="3"/>
        <v>3504222877.2695842</v>
      </c>
      <c r="K30" s="11">
        <f t="shared" si="4"/>
        <v>7.7108935999999684E-2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1764062.1916986166</v>
      </c>
      <c r="D31" s="11">
        <v>1.9050000000000001E-2</v>
      </c>
      <c r="E31" s="10">
        <f t="shared" si="2"/>
        <v>32977.169669651892</v>
      </c>
      <c r="F31" s="3"/>
      <c r="G31" s="26">
        <v>3.57</v>
      </c>
      <c r="H31" s="10"/>
      <c r="I31" s="10">
        <f t="shared" si="5"/>
        <v>1844.2432372881588</v>
      </c>
      <c r="J31" s="10">
        <f t="shared" si="3"/>
        <v>3253359767.1959014</v>
      </c>
      <c r="K31" s="11">
        <f t="shared" si="4"/>
        <v>5.543008500000024E-2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1731085.0220289647</v>
      </c>
      <c r="D32" s="11">
        <v>2.35E-2</v>
      </c>
      <c r="E32" s="10">
        <f t="shared" si="2"/>
        <v>39746.456294754054</v>
      </c>
      <c r="F32" s="3"/>
      <c r="G32" s="26">
        <v>4.9400000000000004</v>
      </c>
      <c r="H32" s="10"/>
      <c r="I32" s="10">
        <f t="shared" si="5"/>
        <v>1780.673203908621</v>
      </c>
      <c r="J32" s="10">
        <f t="shared" si="3"/>
        <v>3082496712.4145422</v>
      </c>
      <c r="K32" s="11">
        <f t="shared" si="4"/>
        <v>7.4060900000000096E-2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1691338.5657342107</v>
      </c>
      <c r="D33" s="11">
        <v>2.4170000000000001E-2</v>
      </c>
      <c r="E33" s="10">
        <f t="shared" si="2"/>
        <v>39914.909764781129</v>
      </c>
      <c r="F33" s="3"/>
      <c r="G33" s="26">
        <v>2.71</v>
      </c>
      <c r="H33" s="10"/>
      <c r="I33" s="10">
        <f t="shared" si="5"/>
        <v>1696.8488697433017</v>
      </c>
      <c r="J33" s="10">
        <f t="shared" si="3"/>
        <v>2869945933.6193523</v>
      </c>
      <c r="K33" s="11">
        <f t="shared" si="4"/>
        <v>5.1925006999999912E-2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1651423.6559694295</v>
      </c>
      <c r="D34" s="11">
        <v>2.418E-2</v>
      </c>
      <c r="E34" s="10">
        <f t="shared" si="2"/>
        <v>38988.67777279485</v>
      </c>
      <c r="F34" s="3"/>
      <c r="G34" s="26">
        <v>-5.79</v>
      </c>
      <c r="H34" s="10"/>
      <c r="I34" s="10">
        <f t="shared" si="5"/>
        <v>1652.0775676597234</v>
      </c>
      <c r="J34" s="10">
        <f t="shared" ref="J34:J65" si="6">IF(I34="","",I34*C34)</f>
        <v>2728279976.7297029</v>
      </c>
      <c r="K34" s="11">
        <f t="shared" ref="K34:K65" si="7">IFERROR(J34/J35-1,"")</f>
        <v>-2.1805681999999882E-2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1612434.9781966347</v>
      </c>
      <c r="D35" s="11">
        <v>2.4E-2</v>
      </c>
      <c r="E35" s="10">
        <f t="shared" si="2"/>
        <v>37791.444801483769</v>
      </c>
      <c r="F35" s="3"/>
      <c r="G35" s="26">
        <v>2.65</v>
      </c>
      <c r="H35" s="10"/>
      <c r="I35" s="10">
        <f t="shared" ref="I35:I66" si="8">IF(H35&lt;&gt;"",H35,I34/(1+IF(G34="",0,G34)/100))</f>
        <v>1729.7430296929363</v>
      </c>
      <c r="J35" s="10">
        <f t="shared" si="6"/>
        <v>2789098164.3687105</v>
      </c>
      <c r="K35" s="11">
        <f t="shared" si="7"/>
        <v>7.8784000000000187E-2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1574643.5333951509</v>
      </c>
      <c r="D36" s="11">
        <v>2.3910000000000001E-2</v>
      </c>
      <c r="E36" s="10">
        <f t="shared" si="2"/>
        <v>36770.543195669772</v>
      </c>
      <c r="F36" s="3"/>
      <c r="G36" s="26">
        <v>4.41</v>
      </c>
      <c r="H36" s="10"/>
      <c r="I36" s="10">
        <f t="shared" si="8"/>
        <v>1641.9013096278463</v>
      </c>
      <c r="J36" s="10">
        <f t="shared" si="6"/>
        <v>2585409279.6785178</v>
      </c>
      <c r="K36" s="11">
        <f t="shared" si="7"/>
        <v>0.11821211100000029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1537872.9901994811</v>
      </c>
      <c r="D37" s="11">
        <v>2.3789999999999999E-2</v>
      </c>
      <c r="E37" s="10">
        <f t="shared" si="2"/>
        <v>35735.842738106148</v>
      </c>
      <c r="F37" s="3"/>
      <c r="G37" s="26">
        <v>7.78</v>
      </c>
      <c r="H37" s="10"/>
      <c r="I37" s="10">
        <f t="shared" si="8"/>
        <v>1503.4349506710432</v>
      </c>
      <c r="J37" s="10">
        <f t="shared" si="6"/>
        <v>2312092003.1588864</v>
      </c>
      <c r="K37" s="11">
        <f t="shared" si="7"/>
        <v>0.15770173200000004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1502137.147461375</v>
      </c>
      <c r="D38" s="11">
        <v>2.385E-2</v>
      </c>
      <c r="E38" s="10">
        <f t="shared" si="2"/>
        <v>34991.425469506066</v>
      </c>
      <c r="F38" s="3"/>
      <c r="G38" s="26">
        <v>0.81</v>
      </c>
      <c r="H38" s="10"/>
      <c r="I38" s="10">
        <f t="shared" si="8"/>
        <v>1329.5321459772224</v>
      </c>
      <c r="J38" s="10">
        <f t="shared" si="6"/>
        <v>1997139625.2164252</v>
      </c>
      <c r="K38" s="11">
        <f t="shared" si="7"/>
        <v>7.0025634999999919E-2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1467145.7219918689</v>
      </c>
      <c r="D39" s="11">
        <v>2.384E-2</v>
      </c>
      <c r="E39" s="10">
        <f t="shared" si="2"/>
        <v>34162.324203280034</v>
      </c>
      <c r="F39" s="3"/>
      <c r="G39" s="26">
        <v>9.7899999999999991</v>
      </c>
      <c r="H39" s="10"/>
      <c r="I39" s="10">
        <f t="shared" si="8"/>
        <v>1272.1578279372525</v>
      </c>
      <c r="J39" s="10">
        <f t="shared" si="6"/>
        <v>1866440914.9566081</v>
      </c>
      <c r="K39" s="11">
        <f t="shared" si="7"/>
        <v>0.12407393600000027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1432983.3977885889</v>
      </c>
      <c r="D40" s="11">
        <v>2.3390000000000001E-2</v>
      </c>
      <c r="E40" s="10">
        <f t="shared" si="2"/>
        <v>32751.425824245904</v>
      </c>
      <c r="F40" s="3"/>
      <c r="G40" s="26">
        <v>1.0900000000000001</v>
      </c>
      <c r="H40" s="10"/>
      <c r="I40" s="10">
        <f t="shared" si="8"/>
        <v>1158.7192166292489</v>
      </c>
      <c r="J40" s="10">
        <f t="shared" si="6"/>
        <v>1660425400.1283131</v>
      </c>
      <c r="K40" s="11">
        <f t="shared" si="7"/>
        <v>3.4544950999999768E-2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1400231.971964343</v>
      </c>
      <c r="D41" s="11">
        <v>1.804E-2</v>
      </c>
      <c r="E41" s="10">
        <f t="shared" si="2"/>
        <v>24812.566082115518</v>
      </c>
      <c r="F41" s="3"/>
      <c r="G41" s="26">
        <v>1.66</v>
      </c>
      <c r="H41" s="10"/>
      <c r="I41" s="10">
        <f t="shared" si="8"/>
        <v>1146.225360203036</v>
      </c>
      <c r="J41" s="10">
        <f t="shared" si="6"/>
        <v>1604981396.4326365</v>
      </c>
      <c r="K41" s="11">
        <f t="shared" si="7"/>
        <v>3.4939464000000253E-2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1375419.4058822275</v>
      </c>
      <c r="D42" s="11">
        <v>1.5100000000000001E-2</v>
      </c>
      <c r="E42" s="10">
        <f t="shared" si="2"/>
        <v>20459.888709310908</v>
      </c>
      <c r="F42" s="3"/>
      <c r="G42" s="26">
        <v>-4.74</v>
      </c>
      <c r="H42" s="10"/>
      <c r="I42" s="10">
        <f t="shared" si="8"/>
        <v>1127.5087155253157</v>
      </c>
      <c r="J42" s="10">
        <f t="shared" si="6"/>
        <v>1550797367.6348631</v>
      </c>
      <c r="K42" s="11">
        <f t="shared" si="7"/>
        <v>-3.3015740000000071E-2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1354959.5171729166</v>
      </c>
      <c r="D43" s="11">
        <v>1.435E-2</v>
      </c>
      <c r="E43" s="10">
        <f t="shared" si="2"/>
        <v>19168.5996662213</v>
      </c>
      <c r="F43" s="3"/>
      <c r="G43" s="26">
        <v>2.4500000000000002</v>
      </c>
      <c r="H43" s="10"/>
      <c r="I43" s="10">
        <f t="shared" si="8"/>
        <v>1183.6119205598527</v>
      </c>
      <c r="J43" s="10">
        <f t="shared" si="6"/>
        <v>1603746236.4018865</v>
      </c>
      <c r="K43" s="11">
        <f t="shared" si="7"/>
        <v>3.92015750000001E-2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1335790.9175066953</v>
      </c>
      <c r="D44" s="11">
        <v>1.5010000000000001E-2</v>
      </c>
      <c r="E44" s="10">
        <f t="shared" si="2"/>
        <v>19753.718359203776</v>
      </c>
      <c r="F44" s="3"/>
      <c r="G44" s="26">
        <v>5.36</v>
      </c>
      <c r="H44" s="10"/>
      <c r="I44" s="10">
        <f t="shared" si="8"/>
        <v>1155.3069014737459</v>
      </c>
      <c r="J44" s="10">
        <f t="shared" si="6"/>
        <v>1543248465.9214323</v>
      </c>
      <c r="K44" s="11">
        <f t="shared" si="7"/>
        <v>6.9414536000000027E-2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1316037.1991474915</v>
      </c>
      <c r="D45" s="11">
        <v>1.6449999999999999E-2</v>
      </c>
      <c r="E45" s="10">
        <f t="shared" si="2"/>
        <v>21298.452384255361</v>
      </c>
      <c r="F45" s="3"/>
      <c r="G45" s="26">
        <v>4.58</v>
      </c>
      <c r="H45" s="10"/>
      <c r="I45" s="10">
        <f t="shared" si="8"/>
        <v>1096.532746273487</v>
      </c>
      <c r="J45" s="10">
        <f t="shared" si="6"/>
        <v>1443077884.1792667</v>
      </c>
      <c r="K45" s="11">
        <f t="shared" si="7"/>
        <v>6.3003410000000093E-2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1294738.7467632361</v>
      </c>
      <c r="D46" s="11">
        <v>1.7930000000000001E-2</v>
      </c>
      <c r="E46" s="10">
        <f t="shared" si="2"/>
        <v>22805.75847991975</v>
      </c>
      <c r="F46" s="3"/>
      <c r="G46" s="26">
        <v>9.6199999999999992</v>
      </c>
      <c r="H46" s="10"/>
      <c r="I46" s="10">
        <f t="shared" si="8"/>
        <v>1048.5109449928159</v>
      </c>
      <c r="J46" s="10">
        <f t="shared" si="6"/>
        <v>1357547746.8875349</v>
      </c>
      <c r="K46" s="11">
        <f t="shared" si="7"/>
        <v>0.11585486600000006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1271932.9882833164</v>
      </c>
      <c r="D47" s="11">
        <v>1.9140000000000001E-2</v>
      </c>
      <c r="E47" s="10">
        <f t="shared" si="2"/>
        <v>23887.58894336666</v>
      </c>
      <c r="F47" s="3"/>
      <c r="G47" s="26">
        <v>6.96</v>
      </c>
      <c r="H47" s="10"/>
      <c r="I47" s="10">
        <f t="shared" si="8"/>
        <v>956.49602717826656</v>
      </c>
      <c r="J47" s="10">
        <f t="shared" si="6"/>
        <v>1216598850.1299727</v>
      </c>
      <c r="K47" s="11">
        <f t="shared" si="7"/>
        <v>9.0072143999999854E-2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1248045.3993399497</v>
      </c>
      <c r="D48" s="11">
        <v>2.0379999999999999E-2</v>
      </c>
      <c r="E48" s="10">
        <f t="shared" si="2"/>
        <v>24927.14992311527</v>
      </c>
      <c r="F48" s="3"/>
      <c r="G48" s="26">
        <v>8.44</v>
      </c>
      <c r="H48" s="10"/>
      <c r="I48" s="10">
        <f t="shared" si="8"/>
        <v>894.25582196920971</v>
      </c>
      <c r="J48" s="10">
        <f t="shared" si="6"/>
        <v>1116071864.4416373</v>
      </c>
      <c r="K48" s="11">
        <f t="shared" si="7"/>
        <v>0.106500072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1223118.2494168344</v>
      </c>
      <c r="D49" s="11">
        <v>2.1520000000000001E-2</v>
      </c>
      <c r="E49" s="10">
        <f t="shared" si="2"/>
        <v>25766.998910887865</v>
      </c>
      <c r="F49" s="3"/>
      <c r="G49" s="26">
        <v>6.98</v>
      </c>
      <c r="H49" s="10"/>
      <c r="I49" s="10">
        <f t="shared" si="8"/>
        <v>824.65494464146968</v>
      </c>
      <c r="J49" s="10">
        <f t="shared" si="6"/>
        <v>1008650512.2628109</v>
      </c>
      <c r="K49" s="11">
        <f t="shared" si="7"/>
        <v>9.2822096000000132E-2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1197351.2505059466</v>
      </c>
      <c r="D50" s="11">
        <v>2.2620000000000001E-2</v>
      </c>
      <c r="E50" s="10">
        <f t="shared" si="2"/>
        <v>26484.994706190657</v>
      </c>
      <c r="F50" s="3"/>
      <c r="G50" s="26">
        <v>8.5500000000000007</v>
      </c>
      <c r="H50" s="10"/>
      <c r="I50" s="10">
        <f t="shared" si="8"/>
        <v>770.84963978451071</v>
      </c>
      <c r="J50" s="10">
        <f t="shared" si="6"/>
        <v>922977780.14804232</v>
      </c>
      <c r="K50" s="11">
        <f t="shared" si="7"/>
        <v>0.11005401000000004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1170866.2557997559</v>
      </c>
      <c r="D51" s="11">
        <v>2.7730000000000001E-2</v>
      </c>
      <c r="E51" s="10">
        <f t="shared" si="2"/>
        <v>31592.073086634977</v>
      </c>
      <c r="F51" s="3"/>
      <c r="G51" s="26">
        <v>7.58</v>
      </c>
      <c r="H51" s="10"/>
      <c r="I51" s="10">
        <f t="shared" si="8"/>
        <v>710.13324715293481</v>
      </c>
      <c r="J51" s="10">
        <f t="shared" si="6"/>
        <v>831471056.21287942</v>
      </c>
      <c r="K51" s="11">
        <f t="shared" si="7"/>
        <v>0.10563193400000004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1139274.1827131209</v>
      </c>
      <c r="D52" s="11">
        <v>3.0339999999999999E-2</v>
      </c>
      <c r="E52" s="10">
        <f t="shared" si="2"/>
        <v>33547.740263909101</v>
      </c>
      <c r="F52" s="3"/>
      <c r="G52" s="26">
        <v>9.16</v>
      </c>
      <c r="H52" s="10"/>
      <c r="I52" s="10">
        <f t="shared" si="8"/>
        <v>660.09783152345676</v>
      </c>
      <c r="J52" s="10">
        <f t="shared" si="6"/>
        <v>752032417.51958966</v>
      </c>
      <c r="K52" s="11">
        <f t="shared" si="7"/>
        <v>0.12471914399999995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1105726.4424492118</v>
      </c>
      <c r="D53" s="11">
        <v>3.091E-2</v>
      </c>
      <c r="E53" s="10">
        <f t="shared" si="2"/>
        <v>33153.237757035065</v>
      </c>
      <c r="F53" s="3"/>
      <c r="G53" s="26">
        <v>4.43</v>
      </c>
      <c r="H53" s="10"/>
      <c r="I53" s="10">
        <f t="shared" si="8"/>
        <v>604.70669798777647</v>
      </c>
      <c r="J53" s="10">
        <f t="shared" si="6"/>
        <v>668640185.89123404</v>
      </c>
      <c r="K53" s="11">
        <f t="shared" si="7"/>
        <v>7.6579312999999871E-2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1072573.2046921768</v>
      </c>
      <c r="D54" s="11">
        <v>3.1350000000000003E-2</v>
      </c>
      <c r="E54" s="10">
        <f t="shared" si="2"/>
        <v>32603.063913414255</v>
      </c>
      <c r="F54" s="3"/>
      <c r="G54" s="26">
        <v>8.5399999999999991</v>
      </c>
      <c r="H54" s="10"/>
      <c r="I54" s="10">
        <f t="shared" si="8"/>
        <v>579.05458008979838</v>
      </c>
      <c r="J54" s="10">
        <f t="shared" si="6"/>
        <v>621078426.65859783</v>
      </c>
      <c r="K54" s="11">
        <f t="shared" si="7"/>
        <v>0.11942728999999996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1039970.1407787625</v>
      </c>
      <c r="D55" s="11">
        <v>3.1480000000000001E-2</v>
      </c>
      <c r="E55" s="10">
        <f t="shared" si="2"/>
        <v>31739.11276196863</v>
      </c>
      <c r="F55" s="3"/>
      <c r="G55" s="26">
        <v>8.24</v>
      </c>
      <c r="H55" s="10"/>
      <c r="I55" s="10">
        <f t="shared" si="8"/>
        <v>533.49417734457199</v>
      </c>
      <c r="J55" s="10">
        <f t="shared" si="6"/>
        <v>554818014.71768463</v>
      </c>
      <c r="K55" s="11">
        <f t="shared" si="7"/>
        <v>0.11647395199999999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1008231.0280167939</v>
      </c>
      <c r="D56" s="11">
        <v>3.0450000000000001E-2</v>
      </c>
      <c r="E56" s="10">
        <f t="shared" si="2"/>
        <v>29793.425011510961</v>
      </c>
      <c r="F56" s="3"/>
      <c r="G56" s="26">
        <v>10.93</v>
      </c>
      <c r="H56" s="10"/>
      <c r="I56" s="10">
        <f t="shared" si="8"/>
        <v>492.88079946837769</v>
      </c>
      <c r="J56" s="10">
        <f t="shared" si="6"/>
        <v>496937715.13774168</v>
      </c>
      <c r="K56" s="11">
        <f t="shared" si="7"/>
        <v>0.14307818500000025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978437.60300528293</v>
      </c>
      <c r="D57" s="11">
        <v>3.0439999999999998E-2</v>
      </c>
      <c r="E57" s="10">
        <f t="shared" si="2"/>
        <v>28903.808698692592</v>
      </c>
      <c r="F57" s="3"/>
      <c r="G57" s="26">
        <v>6.02</v>
      </c>
      <c r="H57" s="10"/>
      <c r="I57" s="10">
        <f t="shared" si="8"/>
        <v>444.31695616008085</v>
      </c>
      <c r="J57" s="10">
        <f t="shared" si="6"/>
        <v>434736417.55987287</v>
      </c>
      <c r="K57" s="11">
        <f t="shared" si="7"/>
        <v>9.2472488000000075E-2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949533.79430659034</v>
      </c>
      <c r="D58" s="11">
        <v>3.0380000000000001E-2</v>
      </c>
      <c r="E58" s="10">
        <f t="shared" si="2"/>
        <v>27996.308809404611</v>
      </c>
      <c r="F58" s="3"/>
      <c r="G58" s="26">
        <v>6.52</v>
      </c>
      <c r="H58" s="10"/>
      <c r="I58" s="10">
        <f t="shared" si="8"/>
        <v>419.08786659128543</v>
      </c>
      <c r="J58" s="10">
        <f t="shared" si="6"/>
        <v>397938092.11227739</v>
      </c>
      <c r="K58" s="11">
        <f t="shared" si="7"/>
        <v>9.7560775999999905E-2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921537.48549718573</v>
      </c>
      <c r="D59" s="11">
        <v>3.0030000000000001E-2</v>
      </c>
      <c r="E59" s="10">
        <f t="shared" si="2"/>
        <v>26866.956000777194</v>
      </c>
      <c r="F59" s="3"/>
      <c r="G59" s="26">
        <v>0.64</v>
      </c>
      <c r="H59" s="10"/>
      <c r="I59" s="10">
        <f t="shared" si="8"/>
        <v>393.4358492220104</v>
      </c>
      <c r="J59" s="10">
        <f t="shared" si="6"/>
        <v>362565883.19650137</v>
      </c>
      <c r="K59" s="11">
        <f t="shared" si="7"/>
        <v>3.6622192000000053E-2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894670.52949640853</v>
      </c>
      <c r="D60" s="11">
        <v>2.9399999999999999E-2</v>
      </c>
      <c r="E60" s="10">
        <f t="shared" si="2"/>
        <v>25552.082346215728</v>
      </c>
      <c r="F60" s="3"/>
      <c r="G60" s="26">
        <v>10.49</v>
      </c>
      <c r="H60" s="10"/>
      <c r="I60" s="10">
        <f t="shared" si="8"/>
        <v>390.93387243840465</v>
      </c>
      <c r="J60" s="10">
        <f t="shared" si="6"/>
        <v>349757014.65254891</v>
      </c>
      <c r="K60" s="11">
        <f t="shared" si="7"/>
        <v>0.13738406000000003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869118.44715019281</v>
      </c>
      <c r="D61" s="11">
        <v>2.9329999999999998E-2</v>
      </c>
      <c r="E61" s="10">
        <f t="shared" si="2"/>
        <v>24764.889836024609</v>
      </c>
      <c r="F61" s="3"/>
      <c r="G61" s="26">
        <v>5.17</v>
      </c>
      <c r="H61" s="10"/>
      <c r="I61" s="10">
        <f t="shared" si="8"/>
        <v>353.81832965734878</v>
      </c>
      <c r="J61" s="10">
        <f t="shared" si="6"/>
        <v>307510037.24506998</v>
      </c>
      <c r="K61" s="11">
        <f t="shared" si="7"/>
        <v>8.2546361000000124E-2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844353.5573141682</v>
      </c>
      <c r="D62" s="11">
        <v>2.792E-2</v>
      </c>
      <c r="E62" s="10">
        <f t="shared" si="2"/>
        <v>22934.033115623286</v>
      </c>
      <c r="F62" s="3"/>
      <c r="G62" s="26">
        <v>5.89</v>
      </c>
      <c r="H62" s="10"/>
      <c r="I62" s="10">
        <f t="shared" si="8"/>
        <v>336.42514943172841</v>
      </c>
      <c r="J62" s="10">
        <f t="shared" si="6"/>
        <v>284061771.69263047</v>
      </c>
      <c r="K62" s="11">
        <f t="shared" si="7"/>
        <v>8.8464487999999841E-2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821419.52419854491</v>
      </c>
      <c r="D63" s="11">
        <v>2.6210000000000001E-2</v>
      </c>
      <c r="E63" s="10">
        <f t="shared" si="2"/>
        <v>20979.532190530095</v>
      </c>
      <c r="F63" s="3"/>
      <c r="G63" s="26">
        <v>3.63</v>
      </c>
      <c r="H63" s="10"/>
      <c r="I63" s="10">
        <f t="shared" si="8"/>
        <v>317.71191749148022</v>
      </c>
      <c r="J63" s="10">
        <f t="shared" si="6"/>
        <v>260974772.09805903</v>
      </c>
      <c r="K63" s="11">
        <f t="shared" si="7"/>
        <v>6.3461423000000128E-2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800439.99200801481</v>
      </c>
      <c r="D64" s="11">
        <v>2.462E-2</v>
      </c>
      <c r="E64" s="10">
        <f t="shared" si="2"/>
        <v>19233.308546814835</v>
      </c>
      <c r="F64" s="3"/>
      <c r="G64" s="26">
        <v>6.02</v>
      </c>
      <c r="H64" s="10"/>
      <c r="I64" s="10">
        <f t="shared" si="8"/>
        <v>306.58295618207103</v>
      </c>
      <c r="J64" s="10">
        <f t="shared" si="6"/>
        <v>245401258.99617049</v>
      </c>
      <c r="K64" s="11">
        <f t="shared" si="7"/>
        <v>8.6302124000000147E-2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781206.68346119998</v>
      </c>
      <c r="D65" s="11">
        <v>2.334E-2</v>
      </c>
      <c r="E65" s="10">
        <f t="shared" si="2"/>
        <v>17817.503461199929</v>
      </c>
      <c r="F65" s="3"/>
      <c r="G65" s="26">
        <v>5.34</v>
      </c>
      <c r="H65" s="10"/>
      <c r="I65" s="10">
        <f t="shared" si="8"/>
        <v>289.1746426920119</v>
      </c>
      <c r="J65" s="10">
        <f t="shared" si="6"/>
        <v>225905163.55850413</v>
      </c>
      <c r="K65" s="11">
        <f t="shared" si="7"/>
        <v>7.798635599999959E-2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763389.18</v>
      </c>
      <c r="D66" s="11">
        <v>2.1940000000000001E-2</v>
      </c>
      <c r="E66" s="10">
        <f t="shared" si="2"/>
        <v>16389.180000000051</v>
      </c>
      <c r="F66" s="23">
        <f>SUM(F2)</f>
        <v>2170550</v>
      </c>
      <c r="G66" s="26">
        <v>-0.85</v>
      </c>
      <c r="H66" s="10"/>
      <c r="I66" s="10">
        <f t="shared" si="8"/>
        <v>274.51551423202199</v>
      </c>
      <c r="J66" s="10">
        <f t="shared" ref="J66:J67" si="9">IF(I66="","",I66*C66)</f>
        <v>209562173.30686161</v>
      </c>
      <c r="K66" s="11">
        <f t="shared" ref="K66" si="10">IFERROR(J66/J67-1,"")</f>
        <v>1.3253509999999968E-2</v>
      </c>
    </row>
    <row r="67" spans="1:11" ht="22.5" customHeight="1">
      <c r="A67" s="3">
        <f t="shared" si="0"/>
        <v>1950</v>
      </c>
      <c r="B67" s="3">
        <v>1700</v>
      </c>
      <c r="C67" s="10">
        <v>747000</v>
      </c>
      <c r="D67" s="11">
        <v>2.0310000000000002E-2</v>
      </c>
      <c r="E67" s="3" t="s">
        <v>72</v>
      </c>
      <c r="F67" s="10">
        <f>SUM(C2)</f>
        <v>2170098.1130326623</v>
      </c>
      <c r="G67" s="26">
        <v>0.52</v>
      </c>
      <c r="H67" s="10"/>
      <c r="I67" s="10">
        <f t="shared" ref="I67" si="11">IF(H67&lt;&gt;"",H67,I66/(1+IF(G66="",0,G66)/100))</f>
        <v>276.86889988101058</v>
      </c>
      <c r="J67" s="10">
        <f t="shared" si="9"/>
        <v>206821068.21111491</v>
      </c>
      <c r="K67" s="11"/>
    </row>
  </sheetData>
  <dataValidations count="1">
    <dataValidation type="custom" allowBlank="1" showDropDown="1" sqref="D2:D67" xr:uid="{00000000-0002-0000-4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M67"/>
  <sheetViews>
    <sheetView workbookViewId="0">
      <selection activeCell="J24" sqref="J2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76062.600820163949</v>
      </c>
      <c r="D2" s="11">
        <v>-1.3799999999999999E-3</v>
      </c>
      <c r="E2" s="10">
        <f t="shared" ref="E2:E66" si="2">SUM(C2-C3)</f>
        <v>-105.11144292306562</v>
      </c>
      <c r="F2" s="14">
        <v>76045</v>
      </c>
      <c r="G2" s="26">
        <v>2.92</v>
      </c>
      <c r="H2" s="10"/>
      <c r="I2" s="10">
        <f>IF(H2&lt;&gt;"",H2,12984)</f>
        <v>1623</v>
      </c>
      <c r="J2" s="10">
        <f t="shared" ref="J2:J33" si="3">IF(I2="","",I2*C2)</f>
        <v>123449601.13112609</v>
      </c>
      <c r="K2" s="11">
        <f t="shared" ref="K2:K33" si="4">IFERROR(J2/J3-1,"")</f>
        <v>2.7779703999999628E-2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76167.712263087014</v>
      </c>
      <c r="D3" s="11">
        <v>1.324E-2</v>
      </c>
      <c r="E3" s="10">
        <f t="shared" si="2"/>
        <v>995.28296392095217</v>
      </c>
      <c r="F3" s="3"/>
      <c r="G3" s="26">
        <v>4.6900000000000004</v>
      </c>
      <c r="H3" s="10"/>
      <c r="I3" s="10">
        <f t="shared" ref="I3:I34" si="5">IF(H3&lt;&gt;"",H3,I2/(1+IF(G2="",0,G2)/100))</f>
        <v>1576.9529731830551</v>
      </c>
      <c r="J3" s="10">
        <f t="shared" si="3"/>
        <v>120112900.31382652</v>
      </c>
      <c r="K3" s="11">
        <f t="shared" si="4"/>
        <v>6.0760955999999755E-2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75172.429299166062</v>
      </c>
      <c r="D4" s="11">
        <v>4.1329999999999999E-2</v>
      </c>
      <c r="E4" s="10">
        <f t="shared" si="2"/>
        <v>2983.5657312615076</v>
      </c>
      <c r="F4" s="3"/>
      <c r="G4" s="26">
        <v>5.0599999999999996</v>
      </c>
      <c r="H4" s="10"/>
      <c r="I4" s="10">
        <f t="shared" si="5"/>
        <v>1506.3071670484815</v>
      </c>
      <c r="J4" s="10">
        <f t="shared" si="3"/>
        <v>113232769.0177791</v>
      </c>
      <c r="K4" s="11">
        <f t="shared" si="4"/>
        <v>9.4021298000000364E-2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72188.863567904555</v>
      </c>
      <c r="D5" s="11">
        <v>4.3610000000000003E-2</v>
      </c>
      <c r="E5" s="10">
        <f t="shared" si="2"/>
        <v>3016.6023133127455</v>
      </c>
      <c r="F5" s="3"/>
      <c r="G5" s="26">
        <v>7.6</v>
      </c>
      <c r="H5" s="10"/>
      <c r="I5" s="10">
        <f t="shared" si="5"/>
        <v>1433.7589634956039</v>
      </c>
      <c r="J5" s="10">
        <f t="shared" si="3"/>
        <v>103501430.20504439</v>
      </c>
      <c r="K5" s="11">
        <f t="shared" si="4"/>
        <v>0.12292436000000007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69172.261254591809</v>
      </c>
      <c r="D6" s="11">
        <v>6.4619999999999997E-2</v>
      </c>
      <c r="E6" s="10">
        <f t="shared" si="2"/>
        <v>4198.5981122576341</v>
      </c>
      <c r="F6" s="3"/>
      <c r="G6" s="26">
        <v>5.57</v>
      </c>
      <c r="H6" s="10"/>
      <c r="I6" s="10">
        <f t="shared" si="5"/>
        <v>1332.489743025654</v>
      </c>
      <c r="J6" s="10">
        <f t="shared" si="3"/>
        <v>92171328.623634443</v>
      </c>
      <c r="K6" s="11">
        <f t="shared" si="4"/>
        <v>0.12391933400000021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64973.663142334175</v>
      </c>
      <c r="D7" s="11">
        <v>3.585E-2</v>
      </c>
      <c r="E7" s="10">
        <f t="shared" si="2"/>
        <v>2248.6902772145331</v>
      </c>
      <c r="F7" s="3"/>
      <c r="G7" s="26">
        <v>10.3</v>
      </c>
      <c r="H7" s="10"/>
      <c r="I7" s="10">
        <f t="shared" si="5"/>
        <v>1262.1859837317929</v>
      </c>
      <c r="J7" s="10">
        <f t="shared" si="3"/>
        <v>82008846.929965198</v>
      </c>
      <c r="K7" s="11">
        <f t="shared" si="4"/>
        <v>0.14254254999999993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62724.972865119642</v>
      </c>
      <c r="D8" s="11">
        <v>3.6979999999999999E-2</v>
      </c>
      <c r="E8" s="10">
        <f t="shared" si="2"/>
        <v>2236.8507556096811</v>
      </c>
      <c r="F8" s="3"/>
      <c r="G8" s="26">
        <v>9.2200000000000006</v>
      </c>
      <c r="H8" s="10"/>
      <c r="I8" s="10">
        <f t="shared" si="5"/>
        <v>1144.3209281339919</v>
      </c>
      <c r="J8" s="10">
        <f t="shared" si="3"/>
        <v>71777499.166193157</v>
      </c>
      <c r="K8" s="11">
        <f t="shared" si="4"/>
        <v>0.13258955599999989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60488.122109509961</v>
      </c>
      <c r="D9" s="11">
        <v>3.755E-2</v>
      </c>
      <c r="E9" s="10">
        <f t="shared" si="2"/>
        <v>2189.1272567221822</v>
      </c>
      <c r="F9" s="3"/>
      <c r="G9" s="26">
        <v>7.77</v>
      </c>
      <c r="H9" s="10"/>
      <c r="I9" s="10">
        <f t="shared" si="5"/>
        <v>1047.7210475498919</v>
      </c>
      <c r="J9" s="10">
        <f t="shared" si="3"/>
        <v>63374678.660901554</v>
      </c>
      <c r="K9" s="11">
        <f t="shared" si="4"/>
        <v>0.11816763500000027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58298.994852787779</v>
      </c>
      <c r="D10" s="11">
        <v>3.8730000000000001E-2</v>
      </c>
      <c r="E10" s="10">
        <f t="shared" si="2"/>
        <v>2173.7314515306862</v>
      </c>
      <c r="F10" s="3"/>
      <c r="G10" s="26">
        <v>8.35</v>
      </c>
      <c r="H10" s="10"/>
      <c r="I10" s="10">
        <f t="shared" si="5"/>
        <v>972.1824696575037</v>
      </c>
      <c r="J10" s="10">
        <f t="shared" si="3"/>
        <v>56677260.79453332</v>
      </c>
      <c r="K10" s="11">
        <f t="shared" si="4"/>
        <v>0.12546395499999985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56125.263401257092</v>
      </c>
      <c r="D11" s="11">
        <v>4.0009999999999997E-2</v>
      </c>
      <c r="E11" s="10">
        <f t="shared" si="2"/>
        <v>2159.1828815918125</v>
      </c>
      <c r="F11" s="3"/>
      <c r="G11" s="26">
        <v>7.9</v>
      </c>
      <c r="H11" s="10"/>
      <c r="I11" s="10">
        <f t="shared" si="5"/>
        <v>897.26116258191394</v>
      </c>
      <c r="J11" s="10">
        <f t="shared" si="3"/>
        <v>50359019.089628085</v>
      </c>
      <c r="K11" s="11">
        <f t="shared" si="4"/>
        <v>0.12217078999999997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53966.08051966528</v>
      </c>
      <c r="D12" s="11">
        <v>4.011E-2</v>
      </c>
      <c r="E12" s="10">
        <f t="shared" si="2"/>
        <v>2081.1063153356663</v>
      </c>
      <c r="F12" s="3"/>
      <c r="G12" s="26">
        <v>7.24</v>
      </c>
      <c r="H12" s="10"/>
      <c r="I12" s="10">
        <f t="shared" si="5"/>
        <v>831.56734252262652</v>
      </c>
      <c r="J12" s="10">
        <f t="shared" si="3"/>
        <v>44876430.16410014</v>
      </c>
      <c r="K12" s="11">
        <f t="shared" si="4"/>
        <v>0.11541396400000004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51884.974204329614</v>
      </c>
      <c r="D13" s="11">
        <v>4.129E-2</v>
      </c>
      <c r="E13" s="10">
        <f t="shared" si="2"/>
        <v>2057.3813105828085</v>
      </c>
      <c r="F13" s="3"/>
      <c r="G13" s="26">
        <v>7.03</v>
      </c>
      <c r="H13" s="10"/>
      <c r="I13" s="10">
        <f t="shared" si="5"/>
        <v>775.42646635828658</v>
      </c>
      <c r="J13" s="10">
        <f t="shared" si="3"/>
        <v>40232982.204354167</v>
      </c>
      <c r="K13" s="11">
        <f t="shared" si="4"/>
        <v>0.11449268700000026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49827.592893746805</v>
      </c>
      <c r="D14" s="11">
        <v>4.1430000000000002E-2</v>
      </c>
      <c r="E14" s="10">
        <f t="shared" si="2"/>
        <v>1982.233250038822</v>
      </c>
      <c r="F14" s="3"/>
      <c r="G14" s="26">
        <v>6.94</v>
      </c>
      <c r="H14" s="10"/>
      <c r="I14" s="10">
        <f t="shared" si="5"/>
        <v>724.49450281069471</v>
      </c>
      <c r="J14" s="10">
        <f t="shared" si="3"/>
        <v>36099817.139808796</v>
      </c>
      <c r="K14" s="11">
        <f t="shared" si="4"/>
        <v>0.11370524199999998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47845.359643707983</v>
      </c>
      <c r="D15" s="11">
        <v>4.1860000000000001E-2</v>
      </c>
      <c r="E15" s="10">
        <f t="shared" si="2"/>
        <v>1922.3376986213261</v>
      </c>
      <c r="F15" s="3"/>
      <c r="G15" s="26">
        <v>4.51</v>
      </c>
      <c r="H15" s="10"/>
      <c r="I15" s="10">
        <f t="shared" si="5"/>
        <v>677.47756013717481</v>
      </c>
      <c r="J15" s="10">
        <f t="shared" si="3"/>
        <v>32414157.515304931</v>
      </c>
      <c r="K15" s="11">
        <f t="shared" si="4"/>
        <v>8.8847885999999709E-2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45923.021945086657</v>
      </c>
      <c r="D16" s="11">
        <v>2.6069999999999999E-2</v>
      </c>
      <c r="E16" s="10">
        <f t="shared" si="2"/>
        <v>1166.7948406136129</v>
      </c>
      <c r="F16" s="3"/>
      <c r="G16" s="26">
        <v>5.32</v>
      </c>
      <c r="H16" s="10"/>
      <c r="I16" s="10">
        <f t="shared" si="5"/>
        <v>648.24185258556588</v>
      </c>
      <c r="J16" s="10">
        <f t="shared" si="3"/>
        <v>29769224.822010573</v>
      </c>
      <c r="K16" s="11">
        <f t="shared" si="4"/>
        <v>8.065692400000013E-2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44756.227104473044</v>
      </c>
      <c r="D17" s="11">
        <v>1.124E-2</v>
      </c>
      <c r="E17" s="10">
        <f t="shared" si="2"/>
        <v>497.46844730654993</v>
      </c>
      <c r="F17" s="3"/>
      <c r="G17" s="26">
        <v>3.9</v>
      </c>
      <c r="H17" s="10"/>
      <c r="I17" s="10">
        <f t="shared" si="5"/>
        <v>615.49739136495054</v>
      </c>
      <c r="J17" s="10">
        <f t="shared" si="3"/>
        <v>27547341.030140452</v>
      </c>
      <c r="K17" s="11">
        <f t="shared" si="4"/>
        <v>5.0678359999999811E-2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44258.758657166494</v>
      </c>
      <c r="D18" s="11">
        <v>1.023E-2</v>
      </c>
      <c r="E18" s="10">
        <f t="shared" si="2"/>
        <v>448.18219718560431</v>
      </c>
      <c r="F18" s="3"/>
      <c r="G18" s="26">
        <v>4.6500000000000004</v>
      </c>
      <c r="H18" s="10"/>
      <c r="I18" s="10">
        <f t="shared" si="5"/>
        <v>592.39402441284949</v>
      </c>
      <c r="J18" s="10">
        <f t="shared" si="3"/>
        <v>26218624.156435903</v>
      </c>
      <c r="K18" s="11">
        <f t="shared" si="4"/>
        <v>5.7205694999999945E-2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43810.57645998089</v>
      </c>
      <c r="D19" s="11">
        <v>1.0619999999999999E-2</v>
      </c>
      <c r="E19" s="10">
        <f t="shared" si="2"/>
        <v>460.3790960054248</v>
      </c>
      <c r="F19" s="3"/>
      <c r="G19" s="26">
        <v>-0.39</v>
      </c>
      <c r="H19" s="10"/>
      <c r="I19" s="10">
        <f t="shared" si="5"/>
        <v>566.07169079106495</v>
      </c>
      <c r="J19" s="10">
        <f t="shared" si="3"/>
        <v>24799927.091232613</v>
      </c>
      <c r="K19" s="11">
        <f t="shared" si="4"/>
        <v>6.678582000000155E-3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43350.197363975465</v>
      </c>
      <c r="D20" s="11">
        <v>1.0619999999999999E-2</v>
      </c>
      <c r="E20" s="10">
        <f t="shared" si="2"/>
        <v>455.54124795216921</v>
      </c>
      <c r="F20" s="3"/>
      <c r="G20" s="26">
        <v>3.81</v>
      </c>
      <c r="H20" s="10"/>
      <c r="I20" s="10">
        <f t="shared" si="5"/>
        <v>568.28801404584374</v>
      </c>
      <c r="J20" s="10">
        <f t="shared" si="3"/>
        <v>24635397.568468988</v>
      </c>
      <c r="K20" s="11">
        <f t="shared" si="4"/>
        <v>4.9124622000000118E-2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42894.656116023296</v>
      </c>
      <c r="D21" s="11">
        <v>1.059E-2</v>
      </c>
      <c r="E21" s="10">
        <f t="shared" si="2"/>
        <v>449.49426401279197</v>
      </c>
      <c r="F21" s="3"/>
      <c r="G21" s="26">
        <v>6.22</v>
      </c>
      <c r="H21" s="10"/>
      <c r="I21" s="10">
        <f t="shared" si="5"/>
        <v>547.43089687490965</v>
      </c>
      <c r="J21" s="10">
        <f t="shared" si="3"/>
        <v>23481860.068735462</v>
      </c>
      <c r="K21" s="11">
        <f t="shared" si="4"/>
        <v>7.3448698000000201E-2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42445.161852010504</v>
      </c>
      <c r="D22" s="11">
        <v>1.0330000000000001E-2</v>
      </c>
      <c r="E22" s="10">
        <f t="shared" si="2"/>
        <v>433.97555445376202</v>
      </c>
      <c r="F22" s="3"/>
      <c r="G22" s="26">
        <v>2.9</v>
      </c>
      <c r="H22" s="10"/>
      <c r="I22" s="10">
        <f t="shared" si="5"/>
        <v>515.37459694493464</v>
      </c>
      <c r="J22" s="10">
        <f t="shared" si="3"/>
        <v>21875158.18174243</v>
      </c>
      <c r="K22" s="11">
        <f t="shared" si="4"/>
        <v>3.9629570000000003E-2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42011.186297556742</v>
      </c>
      <c r="D23" s="11">
        <v>9.6200000000000001E-3</v>
      </c>
      <c r="E23" s="10">
        <f t="shared" si="2"/>
        <v>400.29675737653452</v>
      </c>
      <c r="F23" s="3"/>
      <c r="G23" s="26">
        <v>-8.6300000000000008</v>
      </c>
      <c r="H23" s="10"/>
      <c r="I23" s="10">
        <f t="shared" si="5"/>
        <v>500.84994844016978</v>
      </c>
      <c r="J23" s="10">
        <f t="shared" si="3"/>
        <v>21041300.49104166</v>
      </c>
      <c r="K23" s="11">
        <f t="shared" si="4"/>
        <v>-7.7510206000000026E-2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41610.889540180207</v>
      </c>
      <c r="D24" s="11">
        <v>8.8900000000000003E-3</v>
      </c>
      <c r="E24" s="10">
        <f t="shared" si="2"/>
        <v>366.66119003281347</v>
      </c>
      <c r="F24" s="3"/>
      <c r="G24" s="26">
        <v>6.8</v>
      </c>
      <c r="H24" s="10"/>
      <c r="I24" s="10">
        <f t="shared" si="5"/>
        <v>548.15579341159003</v>
      </c>
      <c r="J24" s="10">
        <f t="shared" si="3"/>
        <v>22809250.170459513</v>
      </c>
      <c r="K24" s="11">
        <f t="shared" si="4"/>
        <v>7.7494520000000122E-2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41244.228350147394</v>
      </c>
      <c r="D25" s="11">
        <v>7.9100000000000004E-3</v>
      </c>
      <c r="E25" s="10">
        <f t="shared" si="2"/>
        <v>323.68152538387949</v>
      </c>
      <c r="F25" s="3"/>
      <c r="G25" s="26">
        <v>-1.73</v>
      </c>
      <c r="H25" s="10"/>
      <c r="I25" s="10">
        <f t="shared" si="5"/>
        <v>513.25448821309919</v>
      </c>
      <c r="J25" s="10">
        <f t="shared" si="3"/>
        <v>21168785.313599098</v>
      </c>
      <c r="K25" s="11">
        <f t="shared" si="4"/>
        <v>-9.5268429999999515E-3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40920.546824763514</v>
      </c>
      <c r="D26" s="11">
        <v>8.5800000000000008E-3</v>
      </c>
      <c r="E26" s="10">
        <f t="shared" si="2"/>
        <v>348.11149512827251</v>
      </c>
      <c r="F26" s="3"/>
      <c r="G26" s="26">
        <v>-0.04</v>
      </c>
      <c r="H26" s="10"/>
      <c r="I26" s="10">
        <f t="shared" si="5"/>
        <v>522.29010706532938</v>
      </c>
      <c r="J26" s="10">
        <f t="shared" si="3"/>
        <v>21372396.782277562</v>
      </c>
      <c r="K26" s="11">
        <f t="shared" si="4"/>
        <v>8.1765680000001062E-3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40572.435329635242</v>
      </c>
      <c r="D27" s="11">
        <v>8.8900000000000003E-3</v>
      </c>
      <c r="E27" s="10">
        <f t="shared" si="2"/>
        <v>357.51068013406621</v>
      </c>
      <c r="F27" s="3"/>
      <c r="G27" s="26">
        <v>-0.48</v>
      </c>
      <c r="H27" s="10"/>
      <c r="I27" s="10">
        <f t="shared" si="5"/>
        <v>522.49910670801262</v>
      </c>
      <c r="J27" s="10">
        <f t="shared" si="3"/>
        <v>21199061.216703024</v>
      </c>
      <c r="K27" s="11">
        <f t="shared" si="4"/>
        <v>4.0473279999997391E-3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40214.924649501176</v>
      </c>
      <c r="D28" s="11">
        <v>9.5099999999999994E-3</v>
      </c>
      <c r="E28" s="10">
        <f t="shared" si="2"/>
        <v>378.84115404181648</v>
      </c>
      <c r="F28" s="3"/>
      <c r="G28" s="26">
        <v>-1.02</v>
      </c>
      <c r="H28" s="10"/>
      <c r="I28" s="10">
        <f t="shared" si="5"/>
        <v>525.01919886255291</v>
      </c>
      <c r="J28" s="10">
        <f t="shared" si="3"/>
        <v>21113607.521799039</v>
      </c>
      <c r="K28" s="11">
        <f t="shared" si="4"/>
        <v>-7.8700200000003662E-4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39836.083495459359</v>
      </c>
      <c r="D29" s="11">
        <v>9.3699999999999999E-3</v>
      </c>
      <c r="E29" s="10">
        <f t="shared" si="2"/>
        <v>369.79908492669347</v>
      </c>
      <c r="F29" s="3"/>
      <c r="G29" s="26">
        <v>6.28</v>
      </c>
      <c r="H29" s="10"/>
      <c r="I29" s="10">
        <f t="shared" si="5"/>
        <v>530.42958058451495</v>
      </c>
      <c r="J29" s="10">
        <f t="shared" si="3"/>
        <v>21130237.060626227</v>
      </c>
      <c r="K29" s="11">
        <f t="shared" si="4"/>
        <v>7.2758436000000204E-2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39466.284410532666</v>
      </c>
      <c r="D30" s="11">
        <v>9.2200000000000008E-3</v>
      </c>
      <c r="E30" s="10">
        <f t="shared" si="2"/>
        <v>360.55482676235988</v>
      </c>
      <c r="F30" s="3"/>
      <c r="G30" s="26">
        <v>2.68</v>
      </c>
      <c r="H30" s="10"/>
      <c r="I30" s="10">
        <f t="shared" si="5"/>
        <v>499.08692188983343</v>
      </c>
      <c r="J30" s="10">
        <f t="shared" si="3"/>
        <v>19697106.404881466</v>
      </c>
      <c r="K30" s="11">
        <f t="shared" si="4"/>
        <v>3.6267095999999777E-2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39105.729583770306</v>
      </c>
      <c r="D31" s="11">
        <v>8.5900000000000004E-3</v>
      </c>
      <c r="E31" s="10">
        <f t="shared" si="2"/>
        <v>333.05725530155178</v>
      </c>
      <c r="F31" s="3"/>
      <c r="G31" s="26">
        <v>0.72</v>
      </c>
      <c r="H31" s="10"/>
      <c r="I31" s="10">
        <f t="shared" si="5"/>
        <v>486.06050047704855</v>
      </c>
      <c r="J31" s="10">
        <f t="shared" si="3"/>
        <v>19007750.493007518</v>
      </c>
      <c r="K31" s="11">
        <f t="shared" si="4"/>
        <v>1.5851848000000279E-2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38772.672328468754</v>
      </c>
      <c r="D32" s="11">
        <v>8.0199999999999994E-3</v>
      </c>
      <c r="E32" s="10">
        <f t="shared" si="2"/>
        <v>308.48280001817329</v>
      </c>
      <c r="F32" s="3"/>
      <c r="G32" s="26">
        <v>1.62</v>
      </c>
      <c r="H32" s="10"/>
      <c r="I32" s="10">
        <f t="shared" si="5"/>
        <v>482.58588212574313</v>
      </c>
      <c r="J32" s="10">
        <f t="shared" si="3"/>
        <v>18711144.278006483</v>
      </c>
      <c r="K32" s="11">
        <f t="shared" si="4"/>
        <v>2.4349923999999801E-2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38464.189528450581</v>
      </c>
      <c r="D33" s="11">
        <v>8.8100000000000001E-3</v>
      </c>
      <c r="E33" s="10">
        <f t="shared" si="2"/>
        <v>335.91014139991603</v>
      </c>
      <c r="F33" s="3"/>
      <c r="G33" s="26">
        <v>-0.34</v>
      </c>
      <c r="H33" s="10"/>
      <c r="I33" s="10">
        <f t="shared" si="5"/>
        <v>474.89262165493324</v>
      </c>
      <c r="J33" s="10">
        <f t="shared" si="3"/>
        <v>18266359.804998126</v>
      </c>
      <c r="K33" s="11">
        <f t="shared" si="4"/>
        <v>5.3800459999999717E-3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38128.279387050665</v>
      </c>
      <c r="D34" s="11">
        <v>8.8900000000000003E-3</v>
      </c>
      <c r="E34" s="10">
        <f t="shared" si="2"/>
        <v>335.97359846056497</v>
      </c>
      <c r="F34" s="3"/>
      <c r="G34" s="26">
        <v>-3.27</v>
      </c>
      <c r="H34" s="10"/>
      <c r="I34" s="10">
        <f t="shared" si="5"/>
        <v>476.51276505612401</v>
      </c>
      <c r="J34" s="10">
        <f t="shared" ref="J34:J65" si="6">IF(I34="","",I34*C34)</f>
        <v>18168611.83755593</v>
      </c>
      <c r="K34" s="11">
        <f t="shared" ref="K34:K65" si="7">IFERROR(J34/J35-1,"")</f>
        <v>-1.0985133000000036E-2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37792.3057885901</v>
      </c>
      <c r="D35" s="11">
        <v>8.4700000000000001E-3</v>
      </c>
      <c r="E35" s="10">
        <f t="shared" si="2"/>
        <v>317.41234744648682</v>
      </c>
      <c r="F35" s="3"/>
      <c r="G35" s="26">
        <v>-5.51</v>
      </c>
      <c r="H35" s="10"/>
      <c r="I35" s="10">
        <f t="shared" ref="I35:I66" si="8">IF(H35&lt;&gt;"",H35,I34/(1+IF(G34="",0,G34)/100))</f>
        <v>486.08871269623995</v>
      </c>
      <c r="J35" s="10">
        <f t="shared" si="6"/>
        <v>18370413.270598419</v>
      </c>
      <c r="K35" s="11">
        <f t="shared" si="7"/>
        <v>-1.9868007000000132E-2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37474.893441143613</v>
      </c>
      <c r="D36" s="11">
        <v>8.5500000000000003E-3</v>
      </c>
      <c r="E36" s="10">
        <f t="shared" si="2"/>
        <v>317.69405475363601</v>
      </c>
      <c r="F36" s="3"/>
      <c r="G36" s="26">
        <v>1.37</v>
      </c>
      <c r="H36" s="10"/>
      <c r="I36" s="10">
        <f t="shared" si="8"/>
        <v>500.14272321868503</v>
      </c>
      <c r="J36" s="10">
        <f t="shared" si="6"/>
        <v>18742795.257983606</v>
      </c>
      <c r="K36" s="11">
        <f t="shared" si="7"/>
        <v>7.0777535000000169E-2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37157.199386389977</v>
      </c>
      <c r="D37" s="11">
        <v>1.047E-2</v>
      </c>
      <c r="E37" s="10">
        <f t="shared" si="2"/>
        <v>385.00487651835283</v>
      </c>
      <c r="F37" s="3"/>
      <c r="G37" s="26">
        <v>-2.26</v>
      </c>
      <c r="H37" s="10"/>
      <c r="I37" s="10">
        <f t="shared" si="8"/>
        <v>471.07725649306303</v>
      </c>
      <c r="J37" s="10">
        <f t="shared" si="6"/>
        <v>17503911.545906316</v>
      </c>
      <c r="K37" s="11">
        <f t="shared" si="7"/>
        <v>4.1188288000000073E-2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36772.194509871624</v>
      </c>
      <c r="D38" s="11">
        <v>1.5699999999999999E-2</v>
      </c>
      <c r="E38" s="10">
        <f t="shared" si="2"/>
        <v>568.39958039281919</v>
      </c>
      <c r="F38" s="3"/>
      <c r="G38" s="26">
        <v>-6.72</v>
      </c>
      <c r="H38" s="10"/>
      <c r="I38" s="10">
        <f t="shared" si="8"/>
        <v>457.17901445367141</v>
      </c>
      <c r="J38" s="10">
        <f t="shared" si="6"/>
        <v>16811475.645321816</v>
      </c>
      <c r="K38" s="11">
        <f t="shared" si="7"/>
        <v>-1.4974139999999969E-2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36203.794929478805</v>
      </c>
      <c r="D39" s="11">
        <v>1.5869999999999999E-2</v>
      </c>
      <c r="E39" s="10">
        <f t="shared" si="2"/>
        <v>565.57849481806625</v>
      </c>
      <c r="F39" s="3"/>
      <c r="G39" s="26">
        <v>0.55000000000000004</v>
      </c>
      <c r="H39" s="10"/>
      <c r="I39" s="10">
        <f t="shared" si="8"/>
        <v>471.41577072970864</v>
      </c>
      <c r="J39" s="10">
        <f t="shared" si="6"/>
        <v>17067039.890020568</v>
      </c>
      <c r="K39" s="11">
        <f t="shared" si="7"/>
        <v>2.1457285000000104E-2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35638.216434660739</v>
      </c>
      <c r="D40" s="11">
        <v>1.6389999999999998E-2</v>
      </c>
      <c r="E40" s="10">
        <f t="shared" si="2"/>
        <v>574.69117894124065</v>
      </c>
      <c r="F40" s="3"/>
      <c r="G40" s="26">
        <v>-4.5599999999999996</v>
      </c>
      <c r="H40" s="10"/>
      <c r="I40" s="10">
        <f t="shared" si="8"/>
        <v>468.83716631497623</v>
      </c>
      <c r="J40" s="10">
        <f t="shared" si="6"/>
        <v>16708520.405746156</v>
      </c>
      <c r="K40" s="11">
        <f t="shared" si="7"/>
        <v>-2.995738399999992E-2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35063.525255719498</v>
      </c>
      <c r="D41" s="11">
        <v>1.7469999999999999E-2</v>
      </c>
      <c r="E41" s="10">
        <f t="shared" si="2"/>
        <v>602.04211054617917</v>
      </c>
      <c r="F41" s="3"/>
      <c r="G41" s="26">
        <v>6.22</v>
      </c>
      <c r="H41" s="10"/>
      <c r="I41" s="10">
        <f t="shared" si="8"/>
        <v>491.23760091678145</v>
      </c>
      <c r="J41" s="10">
        <f t="shared" si="6"/>
        <v>17224522.026304621</v>
      </c>
      <c r="K41" s="11">
        <f t="shared" si="7"/>
        <v>8.0756634000000105E-2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34461.483145173319</v>
      </c>
      <c r="D42" s="11">
        <v>1.6590000000000001E-2</v>
      </c>
      <c r="E42" s="10">
        <f t="shared" si="2"/>
        <v>562.38602128530329</v>
      </c>
      <c r="F42" s="3"/>
      <c r="G42" s="26">
        <v>-2.27</v>
      </c>
      <c r="H42" s="10"/>
      <c r="I42" s="10">
        <f t="shared" si="8"/>
        <v>462.47185173863812</v>
      </c>
      <c r="J42" s="10">
        <f t="shared" si="6"/>
        <v>15937465.923808172</v>
      </c>
      <c r="K42" s="11">
        <f t="shared" si="7"/>
        <v>-6.486592999999985E-3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33899.097123888016</v>
      </c>
      <c r="D43" s="11">
        <v>1.5480000000000001E-2</v>
      </c>
      <c r="E43" s="10">
        <f t="shared" si="2"/>
        <v>516.75860034445213</v>
      </c>
      <c r="F43" s="3"/>
      <c r="G43" s="26">
        <v>6.43</v>
      </c>
      <c r="H43" s="10"/>
      <c r="I43" s="10">
        <f t="shared" si="8"/>
        <v>473.2138051147428</v>
      </c>
      <c r="J43" s="10">
        <f t="shared" si="6"/>
        <v>16041520.739949282</v>
      </c>
      <c r="K43" s="11">
        <f t="shared" si="7"/>
        <v>8.0775363999999961E-2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33382.338523543563</v>
      </c>
      <c r="D44" s="11">
        <v>1.487E-2</v>
      </c>
      <c r="E44" s="10">
        <f t="shared" si="2"/>
        <v>489.12212780463597</v>
      </c>
      <c r="F44" s="3"/>
      <c r="G44" s="26">
        <v>-0.96</v>
      </c>
      <c r="H44" s="10"/>
      <c r="I44" s="10">
        <f t="shared" si="8"/>
        <v>444.62445279972076</v>
      </c>
      <c r="J44" s="10">
        <f t="shared" si="6"/>
        <v>14842603.999205595</v>
      </c>
      <c r="K44" s="11">
        <f t="shared" si="7"/>
        <v>5.1272479999997511E-3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32893.216395738928</v>
      </c>
      <c r="D45" s="11">
        <v>1.414E-2</v>
      </c>
      <c r="E45" s="10">
        <f t="shared" si="2"/>
        <v>458.62512063004397</v>
      </c>
      <c r="F45" s="3"/>
      <c r="G45" s="26">
        <v>9.2100000000000009</v>
      </c>
      <c r="H45" s="10"/>
      <c r="I45" s="10">
        <f t="shared" si="8"/>
        <v>448.93422132443538</v>
      </c>
      <c r="J45" s="10">
        <f t="shared" si="6"/>
        <v>14766890.489477206</v>
      </c>
      <c r="K45" s="11">
        <f t="shared" si="7"/>
        <v>0.10754229400000015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32434.591275108884</v>
      </c>
      <c r="D46" s="11">
        <v>2.0369999999999999E-2</v>
      </c>
      <c r="E46" s="10">
        <f t="shared" si="2"/>
        <v>647.50298840025425</v>
      </c>
      <c r="F46" s="3"/>
      <c r="G46" s="26">
        <v>-0.09</v>
      </c>
      <c r="H46" s="10"/>
      <c r="I46" s="10">
        <f t="shared" si="8"/>
        <v>411.07428012492937</v>
      </c>
      <c r="J46" s="10">
        <f t="shared" si="6"/>
        <v>13333026.259561699</v>
      </c>
      <c r="K46" s="11">
        <f t="shared" si="7"/>
        <v>1.9451667000000006E-2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31787.088286708629</v>
      </c>
      <c r="D47" s="11">
        <v>2.5389999999999999E-2</v>
      </c>
      <c r="E47" s="10">
        <f t="shared" si="2"/>
        <v>787.0899575766598</v>
      </c>
      <c r="F47" s="3"/>
      <c r="G47" s="26">
        <v>4.8</v>
      </c>
      <c r="H47" s="10"/>
      <c r="I47" s="10">
        <f t="shared" si="8"/>
        <v>411.4445802471518</v>
      </c>
      <c r="J47" s="10">
        <f t="shared" si="6"/>
        <v>13078625.197403988</v>
      </c>
      <c r="K47" s="11">
        <f t="shared" si="7"/>
        <v>7.4608720000000073E-2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30999.99832913197</v>
      </c>
      <c r="D48" s="11">
        <v>2.615E-2</v>
      </c>
      <c r="E48" s="10">
        <f t="shared" si="2"/>
        <v>789.99167403089086</v>
      </c>
      <c r="F48" s="3"/>
      <c r="G48" s="26">
        <v>-0.44</v>
      </c>
      <c r="H48" s="10"/>
      <c r="I48" s="10">
        <f t="shared" si="8"/>
        <v>392.59979031216773</v>
      </c>
      <c r="J48" s="10">
        <f t="shared" si="6"/>
        <v>12170592.843694761</v>
      </c>
      <c r="K48" s="11">
        <f t="shared" si="7"/>
        <v>2.1634939999999991E-2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30210.006655101079</v>
      </c>
      <c r="D49" s="11">
        <v>2.7380000000000002E-2</v>
      </c>
      <c r="E49" s="10">
        <f t="shared" si="2"/>
        <v>805.10617514129626</v>
      </c>
      <c r="F49" s="3"/>
      <c r="G49" s="26">
        <v>1.25</v>
      </c>
      <c r="H49" s="10"/>
      <c r="I49" s="10">
        <f t="shared" si="8"/>
        <v>394.33486371250274</v>
      </c>
      <c r="J49" s="10">
        <f t="shared" si="6"/>
        <v>11912858.857093085</v>
      </c>
      <c r="K49" s="11">
        <f t="shared" si="7"/>
        <v>4.0222249999999793E-2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29404.900479959782</v>
      </c>
      <c r="D50" s="11">
        <v>2.6419999999999999E-2</v>
      </c>
      <c r="E50" s="10">
        <f t="shared" si="2"/>
        <v>756.88068303475666</v>
      </c>
      <c r="F50" s="3"/>
      <c r="G50" s="26">
        <v>7.92</v>
      </c>
      <c r="H50" s="10"/>
      <c r="I50" s="10">
        <f t="shared" si="8"/>
        <v>389.46653206173113</v>
      </c>
      <c r="J50" s="10">
        <f t="shared" si="6"/>
        <v>11452224.61555027</v>
      </c>
      <c r="K50" s="11">
        <f t="shared" si="7"/>
        <v>0.10771246400000001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28648.019796925026</v>
      </c>
      <c r="D51" s="11">
        <v>2.6349999999999998E-2</v>
      </c>
      <c r="E51" s="10">
        <f t="shared" si="2"/>
        <v>735.49502766987644</v>
      </c>
      <c r="F51" s="3"/>
      <c r="G51" s="26">
        <v>-5.57</v>
      </c>
      <c r="H51" s="10"/>
      <c r="I51" s="10">
        <f t="shared" si="8"/>
        <v>360.88448115430981</v>
      </c>
      <c r="J51" s="10">
        <f t="shared" si="6"/>
        <v>10338625.760511683</v>
      </c>
      <c r="K51" s="11">
        <f t="shared" si="7"/>
        <v>-3.0817694999999867E-2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27912.524769255149</v>
      </c>
      <c r="D52" s="11">
        <v>2.5700000000000001E-2</v>
      </c>
      <c r="E52" s="10">
        <f t="shared" si="2"/>
        <v>699.37787517778997</v>
      </c>
      <c r="F52" s="3"/>
      <c r="G52" s="26">
        <v>16.649999999999999</v>
      </c>
      <c r="H52" s="10"/>
      <c r="I52" s="10">
        <f t="shared" si="8"/>
        <v>382.17142979382589</v>
      </c>
      <c r="J52" s="10">
        <f t="shared" si="6"/>
        <v>10667369.500221821</v>
      </c>
      <c r="K52" s="11">
        <f t="shared" si="7"/>
        <v>0.19647905000000021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27213.146894077359</v>
      </c>
      <c r="D53" s="11">
        <v>2.392E-2</v>
      </c>
      <c r="E53" s="10">
        <f t="shared" si="2"/>
        <v>635.73176977334879</v>
      </c>
      <c r="F53" s="3"/>
      <c r="G53" s="26">
        <v>12.21</v>
      </c>
      <c r="H53" s="10"/>
      <c r="I53" s="10">
        <f t="shared" si="8"/>
        <v>327.62231443962781</v>
      </c>
      <c r="J53" s="10">
        <f t="shared" si="6"/>
        <v>8915634.1686231941</v>
      </c>
      <c r="K53" s="11">
        <f t="shared" si="7"/>
        <v>0.14894063199999996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26577.415124304011</v>
      </c>
      <c r="D54" s="11">
        <v>2.3900000000000001E-2</v>
      </c>
      <c r="E54" s="10">
        <f t="shared" si="2"/>
        <v>620.37329961018258</v>
      </c>
      <c r="F54" s="3"/>
      <c r="G54" s="26">
        <v>3.27</v>
      </c>
      <c r="H54" s="10"/>
      <c r="I54" s="10">
        <f t="shared" si="8"/>
        <v>291.97247521578095</v>
      </c>
      <c r="J54" s="10">
        <f t="shared" si="6"/>
        <v>7759873.6786803743</v>
      </c>
      <c r="K54" s="11">
        <f t="shared" si="7"/>
        <v>5.7381530000000014E-2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25957.041824693828</v>
      </c>
      <c r="D55" s="11">
        <v>2.094E-2</v>
      </c>
      <c r="E55" s="10">
        <f t="shared" si="2"/>
        <v>532.39216389708236</v>
      </c>
      <c r="F55" s="3"/>
      <c r="G55" s="26">
        <v>-2.4900000000000002</v>
      </c>
      <c r="H55" s="10"/>
      <c r="I55" s="10">
        <f t="shared" si="8"/>
        <v>282.72729274308216</v>
      </c>
      <c r="J55" s="10">
        <f t="shared" si="6"/>
        <v>7338764.1627146397</v>
      </c>
      <c r="K55" s="11">
        <f t="shared" si="7"/>
        <v>-4.4814060000000211E-3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25424.649660796746</v>
      </c>
      <c r="D56" s="11">
        <v>1.839E-2</v>
      </c>
      <c r="E56" s="10">
        <f t="shared" si="2"/>
        <v>459.11616106015208</v>
      </c>
      <c r="F56" s="3"/>
      <c r="G56" s="26">
        <v>1.36</v>
      </c>
      <c r="H56" s="10"/>
      <c r="I56" s="10">
        <f t="shared" si="8"/>
        <v>289.94697235471455</v>
      </c>
      <c r="J56" s="10">
        <f t="shared" si="6"/>
        <v>7371800.1923273364</v>
      </c>
      <c r="K56" s="11">
        <f t="shared" si="7"/>
        <v>3.224010399999977E-2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24965.533499736594</v>
      </c>
      <c r="D57" s="11">
        <v>1.6709999999999999E-2</v>
      </c>
      <c r="E57" s="10">
        <f t="shared" si="2"/>
        <v>410.3176567365299</v>
      </c>
      <c r="F57" s="3"/>
      <c r="G57" s="26">
        <v>7.62</v>
      </c>
      <c r="H57" s="10"/>
      <c r="I57" s="10">
        <f t="shared" si="8"/>
        <v>286.05660255989989</v>
      </c>
      <c r="J57" s="10">
        <f t="shared" si="6"/>
        <v>7141555.6940300176</v>
      </c>
      <c r="K57" s="11">
        <f t="shared" si="7"/>
        <v>9.4183302000000024E-2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24555.215843000064</v>
      </c>
      <c r="D58" s="11">
        <v>1.5570000000000001E-2</v>
      </c>
      <c r="E58" s="10">
        <f t="shared" si="2"/>
        <v>376.46317897881454</v>
      </c>
      <c r="F58" s="3"/>
      <c r="G58" s="26">
        <v>20.88</v>
      </c>
      <c r="H58" s="10"/>
      <c r="I58" s="10">
        <f t="shared" si="8"/>
        <v>265.80245545428346</v>
      </c>
      <c r="J58" s="10">
        <f t="shared" si="6"/>
        <v>6526836.66527934</v>
      </c>
      <c r="K58" s="11">
        <f t="shared" si="7"/>
        <v>0.22762101600000029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24178.752664021249</v>
      </c>
      <c r="D59" s="11">
        <v>8.9200000000000008E-3</v>
      </c>
      <c r="E59" s="10">
        <f t="shared" si="2"/>
        <v>213.76766618073816</v>
      </c>
      <c r="F59" s="3"/>
      <c r="G59" s="26">
        <v>-2.54</v>
      </c>
      <c r="H59" s="10"/>
      <c r="I59" s="10">
        <f t="shared" si="8"/>
        <v>219.88952304292144</v>
      </c>
      <c r="J59" s="10">
        <f t="shared" si="6"/>
        <v>5316654.3910643989</v>
      </c>
      <c r="K59" s="11">
        <f t="shared" si="7"/>
        <v>-1.6706567999999811E-2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23964.984997840511</v>
      </c>
      <c r="D60" s="11">
        <v>7.1599999999999997E-3</v>
      </c>
      <c r="E60" s="10">
        <f t="shared" si="2"/>
        <v>170.36944734157441</v>
      </c>
      <c r="F60" s="3"/>
      <c r="G60" s="26">
        <v>4.3099999999999996</v>
      </c>
      <c r="H60" s="10"/>
      <c r="I60" s="10">
        <f t="shared" si="8"/>
        <v>225.62027810683503</v>
      </c>
      <c r="J60" s="10">
        <f t="shared" si="6"/>
        <v>5406986.5800389051</v>
      </c>
      <c r="K60" s="11">
        <f t="shared" si="7"/>
        <v>5.0568595999999966E-2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23794.615550498936</v>
      </c>
      <c r="D61" s="11">
        <v>3.8E-3</v>
      </c>
      <c r="E61" s="10">
        <f t="shared" si="2"/>
        <v>90.07724555877212</v>
      </c>
      <c r="F61" s="3"/>
      <c r="G61" s="26">
        <v>11.86</v>
      </c>
      <c r="H61" s="10"/>
      <c r="I61" s="10">
        <f t="shared" si="8"/>
        <v>216.29784115313493</v>
      </c>
      <c r="J61" s="10">
        <f t="shared" si="6"/>
        <v>5146723.9746417329</v>
      </c>
      <c r="K61" s="11">
        <f t="shared" si="7"/>
        <v>0.12285067999999999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23704.538304940164</v>
      </c>
      <c r="D62" s="11">
        <v>1.97E-3</v>
      </c>
      <c r="E62" s="10">
        <f t="shared" si="2"/>
        <v>46.606126391739963</v>
      </c>
      <c r="F62" s="3"/>
      <c r="G62" s="26">
        <v>-2.36</v>
      </c>
      <c r="H62" s="10"/>
      <c r="I62" s="10">
        <f t="shared" si="8"/>
        <v>193.36477843119516</v>
      </c>
      <c r="J62" s="10">
        <f t="shared" si="6"/>
        <v>4583622.7971485332</v>
      </c>
      <c r="K62" s="11">
        <f t="shared" si="7"/>
        <v>-2.1676491999999992E-2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23657.932178548424</v>
      </c>
      <c r="D63" s="11">
        <v>7.9000000000000001E-4</v>
      </c>
      <c r="E63" s="10">
        <f t="shared" si="2"/>
        <v>18.675013160656817</v>
      </c>
      <c r="F63" s="3"/>
      <c r="G63" s="26">
        <v>6.48</v>
      </c>
      <c r="H63" s="10"/>
      <c r="I63" s="10">
        <f t="shared" si="8"/>
        <v>198.03848671773366</v>
      </c>
      <c r="J63" s="10">
        <f t="shared" si="6"/>
        <v>4685181.0875105057</v>
      </c>
      <c r="K63" s="11">
        <f t="shared" si="7"/>
        <v>6.5641191999999959E-2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23639.257165387768</v>
      </c>
      <c r="D64" s="11">
        <v>4.2470000000000001E-2</v>
      </c>
      <c r="E64" s="10">
        <f t="shared" si="2"/>
        <v>963.05817127976843</v>
      </c>
      <c r="F64" s="3"/>
      <c r="G64" s="26">
        <v>6.27</v>
      </c>
      <c r="H64" s="10"/>
      <c r="I64" s="10">
        <f t="shared" si="8"/>
        <v>185.98655777397977</v>
      </c>
      <c r="J64" s="10">
        <f t="shared" si="6"/>
        <v>4396584.0685243569</v>
      </c>
      <c r="K64" s="11">
        <f t="shared" si="7"/>
        <v>0.10783286899999989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22676.198994107999</v>
      </c>
      <c r="D65" s="11">
        <v>1.5219999999999999E-2</v>
      </c>
      <c r="E65" s="10">
        <f t="shared" si="2"/>
        <v>339.95759410800019</v>
      </c>
      <c r="F65" s="3"/>
      <c r="G65" s="26">
        <v>6.35</v>
      </c>
      <c r="H65" s="10"/>
      <c r="I65" s="10">
        <f t="shared" si="8"/>
        <v>175.01322835605512</v>
      </c>
      <c r="J65" s="10">
        <f t="shared" si="6"/>
        <v>3968634.7928031706</v>
      </c>
      <c r="K65" s="11">
        <f t="shared" si="7"/>
        <v>7.9686469999999732E-2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22336.241399999999</v>
      </c>
      <c r="D66" s="11">
        <v>1.6299999999999999E-2</v>
      </c>
      <c r="E66" s="10">
        <f t="shared" si="2"/>
        <v>358.24139999999898</v>
      </c>
      <c r="F66" s="23">
        <f>SUM(F2)</f>
        <v>76045</v>
      </c>
      <c r="G66" s="26">
        <v>6.44</v>
      </c>
      <c r="H66" s="10"/>
      <c r="I66" s="10">
        <f t="shared" si="8"/>
        <v>164.56344932398227</v>
      </c>
      <c r="J66" s="10">
        <f t="shared" ref="J66:J67" si="9">IF(I66="","",I66*C66)</f>
        <v>3675728.9297171347</v>
      </c>
      <c r="K66" s="11">
        <f t="shared" ref="K66" si="10">IFERROR(J66/J67-1,"")</f>
        <v>8.1749720000000137E-2</v>
      </c>
    </row>
    <row r="67" spans="1:11" ht="22.5" customHeight="1">
      <c r="A67" s="3">
        <f t="shared" si="0"/>
        <v>1950</v>
      </c>
      <c r="B67" s="3">
        <v>1700</v>
      </c>
      <c r="C67" s="10">
        <v>21978</v>
      </c>
      <c r="D67" s="11">
        <v>7.9699999999999997E-3</v>
      </c>
      <c r="E67" s="3" t="s">
        <v>72</v>
      </c>
      <c r="F67" s="10">
        <f>SUM(C2)</f>
        <v>76062.600820163949</v>
      </c>
      <c r="G67" s="26"/>
      <c r="H67" s="10"/>
      <c r="I67" s="10">
        <f t="shared" ref="I67" si="11">IF(H67&lt;&gt;"",H67,I66/(1+IF(G66="",0,G66)/100))</f>
        <v>154.60677313414342</v>
      </c>
      <c r="J67" s="10">
        <f t="shared" si="9"/>
        <v>3397947.6599422041</v>
      </c>
      <c r="K67" s="11"/>
    </row>
  </sheetData>
  <dataValidations count="1">
    <dataValidation type="custom" allowBlank="1" showDropDown="1" sqref="D2:D67" xr:uid="{00000000-0002-0000-4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M67"/>
  <sheetViews>
    <sheetView workbookViewId="0">
      <selection activeCell="I25" sqref="I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36478054.256474152</v>
      </c>
      <c r="D2" s="11">
        <v>3.1260000000000003E-2</v>
      </c>
      <c r="E2" s="10">
        <f t="shared" ref="E2:E66" si="2">SUM(C2-C3)</f>
        <v>1105738.5878026709</v>
      </c>
      <c r="F2" s="14">
        <v>36478307</v>
      </c>
      <c r="G2" s="26">
        <v>4.09</v>
      </c>
      <c r="H2" s="10"/>
      <c r="I2" s="10">
        <f>IF(H2&lt;&gt;"",H2,7432)</f>
        <v>929</v>
      </c>
      <c r="J2" s="10">
        <f t="shared" ref="J2:J33" si="3">IF(I2="","",I2*C2)</f>
        <v>33888112404.264488</v>
      </c>
      <c r="K2" s="11">
        <f t="shared" ref="K2:K33" si="4">IFERROR(J2/J3-1,"")</f>
        <v>7.3438533999999889E-2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35372315.668671481</v>
      </c>
      <c r="D3" s="11">
        <v>3.1320000000000001E-2</v>
      </c>
      <c r="E3" s="10">
        <f t="shared" si="2"/>
        <v>1074216.4669964612</v>
      </c>
      <c r="F3" s="3"/>
      <c r="G3" s="26">
        <v>4.4400000000000004</v>
      </c>
      <c r="H3" s="10"/>
      <c r="I3" s="10">
        <f t="shared" ref="I3:I34" si="5">IF(H3&lt;&gt;"",H3,I2/(1+IF(G2="",0,G2)/100))</f>
        <v>892.49687770198875</v>
      </c>
      <c r="J3" s="10">
        <f t="shared" si="3"/>
        <v>31569681291.378433</v>
      </c>
      <c r="K3" s="11">
        <f t="shared" si="4"/>
        <v>7.7110607999999914E-2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34298099.20167502</v>
      </c>
      <c r="D4" s="11">
        <v>3.1899999999999998E-2</v>
      </c>
      <c r="E4" s="10">
        <f t="shared" si="2"/>
        <v>1060286.2336790748</v>
      </c>
      <c r="F4" s="3"/>
      <c r="G4" s="26">
        <v>3.69</v>
      </c>
      <c r="H4" s="10"/>
      <c r="I4" s="10">
        <f t="shared" si="5"/>
        <v>854.5546511891888</v>
      </c>
      <c r="J4" s="10">
        <f t="shared" si="3"/>
        <v>29309600199.739594</v>
      </c>
      <c r="K4" s="11">
        <f t="shared" si="4"/>
        <v>6.9977110000000176E-2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33237812.967995945</v>
      </c>
      <c r="D5" s="11">
        <v>2.6440000000000002E-2</v>
      </c>
      <c r="E5" s="10">
        <f t="shared" si="2"/>
        <v>856170.62358619273</v>
      </c>
      <c r="F5" s="3"/>
      <c r="G5" s="26">
        <v>2.97</v>
      </c>
      <c r="H5" s="10"/>
      <c r="I5" s="10">
        <f t="shared" si="5"/>
        <v>824.14374692756178</v>
      </c>
      <c r="J5" s="10">
        <f t="shared" si="3"/>
        <v>27392735719.121681</v>
      </c>
      <c r="K5" s="11">
        <f t="shared" si="4"/>
        <v>5.6925268000000084E-2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32381642.344409753</v>
      </c>
      <c r="D6" s="11">
        <v>3.2050000000000002E-2</v>
      </c>
      <c r="E6" s="10">
        <f t="shared" si="2"/>
        <v>1005602.0901490524</v>
      </c>
      <c r="F6" s="3"/>
      <c r="G6" s="26">
        <v>4.16</v>
      </c>
      <c r="H6" s="10"/>
      <c r="I6" s="10">
        <f t="shared" si="5"/>
        <v>800.37267837968511</v>
      </c>
      <c r="J6" s="10">
        <f t="shared" si="3"/>
        <v>25917381813.528259</v>
      </c>
      <c r="K6" s="11">
        <f t="shared" si="4"/>
        <v>7.4983280000000097E-2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31376040.2542607</v>
      </c>
      <c r="D7" s="11">
        <v>3.261E-2</v>
      </c>
      <c r="E7" s="10">
        <f t="shared" si="2"/>
        <v>990860.70509818941</v>
      </c>
      <c r="F7" s="3"/>
      <c r="G7" s="26">
        <v>2.88</v>
      </c>
      <c r="H7" s="10"/>
      <c r="I7" s="10">
        <f t="shared" si="5"/>
        <v>768.40694928925211</v>
      </c>
      <c r="J7" s="10">
        <f t="shared" si="3"/>
        <v>24109567372.553234</v>
      </c>
      <c r="K7" s="11">
        <f t="shared" si="4"/>
        <v>6.2349167999999899E-2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30385179.549162511</v>
      </c>
      <c r="D8" s="11">
        <v>3.2349999999999997E-2</v>
      </c>
      <c r="E8" s="10">
        <f t="shared" si="2"/>
        <v>952158.2393717356</v>
      </c>
      <c r="F8" s="3"/>
      <c r="G8" s="26">
        <v>0.48</v>
      </c>
      <c r="H8" s="10"/>
      <c r="I8" s="10">
        <f t="shared" si="5"/>
        <v>746.89633484569606</v>
      </c>
      <c r="J8" s="10">
        <f t="shared" si="3"/>
        <v>22694579238.897881</v>
      </c>
      <c r="K8" s="11">
        <f t="shared" si="4"/>
        <v>3.7305280000000218E-2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29433021.309790775</v>
      </c>
      <c r="D9" s="11">
        <v>3.2809999999999999E-2</v>
      </c>
      <c r="E9" s="10">
        <f t="shared" si="2"/>
        <v>935019.44130501896</v>
      </c>
      <c r="F9" s="3"/>
      <c r="G9" s="26">
        <v>3.29</v>
      </c>
      <c r="H9" s="10"/>
      <c r="I9" s="10">
        <f t="shared" si="5"/>
        <v>743.32835872382179</v>
      </c>
      <c r="J9" s="10">
        <f t="shared" si="3"/>
        <v>21878399422.490047</v>
      </c>
      <c r="K9" s="11">
        <f t="shared" si="4"/>
        <v>6.6789448999999834E-2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28498001.868485756</v>
      </c>
      <c r="D10" s="11">
        <v>3.2919999999999998E-2</v>
      </c>
      <c r="E10" s="10">
        <f t="shared" si="2"/>
        <v>908254.48390054703</v>
      </c>
      <c r="F10" s="3"/>
      <c r="G10" s="26">
        <v>6.34</v>
      </c>
      <c r="H10" s="10"/>
      <c r="I10" s="10">
        <f t="shared" si="5"/>
        <v>719.65181404184511</v>
      </c>
      <c r="J10" s="10">
        <f t="shared" si="3"/>
        <v>20508638741.223667</v>
      </c>
      <c r="K10" s="11">
        <f t="shared" si="4"/>
        <v>9.8407128000000066E-2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27589747.384585209</v>
      </c>
      <c r="D11" s="11">
        <v>3.2840000000000001E-2</v>
      </c>
      <c r="E11" s="10">
        <f t="shared" si="2"/>
        <v>877238.78249271587</v>
      </c>
      <c r="F11" s="3"/>
      <c r="G11" s="26">
        <v>5.35</v>
      </c>
      <c r="H11" s="10"/>
      <c r="I11" s="10">
        <f t="shared" si="5"/>
        <v>676.74611062802819</v>
      </c>
      <c r="J11" s="10">
        <f t="shared" si="3"/>
        <v>18671254235.727852</v>
      </c>
      <c r="K11" s="11">
        <f t="shared" si="4"/>
        <v>8.8096940000000012E-2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26712508.602092493</v>
      </c>
      <c r="D12" s="11">
        <v>3.2770000000000001E-2</v>
      </c>
      <c r="E12" s="10">
        <f t="shared" si="2"/>
        <v>847593.27526029199</v>
      </c>
      <c r="F12" s="3"/>
      <c r="G12" s="26">
        <v>3.28</v>
      </c>
      <c r="H12" s="10"/>
      <c r="I12" s="10">
        <f t="shared" si="5"/>
        <v>642.37884255152176</v>
      </c>
      <c r="J12" s="10">
        <f t="shared" si="3"/>
        <v>17159550357.459743</v>
      </c>
      <c r="K12" s="11">
        <f t="shared" si="4"/>
        <v>6.6644855999999919E-2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25864915.326832201</v>
      </c>
      <c r="D13" s="11">
        <v>3.2739999999999998E-2</v>
      </c>
      <c r="E13" s="10">
        <f t="shared" si="2"/>
        <v>819971.46213033795</v>
      </c>
      <c r="F13" s="3"/>
      <c r="G13" s="26">
        <v>3.14</v>
      </c>
      <c r="H13" s="10"/>
      <c r="I13" s="10">
        <f t="shared" si="5"/>
        <v>621.97796529000948</v>
      </c>
      <c r="J13" s="10">
        <f t="shared" si="3"/>
        <v>16087407407.381474</v>
      </c>
      <c r="K13" s="11">
        <f t="shared" si="4"/>
        <v>6.5168035999999985E-2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25044943.864701863</v>
      </c>
      <c r="D14" s="11">
        <v>3.2009999999999997E-2</v>
      </c>
      <c r="E14" s="10">
        <f t="shared" si="2"/>
        <v>776822.56287159026</v>
      </c>
      <c r="F14" s="3"/>
      <c r="G14" s="26">
        <v>2.56</v>
      </c>
      <c r="H14" s="10"/>
      <c r="I14" s="10">
        <f t="shared" si="5"/>
        <v>603.04243289704232</v>
      </c>
      <c r="J14" s="10">
        <f t="shared" si="3"/>
        <v>15103163879.939665</v>
      </c>
      <c r="K14" s="11">
        <f t="shared" si="4"/>
        <v>5.8429456000000268E-2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24268121.301830273</v>
      </c>
      <c r="D15" s="11">
        <v>3.1559999999999998E-2</v>
      </c>
      <c r="E15" s="10">
        <f t="shared" si="2"/>
        <v>742469.56869766489</v>
      </c>
      <c r="F15" s="3"/>
      <c r="G15" s="26">
        <v>3.84</v>
      </c>
      <c r="H15" s="10"/>
      <c r="I15" s="10">
        <f t="shared" si="5"/>
        <v>587.98989167028299</v>
      </c>
      <c r="J15" s="10">
        <f t="shared" si="3"/>
        <v>14269410015.30447</v>
      </c>
      <c r="K15" s="11">
        <f t="shared" si="4"/>
        <v>7.1171904000000064E-2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23525651.733132608</v>
      </c>
      <c r="D16" s="11">
        <v>3.056E-2</v>
      </c>
      <c r="E16" s="10">
        <f t="shared" si="2"/>
        <v>697624.51188143343</v>
      </c>
      <c r="F16" s="3"/>
      <c r="G16" s="26">
        <v>2.33</v>
      </c>
      <c r="H16" s="10"/>
      <c r="I16" s="10">
        <f t="shared" si="5"/>
        <v>566.24604359618934</v>
      </c>
      <c r="J16" s="10">
        <f t="shared" si="3"/>
        <v>13321307216.908175</v>
      </c>
      <c r="K16" s="11">
        <f t="shared" si="4"/>
        <v>5.457204800000004E-2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22828027.221251175</v>
      </c>
      <c r="D17" s="11">
        <v>2.9569999999999999E-2</v>
      </c>
      <c r="E17" s="10">
        <f t="shared" si="2"/>
        <v>655637.562217623</v>
      </c>
      <c r="F17" s="3"/>
      <c r="G17" s="26">
        <v>-6.1</v>
      </c>
      <c r="H17" s="10"/>
      <c r="I17" s="10">
        <f t="shared" si="5"/>
        <v>553.35292054743411</v>
      </c>
      <c r="J17" s="10">
        <f t="shared" si="3"/>
        <v>12631955533.215664</v>
      </c>
      <c r="K17" s="11">
        <f t="shared" si="4"/>
        <v>-3.323376999999994E-2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22172389.659033552</v>
      </c>
      <c r="D18" s="11">
        <v>2.8680000000000001E-2</v>
      </c>
      <c r="E18" s="10">
        <f t="shared" si="2"/>
        <v>618174.87986651063</v>
      </c>
      <c r="F18" s="3"/>
      <c r="G18" s="26">
        <v>3.85</v>
      </c>
      <c r="H18" s="10"/>
      <c r="I18" s="10">
        <f t="shared" si="5"/>
        <v>589.30023487479673</v>
      </c>
      <c r="J18" s="10">
        <f t="shared" si="3"/>
        <v>13066194433.803986</v>
      </c>
      <c r="K18" s="11">
        <f t="shared" si="4"/>
        <v>6.8284180000000028E-2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21554214.779167041</v>
      </c>
      <c r="D19" s="11">
        <v>2.69E-2</v>
      </c>
      <c r="E19" s="10">
        <f t="shared" si="2"/>
        <v>564620.09695159271</v>
      </c>
      <c r="F19" s="3"/>
      <c r="G19" s="26">
        <v>4.99</v>
      </c>
      <c r="H19" s="10"/>
      <c r="I19" s="10">
        <f t="shared" si="5"/>
        <v>567.45328346152792</v>
      </c>
      <c r="J19" s="10">
        <f t="shared" si="3"/>
        <v>12231009948.873329</v>
      </c>
      <c r="K19" s="11">
        <f t="shared" si="4"/>
        <v>7.8142309999999826E-2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20989594.682215448</v>
      </c>
      <c r="D20" s="11">
        <v>2.3709999999999998E-2</v>
      </c>
      <c r="E20" s="10">
        <f t="shared" si="2"/>
        <v>486136.98207043484</v>
      </c>
      <c r="F20" s="3"/>
      <c r="G20" s="26">
        <v>4.3600000000000003</v>
      </c>
      <c r="H20" s="10"/>
      <c r="I20" s="10">
        <f t="shared" si="5"/>
        <v>540.4831731227049</v>
      </c>
      <c r="J20" s="10">
        <f t="shared" si="3"/>
        <v>11344522736.403259</v>
      </c>
      <c r="K20" s="11">
        <f t="shared" si="4"/>
        <v>6.8343755999999978E-2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20503457.700145014</v>
      </c>
      <c r="D21" s="11">
        <v>2.171E-2</v>
      </c>
      <c r="E21" s="10">
        <f t="shared" si="2"/>
        <v>435671.63546421751</v>
      </c>
      <c r="F21" s="3"/>
      <c r="G21" s="26">
        <v>2.96</v>
      </c>
      <c r="H21" s="10"/>
      <c r="I21" s="10">
        <f t="shared" si="5"/>
        <v>517.90261893704951</v>
      </c>
      <c r="J21" s="10">
        <f t="shared" si="3"/>
        <v>10618794440.170116</v>
      </c>
      <c r="K21" s="11">
        <f t="shared" si="4"/>
        <v>5.1952615999999896E-2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20067786.064680796</v>
      </c>
      <c r="D22" s="11">
        <v>2.1389999999999999E-2</v>
      </c>
      <c r="E22" s="10">
        <f t="shared" si="2"/>
        <v>420260.57032428682</v>
      </c>
      <c r="F22" s="3"/>
      <c r="G22" s="26">
        <v>4.95</v>
      </c>
      <c r="H22" s="10"/>
      <c r="I22" s="10">
        <f t="shared" si="5"/>
        <v>503.01342165603097</v>
      </c>
      <c r="J22" s="10">
        <f t="shared" si="3"/>
        <v>10094365733.456305</v>
      </c>
      <c r="K22" s="11">
        <f t="shared" si="4"/>
        <v>7.1948805000000338E-2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19647525.494356509</v>
      </c>
      <c r="D23" s="11">
        <v>2.196E-2</v>
      </c>
      <c r="E23" s="10">
        <f t="shared" si="2"/>
        <v>422188.40253636986</v>
      </c>
      <c r="F23" s="3"/>
      <c r="G23" s="26">
        <v>4.03</v>
      </c>
      <c r="H23" s="10"/>
      <c r="I23" s="10">
        <f t="shared" si="5"/>
        <v>479.28863426015334</v>
      </c>
      <c r="J23" s="10">
        <f t="shared" si="3"/>
        <v>9416835660.7816753</v>
      </c>
      <c r="K23" s="11">
        <f t="shared" si="4"/>
        <v>6.3144987999999902E-2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19225337.091820139</v>
      </c>
      <c r="D24" s="11">
        <v>2.1080000000000002E-2</v>
      </c>
      <c r="E24" s="10">
        <f t="shared" si="2"/>
        <v>396903.38259055838</v>
      </c>
      <c r="F24" s="3"/>
      <c r="G24" s="26">
        <v>3.93</v>
      </c>
      <c r="H24" s="10"/>
      <c r="I24" s="10">
        <f t="shared" si="5"/>
        <v>460.72155557065594</v>
      </c>
      <c r="J24" s="10">
        <f t="shared" si="3"/>
        <v>8857527211.3136044</v>
      </c>
      <c r="K24" s="11">
        <f t="shared" si="4"/>
        <v>6.1208443999999806E-2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18828433.709229581</v>
      </c>
      <c r="D25" s="11">
        <v>2.06E-2</v>
      </c>
      <c r="E25" s="10">
        <f t="shared" si="2"/>
        <v>380036.97277104482</v>
      </c>
      <c r="F25" s="3"/>
      <c r="G25" s="26">
        <v>4.84</v>
      </c>
      <c r="H25" s="10"/>
      <c r="I25" s="10">
        <f t="shared" si="5"/>
        <v>443.29987065395551</v>
      </c>
      <c r="J25" s="10">
        <f t="shared" si="3"/>
        <v>8346642227.9180489</v>
      </c>
      <c r="K25" s="11">
        <f t="shared" si="4"/>
        <v>6.9997040000000066E-2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18448396.736458536</v>
      </c>
      <c r="D26" s="11">
        <v>1.9699999999999999E-2</v>
      </c>
      <c r="E26" s="10">
        <f t="shared" si="2"/>
        <v>356412.09738965705</v>
      </c>
      <c r="F26" s="3"/>
      <c r="G26" s="26">
        <v>3.66</v>
      </c>
      <c r="H26" s="10"/>
      <c r="I26" s="10">
        <f t="shared" si="5"/>
        <v>422.83467250472671</v>
      </c>
      <c r="J26" s="10">
        <f t="shared" si="3"/>
        <v>7800621792.2977142</v>
      </c>
      <c r="K26" s="11">
        <f t="shared" si="4"/>
        <v>5.7021020000000089E-2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18091984.639068879</v>
      </c>
      <c r="D27" s="11">
        <v>2.001E-2</v>
      </c>
      <c r="E27" s="10">
        <f t="shared" si="2"/>
        <v>354918.6896479167</v>
      </c>
      <c r="F27" s="3"/>
      <c r="G27" s="26">
        <v>-3.1</v>
      </c>
      <c r="H27" s="10"/>
      <c r="I27" s="10">
        <f t="shared" si="5"/>
        <v>407.9053371645058</v>
      </c>
      <c r="J27" s="10">
        <f t="shared" si="3"/>
        <v>7379817094.1744509</v>
      </c>
      <c r="K27" s="11">
        <f t="shared" si="4"/>
        <v>-1.1610309999999902E-2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17737065.949420962</v>
      </c>
      <c r="D28" s="11">
        <v>1.9349999999999999E-2</v>
      </c>
      <c r="E28" s="10">
        <f t="shared" si="2"/>
        <v>336697.13652944937</v>
      </c>
      <c r="F28" s="3"/>
      <c r="G28" s="26">
        <v>3.94</v>
      </c>
      <c r="H28" s="10"/>
      <c r="I28" s="10">
        <f t="shared" si="5"/>
        <v>420.95494031424749</v>
      </c>
      <c r="J28" s="10">
        <f t="shared" si="3"/>
        <v>7466505538.0883732</v>
      </c>
      <c r="K28" s="11">
        <f t="shared" si="4"/>
        <v>5.9512390000000082E-2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17400368.812891513</v>
      </c>
      <c r="D29" s="11">
        <v>1.7860000000000001E-2</v>
      </c>
      <c r="E29" s="10">
        <f t="shared" si="2"/>
        <v>305317.61440496892</v>
      </c>
      <c r="F29" s="3"/>
      <c r="G29" s="26">
        <v>3.89</v>
      </c>
      <c r="H29" s="10"/>
      <c r="I29" s="10">
        <f t="shared" si="5"/>
        <v>404.99801838969353</v>
      </c>
      <c r="J29" s="10">
        <f t="shared" si="3"/>
        <v>7047114888.4708872</v>
      </c>
      <c r="K29" s="11">
        <f t="shared" si="4"/>
        <v>5.7454753999999886E-2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17095051.198486544</v>
      </c>
      <c r="D30" s="11">
        <v>1.704E-2</v>
      </c>
      <c r="E30" s="10">
        <f t="shared" si="2"/>
        <v>286419.0911097005</v>
      </c>
      <c r="F30" s="3"/>
      <c r="G30" s="26">
        <v>3.54</v>
      </c>
      <c r="H30" s="10"/>
      <c r="I30" s="10">
        <f t="shared" si="5"/>
        <v>389.83349541793586</v>
      </c>
      <c r="J30" s="10">
        <f t="shared" si="3"/>
        <v>6664223563.0545835</v>
      </c>
      <c r="K30" s="11">
        <f t="shared" si="4"/>
        <v>5.304321600000006E-2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16808632.107376844</v>
      </c>
      <c r="D31" s="11">
        <v>1.78E-2</v>
      </c>
      <c r="E31" s="10">
        <f t="shared" si="2"/>
        <v>293961.14316300675</v>
      </c>
      <c r="F31" s="3"/>
      <c r="G31" s="26">
        <v>0.14000000000000001</v>
      </c>
      <c r="H31" s="10"/>
      <c r="I31" s="10">
        <f t="shared" si="5"/>
        <v>376.50521095029535</v>
      </c>
      <c r="J31" s="10">
        <f t="shared" si="3"/>
        <v>6328537577.373826</v>
      </c>
      <c r="K31" s="11">
        <f t="shared" si="4"/>
        <v>1.922492000000009E-2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16514670.964213837</v>
      </c>
      <c r="D32" s="11">
        <v>1.9269999999999999E-2</v>
      </c>
      <c r="E32" s="10">
        <f t="shared" si="2"/>
        <v>312221.20682488382</v>
      </c>
      <c r="F32" s="3"/>
      <c r="G32" s="26">
        <v>-0.61</v>
      </c>
      <c r="H32" s="10"/>
      <c r="I32" s="10">
        <f t="shared" si="5"/>
        <v>375.97884057349245</v>
      </c>
      <c r="J32" s="10">
        <f t="shared" si="3"/>
        <v>6209166841.5778389</v>
      </c>
      <c r="K32" s="11">
        <f t="shared" si="4"/>
        <v>1.3052453000000019E-2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16202449.757388953</v>
      </c>
      <c r="D33" s="11">
        <v>2.0799999999999999E-2</v>
      </c>
      <c r="E33" s="10">
        <f t="shared" si="2"/>
        <v>330143.9605737552</v>
      </c>
      <c r="F33" s="3"/>
      <c r="G33" s="26">
        <v>0.5</v>
      </c>
      <c r="H33" s="10"/>
      <c r="I33" s="10">
        <f t="shared" si="5"/>
        <v>378.286387537471</v>
      </c>
      <c r="J33" s="10">
        <f t="shared" si="3"/>
        <v>6129166187.9800406</v>
      </c>
      <c r="K33" s="11">
        <f t="shared" si="4"/>
        <v>2.5903999999999705E-2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15872305.796815198</v>
      </c>
      <c r="D34" s="11">
        <v>2.2110000000000001E-2</v>
      </c>
      <c r="E34" s="10">
        <f t="shared" si="2"/>
        <v>343345.31622583233</v>
      </c>
      <c r="F34" s="3"/>
      <c r="G34" s="26">
        <v>-3.87</v>
      </c>
      <c r="H34" s="10"/>
      <c r="I34" s="10">
        <f t="shared" si="5"/>
        <v>376.40436570892643</v>
      </c>
      <c r="J34" s="10">
        <f t="shared" ref="J34:J65" si="6">IF(I34="","",I34*C34)</f>
        <v>5974405195.7883406</v>
      </c>
      <c r="K34" s="11">
        <f t="shared" ref="K34:K65" si="7">IFERROR(J34/J35-1,"")</f>
        <v>-4.1582269999999033E-3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15528960.480589366</v>
      </c>
      <c r="D35" s="11">
        <v>2.1729999999999999E-2</v>
      </c>
      <c r="E35" s="10">
        <f t="shared" si="2"/>
        <v>330267.59637399949</v>
      </c>
      <c r="F35" s="3"/>
      <c r="G35" s="26">
        <v>-6.23</v>
      </c>
      <c r="H35" s="10"/>
      <c r="I35" s="10">
        <f t="shared" ref="I35:I66" si="8">IF(H35&lt;&gt;"",H35,I34/(1+IF(G34="",0,G34)/100))</f>
        <v>386.33312707474744</v>
      </c>
      <c r="J35" s="10">
        <f t="shared" si="6"/>
        <v>5999351862.6862621</v>
      </c>
      <c r="K35" s="11">
        <f t="shared" si="7"/>
        <v>-1.4337069000000091E-2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15198692.884215366</v>
      </c>
      <c r="D36" s="11">
        <v>2.1329999999999998E-2</v>
      </c>
      <c r="E36" s="10">
        <f t="shared" si="2"/>
        <v>317417.60177446529</v>
      </c>
      <c r="F36" s="3"/>
      <c r="G36" s="26">
        <v>-4.15</v>
      </c>
      <c r="H36" s="10"/>
      <c r="I36" s="10">
        <f t="shared" si="8"/>
        <v>400.46970775862695</v>
      </c>
      <c r="J36" s="10">
        <f t="shared" si="6"/>
        <v>6086616097.654851</v>
      </c>
      <c r="K36" s="11">
        <f t="shared" si="7"/>
        <v>2.796864500000007E-2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14881275.282440901</v>
      </c>
      <c r="D37" s="11">
        <v>2.1299999999999999E-2</v>
      </c>
      <c r="E37" s="10">
        <f t="shared" si="2"/>
        <v>310360.48518162407</v>
      </c>
      <c r="F37" s="3"/>
      <c r="G37" s="26">
        <v>-1.54</v>
      </c>
      <c r="H37" s="10"/>
      <c r="I37" s="10">
        <f t="shared" si="8"/>
        <v>397.88346523460206</v>
      </c>
      <c r="J37" s="10">
        <f t="shared" si="6"/>
        <v>5921013376.4876175</v>
      </c>
      <c r="K37" s="11">
        <f t="shared" si="7"/>
        <v>5.9700880000000289E-2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14570914.797259277</v>
      </c>
      <c r="D38" s="11">
        <v>2.035E-2</v>
      </c>
      <c r="E38" s="10">
        <f t="shared" si="2"/>
        <v>290604.31824788265</v>
      </c>
      <c r="F38" s="3"/>
      <c r="G38" s="26">
        <v>1.01</v>
      </c>
      <c r="H38" s="10"/>
      <c r="I38" s="10">
        <f t="shared" si="8"/>
        <v>383.46517466711839</v>
      </c>
      <c r="J38" s="10">
        <f t="shared" si="6"/>
        <v>5587438387.7907286</v>
      </c>
      <c r="K38" s="11">
        <f t="shared" si="7"/>
        <v>6.8408485000000185E-2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14280310.479011394</v>
      </c>
      <c r="D39" s="11">
        <v>1.9519999999999999E-2</v>
      </c>
      <c r="E39" s="10">
        <f t="shared" si="2"/>
        <v>273414.60741358809</v>
      </c>
      <c r="F39" s="3"/>
      <c r="G39" s="26">
        <v>5</v>
      </c>
      <c r="H39" s="10"/>
      <c r="I39" s="10">
        <f t="shared" si="8"/>
        <v>366.21638302656709</v>
      </c>
      <c r="J39" s="10">
        <f t="shared" si="6"/>
        <v>5229683652.119936</v>
      </c>
      <c r="K39" s="11">
        <f t="shared" si="7"/>
        <v>7.0495999999999892E-2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14006895.871597806</v>
      </c>
      <c r="D40" s="11">
        <v>1.9210000000000001E-2</v>
      </c>
      <c r="E40" s="10">
        <f t="shared" si="2"/>
        <v>264001.01028580219</v>
      </c>
      <c r="F40" s="3"/>
      <c r="G40" s="26">
        <v>2.81</v>
      </c>
      <c r="H40" s="10"/>
      <c r="I40" s="10">
        <f t="shared" si="8"/>
        <v>348.77750764434961</v>
      </c>
      <c r="J40" s="10">
        <f t="shared" si="6"/>
        <v>4885290231.9298124</v>
      </c>
      <c r="K40" s="11">
        <f t="shared" si="7"/>
        <v>4.7849800999999914E-2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13742894.861312004</v>
      </c>
      <c r="D41" s="11">
        <v>1.7780000000000001E-2</v>
      </c>
      <c r="E41" s="10">
        <f t="shared" si="2"/>
        <v>240080.04739150591</v>
      </c>
      <c r="F41" s="3"/>
      <c r="G41" s="26">
        <v>-0.32</v>
      </c>
      <c r="H41" s="10"/>
      <c r="I41" s="10">
        <f t="shared" si="8"/>
        <v>339.24473071136038</v>
      </c>
      <c r="J41" s="10">
        <f t="shared" si="6"/>
        <v>4662204666.4203291</v>
      </c>
      <c r="K41" s="11">
        <f t="shared" si="7"/>
        <v>1.4523104000000009E-2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13502814.813920498</v>
      </c>
      <c r="D42" s="11">
        <v>1.8089999999999998E-2</v>
      </c>
      <c r="E42" s="10">
        <f t="shared" si="2"/>
        <v>239925.66470923088</v>
      </c>
      <c r="F42" s="3"/>
      <c r="G42" s="26">
        <v>-4.95</v>
      </c>
      <c r="H42" s="10"/>
      <c r="I42" s="10">
        <f t="shared" si="8"/>
        <v>340.33379886773713</v>
      </c>
      <c r="J42" s="10">
        <f t="shared" si="6"/>
        <v>4595464261.0291204</v>
      </c>
      <c r="K42" s="11">
        <f t="shared" si="7"/>
        <v>-3.2305455000000038E-2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13262889.149211267</v>
      </c>
      <c r="D43" s="11">
        <v>1.787E-2</v>
      </c>
      <c r="E43" s="10">
        <f t="shared" si="2"/>
        <v>232846.85578355379</v>
      </c>
      <c r="F43" s="3"/>
      <c r="G43" s="26">
        <v>6.38</v>
      </c>
      <c r="H43" s="10"/>
      <c r="I43" s="10">
        <f t="shared" si="8"/>
        <v>358.05765267515744</v>
      </c>
      <c r="J43" s="10">
        <f t="shared" si="6"/>
        <v>4748878956.4574022</v>
      </c>
      <c r="K43" s="11">
        <f t="shared" si="7"/>
        <v>8.2810106000000161E-2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13030042.293427713</v>
      </c>
      <c r="D44" s="11">
        <v>1.7680000000000001E-2</v>
      </c>
      <c r="E44" s="10">
        <f t="shared" si="2"/>
        <v>226368.94480367191</v>
      </c>
      <c r="F44" s="3"/>
      <c r="G44" s="26">
        <v>6.78</v>
      </c>
      <c r="H44" s="10"/>
      <c r="I44" s="10">
        <f t="shared" si="8"/>
        <v>336.58361785594792</v>
      </c>
      <c r="J44" s="10">
        <f t="shared" si="6"/>
        <v>4385698775.9379129</v>
      </c>
      <c r="K44" s="11">
        <f t="shared" si="7"/>
        <v>8.6678704000000106E-2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12803673.348624041</v>
      </c>
      <c r="D45" s="11">
        <v>1.6979999999999999E-2</v>
      </c>
      <c r="E45" s="10">
        <f t="shared" si="2"/>
        <v>213776.44934967905</v>
      </c>
      <c r="F45" s="3"/>
      <c r="G45" s="26">
        <v>7.33</v>
      </c>
      <c r="H45" s="10"/>
      <c r="I45" s="10">
        <f t="shared" si="8"/>
        <v>315.21222874690756</v>
      </c>
      <c r="J45" s="10">
        <f t="shared" si="6"/>
        <v>4035874412.3671651</v>
      </c>
      <c r="K45" s="11">
        <f t="shared" si="7"/>
        <v>9.1524633999999994E-2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12589896.899274362</v>
      </c>
      <c r="D46" s="11">
        <v>1.5910000000000001E-2</v>
      </c>
      <c r="E46" s="10">
        <f t="shared" si="2"/>
        <v>197168.31182629988</v>
      </c>
      <c r="F46" s="3"/>
      <c r="G46" s="26">
        <v>5.58</v>
      </c>
      <c r="H46" s="10"/>
      <c r="I46" s="10">
        <f t="shared" si="8"/>
        <v>293.68511017134779</v>
      </c>
      <c r="J46" s="10">
        <f t="shared" si="6"/>
        <v>3697465257.9093008</v>
      </c>
      <c r="K46" s="11">
        <f t="shared" si="7"/>
        <v>7.2597778000000224E-2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12392728.587448062</v>
      </c>
      <c r="D47" s="11">
        <v>1.617E-2</v>
      </c>
      <c r="E47" s="10">
        <f t="shared" si="2"/>
        <v>197201.67025107518</v>
      </c>
      <c r="F47" s="3"/>
      <c r="G47" s="26">
        <v>5.71</v>
      </c>
      <c r="H47" s="10"/>
      <c r="I47" s="10">
        <f t="shared" si="8"/>
        <v>278.16358228011723</v>
      </c>
      <c r="J47" s="10">
        <f t="shared" si="6"/>
        <v>3447205778.1097698</v>
      </c>
      <c r="K47" s="11">
        <f t="shared" si="7"/>
        <v>7.419330699999982E-2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12195526.917196987</v>
      </c>
      <c r="D48" s="11">
        <v>1.555E-2</v>
      </c>
      <c r="E48" s="10">
        <f t="shared" si="2"/>
        <v>186736.68806303293</v>
      </c>
      <c r="F48" s="3"/>
      <c r="G48" s="26">
        <v>4.74</v>
      </c>
      <c r="H48" s="10"/>
      <c r="I48" s="10">
        <f t="shared" si="8"/>
        <v>263.13838073987063</v>
      </c>
      <c r="J48" s="10">
        <f t="shared" si="6"/>
        <v>3209111205.2607217</v>
      </c>
      <c r="K48" s="11">
        <f t="shared" si="7"/>
        <v>6.3687070000000068E-2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12008790.229133954</v>
      </c>
      <c r="D49" s="11">
        <v>1.5350000000000001E-2</v>
      </c>
      <c r="E49" s="10">
        <f t="shared" si="2"/>
        <v>181548.16567410901</v>
      </c>
      <c r="F49" s="3"/>
      <c r="G49" s="26">
        <v>8.77</v>
      </c>
      <c r="H49" s="10"/>
      <c r="I49" s="10">
        <f t="shared" si="8"/>
        <v>251.2300751765043</v>
      </c>
      <c r="J49" s="10">
        <f t="shared" si="6"/>
        <v>3016969272.0441937</v>
      </c>
      <c r="K49" s="11">
        <f t="shared" si="7"/>
        <v>0.10439619499999986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11827242.063459845</v>
      </c>
      <c r="D50" s="11">
        <v>1.515E-2</v>
      </c>
      <c r="E50" s="10">
        <f t="shared" si="2"/>
        <v>176508.61179275624</v>
      </c>
      <c r="F50" s="3"/>
      <c r="G50" s="26">
        <v>4.1100000000000003</v>
      </c>
      <c r="H50" s="10"/>
      <c r="I50" s="10">
        <f t="shared" si="8"/>
        <v>230.97368316310042</v>
      </c>
      <c r="J50" s="10">
        <f t="shared" si="6"/>
        <v>2731781661.0588684</v>
      </c>
      <c r="K50" s="11">
        <f t="shared" si="7"/>
        <v>5.6872664999999989E-2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11650733.451667089</v>
      </c>
      <c r="D51" s="11">
        <v>1.468E-2</v>
      </c>
      <c r="E51" s="10">
        <f t="shared" si="2"/>
        <v>168558.33077470027</v>
      </c>
      <c r="F51" s="3"/>
      <c r="G51" s="26">
        <v>5.51</v>
      </c>
      <c r="H51" s="10"/>
      <c r="I51" s="10">
        <f t="shared" si="8"/>
        <v>221.85542518787864</v>
      </c>
      <c r="J51" s="10">
        <f t="shared" si="6"/>
        <v>2584778423.6702428</v>
      </c>
      <c r="K51" s="11">
        <f t="shared" si="7"/>
        <v>7.0588867999999749E-2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11482175.120892389</v>
      </c>
      <c r="D52" s="11">
        <v>1.4919999999999999E-2</v>
      </c>
      <c r="E52" s="10">
        <f t="shared" si="2"/>
        <v>168795.62212166004</v>
      </c>
      <c r="F52" s="3"/>
      <c r="G52" s="26">
        <v>4.3600000000000003</v>
      </c>
      <c r="H52" s="10"/>
      <c r="I52" s="10">
        <f t="shared" si="8"/>
        <v>210.2695717826544</v>
      </c>
      <c r="J52" s="10">
        <f t="shared" si="6"/>
        <v>2414352045.8034906</v>
      </c>
      <c r="K52" s="11">
        <f t="shared" si="7"/>
        <v>5.9170512000000119E-2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11313379.498770729</v>
      </c>
      <c r="D53" s="11">
        <v>1.465E-2</v>
      </c>
      <c r="E53" s="10">
        <f t="shared" si="2"/>
        <v>163347.96201349422</v>
      </c>
      <c r="F53" s="3"/>
      <c r="G53" s="26">
        <v>4.63</v>
      </c>
      <c r="H53" s="10"/>
      <c r="I53" s="10">
        <f t="shared" si="8"/>
        <v>201.48483306118663</v>
      </c>
      <c r="J53" s="10">
        <f t="shared" si="6"/>
        <v>2279474379.6676717</v>
      </c>
      <c r="K53" s="11">
        <f t="shared" si="7"/>
        <v>6.1628295E-2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11150031.536757234</v>
      </c>
      <c r="D54" s="11">
        <v>1.472E-2</v>
      </c>
      <c r="E54" s="10">
        <f t="shared" si="2"/>
        <v>161747.54042599723</v>
      </c>
      <c r="F54" s="3"/>
      <c r="G54" s="26">
        <v>9.5399999999999991</v>
      </c>
      <c r="H54" s="10"/>
      <c r="I54" s="10">
        <f t="shared" si="8"/>
        <v>192.56889330133484</v>
      </c>
      <c r="J54" s="10">
        <f t="shared" si="6"/>
        <v>2147149233.3083224</v>
      </c>
      <c r="K54" s="11">
        <f t="shared" si="7"/>
        <v>0.11152428800000003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10988283.996331237</v>
      </c>
      <c r="D55" s="11">
        <v>1.4789999999999999E-2</v>
      </c>
      <c r="E55" s="10">
        <f t="shared" si="2"/>
        <v>160148.12947086617</v>
      </c>
      <c r="F55" s="3"/>
      <c r="G55" s="26">
        <v>3.54</v>
      </c>
      <c r="H55" s="10"/>
      <c r="I55" s="10">
        <f t="shared" si="8"/>
        <v>175.79778464609717</v>
      </c>
      <c r="J55" s="10">
        <f t="shared" si="6"/>
        <v>1931715983.6171949</v>
      </c>
      <c r="K55" s="11">
        <f t="shared" si="7"/>
        <v>5.071356600000021E-2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10828135.866860371</v>
      </c>
      <c r="D56" s="11">
        <v>1.477E-2</v>
      </c>
      <c r="E56" s="10">
        <f t="shared" si="2"/>
        <v>157603.75922970474</v>
      </c>
      <c r="F56" s="3"/>
      <c r="G56" s="26">
        <v>4.3</v>
      </c>
      <c r="H56" s="10"/>
      <c r="I56" s="10">
        <f t="shared" si="8"/>
        <v>169.78731373971138</v>
      </c>
      <c r="J56" s="10">
        <f t="shared" si="6"/>
        <v>1838480101.6428435</v>
      </c>
      <c r="K56" s="11">
        <f t="shared" si="7"/>
        <v>5.8405109999999816E-2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10670532.107630666</v>
      </c>
      <c r="D57" s="11">
        <v>1.453E-2</v>
      </c>
      <c r="E57" s="10">
        <f t="shared" si="2"/>
        <v>152822.32316823862</v>
      </c>
      <c r="F57" s="3"/>
      <c r="G57" s="26">
        <v>2.4500000000000002</v>
      </c>
      <c r="H57" s="10"/>
      <c r="I57" s="10">
        <f t="shared" si="8"/>
        <v>162.78745324996299</v>
      </c>
      <c r="J57" s="10">
        <f t="shared" si="6"/>
        <v>1737028746.6231561</v>
      </c>
      <c r="K57" s="11">
        <f t="shared" si="7"/>
        <v>3.9385985000000012E-2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10517709.784462428</v>
      </c>
      <c r="D58" s="11">
        <v>1.4149999999999999E-2</v>
      </c>
      <c r="E58" s="10">
        <f t="shared" si="2"/>
        <v>146749.09377325326</v>
      </c>
      <c r="F58" s="3"/>
      <c r="G58" s="26">
        <v>4.91</v>
      </c>
      <c r="H58" s="10"/>
      <c r="I58" s="10">
        <f t="shared" si="8"/>
        <v>158.8945370912279</v>
      </c>
      <c r="J58" s="10">
        <f t="shared" si="6"/>
        <v>1671206627.4620359</v>
      </c>
      <c r="K58" s="11">
        <f t="shared" si="7"/>
        <v>6.3944765000000237E-2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10370960.690689174</v>
      </c>
      <c r="D59" s="11">
        <v>1.3129999999999999E-2</v>
      </c>
      <c r="E59" s="10">
        <f t="shared" si="2"/>
        <v>134405.9635671135</v>
      </c>
      <c r="F59" s="3"/>
      <c r="G59" s="26">
        <v>4.6900000000000004</v>
      </c>
      <c r="H59" s="10"/>
      <c r="I59" s="10">
        <f t="shared" si="8"/>
        <v>151.45795166450091</v>
      </c>
      <c r="J59" s="10">
        <f t="shared" si="6"/>
        <v>1570764463.0048399</v>
      </c>
      <c r="K59" s="11">
        <f t="shared" si="7"/>
        <v>6.0645797000000057E-2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10236554.727122061</v>
      </c>
      <c r="D60" s="11">
        <v>1.383E-2</v>
      </c>
      <c r="E60" s="10">
        <f t="shared" si="2"/>
        <v>139640.32616523281</v>
      </c>
      <c r="F60" s="3"/>
      <c r="G60" s="26">
        <v>5.65</v>
      </c>
      <c r="H60" s="10"/>
      <c r="I60" s="10">
        <f t="shared" si="8"/>
        <v>144.67279746346443</v>
      </c>
      <c r="J60" s="10">
        <f t="shared" si="6"/>
        <v>1480951008.7605994</v>
      </c>
      <c r="K60" s="11">
        <f t="shared" si="7"/>
        <v>7.1111394999999966E-2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10096914.400956828</v>
      </c>
      <c r="D61" s="11">
        <v>1.3820000000000001E-2</v>
      </c>
      <c r="E61" s="10">
        <f t="shared" si="2"/>
        <v>137637.21076840349</v>
      </c>
      <c r="F61" s="3"/>
      <c r="G61" s="26">
        <v>9.07</v>
      </c>
      <c r="H61" s="10"/>
      <c r="I61" s="10">
        <f t="shared" si="8"/>
        <v>136.93591809130567</v>
      </c>
      <c r="J61" s="10">
        <f t="shared" si="6"/>
        <v>1382630243.3843489</v>
      </c>
      <c r="K61" s="11">
        <f t="shared" si="7"/>
        <v>0.10577347400000003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9959277.1901884247</v>
      </c>
      <c r="D62" s="11">
        <v>1.3780000000000001E-2</v>
      </c>
      <c r="E62" s="10">
        <f t="shared" si="2"/>
        <v>135373.39430724084</v>
      </c>
      <c r="F62" s="3"/>
      <c r="G62" s="26">
        <v>2.5099999999999998</v>
      </c>
      <c r="H62" s="10"/>
      <c r="I62" s="10">
        <f t="shared" si="8"/>
        <v>125.54865507591974</v>
      </c>
      <c r="J62" s="10">
        <f t="shared" si="6"/>
        <v>1250373856.7564416</v>
      </c>
      <c r="K62" s="11">
        <f t="shared" si="7"/>
        <v>3.9225877999999659E-2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9823903.7958811838</v>
      </c>
      <c r="D63" s="11">
        <v>1.379E-2</v>
      </c>
      <c r="E63" s="10">
        <f t="shared" si="2"/>
        <v>133628.89093915001</v>
      </c>
      <c r="F63" s="3"/>
      <c r="G63" s="26">
        <v>1.84</v>
      </c>
      <c r="H63" s="10"/>
      <c r="I63" s="10">
        <f t="shared" si="8"/>
        <v>122.47454402099284</v>
      </c>
      <c r="J63" s="10">
        <f t="shared" si="6"/>
        <v>1203178137.9066486</v>
      </c>
      <c r="K63" s="11">
        <f t="shared" si="7"/>
        <v>3.2443735999999834E-2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9690274.9049420338</v>
      </c>
      <c r="D64" s="11">
        <v>1.379E-2</v>
      </c>
      <c r="E64" s="10">
        <f t="shared" si="2"/>
        <v>131811.21429403499</v>
      </c>
      <c r="F64" s="3"/>
      <c r="G64" s="26">
        <v>3.67</v>
      </c>
      <c r="H64" s="10"/>
      <c r="I64" s="10">
        <f t="shared" si="8"/>
        <v>120.26172822171331</v>
      </c>
      <c r="J64" s="10">
        <f t="shared" si="6"/>
        <v>1165369207.0118277</v>
      </c>
      <c r="K64" s="11">
        <f t="shared" si="7"/>
        <v>5.0996092999999965E-2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9558463.6906479988</v>
      </c>
      <c r="D65" s="11">
        <v>1.4319999999999999E-2</v>
      </c>
      <c r="E65" s="10">
        <f t="shared" si="2"/>
        <v>134944.79064800031</v>
      </c>
      <c r="F65" s="3"/>
      <c r="G65" s="26">
        <v>2.09</v>
      </c>
      <c r="H65" s="10"/>
      <c r="I65" s="10">
        <f t="shared" si="8"/>
        <v>116.00436791908297</v>
      </c>
      <c r="J65" s="10">
        <f t="shared" si="6"/>
        <v>1108823538.7111261</v>
      </c>
      <c r="K65" s="11">
        <f t="shared" si="7"/>
        <v>3.5519287999999927E-2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9423518.8999999985</v>
      </c>
      <c r="D66" s="11">
        <v>1.47E-2</v>
      </c>
      <c r="E66" s="10">
        <f t="shared" si="2"/>
        <v>136518.89999999851</v>
      </c>
      <c r="F66" s="23">
        <f>SUM(F2)</f>
        <v>36478307</v>
      </c>
      <c r="G66" s="26">
        <v>1.4</v>
      </c>
      <c r="H66" s="10"/>
      <c r="I66" s="10">
        <f t="shared" si="8"/>
        <v>113.6295111363336</v>
      </c>
      <c r="J66" s="10">
        <f t="shared" ref="J66:J67" si="9">IF(I66="","",I66*C66)</f>
        <v>1070789845.791</v>
      </c>
      <c r="K66" s="11">
        <f t="shared" ref="K66" si="10">IFERROR(J66/J67-1,"")</f>
        <v>2.8905799999999759E-2</v>
      </c>
    </row>
    <row r="67" spans="1:11" ht="22.5" customHeight="1">
      <c r="A67" s="3">
        <f t="shared" si="0"/>
        <v>1950</v>
      </c>
      <c r="B67" s="3">
        <v>1700</v>
      </c>
      <c r="C67" s="10">
        <v>9287000</v>
      </c>
      <c r="D67" s="11">
        <v>1.4800000000000001E-2</v>
      </c>
      <c r="E67" s="3" t="s">
        <v>72</v>
      </c>
      <c r="F67" s="10">
        <f>SUM(C2)</f>
        <v>36478054.256474152</v>
      </c>
      <c r="G67" s="26">
        <v>7.79</v>
      </c>
      <c r="H67" s="10"/>
      <c r="I67" s="10">
        <f t="shared" ref="I67" si="11">IF(H67&lt;&gt;"",H67,I66/(1+IF(G66="",0,G66)/100))</f>
        <v>112.06066187015148</v>
      </c>
      <c r="J67" s="10">
        <f t="shared" si="9"/>
        <v>1040707366.7880968</v>
      </c>
      <c r="K67" s="11"/>
    </row>
  </sheetData>
  <dataValidations count="1">
    <dataValidation type="custom" allowBlank="1" showDropDown="1" sqref="D2:D67" xr:uid="{00000000-0002-0000-4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M67"/>
  <sheetViews>
    <sheetView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81317223.036466882</v>
      </c>
      <c r="D2" s="11">
        <v>3.7000000000000002E-3</v>
      </c>
      <c r="E2" s="10">
        <f t="shared" ref="E2:E66" si="2">SUM(C2-C3)</f>
        <v>299764.59622888267</v>
      </c>
      <c r="F2" s="14">
        <v>81313729</v>
      </c>
      <c r="G2" s="26">
        <v>0.4</v>
      </c>
      <c r="H2" s="10"/>
      <c r="I2" s="10">
        <f>IF(H2&lt;&gt;"",H2,165080)</f>
        <v>20635</v>
      </c>
      <c r="J2" s="10">
        <f t="shared" ref="J2:J33" si="3">IF(I2="","",I2*C2)</f>
        <v>1677980897357.4941</v>
      </c>
      <c r="K2" s="11">
        <f t="shared" ref="K2:K33" si="4">IFERROR(J2/J3-1,"")</f>
        <v>7.7148000000000216E-3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81017458.440237999</v>
      </c>
      <c r="D3" s="11">
        <v>4.0000000000000001E-3</v>
      </c>
      <c r="E3" s="10">
        <f t="shared" si="2"/>
        <v>322778.71888540685</v>
      </c>
      <c r="F3" s="3"/>
      <c r="G3" s="26">
        <v>1.7</v>
      </c>
      <c r="H3" s="10"/>
      <c r="I3" s="10">
        <f t="shared" ref="I3:I34" si="5">IF(H3&lt;&gt;"",H3,I2/(1+IF(G2="",0,G2)/100))</f>
        <v>20552.788844621515</v>
      </c>
      <c r="J3" s="10">
        <f t="shared" si="3"/>
        <v>1665134716050.1108</v>
      </c>
      <c r="K3" s="11">
        <f t="shared" si="4"/>
        <v>2.1067999999999865E-2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80694679.721352592</v>
      </c>
      <c r="D4" s="11">
        <v>3.9199999999999999E-3</v>
      </c>
      <c r="E4" s="10">
        <f t="shared" si="2"/>
        <v>315087.99954946339</v>
      </c>
      <c r="F4" s="3"/>
      <c r="G4" s="26">
        <v>2.2000000000000002</v>
      </c>
      <c r="H4" s="10"/>
      <c r="I4" s="10">
        <f t="shared" si="5"/>
        <v>20209.231902282711</v>
      </c>
      <c r="J4" s="10">
        <f t="shared" si="3"/>
        <v>1630777495769.2446</v>
      </c>
      <c r="K4" s="11">
        <f t="shared" si="4"/>
        <v>2.6006240000000069E-2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80379591.721803129</v>
      </c>
      <c r="D5" s="11">
        <v>4.0200000000000001E-3</v>
      </c>
      <c r="E5" s="10">
        <f t="shared" si="2"/>
        <v>321832.19330455363</v>
      </c>
      <c r="F5" s="3"/>
      <c r="G5" s="26">
        <v>4.0999999999999996</v>
      </c>
      <c r="H5" s="10"/>
      <c r="I5" s="10">
        <f t="shared" si="5"/>
        <v>19774.19951299678</v>
      </c>
      <c r="J5" s="10">
        <f t="shared" si="3"/>
        <v>1589442083480.1594</v>
      </c>
      <c r="K5" s="11">
        <f t="shared" si="4"/>
        <v>4.5184819999999792E-2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80057759.528498575</v>
      </c>
      <c r="D6" s="11">
        <v>4.3E-3</v>
      </c>
      <c r="E6" s="10">
        <f t="shared" si="2"/>
        <v>342774.43589818478</v>
      </c>
      <c r="F6" s="3"/>
      <c r="G6" s="26">
        <v>0.5</v>
      </c>
      <c r="H6" s="10"/>
      <c r="I6" s="10">
        <f t="shared" si="5"/>
        <v>18995.38858116886</v>
      </c>
      <c r="J6" s="10">
        <f t="shared" si="3"/>
        <v>1520728251181.6042</v>
      </c>
      <c r="K6" s="11">
        <f t="shared" si="4"/>
        <v>9.3214999999999826E-3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79714985.09260039</v>
      </c>
      <c r="D7" s="11">
        <v>4.2199999999999998E-3</v>
      </c>
      <c r="E7" s="10">
        <f t="shared" si="2"/>
        <v>334983.60627229512</v>
      </c>
      <c r="F7" s="3"/>
      <c r="G7" s="26">
        <v>3.8</v>
      </c>
      <c r="H7" s="10"/>
      <c r="I7" s="10">
        <f t="shared" si="5"/>
        <v>18900.884160367026</v>
      </c>
      <c r="J7" s="10">
        <f t="shared" si="3"/>
        <v>1506683699080.6243</v>
      </c>
      <c r="K7" s="11">
        <f t="shared" si="4"/>
        <v>4.2380359999999895E-2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79380001.486328095</v>
      </c>
      <c r="D8" s="11">
        <v>4.45E-3</v>
      </c>
      <c r="E8" s="10">
        <f t="shared" si="2"/>
        <v>351676.04819968343</v>
      </c>
      <c r="F8" s="3"/>
      <c r="G8" s="26">
        <v>2.9</v>
      </c>
      <c r="H8" s="10"/>
      <c r="I8" s="10">
        <f t="shared" si="5"/>
        <v>18208.944277810235</v>
      </c>
      <c r="J8" s="10">
        <f t="shared" si="3"/>
        <v>1445426023837.042</v>
      </c>
      <c r="K8" s="11">
        <f t="shared" si="4"/>
        <v>3.3579050000000166E-2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79028325.438128412</v>
      </c>
      <c r="D9" s="11">
        <v>6.7200000000000003E-3</v>
      </c>
      <c r="E9" s="10">
        <f t="shared" si="2"/>
        <v>527525.37641471624</v>
      </c>
      <c r="F9" s="3"/>
      <c r="G9" s="26">
        <v>2.6</v>
      </c>
      <c r="H9" s="10"/>
      <c r="I9" s="10">
        <f t="shared" si="5"/>
        <v>17695.76703382919</v>
      </c>
      <c r="J9" s="10">
        <f t="shared" si="3"/>
        <v>1398466836026.7576</v>
      </c>
      <c r="K9" s="11">
        <f t="shared" si="4"/>
        <v>3.2894719999999822E-2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78500800.061713696</v>
      </c>
      <c r="D10" s="11">
        <v>5.2500000000000003E-3</v>
      </c>
      <c r="E10" s="10">
        <f t="shared" si="2"/>
        <v>409976.82200844586</v>
      </c>
      <c r="F10" s="3"/>
      <c r="G10" s="26">
        <v>0.9</v>
      </c>
      <c r="H10" s="10"/>
      <c r="I10" s="10">
        <f t="shared" si="5"/>
        <v>17247.336290281863</v>
      </c>
      <c r="J10" s="10">
        <f t="shared" si="3"/>
        <v>1353929697720.5554</v>
      </c>
      <c r="K10" s="11">
        <f t="shared" si="4"/>
        <v>1.4297249999999817E-2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78090823.23970525</v>
      </c>
      <c r="D11" s="11">
        <v>3.7599999999999999E-3</v>
      </c>
      <c r="E11" s="10">
        <f t="shared" si="2"/>
        <v>292521.61411222816</v>
      </c>
      <c r="F11" s="3"/>
      <c r="G11" s="26">
        <v>1.2</v>
      </c>
      <c r="H11" s="10"/>
      <c r="I11" s="10">
        <f t="shared" si="5"/>
        <v>17093.494836751106</v>
      </c>
      <c r="J11" s="10">
        <f t="shared" si="3"/>
        <v>1334845083845.5449</v>
      </c>
      <c r="K11" s="11">
        <f t="shared" si="4"/>
        <v>1.5805120000000006E-2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77798301.625593022</v>
      </c>
      <c r="D12" s="11">
        <v>4.2500000000000003E-3</v>
      </c>
      <c r="E12" s="10">
        <f t="shared" si="2"/>
        <v>329243.49704633653</v>
      </c>
      <c r="F12" s="3"/>
      <c r="G12" s="26">
        <v>3.9</v>
      </c>
      <c r="H12" s="10"/>
      <c r="I12" s="10">
        <f t="shared" si="5"/>
        <v>16890.805174655245</v>
      </c>
      <c r="J12" s="10">
        <f t="shared" si="3"/>
        <v>1314075955676.9561</v>
      </c>
      <c r="K12" s="11">
        <f t="shared" si="4"/>
        <v>4.3415750000000086E-2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77469058.128546685</v>
      </c>
      <c r="D13" s="11">
        <v>7.5199999999999998E-3</v>
      </c>
      <c r="E13" s="10">
        <f t="shared" si="2"/>
        <v>578219.1094238013</v>
      </c>
      <c r="F13" s="3"/>
      <c r="G13" s="26">
        <v>0.9</v>
      </c>
      <c r="H13" s="10"/>
      <c r="I13" s="10">
        <f t="shared" si="5"/>
        <v>16256.790350967512</v>
      </c>
      <c r="J13" s="10">
        <f t="shared" si="3"/>
        <v>1259398236682.699</v>
      </c>
      <c r="K13" s="11">
        <f t="shared" si="4"/>
        <v>1.6587679999999771E-2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76890839.019122884</v>
      </c>
      <c r="D14" s="11">
        <v>7.5700000000000003E-3</v>
      </c>
      <c r="E14" s="10">
        <f t="shared" si="2"/>
        <v>577690.5340321362</v>
      </c>
      <c r="F14" s="3"/>
      <c r="G14" s="26">
        <v>1.6</v>
      </c>
      <c r="H14" s="10"/>
      <c r="I14" s="10">
        <f t="shared" si="5"/>
        <v>16111.784292336486</v>
      </c>
      <c r="J14" s="10">
        <f t="shared" si="3"/>
        <v>1238848612332.8774</v>
      </c>
      <c r="K14" s="11">
        <f t="shared" si="4"/>
        <v>2.3691120000000065E-2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76313148.485090747</v>
      </c>
      <c r="D15" s="11">
        <v>3.5100000000000001E-3</v>
      </c>
      <c r="E15" s="10">
        <f t="shared" si="2"/>
        <v>266922.25407087803</v>
      </c>
      <c r="F15" s="3"/>
      <c r="G15" s="26">
        <v>0.43</v>
      </c>
      <c r="H15" s="10"/>
      <c r="I15" s="10">
        <f t="shared" si="5"/>
        <v>15858.055405842997</v>
      </c>
      <c r="J15" s="10">
        <f t="shared" si="3"/>
        <v>1210178136870.8926</v>
      </c>
      <c r="K15" s="11">
        <f t="shared" si="4"/>
        <v>7.8250929999998942E-3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76046226.231019869</v>
      </c>
      <c r="D16" s="11">
        <v>3.5000000000000001E-3</v>
      </c>
      <c r="E16" s="10">
        <f t="shared" si="2"/>
        <v>265233.47464731336</v>
      </c>
      <c r="F16" s="3"/>
      <c r="G16" s="26">
        <v>2.1</v>
      </c>
      <c r="H16" s="10"/>
      <c r="I16" s="10">
        <f t="shared" si="5"/>
        <v>15790.157727614256</v>
      </c>
      <c r="J16" s="10">
        <f t="shared" si="3"/>
        <v>1200781906777.6404</v>
      </c>
      <c r="K16" s="11">
        <f t="shared" si="4"/>
        <v>2.4573500000000026E-2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75780992.756372556</v>
      </c>
      <c r="D17" s="11">
        <v>6.7000000000000002E-4</v>
      </c>
      <c r="E17" s="10">
        <f t="shared" si="2"/>
        <v>50739.269835978746</v>
      </c>
      <c r="F17" s="3"/>
      <c r="G17" s="26">
        <v>2.1</v>
      </c>
      <c r="H17" s="10"/>
      <c r="I17" s="10">
        <f t="shared" si="5"/>
        <v>15465.384649964994</v>
      </c>
      <c r="J17" s="10">
        <f t="shared" si="3"/>
        <v>1171982202133.5125</v>
      </c>
      <c r="K17" s="11">
        <f t="shared" si="4"/>
        <v>2.1684069999999833E-2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75730253.486536577</v>
      </c>
      <c r="D18" s="11">
        <v>4.2000000000000002E-4</v>
      </c>
      <c r="E18" s="10">
        <f t="shared" si="2"/>
        <v>31793.353255987167</v>
      </c>
      <c r="F18" s="3"/>
      <c r="G18" s="26">
        <v>2.9</v>
      </c>
      <c r="H18" s="10"/>
      <c r="I18" s="10">
        <f t="shared" si="5"/>
        <v>15147.291527879524</v>
      </c>
      <c r="J18" s="10">
        <f t="shared" si="3"/>
        <v>1147108227040.7844</v>
      </c>
      <c r="K18" s="11">
        <f t="shared" si="4"/>
        <v>2.9432180000000363E-2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75698460.13328059</v>
      </c>
      <c r="D19" s="11">
        <v>4.6999999999999999E-4</v>
      </c>
      <c r="E19" s="10">
        <f t="shared" si="2"/>
        <v>35561.562328338623</v>
      </c>
      <c r="F19" s="3"/>
      <c r="G19" s="26">
        <v>2.1</v>
      </c>
      <c r="H19" s="10"/>
      <c r="I19" s="10">
        <f t="shared" si="5"/>
        <v>14720.399929912075</v>
      </c>
      <c r="J19" s="10">
        <f t="shared" si="3"/>
        <v>1114311607240.3955</v>
      </c>
      <c r="K19" s="11">
        <f t="shared" si="4"/>
        <v>2.1479869999999623E-2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75662898.570952252</v>
      </c>
      <c r="D20" s="11">
        <v>4.2999999999999999E-4</v>
      </c>
      <c r="E20" s="10">
        <f t="shared" si="2"/>
        <v>32521.062328696251</v>
      </c>
      <c r="F20" s="3"/>
      <c r="G20" s="26">
        <v>1.5</v>
      </c>
      <c r="H20" s="10"/>
      <c r="I20" s="10">
        <f t="shared" si="5"/>
        <v>14417.629706084306</v>
      </c>
      <c r="J20" s="10">
        <f t="shared" si="3"/>
        <v>1090879654085.005</v>
      </c>
      <c r="K20" s="11">
        <f t="shared" si="4"/>
        <v>1.5436449999999713E-2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75630377.508623555</v>
      </c>
      <c r="D21" s="11">
        <v>5.1999999999999995E-4</v>
      </c>
      <c r="E21" s="10">
        <f t="shared" si="2"/>
        <v>39307.356479123235</v>
      </c>
      <c r="F21" s="3"/>
      <c r="G21" s="26">
        <v>1.9</v>
      </c>
      <c r="H21" s="10"/>
      <c r="I21" s="10">
        <f t="shared" si="5"/>
        <v>14204.561286782569</v>
      </c>
      <c r="J21" s="10">
        <f t="shared" si="3"/>
        <v>1074296332463.7454</v>
      </c>
      <c r="K21" s="11">
        <f t="shared" si="4"/>
        <v>1.952988000000011E-2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75591070.152144432</v>
      </c>
      <c r="D22" s="11">
        <v>3.5E-4</v>
      </c>
      <c r="E22" s="10">
        <f t="shared" si="2"/>
        <v>26447.617886990309</v>
      </c>
      <c r="F22" s="3"/>
      <c r="G22" s="26">
        <v>1</v>
      </c>
      <c r="H22" s="10"/>
      <c r="I22" s="10">
        <f t="shared" si="5"/>
        <v>13939.706856508901</v>
      </c>
      <c r="J22" s="10">
        <f t="shared" si="3"/>
        <v>1053717358890.6931</v>
      </c>
      <c r="K22" s="11">
        <f t="shared" si="4"/>
        <v>1.0353500000000126E-2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75564622.534257442</v>
      </c>
      <c r="D23" s="11">
        <v>1.3500000000000001E-3</v>
      </c>
      <c r="E23" s="10">
        <f t="shared" si="2"/>
        <v>101874.70956332982</v>
      </c>
      <c r="F23" s="3"/>
      <c r="G23" s="26">
        <v>2</v>
      </c>
      <c r="H23" s="10"/>
      <c r="I23" s="10">
        <f t="shared" si="5"/>
        <v>13801.689956939506</v>
      </c>
      <c r="J23" s="10">
        <f t="shared" si="3"/>
        <v>1042919491930.9856</v>
      </c>
      <c r="K23" s="11">
        <f t="shared" si="4"/>
        <v>2.1376999999999757E-2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75462747.824694112</v>
      </c>
      <c r="D24" s="11">
        <v>1.5E-3</v>
      </c>
      <c r="E24" s="10">
        <f t="shared" si="2"/>
        <v>113024.58485975862</v>
      </c>
      <c r="F24" s="3"/>
      <c r="G24" s="26">
        <v>2.6</v>
      </c>
      <c r="H24" s="10"/>
      <c r="I24" s="10">
        <f t="shared" si="5"/>
        <v>13531.068585234811</v>
      </c>
      <c r="J24" s="10">
        <f t="shared" si="3"/>
        <v>1021091616446.2151</v>
      </c>
      <c r="K24" s="11">
        <f t="shared" si="4"/>
        <v>2.7539000000000202E-2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75349723.239834353</v>
      </c>
      <c r="D25" s="11">
        <v>1.25E-3</v>
      </c>
      <c r="E25" s="10">
        <f t="shared" si="2"/>
        <v>94069.567090928555</v>
      </c>
      <c r="F25" s="3"/>
      <c r="G25" s="26">
        <v>-1</v>
      </c>
      <c r="H25" s="10"/>
      <c r="I25" s="10">
        <f t="shared" si="5"/>
        <v>13188.17600900079</v>
      </c>
      <c r="J25" s="10">
        <f t="shared" si="3"/>
        <v>993725412316.43274</v>
      </c>
      <c r="K25" s="11">
        <f t="shared" si="4"/>
        <v>-8.7625000000000064E-3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75255653.672743425</v>
      </c>
      <c r="D26" s="11">
        <v>4.8999999999999998E-4</v>
      </c>
      <c r="E26" s="10">
        <f t="shared" si="2"/>
        <v>36857.210266619921</v>
      </c>
      <c r="F26" s="3"/>
      <c r="G26" s="26">
        <v>-3.2</v>
      </c>
      <c r="H26" s="10"/>
      <c r="I26" s="10">
        <f t="shared" si="5"/>
        <v>13321.389908081606</v>
      </c>
      <c r="J26" s="10">
        <f t="shared" si="3"/>
        <v>1002509905362.1687</v>
      </c>
      <c r="K26" s="11">
        <f t="shared" si="4"/>
        <v>-3.1525679999999889E-2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75218796.462476805</v>
      </c>
      <c r="D27" s="11">
        <v>1.0499999999999999E-3</v>
      </c>
      <c r="E27" s="10">
        <f t="shared" si="2"/>
        <v>78896.894546329975</v>
      </c>
      <c r="F27" s="3"/>
      <c r="G27" s="26">
        <v>-4.32</v>
      </c>
      <c r="H27" s="10"/>
      <c r="I27" s="10">
        <f t="shared" si="5"/>
        <v>13761.766433968602</v>
      </c>
      <c r="J27" s="10">
        <f t="shared" si="3"/>
        <v>1035143508360.8295</v>
      </c>
      <c r="K27" s="11">
        <f t="shared" si="4"/>
        <v>-4.2195360000000015E-2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75139899.567930475</v>
      </c>
      <c r="D28" s="11">
        <v>8.7000000000000001E-4</v>
      </c>
      <c r="E28" s="10">
        <f t="shared" si="2"/>
        <v>65314.888670951128</v>
      </c>
      <c r="F28" s="3"/>
      <c r="G28" s="26">
        <v>5.3</v>
      </c>
      <c r="H28" s="10"/>
      <c r="I28" s="10">
        <f t="shared" si="5"/>
        <v>14383.117092358489</v>
      </c>
      <c r="J28" s="10">
        <f t="shared" si="3"/>
        <v>1080745973793.6011</v>
      </c>
      <c r="K28" s="11">
        <f t="shared" si="4"/>
        <v>5.3916109999999851E-2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75074584.679259524</v>
      </c>
      <c r="D29" s="11">
        <v>8.1999999999999998E-4</v>
      </c>
      <c r="E29" s="10">
        <f t="shared" si="2"/>
        <v>61510.720646068454</v>
      </c>
      <c r="F29" s="3"/>
      <c r="G29" s="26">
        <v>2.2999999999999998</v>
      </c>
      <c r="H29" s="10"/>
      <c r="I29" s="10">
        <f t="shared" si="5"/>
        <v>13659.18052455697</v>
      </c>
      <c r="J29" s="10">
        <f t="shared" si="3"/>
        <v>1025457304940.1448</v>
      </c>
      <c r="K29" s="11">
        <f t="shared" si="4"/>
        <v>2.3838859999999906E-2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75013073.958613455</v>
      </c>
      <c r="D30" s="11">
        <v>4.8000000000000001E-4</v>
      </c>
      <c r="E30" s="10">
        <f t="shared" si="2"/>
        <v>35989.000779762864</v>
      </c>
      <c r="F30" s="3"/>
      <c r="G30" s="26">
        <v>3.7</v>
      </c>
      <c r="H30" s="10"/>
      <c r="I30" s="10">
        <f t="shared" si="5"/>
        <v>13352.082624200364</v>
      </c>
      <c r="J30" s="10">
        <f t="shared" si="3"/>
        <v>1001580761390.6595</v>
      </c>
      <c r="K30" s="11">
        <f t="shared" si="4"/>
        <v>3.7497759999999936E-2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74977084.957833692</v>
      </c>
      <c r="D31" s="11">
        <v>9.0000000000000006E-5</v>
      </c>
      <c r="E31" s="10">
        <f t="shared" si="2"/>
        <v>6747.3303864598274</v>
      </c>
      <c r="F31" s="3"/>
      <c r="G31" s="26">
        <v>1.4</v>
      </c>
      <c r="H31" s="10"/>
      <c r="I31" s="10">
        <f t="shared" si="5"/>
        <v>12875.682376278077</v>
      </c>
      <c r="J31" s="10">
        <f t="shared" si="3"/>
        <v>965381131416.28333</v>
      </c>
      <c r="K31" s="11">
        <f t="shared" si="4"/>
        <v>1.4091259999999828E-2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74970337.627447233</v>
      </c>
      <c r="D32" s="11">
        <v>6.4000000000000005E-4</v>
      </c>
      <c r="E32" s="10">
        <f t="shared" si="2"/>
        <v>47950.327871724963</v>
      </c>
      <c r="F32" s="3"/>
      <c r="G32" s="26">
        <v>1.6</v>
      </c>
      <c r="H32" s="10"/>
      <c r="I32" s="10">
        <f t="shared" si="5"/>
        <v>12697.911613686467</v>
      </c>
      <c r="J32" s="10">
        <f t="shared" si="3"/>
        <v>951966720841.55774</v>
      </c>
      <c r="K32" s="11">
        <f t="shared" si="4"/>
        <v>1.6650240000000149E-2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74922387.299575508</v>
      </c>
      <c r="D33" s="11">
        <v>9.5E-4</v>
      </c>
      <c r="E33" s="10">
        <f t="shared" si="2"/>
        <v>71108.714655667543</v>
      </c>
      <c r="F33" s="3"/>
      <c r="G33" s="26">
        <v>2.2999999999999998</v>
      </c>
      <c r="H33" s="10"/>
      <c r="I33" s="10">
        <f t="shared" si="5"/>
        <v>12497.944501659907</v>
      </c>
      <c r="J33" s="10">
        <f t="shared" si="3"/>
        <v>936375838401.96375</v>
      </c>
      <c r="K33" s="11">
        <f t="shared" si="4"/>
        <v>2.3971849999999906E-2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74851278.58491984</v>
      </c>
      <c r="D34" s="11">
        <v>5.9999999999999995E-4</v>
      </c>
      <c r="E34" s="10">
        <f t="shared" si="2"/>
        <v>44883.836848840117</v>
      </c>
      <c r="F34" s="3"/>
      <c r="G34" s="26">
        <v>1.5</v>
      </c>
      <c r="H34" s="10"/>
      <c r="I34" s="10">
        <f t="shared" si="5"/>
        <v>12216.954547077134</v>
      </c>
      <c r="J34" s="10">
        <f t="shared" ref="J34:J65" si="6">IF(I34="","",I34*C34)</f>
        <v>914454668262.57373</v>
      </c>
      <c r="K34" s="11">
        <f t="shared" ref="K34:K65" si="7">IFERROR(J34/J35-1,"")</f>
        <v>2.8616799999999998E-2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74806394.748071</v>
      </c>
      <c r="D35" s="11">
        <v>1.0499999999999999E-3</v>
      </c>
      <c r="E35" s="10">
        <f t="shared" si="2"/>
        <v>78464.326942190528</v>
      </c>
      <c r="F35" s="3"/>
      <c r="G35" s="26">
        <v>-1.3</v>
      </c>
      <c r="H35" s="10"/>
      <c r="I35" s="10">
        <f t="shared" ref="I35:I66" si="8">IF(H35&lt;&gt;"",H35,I34/(1+IF(G34="",0,G34)/100))</f>
        <v>11884.197030230674</v>
      </c>
      <c r="J35" s="10">
        <f t="shared" si="6"/>
        <v>889013934307.28894</v>
      </c>
      <c r="K35" s="11">
        <f t="shared" si="7"/>
        <v>1.5064700000000153E-2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74727930.421128809</v>
      </c>
      <c r="D36" s="11">
        <v>1.5100000000000001E-3</v>
      </c>
      <c r="E36" s="10">
        <f t="shared" si="2"/>
        <v>112669.04467843473</v>
      </c>
      <c r="F36" s="3"/>
      <c r="G36" s="26">
        <v>-5.2</v>
      </c>
      <c r="H36" s="10"/>
      <c r="I36" s="10">
        <f t="shared" si="8"/>
        <v>11720.115414428674</v>
      </c>
      <c r="J36" s="10">
        <f t="shared" si="6"/>
        <v>875819969217.02515</v>
      </c>
      <c r="K36" s="11">
        <f t="shared" si="7"/>
        <v>-2.4960400000001437E-3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74615261.376450375</v>
      </c>
      <c r="D37" s="11">
        <v>6.8100000000000001E-3</v>
      </c>
      <c r="E37" s="10">
        <f t="shared" si="2"/>
        <v>504692.97084219754</v>
      </c>
      <c r="F37" s="3"/>
      <c r="G37" s="26">
        <v>-5.5</v>
      </c>
      <c r="H37" s="10"/>
      <c r="I37" s="10">
        <f t="shared" si="8"/>
        <v>11767.184151032805</v>
      </c>
      <c r="J37" s="10">
        <f t="shared" si="6"/>
        <v>878011521094.13708</v>
      </c>
      <c r="K37" s="11">
        <f t="shared" si="7"/>
        <v>4.7963800000001555E-3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74110568.405608177</v>
      </c>
      <c r="D38" s="11">
        <v>3.1199999999999999E-3</v>
      </c>
      <c r="E38" s="10">
        <f t="shared" si="2"/>
        <v>230505.7953440249</v>
      </c>
      <c r="F38" s="3"/>
      <c r="G38" s="26">
        <v>-3.27</v>
      </c>
      <c r="H38" s="10"/>
      <c r="I38" s="10">
        <f t="shared" si="8"/>
        <v>11790.765682397599</v>
      </c>
      <c r="J38" s="10">
        <f t="shared" si="6"/>
        <v>873820346659.82471</v>
      </c>
      <c r="K38" s="11">
        <f t="shared" si="7"/>
        <v>7.433416000000026E-3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73880062.610264152</v>
      </c>
      <c r="D39" s="11">
        <v>3.7799999999999999E-3</v>
      </c>
      <c r="E39" s="10">
        <f t="shared" si="2"/>
        <v>278214.98402716219</v>
      </c>
      <c r="F39" s="3"/>
      <c r="G39" s="26">
        <v>2.1</v>
      </c>
      <c r="H39" s="10"/>
      <c r="I39" s="10">
        <f t="shared" si="8"/>
        <v>11740.282467786119</v>
      </c>
      <c r="J39" s="10">
        <f t="shared" si="6"/>
        <v>867372803782.22498</v>
      </c>
      <c r="K39" s="11">
        <f t="shared" si="7"/>
        <v>2.4859379999999653E-2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73601847.62623699</v>
      </c>
      <c r="D40" s="11">
        <v>4.2599999999999999E-3</v>
      </c>
      <c r="E40" s="10">
        <f t="shared" si="2"/>
        <v>312213.8399296701</v>
      </c>
      <c r="F40" s="3"/>
      <c r="G40" s="26">
        <v>3</v>
      </c>
      <c r="H40" s="10"/>
      <c r="I40" s="10">
        <f t="shared" si="8"/>
        <v>11498.807510074554</v>
      </c>
      <c r="J40" s="10">
        <f t="shared" si="6"/>
        <v>846333478239.93689</v>
      </c>
      <c r="K40" s="11">
        <f t="shared" si="7"/>
        <v>3.4387799999999968E-2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73289633.78630732</v>
      </c>
      <c r="D41" s="11">
        <v>4.9199999999999999E-3</v>
      </c>
      <c r="E41" s="10">
        <f t="shared" si="2"/>
        <v>358819.60576824844</v>
      </c>
      <c r="F41" s="3"/>
      <c r="G41" s="26">
        <v>0.9</v>
      </c>
      <c r="H41" s="10"/>
      <c r="I41" s="10">
        <f t="shared" si="8"/>
        <v>11163.890786480149</v>
      </c>
      <c r="J41" s="10">
        <f t="shared" si="6"/>
        <v>818197467371.46057</v>
      </c>
      <c r="K41" s="11">
        <f t="shared" si="7"/>
        <v>1.396427999999994E-2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72930814.180539072</v>
      </c>
      <c r="D42" s="11">
        <v>5.6899999999999997E-3</v>
      </c>
      <c r="E42" s="10">
        <f t="shared" si="2"/>
        <v>412628.47665509582</v>
      </c>
      <c r="F42" s="3"/>
      <c r="G42" s="26">
        <v>-3.2</v>
      </c>
      <c r="H42" s="10"/>
      <c r="I42" s="10">
        <f t="shared" si="8"/>
        <v>11064.311978672102</v>
      </c>
      <c r="J42" s="10">
        <f t="shared" si="6"/>
        <v>806929280952.04761</v>
      </c>
      <c r="K42" s="11">
        <f t="shared" si="7"/>
        <v>-2.649208000000014E-2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72518185.703883976</v>
      </c>
      <c r="D43" s="11">
        <v>6.8599999999999998E-3</v>
      </c>
      <c r="E43" s="10">
        <f t="shared" si="2"/>
        <v>494085.32857462764</v>
      </c>
      <c r="F43" s="3"/>
      <c r="G43" s="26">
        <v>-0.9</v>
      </c>
      <c r="H43" s="10"/>
      <c r="I43" s="10">
        <f t="shared" si="8"/>
        <v>11430.074358132337</v>
      </c>
      <c r="J43" s="10">
        <f t="shared" si="6"/>
        <v>828888254912.24329</v>
      </c>
      <c r="K43" s="11">
        <f t="shared" si="7"/>
        <v>-2.201739999999841E-3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72024100.375309348</v>
      </c>
      <c r="D44" s="11">
        <v>6.7000000000000002E-3</v>
      </c>
      <c r="E44" s="10">
        <f t="shared" si="2"/>
        <v>479349.82866252959</v>
      </c>
      <c r="F44" s="3"/>
      <c r="G44" s="26">
        <v>3.1</v>
      </c>
      <c r="H44" s="10"/>
      <c r="I44" s="10">
        <f t="shared" si="8"/>
        <v>11533.879271576525</v>
      </c>
      <c r="J44" s="10">
        <f t="shared" si="6"/>
        <v>830717278372.72754</v>
      </c>
      <c r="K44" s="11">
        <f t="shared" si="7"/>
        <v>3.79077000000001E-2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71544750.546646819</v>
      </c>
      <c r="D45" s="11">
        <v>7.4200000000000004E-3</v>
      </c>
      <c r="E45" s="10">
        <f t="shared" si="2"/>
        <v>526952.06473578513</v>
      </c>
      <c r="F45" s="3"/>
      <c r="G45" s="26">
        <v>4.8</v>
      </c>
      <c r="H45" s="10"/>
      <c r="I45" s="10">
        <f t="shared" si="8"/>
        <v>11187.07979784338</v>
      </c>
      <c r="J45" s="10">
        <f t="shared" si="6"/>
        <v>800376833482.13672</v>
      </c>
      <c r="K45" s="11">
        <f t="shared" si="7"/>
        <v>5.5776159999999964E-2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71017798.481911033</v>
      </c>
      <c r="D46" s="11">
        <v>5.9300000000000004E-3</v>
      </c>
      <c r="E46" s="10">
        <f t="shared" si="2"/>
        <v>418652.93310442567</v>
      </c>
      <c r="F46" s="3"/>
      <c r="G46" s="26">
        <v>4.3</v>
      </c>
      <c r="H46" s="10"/>
      <c r="I46" s="10">
        <f t="shared" si="8"/>
        <v>10674.694463591011</v>
      </c>
      <c r="J46" s="10">
        <f t="shared" si="6"/>
        <v>758093300271.27783</v>
      </c>
      <c r="K46" s="11">
        <f t="shared" si="7"/>
        <v>4.9184989999999873E-2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70599145.548806608</v>
      </c>
      <c r="D47" s="11">
        <v>5.9300000000000004E-3</v>
      </c>
      <c r="E47" s="10">
        <f t="shared" si="2"/>
        <v>416184.95631349087</v>
      </c>
      <c r="F47" s="3"/>
      <c r="G47" s="26">
        <v>5.7</v>
      </c>
      <c r="H47" s="10"/>
      <c r="I47" s="10">
        <f t="shared" si="8"/>
        <v>10234.606388869619</v>
      </c>
      <c r="J47" s="10">
        <f t="shared" si="6"/>
        <v>722554466082.55225</v>
      </c>
      <c r="K47" s="11">
        <f t="shared" si="7"/>
        <v>6.3268010000000041E-2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70182960.592493117</v>
      </c>
      <c r="D48" s="11">
        <v>6.4799999999999996E-3</v>
      </c>
      <c r="E48" s="10">
        <f t="shared" si="2"/>
        <v>451857.54773007333</v>
      </c>
      <c r="F48" s="3"/>
      <c r="G48" s="26">
        <v>5.0999999999999996</v>
      </c>
      <c r="H48" s="10"/>
      <c r="I48" s="10">
        <f t="shared" si="8"/>
        <v>9682.6928939163863</v>
      </c>
      <c r="J48" s="10">
        <f t="shared" si="6"/>
        <v>679560053802.9469</v>
      </c>
      <c r="K48" s="11">
        <f t="shared" si="7"/>
        <v>5.7810480000000108E-2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69731103.044763044</v>
      </c>
      <c r="D49" s="11">
        <v>6.6800000000000002E-3</v>
      </c>
      <c r="E49" s="10">
        <f t="shared" si="2"/>
        <v>462712.84652423859</v>
      </c>
      <c r="F49" s="3"/>
      <c r="G49" s="26">
        <v>7.4</v>
      </c>
      <c r="H49" s="10"/>
      <c r="I49" s="10">
        <f t="shared" si="8"/>
        <v>9212.8381483505109</v>
      </c>
      <c r="J49" s="10">
        <f t="shared" si="6"/>
        <v>642421366257.35339</v>
      </c>
      <c r="K49" s="11">
        <f t="shared" si="7"/>
        <v>8.1174319999999911E-2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69268390.198238805</v>
      </c>
      <c r="D50" s="11">
        <v>7.5500000000000003E-3</v>
      </c>
      <c r="E50" s="10">
        <f t="shared" si="2"/>
        <v>519057.46215741336</v>
      </c>
      <c r="F50" s="3"/>
      <c r="G50" s="26">
        <v>5.2</v>
      </c>
      <c r="H50" s="10"/>
      <c r="I50" s="10">
        <f t="shared" si="8"/>
        <v>8578.0615906429339</v>
      </c>
      <c r="J50" s="10">
        <f t="shared" si="6"/>
        <v>594188517405.17981</v>
      </c>
      <c r="K50" s="11">
        <f t="shared" si="7"/>
        <v>5.9942600000000068E-2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68749332.736081392</v>
      </c>
      <c r="D51" s="11">
        <v>8.5400000000000007E-3</v>
      </c>
      <c r="E51" s="10">
        <f t="shared" si="2"/>
        <v>582147.75969831645</v>
      </c>
      <c r="F51" s="3"/>
      <c r="G51" s="26">
        <v>-0.3</v>
      </c>
      <c r="H51" s="10"/>
      <c r="I51" s="10">
        <f t="shared" si="8"/>
        <v>8154.0509416757923</v>
      </c>
      <c r="J51" s="10">
        <f t="shared" si="6"/>
        <v>560585561336.22681</v>
      </c>
      <c r="K51" s="11">
        <f t="shared" si="7"/>
        <v>5.5143800000001519E-3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68167184.976383075</v>
      </c>
      <c r="D52" s="11">
        <v>8.4200000000000004E-3</v>
      </c>
      <c r="E52" s="10">
        <f t="shared" si="2"/>
        <v>569175.24196381867</v>
      </c>
      <c r="F52" s="3"/>
      <c r="G52" s="26">
        <v>2.8</v>
      </c>
      <c r="H52" s="10"/>
      <c r="I52" s="10">
        <f t="shared" si="8"/>
        <v>8178.5867017811361</v>
      </c>
      <c r="J52" s="10">
        <f t="shared" si="6"/>
        <v>557511232545.70142</v>
      </c>
      <c r="K52" s="11">
        <f t="shared" si="7"/>
        <v>3.6655760000000148E-2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67598009.734419256</v>
      </c>
      <c r="D53" s="11">
        <v>9.58E-3</v>
      </c>
      <c r="E53" s="10">
        <f t="shared" si="2"/>
        <v>641443.90068714321</v>
      </c>
      <c r="F53" s="3"/>
      <c r="G53" s="26">
        <v>4.5999999999999996</v>
      </c>
      <c r="H53" s="10"/>
      <c r="I53" s="10">
        <f t="shared" si="8"/>
        <v>7955.8236398649178</v>
      </c>
      <c r="J53" s="10">
        <f t="shared" si="6"/>
        <v>537797843852.91156</v>
      </c>
      <c r="K53" s="11">
        <f t="shared" si="7"/>
        <v>5.6020680000000045E-2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66956565.833732113</v>
      </c>
      <c r="D54" s="11">
        <v>8.0800000000000004E-3</v>
      </c>
      <c r="E54" s="10">
        <f t="shared" si="2"/>
        <v>536672.73622784019</v>
      </c>
      <c r="F54" s="3"/>
      <c r="G54" s="26">
        <v>6.6</v>
      </c>
      <c r="H54" s="10"/>
      <c r="I54" s="10">
        <f t="shared" si="8"/>
        <v>7605.9499425094809</v>
      </c>
      <c r="J54" s="10">
        <f t="shared" si="6"/>
        <v>509268288053.70703</v>
      </c>
      <c r="K54" s="11">
        <f t="shared" si="7"/>
        <v>7.4613280000000115E-2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66419893.097504273</v>
      </c>
      <c r="D55" s="11">
        <v>7.8200000000000006E-3</v>
      </c>
      <c r="E55" s="10">
        <f t="shared" si="2"/>
        <v>515373.34446873516</v>
      </c>
      <c r="F55" s="3"/>
      <c r="G55" s="26">
        <v>2.7</v>
      </c>
      <c r="H55" s="10"/>
      <c r="I55" s="10">
        <f t="shared" si="8"/>
        <v>7135.0374695210885</v>
      </c>
      <c r="J55" s="10">
        <f t="shared" si="6"/>
        <v>473908425972.27808</v>
      </c>
      <c r="K55" s="11">
        <f t="shared" si="7"/>
        <v>3.503113999999985E-2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65904519.753035538</v>
      </c>
      <c r="D56" s="11">
        <v>6.3899999999999998E-3</v>
      </c>
      <c r="E56" s="10">
        <f t="shared" si="2"/>
        <v>418455.94771598279</v>
      </c>
      <c r="F56" s="3"/>
      <c r="G56" s="26">
        <v>7.3</v>
      </c>
      <c r="H56" s="10"/>
      <c r="I56" s="10">
        <f t="shared" si="8"/>
        <v>6947.4561533798333</v>
      </c>
      <c r="J56" s="10">
        <f t="shared" si="6"/>
        <v>457868761293.76953</v>
      </c>
      <c r="K56" s="11">
        <f t="shared" si="7"/>
        <v>7.9856469999999735E-2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65486063.805319555</v>
      </c>
      <c r="D57" s="11">
        <v>5.7200000000000003E-3</v>
      </c>
      <c r="E57" s="10">
        <f t="shared" si="2"/>
        <v>372449.87170030177</v>
      </c>
      <c r="F57" s="3"/>
      <c r="G57" s="26">
        <v>4.3</v>
      </c>
      <c r="H57" s="10"/>
      <c r="I57" s="10">
        <f t="shared" si="8"/>
        <v>6474.7960422924825</v>
      </c>
      <c r="J57" s="10">
        <f t="shared" si="6"/>
        <v>424008906751.99603</v>
      </c>
      <c r="K57" s="11">
        <f t="shared" si="7"/>
        <v>4.8965959999999864E-2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65113613.933619253</v>
      </c>
      <c r="D58" s="11">
        <v>6.2399999999999999E-3</v>
      </c>
      <c r="E58" s="10">
        <f t="shared" si="2"/>
        <v>403789.30567835271</v>
      </c>
      <c r="F58" s="3"/>
      <c r="G58" s="26">
        <v>8.1</v>
      </c>
      <c r="H58" s="10"/>
      <c r="I58" s="10">
        <f t="shared" si="8"/>
        <v>6207.8581421787949</v>
      </c>
      <c r="J58" s="10">
        <f t="shared" si="6"/>
        <v>404216078424.50488</v>
      </c>
      <c r="K58" s="11">
        <f t="shared" si="7"/>
        <v>8.7745439999999952E-2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64709824.627940901</v>
      </c>
      <c r="D59" s="11">
        <v>5.6699999999999997E-3</v>
      </c>
      <c r="E59" s="10">
        <f t="shared" si="2"/>
        <v>364836.08503825963</v>
      </c>
      <c r="F59" s="3"/>
      <c r="G59" s="26">
        <v>7.2</v>
      </c>
      <c r="H59" s="10"/>
      <c r="I59" s="10">
        <f t="shared" si="8"/>
        <v>5742.699483976684</v>
      </c>
      <c r="J59" s="10">
        <f t="shared" si="6"/>
        <v>371609076499.0979</v>
      </c>
      <c r="K59" s="11">
        <f t="shared" si="7"/>
        <v>7.8078239999999965E-2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64344988.542902641</v>
      </c>
      <c r="D60" s="11">
        <v>5.4000000000000003E-3</v>
      </c>
      <c r="E60" s="10">
        <f t="shared" si="2"/>
        <v>345596.71586599946</v>
      </c>
      <c r="F60" s="3"/>
      <c r="G60" s="26">
        <v>4.5</v>
      </c>
      <c r="H60" s="10"/>
      <c r="I60" s="10">
        <f t="shared" si="8"/>
        <v>5356.9957872916821</v>
      </c>
      <c r="J60" s="10">
        <f t="shared" si="6"/>
        <v>344695832557.66101</v>
      </c>
      <c r="K60" s="11">
        <f t="shared" si="7"/>
        <v>5.0642999999999994E-2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63999391.827036642</v>
      </c>
      <c r="D61" s="11">
        <v>5.1200000000000004E-3</v>
      </c>
      <c r="E61" s="10">
        <f t="shared" si="2"/>
        <v>326007.72659426928</v>
      </c>
      <c r="F61" s="3"/>
      <c r="G61" s="26">
        <v>5.7</v>
      </c>
      <c r="H61" s="10"/>
      <c r="I61" s="10">
        <f t="shared" si="8"/>
        <v>5126.3117581738588</v>
      </c>
      <c r="J61" s="10">
        <f t="shared" si="6"/>
        <v>328080834838.91388</v>
      </c>
      <c r="K61" s="11">
        <f t="shared" si="7"/>
        <v>6.2411839999999996E-2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63673384.100442372</v>
      </c>
      <c r="D62" s="11">
        <v>6.1199999999999996E-3</v>
      </c>
      <c r="E62" s="10">
        <f t="shared" si="2"/>
        <v>387310.76878970861</v>
      </c>
      <c r="F62" s="3"/>
      <c r="G62" s="26">
        <v>8.4</v>
      </c>
      <c r="H62" s="10"/>
      <c r="I62" s="10">
        <f t="shared" si="8"/>
        <v>4849.8692130310874</v>
      </c>
      <c r="J62" s="10">
        <f t="shared" si="6"/>
        <v>308807585238.23859</v>
      </c>
      <c r="K62" s="11">
        <f t="shared" si="7"/>
        <v>9.0634079999999839E-2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63286073.331652664</v>
      </c>
      <c r="D63" s="11">
        <v>6.3200000000000001E-3</v>
      </c>
      <c r="E63" s="10">
        <f t="shared" si="2"/>
        <v>397456.06114958227</v>
      </c>
      <c r="F63" s="3"/>
      <c r="G63" s="26">
        <v>11</v>
      </c>
      <c r="H63" s="10"/>
      <c r="I63" s="10">
        <f t="shared" si="8"/>
        <v>4474.0490895120729</v>
      </c>
      <c r="J63" s="10">
        <f t="shared" si="6"/>
        <v>283144998768.2749</v>
      </c>
      <c r="K63" s="11">
        <f t="shared" si="7"/>
        <v>0.11701520000000021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62888617.270503081</v>
      </c>
      <c r="D64" s="11">
        <v>1.1390000000000001E-2</v>
      </c>
      <c r="E64" s="10">
        <f t="shared" si="2"/>
        <v>708234.55908307433</v>
      </c>
      <c r="F64" s="3"/>
      <c r="G64" s="26">
        <v>7.5</v>
      </c>
      <c r="H64" s="10"/>
      <c r="I64" s="10">
        <f t="shared" si="8"/>
        <v>4030.6748554162814</v>
      </c>
      <c r="J64" s="10">
        <f t="shared" si="6"/>
        <v>253483568324.11487</v>
      </c>
      <c r="K64" s="11">
        <f t="shared" si="7"/>
        <v>8.7244249999999912E-2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62180382.711420007</v>
      </c>
      <c r="D65" s="11">
        <v>5.2100000000000002E-3</v>
      </c>
      <c r="E65" s="10">
        <f t="shared" si="2"/>
        <v>322280.7114199996</v>
      </c>
      <c r="F65" s="3"/>
      <c r="G65" s="26">
        <v>18.899999999999999</v>
      </c>
      <c r="H65" s="10"/>
      <c r="I65" s="10">
        <f t="shared" si="8"/>
        <v>3749.4649817825875</v>
      </c>
      <c r="J65" s="10">
        <f t="shared" si="6"/>
        <v>233143167530.30875</v>
      </c>
      <c r="K65" s="11">
        <f t="shared" si="7"/>
        <v>0.19519469000000012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61858102.000000007</v>
      </c>
      <c r="D66" s="11">
        <v>6.1500000000000001E-3</v>
      </c>
      <c r="E66" s="10">
        <f t="shared" si="2"/>
        <v>378102.00000000745</v>
      </c>
      <c r="F66" s="23">
        <f>SUM(F2)</f>
        <v>81313729</v>
      </c>
      <c r="G66" s="26">
        <v>8.6999999999999993</v>
      </c>
      <c r="H66" s="10"/>
      <c r="I66" s="10">
        <f t="shared" si="8"/>
        <v>3153.4608761838413</v>
      </c>
      <c r="J66" s="10">
        <f t="shared" ref="J66:J67" si="9">IF(I66="","",I66*C66)</f>
        <v>195067104531.98944</v>
      </c>
      <c r="K66" s="11">
        <f t="shared" ref="K66" si="10">IFERROR(J66/J67-1,"")</f>
        <v>9.3685050000000158E-2</v>
      </c>
    </row>
    <row r="67" spans="1:11" ht="22.5" customHeight="1">
      <c r="A67" s="3">
        <f t="shared" si="0"/>
        <v>1950</v>
      </c>
      <c r="B67" s="3">
        <v>1700</v>
      </c>
      <c r="C67" s="10">
        <v>61480000</v>
      </c>
      <c r="D67" s="11">
        <v>9.3399999999999993E-3</v>
      </c>
      <c r="E67" s="3" t="s">
        <v>72</v>
      </c>
      <c r="F67" s="10">
        <f>SUM(C2)</f>
        <v>81317223.036466882</v>
      </c>
      <c r="G67" s="26">
        <v>9.1999999999999993</v>
      </c>
      <c r="H67" s="10"/>
      <c r="I67" s="10">
        <f t="shared" ref="I67" si="11">IF(H67&lt;&gt;"",H67,I66/(1+IF(G66="",0,G66)/100))</f>
        <v>2901.067963370599</v>
      </c>
      <c r="J67" s="10">
        <f t="shared" si="9"/>
        <v>178357658388.02441</v>
      </c>
      <c r="K67" s="11"/>
    </row>
  </sheetData>
  <dataValidations count="1">
    <dataValidation type="custom" allowBlank="1" showDropDown="1" sqref="D2:D67" xr:uid="{00000000-0002-0000-5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M70"/>
  <sheetViews>
    <sheetView workbookViewId="0">
      <selection activeCell="H16" sqref="H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18994488.841943882</v>
      </c>
      <c r="D2" s="11">
        <v>2.82E-3</v>
      </c>
      <c r="E2" s="10">
        <f t="shared" ref="E2:E66" si="2">SUM(C2-C3)</f>
        <v>53413.83152937144</v>
      </c>
      <c r="F2" s="14">
        <v>18995781</v>
      </c>
      <c r="G2" s="26">
        <v>3.16</v>
      </c>
      <c r="H2" s="10"/>
      <c r="I2" s="10">
        <f>IF(H2&lt;&gt;"",H2,51744)</f>
        <v>6468</v>
      </c>
      <c r="J2" s="10">
        <f t="shared" ref="J2:J33" si="3">IF(I2="","",I2*C2)</f>
        <v>122856353829.69304</v>
      </c>
      <c r="K2" s="11">
        <f t="shared" ref="K2:K33" si="4">IFERROR(J2/J3-1,"")</f>
        <v>3.4509112000000286E-2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18941075.010414511</v>
      </c>
      <c r="D3" s="11">
        <v>3.7699999999999999E-3</v>
      </c>
      <c r="E3" s="10">
        <f t="shared" si="2"/>
        <v>71139.656285069883</v>
      </c>
      <c r="F3" s="3"/>
      <c r="G3" s="26">
        <v>4.12</v>
      </c>
      <c r="H3" s="10"/>
      <c r="I3" s="10">
        <f t="shared" ref="I3:I34" si="5">IF(H3&lt;&gt;"",H3,I2/(1+IF(G2="",0,G2)/100))</f>
        <v>6269.8720434276847</v>
      </c>
      <c r="J3" s="10">
        <f t="shared" si="3"/>
        <v>118758116680.26468</v>
      </c>
      <c r="K3" s="11">
        <f t="shared" si="4"/>
        <v>4.5125324000000022E-2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18869935.354129441</v>
      </c>
      <c r="D4" s="11">
        <v>4.5300000000000002E-3</v>
      </c>
      <c r="E4" s="10">
        <f t="shared" si="2"/>
        <v>85095.325330458581</v>
      </c>
      <c r="F4" s="3"/>
      <c r="G4" s="26">
        <v>0.28000000000000003</v>
      </c>
      <c r="H4" s="10"/>
      <c r="I4" s="10">
        <f t="shared" si="5"/>
        <v>6021.7749168533282</v>
      </c>
      <c r="J4" s="10">
        <f t="shared" si="3"/>
        <v>113630503398.14049</v>
      </c>
      <c r="K4" s="11">
        <f t="shared" si="4"/>
        <v>7.3426839999997107E-3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18784840.028798983</v>
      </c>
      <c r="D5" s="11">
        <v>4.7099999999999998E-3</v>
      </c>
      <c r="E5" s="10">
        <f t="shared" si="2"/>
        <v>88061.825338300318</v>
      </c>
      <c r="F5" s="3"/>
      <c r="G5" s="26">
        <v>1.9</v>
      </c>
      <c r="H5" s="10"/>
      <c r="I5" s="10">
        <f t="shared" si="5"/>
        <v>6004.9610259805831</v>
      </c>
      <c r="J5" s="10">
        <f t="shared" si="3"/>
        <v>112802232252.21786</v>
      </c>
      <c r="K5" s="11">
        <f t="shared" si="4"/>
        <v>2.3799489999999812E-2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18696778.203460682</v>
      </c>
      <c r="D6" s="11">
        <v>4.8199999999999996E-3</v>
      </c>
      <c r="E6" s="10">
        <f t="shared" si="2"/>
        <v>89686.183536037803</v>
      </c>
      <c r="F6" s="3"/>
      <c r="G6" s="26">
        <v>4.5</v>
      </c>
      <c r="H6" s="10"/>
      <c r="I6" s="10">
        <f t="shared" si="5"/>
        <v>5892.9941373705433</v>
      </c>
      <c r="J6" s="10">
        <f t="shared" si="3"/>
        <v>110180004340.71117</v>
      </c>
      <c r="K6" s="11">
        <f t="shared" si="4"/>
        <v>5.0036900000000051E-2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18607092.019924644</v>
      </c>
      <c r="D7" s="11">
        <v>4.4400000000000004E-3</v>
      </c>
      <c r="E7" s="10">
        <f t="shared" si="2"/>
        <v>82250.297248680145</v>
      </c>
      <c r="F7" s="3"/>
      <c r="G7" s="26">
        <v>-3.91</v>
      </c>
      <c r="H7" s="10"/>
      <c r="I7" s="10">
        <f t="shared" si="5"/>
        <v>5639.2288395890373</v>
      </c>
      <c r="J7" s="10">
        <f t="shared" si="3"/>
        <v>104929649939.64609</v>
      </c>
      <c r="K7" s="11">
        <f t="shared" si="4"/>
        <v>-3.4833604000000129E-2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18524841.722675964</v>
      </c>
      <c r="D8" s="11">
        <v>4.7099999999999998E-3</v>
      </c>
      <c r="E8" s="10">
        <f t="shared" si="2"/>
        <v>86842.97410576418</v>
      </c>
      <c r="F8" s="3"/>
      <c r="G8" s="26">
        <v>-5.52</v>
      </c>
      <c r="H8" s="10"/>
      <c r="I8" s="10">
        <f t="shared" si="5"/>
        <v>5868.6948065241313</v>
      </c>
      <c r="J8" s="10">
        <f t="shared" si="3"/>
        <v>108716642409.54997</v>
      </c>
      <c r="K8" s="11">
        <f t="shared" si="4"/>
        <v>-5.0749992000000077E-2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18437998.7485702</v>
      </c>
      <c r="D9" s="11">
        <v>4.8599999999999997E-3</v>
      </c>
      <c r="E9" s="10">
        <f t="shared" si="2"/>
        <v>89175.282047301531</v>
      </c>
      <c r="F9" s="3"/>
      <c r="G9" s="26">
        <v>9.31</v>
      </c>
      <c r="H9" s="10"/>
      <c r="I9" s="10">
        <f t="shared" si="5"/>
        <v>6211.573673289724</v>
      </c>
      <c r="J9" s="10">
        <f t="shared" si="3"/>
        <v>114528987614.76753</v>
      </c>
      <c r="K9" s="11">
        <f t="shared" si="4"/>
        <v>9.8412465999999865E-2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18348823.466522899</v>
      </c>
      <c r="D10" s="11">
        <v>4.45E-3</v>
      </c>
      <c r="E10" s="10">
        <f t="shared" si="2"/>
        <v>81290.521604888141</v>
      </c>
      <c r="F10" s="3"/>
      <c r="G10" s="26">
        <v>7.23</v>
      </c>
      <c r="H10" s="10"/>
      <c r="I10" s="10">
        <f t="shared" si="5"/>
        <v>5682.5301191928684</v>
      </c>
      <c r="J10" s="10">
        <f t="shared" si="3"/>
        <v>104267742000.26927</v>
      </c>
      <c r="K10" s="11">
        <f t="shared" si="4"/>
        <v>7.7071735000000308E-2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18267532.94491801</v>
      </c>
      <c r="D11" s="11">
        <v>4.0600000000000002E-3</v>
      </c>
      <c r="E11" s="10">
        <f t="shared" si="2"/>
        <v>73866.286632638425</v>
      </c>
      <c r="F11" s="3"/>
      <c r="G11" s="26">
        <v>8.0299999999999994</v>
      </c>
      <c r="H11" s="10"/>
      <c r="I11" s="10">
        <f t="shared" si="5"/>
        <v>5299.3846117624435</v>
      </c>
      <c r="J11" s="10">
        <f t="shared" si="3"/>
        <v>96806682983.161972</v>
      </c>
      <c r="K11" s="11">
        <f t="shared" si="4"/>
        <v>8.4686017999999974E-2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18193666.658285372</v>
      </c>
      <c r="D12" s="11">
        <v>3.6099999999999999E-3</v>
      </c>
      <c r="E12" s="10">
        <f t="shared" si="2"/>
        <v>65442.887811407447</v>
      </c>
      <c r="F12" s="3"/>
      <c r="G12" s="26">
        <v>4.67</v>
      </c>
      <c r="H12" s="10"/>
      <c r="I12" s="10">
        <f t="shared" si="5"/>
        <v>4905.4749715472026</v>
      </c>
      <c r="J12" s="10">
        <f t="shared" si="3"/>
        <v>89248576432.891724</v>
      </c>
      <c r="K12" s="11">
        <f t="shared" si="4"/>
        <v>5.0478586999999742E-2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18128223.770473965</v>
      </c>
      <c r="D13" s="11">
        <v>3.2399999999999998E-3</v>
      </c>
      <c r="E13" s="10">
        <f t="shared" si="2"/>
        <v>58545.756764415652</v>
      </c>
      <c r="F13" s="3"/>
      <c r="G13" s="26">
        <v>10.43</v>
      </c>
      <c r="H13" s="10"/>
      <c r="I13" s="10">
        <f t="shared" si="5"/>
        <v>4686.6102718517268</v>
      </c>
      <c r="J13" s="10">
        <f t="shared" si="3"/>
        <v>84959919733.129929</v>
      </c>
      <c r="K13" s="11">
        <f t="shared" si="4"/>
        <v>0.10787793200000007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18069678.013709549</v>
      </c>
      <c r="D14" s="11">
        <v>2.5799999999999998E-3</v>
      </c>
      <c r="E14" s="10">
        <f t="shared" si="2"/>
        <v>46499.799791909754</v>
      </c>
      <c r="F14" s="3"/>
      <c r="G14" s="26">
        <v>2.34</v>
      </c>
      <c r="H14" s="10"/>
      <c r="I14" s="10">
        <f t="shared" si="5"/>
        <v>4243.9647485753203</v>
      </c>
      <c r="J14" s="10">
        <f t="shared" si="3"/>
        <v>76687076508.289841</v>
      </c>
      <c r="K14" s="11">
        <f t="shared" si="4"/>
        <v>2.6040372000000422E-2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18023178.213917639</v>
      </c>
      <c r="D15" s="11">
        <v>2.1900000000000001E-3</v>
      </c>
      <c r="E15" s="10">
        <f t="shared" si="2"/>
        <v>39384.508215487003</v>
      </c>
      <c r="F15" s="3"/>
      <c r="G15" s="26">
        <v>5.7</v>
      </c>
      <c r="H15" s="10"/>
      <c r="I15" s="10">
        <f t="shared" si="5"/>
        <v>4146.9266646231381</v>
      </c>
      <c r="J15" s="10">
        <f t="shared" si="3"/>
        <v>74740798316.549881</v>
      </c>
      <c r="K15" s="11">
        <f t="shared" si="4"/>
        <v>5.931482999999993E-2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17983793.705702152</v>
      </c>
      <c r="D16" s="11">
        <v>2.66E-3</v>
      </c>
      <c r="E16" s="10">
        <f t="shared" si="2"/>
        <v>47709.982703179121</v>
      </c>
      <c r="F16" s="3"/>
      <c r="G16" s="26">
        <v>5.22</v>
      </c>
      <c r="H16" s="10"/>
      <c r="I16" s="10">
        <f t="shared" si="5"/>
        <v>3923.298642027567</v>
      </c>
      <c r="J16" s="10">
        <f t="shared" si="3"/>
        <v>70555793424.085159</v>
      </c>
      <c r="K16" s="11">
        <f t="shared" si="4"/>
        <v>5.4998852000000209E-2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17936083.722998973</v>
      </c>
      <c r="D17" s="11">
        <v>1.8799999999999999E-3</v>
      </c>
      <c r="E17" s="10">
        <f t="shared" si="2"/>
        <v>33656.563060685992</v>
      </c>
      <c r="F17" s="3"/>
      <c r="G17" s="26">
        <v>2.46</v>
      </c>
      <c r="H17" s="10"/>
      <c r="I17" s="10">
        <f t="shared" si="5"/>
        <v>3728.6624615354181</v>
      </c>
      <c r="J17" s="10">
        <f t="shared" si="3"/>
        <v>66877602084.902695</v>
      </c>
      <c r="K17" s="11">
        <f t="shared" si="4"/>
        <v>2.6526248000000141E-2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17902427.159938287</v>
      </c>
      <c r="D18" s="11">
        <v>2.2499999999999998E-3</v>
      </c>
      <c r="E18" s="10">
        <f t="shared" si="2"/>
        <v>40190.033534411341</v>
      </c>
      <c r="F18" s="3"/>
      <c r="G18" s="26">
        <v>-0.38</v>
      </c>
      <c r="H18" s="10"/>
      <c r="I18" s="10">
        <f t="shared" si="5"/>
        <v>3639.1396267181517</v>
      </c>
      <c r="J18" s="10">
        <f t="shared" si="3"/>
        <v>65149432092.166718</v>
      </c>
      <c r="K18" s="11">
        <f t="shared" si="4"/>
        <v>-1.5585499999999364E-3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17862237.126403876</v>
      </c>
      <c r="D19" s="11">
        <v>2.3900000000000002E-3</v>
      </c>
      <c r="E19" s="10">
        <f t="shared" si="2"/>
        <v>42588.959119807929</v>
      </c>
      <c r="F19" s="3"/>
      <c r="G19" s="26">
        <v>-2.0299999999999998</v>
      </c>
      <c r="H19" s="10"/>
      <c r="I19" s="10">
        <f t="shared" si="5"/>
        <v>3653.0211069244647</v>
      </c>
      <c r="J19" s="10">
        <f t="shared" si="3"/>
        <v>65251129239.643158</v>
      </c>
      <c r="K19" s="11">
        <f t="shared" si="4"/>
        <v>-1.7958516999999952E-2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17819648.167284068</v>
      </c>
      <c r="D20" s="11">
        <v>2.8999999999999998E-3</v>
      </c>
      <c r="E20" s="10">
        <f t="shared" si="2"/>
        <v>51527.549790728837</v>
      </c>
      <c r="F20" s="3"/>
      <c r="G20" s="26">
        <v>-4.8499999999999996</v>
      </c>
      <c r="H20" s="10"/>
      <c r="I20" s="10">
        <f t="shared" si="5"/>
        <v>3728.7140011477641</v>
      </c>
      <c r="J20" s="10">
        <f t="shared" si="3"/>
        <v>66444371616.879196</v>
      </c>
      <c r="K20" s="11">
        <f t="shared" si="4"/>
        <v>-4.5740650000000049E-2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17768120.617493339</v>
      </c>
      <c r="D21" s="11">
        <v>3.0200000000000001E-3</v>
      </c>
      <c r="E21" s="10">
        <f t="shared" si="2"/>
        <v>53498.159822165966</v>
      </c>
      <c r="F21" s="3"/>
      <c r="G21" s="26">
        <v>3.91</v>
      </c>
      <c r="H21" s="10"/>
      <c r="I21" s="10">
        <f t="shared" si="5"/>
        <v>3918.7745676802565</v>
      </c>
      <c r="J21" s="10">
        <f t="shared" si="3"/>
        <v>69629259191.308105</v>
      </c>
      <c r="K21" s="11">
        <f t="shared" si="4"/>
        <v>4.2238081999999677E-2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17714622.457671173</v>
      </c>
      <c r="D22" s="11">
        <v>3.5400000000000002E-3</v>
      </c>
      <c r="E22" s="10">
        <f t="shared" si="2"/>
        <v>62488.554018929601</v>
      </c>
      <c r="F22" s="3"/>
      <c r="G22" s="26">
        <v>6.23</v>
      </c>
      <c r="H22" s="10"/>
      <c r="I22" s="10">
        <f t="shared" si="5"/>
        <v>3771.3161078628204</v>
      </c>
      <c r="J22" s="10">
        <f t="shared" si="3"/>
        <v>66807441019.323761</v>
      </c>
      <c r="K22" s="11">
        <f t="shared" si="4"/>
        <v>6.6060542E-2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17652133.903652243</v>
      </c>
      <c r="D23" s="11">
        <v>4.0899999999999999E-3</v>
      </c>
      <c r="E23" s="10">
        <f t="shared" si="2"/>
        <v>71903.143807761371</v>
      </c>
      <c r="F23" s="3"/>
      <c r="G23" s="26">
        <v>3.93</v>
      </c>
      <c r="H23" s="10"/>
      <c r="I23" s="10">
        <f t="shared" si="5"/>
        <v>3550.142245940714</v>
      </c>
      <c r="J23" s="10">
        <f t="shared" si="3"/>
        <v>62667586302.3582</v>
      </c>
      <c r="K23" s="11">
        <f t="shared" si="4"/>
        <v>4.3550736999999673E-2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17580230.759844482</v>
      </c>
      <c r="D24" s="11">
        <v>4.5199999999999997E-3</v>
      </c>
      <c r="E24" s="10">
        <f t="shared" si="2"/>
        <v>79105.088036574423</v>
      </c>
      <c r="F24" s="3"/>
      <c r="G24" s="26">
        <v>1.53</v>
      </c>
      <c r="H24" s="10"/>
      <c r="I24" s="10">
        <f t="shared" si="5"/>
        <v>3415.8974751666647</v>
      </c>
      <c r="J24" s="10">
        <f t="shared" si="3"/>
        <v>60052265865.400101</v>
      </c>
      <c r="K24" s="11">
        <f t="shared" si="4"/>
        <v>1.9889156000000296E-2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17501125.671807908</v>
      </c>
      <c r="D25" s="11">
        <v>5.1500000000000001E-3</v>
      </c>
      <c r="E25" s="10">
        <f t="shared" si="2"/>
        <v>89669.001850280911</v>
      </c>
      <c r="F25" s="3"/>
      <c r="G25" s="26">
        <v>-0.65</v>
      </c>
      <c r="H25" s="10"/>
      <c r="I25" s="10">
        <f t="shared" si="5"/>
        <v>3364.4218213007625</v>
      </c>
      <c r="J25" s="10">
        <f t="shared" si="3"/>
        <v>58881169107.557495</v>
      </c>
      <c r="K25" s="11">
        <f t="shared" si="4"/>
        <v>-1.3834749999999119E-3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17411456.669957627</v>
      </c>
      <c r="D26" s="11">
        <v>6.0899999999999999E-3</v>
      </c>
      <c r="E26" s="10">
        <f t="shared" si="2"/>
        <v>105393.92213424295</v>
      </c>
      <c r="F26" s="3"/>
      <c r="G26" s="26">
        <v>-1.77</v>
      </c>
      <c r="H26" s="10"/>
      <c r="I26" s="10">
        <f t="shared" si="5"/>
        <v>3386.4336399605058</v>
      </c>
      <c r="J26" s="10">
        <f t="shared" si="3"/>
        <v>58962742587.85923</v>
      </c>
      <c r="K26" s="11">
        <f t="shared" si="4"/>
        <v>-1.1717793000000198E-2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17306062.747823384</v>
      </c>
      <c r="D27" s="11">
        <v>4.8199999999999996E-3</v>
      </c>
      <c r="E27" s="10">
        <f t="shared" si="2"/>
        <v>83015.089712098241</v>
      </c>
      <c r="F27" s="3"/>
      <c r="G27" s="26">
        <v>-12.92</v>
      </c>
      <c r="H27" s="10"/>
      <c r="I27" s="10">
        <f t="shared" si="5"/>
        <v>3447.4535681161619</v>
      </c>
      <c r="J27" s="10">
        <f t="shared" si="3"/>
        <v>59661847770.025917</v>
      </c>
      <c r="K27" s="11">
        <f t="shared" si="4"/>
        <v>-0.12500274399999978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17223047.658111285</v>
      </c>
      <c r="D28" s="11">
        <v>4.0400000000000002E-3</v>
      </c>
      <c r="E28" s="10">
        <f t="shared" si="2"/>
        <v>69301.135949533433</v>
      </c>
      <c r="F28" s="3"/>
      <c r="G28" s="26">
        <v>-0.77</v>
      </c>
      <c r="H28" s="10"/>
      <c r="I28" s="10">
        <f t="shared" si="5"/>
        <v>3958.9498944834195</v>
      </c>
      <c r="J28" s="10">
        <f t="shared" si="3"/>
        <v>68185182708.762581</v>
      </c>
      <c r="K28" s="11">
        <f t="shared" si="4"/>
        <v>-3.691108000000054E-3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17153746.522161752</v>
      </c>
      <c r="D29" s="11">
        <v>3.1800000000000001E-3</v>
      </c>
      <c r="E29" s="10">
        <f t="shared" si="2"/>
        <v>54375.998265989125</v>
      </c>
      <c r="F29" s="3"/>
      <c r="G29" s="26">
        <v>1.77</v>
      </c>
      <c r="H29" s="10"/>
      <c r="I29" s="10">
        <f t="shared" si="5"/>
        <v>3989.6703562263629</v>
      </c>
      <c r="J29" s="10">
        <f t="shared" si="3"/>
        <v>68437793997.689812</v>
      </c>
      <c r="K29" s="11">
        <f t="shared" si="4"/>
        <v>2.0936286000000193E-2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17099370.523895763</v>
      </c>
      <c r="D30" s="11">
        <v>2.63E-3</v>
      </c>
      <c r="E30" s="10">
        <f t="shared" si="2"/>
        <v>44853.380088213831</v>
      </c>
      <c r="F30" s="3"/>
      <c r="G30" s="26">
        <v>2.71</v>
      </c>
      <c r="H30" s="10"/>
      <c r="I30" s="10">
        <f t="shared" si="5"/>
        <v>3920.2813758734032</v>
      </c>
      <c r="J30" s="10">
        <f t="shared" si="3"/>
        <v>67034343803.987198</v>
      </c>
      <c r="K30" s="11">
        <f t="shared" si="4"/>
        <v>2.9801272999999906E-2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17054517.143807549</v>
      </c>
      <c r="D31" s="11">
        <v>3.0500000000000002E-3</v>
      </c>
      <c r="E31" s="10">
        <f t="shared" si="2"/>
        <v>51858.11005295068</v>
      </c>
      <c r="F31" s="3"/>
      <c r="G31" s="26">
        <v>-4.8</v>
      </c>
      <c r="H31" s="10"/>
      <c r="I31" s="10">
        <f t="shared" si="5"/>
        <v>3816.8448796352873</v>
      </c>
      <c r="J31" s="10">
        <f t="shared" si="3"/>
        <v>65094446434.994064</v>
      </c>
      <c r="K31" s="11">
        <f t="shared" si="4"/>
        <v>-4.5096400000000147E-2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17002659.033754598</v>
      </c>
      <c r="D32" s="11">
        <v>3.46E-3</v>
      </c>
      <c r="E32" s="10">
        <f t="shared" si="2"/>
        <v>58626.3530751504</v>
      </c>
      <c r="F32" s="3"/>
      <c r="G32" s="26">
        <v>2.61</v>
      </c>
      <c r="H32" s="10"/>
      <c r="I32" s="10">
        <f t="shared" si="5"/>
        <v>4009.2908399530329</v>
      </c>
      <c r="J32" s="10">
        <f t="shared" si="3"/>
        <v>68168605118.876999</v>
      </c>
      <c r="K32" s="11">
        <f t="shared" si="4"/>
        <v>2.965030599999996E-2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16944032.680679448</v>
      </c>
      <c r="D33" s="11">
        <v>4.8900000000000002E-3</v>
      </c>
      <c r="E33" s="10">
        <f t="shared" si="2"/>
        <v>82453.124032005668</v>
      </c>
      <c r="F33" s="3"/>
      <c r="G33" s="26">
        <v>5.49</v>
      </c>
      <c r="H33" s="10"/>
      <c r="I33" s="10">
        <f t="shared" si="5"/>
        <v>3907.3100477078578</v>
      </c>
      <c r="J33" s="10">
        <f t="shared" si="3"/>
        <v>66205589141.909119</v>
      </c>
      <c r="K33" s="11">
        <f t="shared" si="4"/>
        <v>6.0058460999999896E-2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16861579.556647442</v>
      </c>
      <c r="D34" s="11">
        <v>5.7999999999999996E-3</v>
      </c>
      <c r="E34" s="10">
        <f t="shared" si="2"/>
        <v>97233.208817414939</v>
      </c>
      <c r="F34" s="3"/>
      <c r="G34" s="26">
        <v>5.32</v>
      </c>
      <c r="H34" s="10"/>
      <c r="I34" s="10">
        <f t="shared" si="5"/>
        <v>3703.9625061217725</v>
      </c>
      <c r="J34" s="10">
        <f t="shared" ref="J34:J65" si="6">IF(I34="","",I34*C34)</f>
        <v>62454658471.811508</v>
      </c>
      <c r="K34" s="11">
        <f t="shared" ref="K34:K65" si="7">IFERROR(J34/J35-1,"")</f>
        <v>7.2383960000000247E-2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16764346.347830027</v>
      </c>
      <c r="D35" s="11">
        <v>6.1399999999999996E-3</v>
      </c>
      <c r="E35" s="10">
        <f t="shared" si="2"/>
        <v>102304.93427920341</v>
      </c>
      <c r="F35" s="3"/>
      <c r="G35" s="26">
        <v>3.68</v>
      </c>
      <c r="H35" s="10"/>
      <c r="I35" s="10">
        <f t="shared" ref="I35:I66" si="8">IF(H35&lt;&gt;"",H35,I34/(1+IF(G34="",0,G34)/100))</f>
        <v>3473.9847178032005</v>
      </c>
      <c r="J35" s="10">
        <f t="shared" si="6"/>
        <v>58239083016.321411</v>
      </c>
      <c r="K35" s="11">
        <f t="shared" si="7"/>
        <v>7.0331732000000091E-2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16662041.413550824</v>
      </c>
      <c r="D36" s="11">
        <v>5.0899999999999999E-3</v>
      </c>
      <c r="E36" s="10">
        <f t="shared" si="2"/>
        <v>84380.295092951506</v>
      </c>
      <c r="F36" s="3"/>
      <c r="G36" s="26">
        <v>-3.06</v>
      </c>
      <c r="H36" s="10"/>
      <c r="I36" s="10">
        <f t="shared" si="8"/>
        <v>3265.6370725730403</v>
      </c>
      <c r="J36" s="10">
        <f t="shared" si="6"/>
        <v>54412180144.838875</v>
      </c>
      <c r="K36" s="11">
        <f t="shared" si="7"/>
        <v>2.2578566000000189E-2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16577661.118457872</v>
      </c>
      <c r="D37" s="11">
        <v>3.46E-3</v>
      </c>
      <c r="E37" s="10">
        <f t="shared" si="2"/>
        <v>57160.93064981699</v>
      </c>
      <c r="F37" s="3"/>
      <c r="G37" s="26">
        <v>-5.6</v>
      </c>
      <c r="H37" s="10"/>
      <c r="I37" s="10">
        <f t="shared" si="8"/>
        <v>3209.7867825565559</v>
      </c>
      <c r="J37" s="10">
        <f t="shared" si="6"/>
        <v>53210757543.727806</v>
      </c>
      <c r="K37" s="11">
        <f t="shared" si="7"/>
        <v>4.4962000000015045E-4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16520500.187808055</v>
      </c>
      <c r="D38" s="11">
        <v>2.7799999999999999E-3</v>
      </c>
      <c r="E38" s="10">
        <f t="shared" si="2"/>
        <v>45799.667446603999</v>
      </c>
      <c r="F38" s="3"/>
      <c r="G38" s="26">
        <v>-2.19</v>
      </c>
      <c r="H38" s="10"/>
      <c r="I38" s="10">
        <f t="shared" si="8"/>
        <v>3219.4451179102866</v>
      </c>
      <c r="J38" s="10">
        <f t="shared" si="6"/>
        <v>53186843675.074615</v>
      </c>
      <c r="K38" s="11">
        <f t="shared" si="7"/>
        <v>1.7921977999999728E-2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16474700.520361451</v>
      </c>
      <c r="D39" s="11">
        <v>2.3400000000000001E-3</v>
      </c>
      <c r="E39" s="10">
        <f t="shared" si="2"/>
        <v>38460.800943437964</v>
      </c>
      <c r="F39" s="3"/>
      <c r="G39" s="26">
        <v>2.92</v>
      </c>
      <c r="H39" s="10"/>
      <c r="I39" s="10">
        <f t="shared" si="8"/>
        <v>3171.5546428039474</v>
      </c>
      <c r="J39" s="10">
        <f t="shared" si="6"/>
        <v>52250412924.156967</v>
      </c>
      <c r="K39" s="11">
        <f t="shared" si="7"/>
        <v>3.1608327999999908E-2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16436239.719418013</v>
      </c>
      <c r="D40" s="11">
        <v>3.4199999999999999E-3</v>
      </c>
      <c r="E40" s="10">
        <f t="shared" si="2"/>
        <v>56020.350242579356</v>
      </c>
      <c r="F40" s="3"/>
      <c r="G40" s="26">
        <v>4.01</v>
      </c>
      <c r="H40" s="10"/>
      <c r="I40" s="10">
        <f t="shared" si="8"/>
        <v>3081.5727193975395</v>
      </c>
      <c r="J40" s="10">
        <f t="shared" si="6"/>
        <v>50649467928.836823</v>
      </c>
      <c r="K40" s="11">
        <f t="shared" si="7"/>
        <v>4.365714200000026E-2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16380219.369175434</v>
      </c>
      <c r="D41" s="11">
        <v>2.1800000000000001E-3</v>
      </c>
      <c r="E41" s="10">
        <f t="shared" si="2"/>
        <v>35631.202203998342</v>
      </c>
      <c r="F41" s="3"/>
      <c r="G41" s="26">
        <v>1.38</v>
      </c>
      <c r="H41" s="10"/>
      <c r="I41" s="10">
        <f t="shared" si="8"/>
        <v>2962.7658104004799</v>
      </c>
      <c r="J41" s="10">
        <f t="shared" si="6"/>
        <v>48530753913.852692</v>
      </c>
      <c r="K41" s="11">
        <f t="shared" si="7"/>
        <v>1.6010084000000147E-2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16344588.166971436</v>
      </c>
      <c r="D42" s="11">
        <v>3.8300000000000001E-3</v>
      </c>
      <c r="E42" s="10">
        <f t="shared" si="2"/>
        <v>62360.930316388607</v>
      </c>
      <c r="F42" s="3"/>
      <c r="G42" s="26">
        <v>-0.39</v>
      </c>
      <c r="H42" s="10"/>
      <c r="I42" s="10">
        <f t="shared" si="8"/>
        <v>2922.4361909651607</v>
      </c>
      <c r="J42" s="10">
        <f t="shared" si="6"/>
        <v>47766015985.578239</v>
      </c>
      <c r="K42" s="11">
        <f t="shared" si="7"/>
        <v>-8.4937000000118168E-5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16282227.236655047</v>
      </c>
      <c r="D43" s="11">
        <v>5.0299999999999997E-3</v>
      </c>
      <c r="E43" s="10">
        <f t="shared" si="2"/>
        <v>81489.709760282189</v>
      </c>
      <c r="F43" s="3"/>
      <c r="G43" s="26">
        <v>-0.6</v>
      </c>
      <c r="H43" s="10"/>
      <c r="I43" s="10">
        <f t="shared" si="8"/>
        <v>2933.8783163991175</v>
      </c>
      <c r="J43" s="10">
        <f t="shared" si="6"/>
        <v>47770073432.305367</v>
      </c>
      <c r="K43" s="11">
        <f t="shared" si="7"/>
        <v>-1.0001799999997951E-3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16200737.526894765</v>
      </c>
      <c r="D44" s="11">
        <v>5.4200000000000003E-3</v>
      </c>
      <c r="E44" s="10">
        <f t="shared" si="2"/>
        <v>87334.643627310172</v>
      </c>
      <c r="F44" s="3"/>
      <c r="G44" s="26">
        <v>4.17</v>
      </c>
      <c r="H44" s="10"/>
      <c r="I44" s="10">
        <f t="shared" si="8"/>
        <v>2951.5878434598767</v>
      </c>
      <c r="J44" s="10">
        <f t="shared" si="6"/>
        <v>47817899939.466812</v>
      </c>
      <c r="K44" s="11">
        <f t="shared" si="7"/>
        <v>4.7346013999999936E-2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16113402.883267455</v>
      </c>
      <c r="D45" s="11">
        <v>5.9100000000000003E-3</v>
      </c>
      <c r="E45" s="10">
        <f t="shared" si="2"/>
        <v>94670.707160791382</v>
      </c>
      <c r="F45" s="3"/>
      <c r="G45" s="26">
        <v>6.22</v>
      </c>
      <c r="H45" s="10"/>
      <c r="I45" s="10">
        <f t="shared" si="8"/>
        <v>2833.4336598443665</v>
      </c>
      <c r="J45" s="10">
        <f t="shared" si="6"/>
        <v>45656258104.083275</v>
      </c>
      <c r="K45" s="11">
        <f t="shared" si="7"/>
        <v>6.8477601999999971E-2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16018732.176106663</v>
      </c>
      <c r="D46" s="11">
        <v>5.94E-3</v>
      </c>
      <c r="E46" s="10">
        <f t="shared" si="2"/>
        <v>94589.408042302355</v>
      </c>
      <c r="F46" s="3"/>
      <c r="G46" s="26">
        <v>2.91</v>
      </c>
      <c r="H46" s="10"/>
      <c r="I46" s="10">
        <f t="shared" si="8"/>
        <v>2667.5142721185903</v>
      </c>
      <c r="J46" s="10">
        <f t="shared" si="6"/>
        <v>42730196701.009811</v>
      </c>
      <c r="K46" s="11">
        <f t="shared" si="7"/>
        <v>3.5212854000000071E-2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15924142.768064361</v>
      </c>
      <c r="D47" s="11">
        <v>-3.4199999999999999E-3</v>
      </c>
      <c r="E47" s="10">
        <f t="shared" si="2"/>
        <v>-54647.462588833645</v>
      </c>
      <c r="F47" s="3"/>
      <c r="G47" s="26">
        <v>0.06</v>
      </c>
      <c r="H47" s="10"/>
      <c r="I47" s="10">
        <f t="shared" si="8"/>
        <v>2592.0846099685068</v>
      </c>
      <c r="J47" s="10">
        <f t="shared" si="6"/>
        <v>41276725396.040924</v>
      </c>
      <c r="K47" s="11">
        <f t="shared" si="7"/>
        <v>-2.8220520000001859E-3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15978790.230653195</v>
      </c>
      <c r="D48" s="11">
        <v>-4.28E-3</v>
      </c>
      <c r="E48" s="10">
        <f t="shared" si="2"/>
        <v>-68683.186224235222</v>
      </c>
      <c r="F48" s="3"/>
      <c r="G48" s="26">
        <v>5.62</v>
      </c>
      <c r="H48" s="10"/>
      <c r="I48" s="10">
        <f t="shared" si="8"/>
        <v>2590.5302917934309</v>
      </c>
      <c r="J48" s="10">
        <f t="shared" si="6"/>
        <v>41393540118.720047</v>
      </c>
      <c r="K48" s="11">
        <f t="shared" si="7"/>
        <v>5.167946400000023E-2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16047473.41687743</v>
      </c>
      <c r="D49" s="11">
        <v>2.8700000000000002E-3</v>
      </c>
      <c r="E49" s="10">
        <f t="shared" si="2"/>
        <v>45924.445547714829</v>
      </c>
      <c r="F49" s="3"/>
      <c r="G49" s="26">
        <v>2.84</v>
      </c>
      <c r="H49" s="10"/>
      <c r="I49" s="10">
        <f t="shared" si="8"/>
        <v>2452.6891609481449</v>
      </c>
      <c r="J49" s="10">
        <f t="shared" si="6"/>
        <v>39359464110.178764</v>
      </c>
      <c r="K49" s="11">
        <f t="shared" si="7"/>
        <v>3.135150799999975E-2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16001548.971329715</v>
      </c>
      <c r="D50" s="11">
        <v>6.1000000000000004E-3</v>
      </c>
      <c r="E50" s="10">
        <f t="shared" si="2"/>
        <v>97017.641114313155</v>
      </c>
      <c r="F50" s="3"/>
      <c r="G50" s="26">
        <v>2.42</v>
      </c>
      <c r="H50" s="10"/>
      <c r="I50" s="10">
        <f t="shared" si="8"/>
        <v>2384.956399210565</v>
      </c>
      <c r="J50" s="10">
        <f t="shared" si="6"/>
        <v>38162996616.454041</v>
      </c>
      <c r="K50" s="11">
        <f t="shared" si="7"/>
        <v>3.044762000000012E-2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15904531.330215402</v>
      </c>
      <c r="D51" s="11">
        <v>4.8700000000000002E-3</v>
      </c>
      <c r="E51" s="10">
        <f t="shared" si="2"/>
        <v>77079.689490329474</v>
      </c>
      <c r="F51" s="3"/>
      <c r="G51" s="26">
        <v>4.4400000000000004</v>
      </c>
      <c r="H51" s="10"/>
      <c r="I51" s="10">
        <f t="shared" si="8"/>
        <v>2328.604178100532</v>
      </c>
      <c r="J51" s="10">
        <f t="shared" si="6"/>
        <v>37035358106.270393</v>
      </c>
      <c r="K51" s="11">
        <f t="shared" si="7"/>
        <v>4.9486227999999688E-2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15827451.640725072</v>
      </c>
      <c r="D52" s="11">
        <v>2.6900000000000001E-3</v>
      </c>
      <c r="E52" s="10">
        <f t="shared" si="2"/>
        <v>42461.623147284612</v>
      </c>
      <c r="F52" s="3"/>
      <c r="G52" s="26">
        <v>6.05</v>
      </c>
      <c r="H52" s="10"/>
      <c r="I52" s="10">
        <f t="shared" si="8"/>
        <v>2229.6095156075567</v>
      </c>
      <c r="J52" s="10">
        <f t="shared" si="6"/>
        <v>35289036785.979057</v>
      </c>
      <c r="K52" s="11">
        <f t="shared" si="7"/>
        <v>6.3352744999999988E-2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15784990.017577788</v>
      </c>
      <c r="D53" s="11">
        <v>3.9199999999999999E-3</v>
      </c>
      <c r="E53" s="10">
        <f t="shared" si="2"/>
        <v>61635.549514805898</v>
      </c>
      <c r="F53" s="3"/>
      <c r="G53" s="26">
        <v>7.28</v>
      </c>
      <c r="H53" s="10"/>
      <c r="I53" s="10">
        <f t="shared" si="8"/>
        <v>2102.4134989227314</v>
      </c>
      <c r="J53" s="10">
        <f t="shared" si="6"/>
        <v>33186576093.316105</v>
      </c>
      <c r="K53" s="11">
        <f t="shared" si="7"/>
        <v>7.7005376000000014E-2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15723354.468062982</v>
      </c>
      <c r="D54" s="11">
        <v>7.0800000000000004E-3</v>
      </c>
      <c r="E54" s="10">
        <f t="shared" si="2"/>
        <v>110538.73538734391</v>
      </c>
      <c r="F54" s="3"/>
      <c r="G54" s="26">
        <v>7.83</v>
      </c>
      <c r="H54" s="10"/>
      <c r="I54" s="10">
        <f t="shared" si="8"/>
        <v>1959.7441265126131</v>
      </c>
      <c r="J54" s="10">
        <f t="shared" si="6"/>
        <v>30813751567.862282</v>
      </c>
      <c r="K54" s="11">
        <f t="shared" si="7"/>
        <v>8.5934364000000096E-2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15612815.732675638</v>
      </c>
      <c r="D55" s="11">
        <v>7.1900000000000002E-3</v>
      </c>
      <c r="E55" s="10">
        <f t="shared" si="2"/>
        <v>111454.7852122616</v>
      </c>
      <c r="F55" s="3"/>
      <c r="G55" s="26">
        <v>5.4</v>
      </c>
      <c r="H55" s="10"/>
      <c r="I55" s="10">
        <f t="shared" si="8"/>
        <v>1817.4386780233822</v>
      </c>
      <c r="J55" s="10">
        <f t="shared" si="6"/>
        <v>28375335185.416676</v>
      </c>
      <c r="K55" s="11">
        <f t="shared" si="7"/>
        <v>6.1578260000000107E-2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15501360.947463376</v>
      </c>
      <c r="D56" s="11">
        <v>6.6499999999999997E-3</v>
      </c>
      <c r="E56" s="10">
        <f t="shared" si="2"/>
        <v>102403.06988589093</v>
      </c>
      <c r="F56" s="3"/>
      <c r="G56" s="26">
        <v>2.59</v>
      </c>
      <c r="H56" s="10"/>
      <c r="I56" s="10">
        <f t="shared" si="8"/>
        <v>1724.3251214643094</v>
      </c>
      <c r="J56" s="10">
        <f t="shared" si="6"/>
        <v>26729386098.596889</v>
      </c>
      <c r="K56" s="11">
        <f t="shared" si="7"/>
        <v>3.2722235000000044E-2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15398957.877577486</v>
      </c>
      <c r="D57" s="11">
        <v>7.4700000000000001E-3</v>
      </c>
      <c r="E57" s="10">
        <f t="shared" si="2"/>
        <v>114177.31083357893</v>
      </c>
      <c r="F57" s="3"/>
      <c r="G57" s="26">
        <v>3.65</v>
      </c>
      <c r="H57" s="10"/>
      <c r="I57" s="10">
        <f t="shared" si="8"/>
        <v>1680.792593297894</v>
      </c>
      <c r="J57" s="10">
        <f t="shared" si="6"/>
        <v>25882454345.138496</v>
      </c>
      <c r="K57" s="11">
        <f t="shared" si="7"/>
        <v>4.4242655000000131E-2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15284780.566743907</v>
      </c>
      <c r="D58" s="11">
        <v>8.3499999999999998E-3</v>
      </c>
      <c r="E58" s="10">
        <f t="shared" si="2"/>
        <v>126571.04946924374</v>
      </c>
      <c r="F58" s="3"/>
      <c r="G58" s="26">
        <v>4.26</v>
      </c>
      <c r="H58" s="10"/>
      <c r="I58" s="10">
        <f t="shared" si="8"/>
        <v>1621.6040456323146</v>
      </c>
      <c r="J58" s="10">
        <f t="shared" si="6"/>
        <v>24785862003.634102</v>
      </c>
      <c r="K58" s="11">
        <f t="shared" si="7"/>
        <v>5.1305709999999838E-2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15158209.517274663</v>
      </c>
      <c r="D59" s="11">
        <v>7.5799999999999999E-3</v>
      </c>
      <c r="E59" s="10">
        <f t="shared" si="2"/>
        <v>114034.84402324446</v>
      </c>
      <c r="F59" s="3"/>
      <c r="G59" s="26">
        <v>3.66</v>
      </c>
      <c r="H59" s="10"/>
      <c r="I59" s="10">
        <f t="shared" si="8"/>
        <v>1555.3462935280211</v>
      </c>
      <c r="J59" s="10">
        <f t="shared" si="6"/>
        <v>23576264989.214321</v>
      </c>
      <c r="K59" s="11">
        <f t="shared" si="7"/>
        <v>4.4457427999999855E-2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15044174.673251418</v>
      </c>
      <c r="D60" s="11">
        <v>8.8699999999999994E-3</v>
      </c>
      <c r="E60" s="10">
        <f t="shared" si="2"/>
        <v>132268.60680934042</v>
      </c>
      <c r="F60" s="3"/>
      <c r="G60" s="26">
        <v>2.5499999999999998</v>
      </c>
      <c r="H60" s="10"/>
      <c r="I60" s="10">
        <f t="shared" si="8"/>
        <v>1500.430535913584</v>
      </c>
      <c r="J60" s="10">
        <f t="shared" si="6"/>
        <v>22572739067.364193</v>
      </c>
      <c r="K60" s="11">
        <f t="shared" si="7"/>
        <v>3.4596185000000057E-2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14911906.066442078</v>
      </c>
      <c r="D61" s="11">
        <v>1.078E-2</v>
      </c>
      <c r="E61" s="10">
        <f t="shared" si="2"/>
        <v>159035.93996343948</v>
      </c>
      <c r="F61" s="3"/>
      <c r="G61" s="26">
        <v>1.01</v>
      </c>
      <c r="H61" s="10"/>
      <c r="I61" s="10">
        <f t="shared" si="8"/>
        <v>1463.1209516465956</v>
      </c>
      <c r="J61" s="10">
        <f t="shared" si="6"/>
        <v>21817922194.797375</v>
      </c>
      <c r="K61" s="11">
        <f t="shared" si="7"/>
        <v>2.0988878000000044E-2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14752870.126478638</v>
      </c>
      <c r="D62" s="11">
        <v>1.1169999999999999E-2</v>
      </c>
      <c r="E62" s="10">
        <f t="shared" si="2"/>
        <v>162969.19342223927</v>
      </c>
      <c r="F62" s="3"/>
      <c r="G62" s="26">
        <v>4.5199999999999996</v>
      </c>
      <c r="H62" s="10"/>
      <c r="I62" s="10">
        <f t="shared" si="8"/>
        <v>1448.4911906213204</v>
      </c>
      <c r="J62" s="10">
        <f t="shared" si="6"/>
        <v>21369402414.584751</v>
      </c>
      <c r="K62" s="11">
        <f t="shared" si="7"/>
        <v>5.6874883999999737E-2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14589900.933056399</v>
      </c>
      <c r="D63" s="11">
        <v>1.1599999999999999E-2</v>
      </c>
      <c r="E63" s="10">
        <f t="shared" si="2"/>
        <v>167302.14593065903</v>
      </c>
      <c r="F63" s="3"/>
      <c r="G63" s="26">
        <v>5.12</v>
      </c>
      <c r="H63" s="10"/>
      <c r="I63" s="10">
        <f t="shared" si="8"/>
        <v>1385.8507372955612</v>
      </c>
      <c r="J63" s="10">
        <f t="shared" si="6"/>
        <v>20219424965.145409</v>
      </c>
      <c r="K63" s="11">
        <f t="shared" si="7"/>
        <v>6.3393919999999992E-2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14422598.78712574</v>
      </c>
      <c r="D64" s="11">
        <v>1.1209999999999999E-2</v>
      </c>
      <c r="E64" s="10">
        <f t="shared" si="2"/>
        <v>159885.02131474018</v>
      </c>
      <c r="F64" s="3"/>
      <c r="G64" s="26">
        <v>3.89</v>
      </c>
      <c r="H64" s="10"/>
      <c r="I64" s="10">
        <f t="shared" si="8"/>
        <v>1318.3511580056709</v>
      </c>
      <c r="J64" s="10">
        <f t="shared" si="6"/>
        <v>19014049812.458405</v>
      </c>
      <c r="K64" s="11">
        <f t="shared" si="7"/>
        <v>5.0546068999999694E-2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14262713.765811</v>
      </c>
      <c r="D65" s="11">
        <v>1.2579999999999999E-2</v>
      </c>
      <c r="E65" s="10">
        <f t="shared" si="2"/>
        <v>177195.81581100076</v>
      </c>
      <c r="F65" s="3"/>
      <c r="G65" s="26">
        <v>4.71</v>
      </c>
      <c r="H65" s="10"/>
      <c r="I65" s="10">
        <f t="shared" si="8"/>
        <v>1268.9875425985861</v>
      </c>
      <c r="J65" s="10">
        <f t="shared" si="6"/>
        <v>18099206092.463528</v>
      </c>
      <c r="K65" s="11">
        <f t="shared" si="7"/>
        <v>6.0272518000000108E-2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14085517.949999999</v>
      </c>
      <c r="D66" s="11">
        <v>8.6300000000000005E-3</v>
      </c>
      <c r="E66" s="10">
        <f t="shared" si="2"/>
        <v>120517.94999999925</v>
      </c>
      <c r="F66" s="23">
        <f>SUM(F2)</f>
        <v>18995781</v>
      </c>
      <c r="G66" s="26">
        <v>5.44</v>
      </c>
      <c r="H66" s="10"/>
      <c r="I66" s="10">
        <f t="shared" si="8"/>
        <v>1211.9067353629894</v>
      </c>
      <c r="J66" s="10">
        <f t="shared" ref="J66:J67" si="9">IF(I66="","",I66*C66)</f>
        <v>17070334074.681286</v>
      </c>
      <c r="K66" s="11">
        <f t="shared" ref="K66" si="10">IFERROR(J66/J67-1,"")</f>
        <v>6.3499471999999946E-2</v>
      </c>
    </row>
    <row r="67" spans="1:11" ht="22.5" customHeight="1">
      <c r="A67" s="3">
        <f t="shared" si="0"/>
        <v>1950</v>
      </c>
      <c r="B67" s="3">
        <v>1700</v>
      </c>
      <c r="C67" s="10">
        <v>13965000</v>
      </c>
      <c r="D67" s="11">
        <v>1.0869999999999999E-2</v>
      </c>
      <c r="E67" s="3" t="s">
        <v>72</v>
      </c>
      <c r="F67" s="10">
        <f>SUM(C2)</f>
        <v>18994488.841943882</v>
      </c>
      <c r="G67" s="26">
        <v>3.49</v>
      </c>
      <c r="H67" s="10"/>
      <c r="I67" s="10">
        <f t="shared" ref="I67" si="11">IF(H67&lt;&gt;"",H67,I66/(1+IF(G66="",0,G66)/100))</f>
        <v>1149.3804394565529</v>
      </c>
      <c r="J67" s="10">
        <f t="shared" si="9"/>
        <v>16051097837.010761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M77"/>
  <sheetViews>
    <sheetView topLeftCell="A35" workbookViewId="0">
      <selection activeCell="J63" sqref="J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22501504.120199237</v>
      </c>
      <c r="D2" s="11">
        <v>8.6400000000000001E-3</v>
      </c>
      <c r="E2" s="10">
        <f t="shared" ref="E2:E66" si="2">SUM(C2-C3)</f>
        <v>192747.65585196018</v>
      </c>
      <c r="F2" s="14">
        <v>22501433</v>
      </c>
      <c r="G2" s="26">
        <v>2.52</v>
      </c>
      <c r="H2" s="10"/>
      <c r="I2" s="10">
        <f>IF(H2&lt;&gt;"",H2,26032)</f>
        <v>3254</v>
      </c>
      <c r="J2" s="10">
        <f t="shared" ref="J2:J33" si="3">IF(I2="","",I2*C2)</f>
        <v>73219894407.128311</v>
      </c>
      <c r="K2" s="11">
        <f t="shared" ref="K2:K33" si="4">IFERROR(J2/J3-1,"")</f>
        <v>3.4057727999999843E-2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22308756.464347277</v>
      </c>
      <c r="D3" s="11">
        <v>8.6599999999999993E-3</v>
      </c>
      <c r="E3" s="10">
        <f t="shared" si="2"/>
        <v>191535.13669744506</v>
      </c>
      <c r="F3" s="3"/>
      <c r="G3" s="26">
        <v>3.32</v>
      </c>
      <c r="H3" s="10"/>
      <c r="I3" s="10">
        <f t="shared" ref="I3:I34" si="5">IF(H3&lt;&gt;"",H3,I2/(1+IF(G2="",0,G2)/100))</f>
        <v>3174.0148263753417</v>
      </c>
      <c r="J3" s="10">
        <f t="shared" si="3"/>
        <v>70808323775.835007</v>
      </c>
      <c r="K3" s="11">
        <f t="shared" si="4"/>
        <v>4.2147511999999887E-2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22117221.327649832</v>
      </c>
      <c r="D4" s="11">
        <v>9.1900000000000003E-3</v>
      </c>
      <c r="E4" s="10">
        <f t="shared" si="2"/>
        <v>201406.3397389017</v>
      </c>
      <c r="F4" s="3"/>
      <c r="G4" s="26">
        <v>2.72</v>
      </c>
      <c r="H4" s="10"/>
      <c r="I4" s="10">
        <f t="shared" si="5"/>
        <v>3072.0236414782635</v>
      </c>
      <c r="J4" s="10">
        <f t="shared" si="3"/>
        <v>67944626802.347549</v>
      </c>
      <c r="K4" s="11">
        <f t="shared" si="4"/>
        <v>3.6639968000000023E-2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21915814.98791093</v>
      </c>
      <c r="D5" s="11">
        <v>9.7800000000000005E-3</v>
      </c>
      <c r="E5" s="10">
        <f t="shared" si="2"/>
        <v>212260.76034558564</v>
      </c>
      <c r="F5" s="3"/>
      <c r="G5" s="26">
        <v>2.4</v>
      </c>
      <c r="H5" s="10"/>
      <c r="I5" s="10">
        <f t="shared" si="5"/>
        <v>2990.6772210652875</v>
      </c>
      <c r="J5" s="10">
        <f t="shared" si="3"/>
        <v>65543128665.426437</v>
      </c>
      <c r="K5" s="11">
        <f t="shared" si="4"/>
        <v>3.4014719999999832E-2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21703554.227565344</v>
      </c>
      <c r="D6" s="11">
        <v>1.0279999999999999E-2</v>
      </c>
      <c r="E6" s="10">
        <f t="shared" si="2"/>
        <v>220842.27883297205</v>
      </c>
      <c r="F6" s="3"/>
      <c r="G6" s="26">
        <v>2.91</v>
      </c>
      <c r="H6" s="10"/>
      <c r="I6" s="10">
        <f t="shared" si="5"/>
        <v>2920.5832236965698</v>
      </c>
      <c r="J6" s="10">
        <f t="shared" si="3"/>
        <v>63387036371.616112</v>
      </c>
      <c r="K6" s="11">
        <f t="shared" si="4"/>
        <v>3.9679148000000053E-2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21482711.948732372</v>
      </c>
      <c r="D7" s="11">
        <v>1.115E-2</v>
      </c>
      <c r="E7" s="10">
        <f t="shared" si="2"/>
        <v>236890.90464161336</v>
      </c>
      <c r="F7" s="3"/>
      <c r="G7" s="26">
        <v>2.64</v>
      </c>
      <c r="H7" s="10"/>
      <c r="I7" s="10">
        <f t="shared" si="5"/>
        <v>2837.997496547051</v>
      </c>
      <c r="J7" s="10">
        <f t="shared" si="3"/>
        <v>60967882729.543892</v>
      </c>
      <c r="K7" s="11">
        <f t="shared" si="4"/>
        <v>3.7844360000000243E-2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21245821.044090759</v>
      </c>
      <c r="D8" s="11">
        <v>1.157E-2</v>
      </c>
      <c r="E8" s="10">
        <f t="shared" si="2"/>
        <v>243002.6092906408</v>
      </c>
      <c r="F8" s="3"/>
      <c r="G8" s="26">
        <v>5.12</v>
      </c>
      <c r="H8" s="10"/>
      <c r="I8" s="10">
        <f t="shared" si="5"/>
        <v>2765.0014580544143</v>
      </c>
      <c r="J8" s="10">
        <f t="shared" si="3"/>
        <v>58744726164.474106</v>
      </c>
      <c r="K8" s="11">
        <f t="shared" si="4"/>
        <v>6.336238400000016E-2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21002818.434800118</v>
      </c>
      <c r="D9" s="11">
        <v>1.1730000000000001E-2</v>
      </c>
      <c r="E9" s="10">
        <f t="shared" si="2"/>
        <v>243506.72634023428</v>
      </c>
      <c r="F9" s="3"/>
      <c r="G9" s="26">
        <v>7.22</v>
      </c>
      <c r="H9" s="10"/>
      <c r="I9" s="10">
        <f t="shared" si="5"/>
        <v>2630.328632091338</v>
      </c>
      <c r="J9" s="10">
        <f t="shared" si="3"/>
        <v>55244314683.670532</v>
      </c>
      <c r="K9" s="11">
        <f t="shared" si="4"/>
        <v>8.4776906000000096E-2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20759311.708459884</v>
      </c>
      <c r="D10" s="11">
        <v>1.234E-2</v>
      </c>
      <c r="E10" s="10">
        <f t="shared" si="2"/>
        <v>253047.30276625976</v>
      </c>
      <c r="F10" s="3"/>
      <c r="G10" s="26">
        <v>8.18</v>
      </c>
      <c r="H10" s="10"/>
      <c r="I10" s="10">
        <f t="shared" si="5"/>
        <v>2453.2070808537005</v>
      </c>
      <c r="J10" s="10">
        <f t="shared" si="3"/>
        <v>50926890476.842918</v>
      </c>
      <c r="K10" s="11">
        <f t="shared" si="4"/>
        <v>9.5149412000000266E-2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20506264.405693624</v>
      </c>
      <c r="D11" s="11">
        <v>1.2999999999999999E-2</v>
      </c>
      <c r="E11" s="10">
        <f t="shared" si="2"/>
        <v>263160.35268905759</v>
      </c>
      <c r="F11" s="3"/>
      <c r="G11" s="26">
        <v>8.09</v>
      </c>
      <c r="H11" s="10"/>
      <c r="I11" s="10">
        <f t="shared" si="5"/>
        <v>2267.7085236214643</v>
      </c>
      <c r="J11" s="10">
        <f t="shared" si="3"/>
        <v>46502230580.426872</v>
      </c>
      <c r="K11" s="11">
        <f t="shared" si="4"/>
        <v>9.495169999999975E-2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20243104.053004567</v>
      </c>
      <c r="D12" s="11">
        <v>1.3509999999999999E-2</v>
      </c>
      <c r="E12" s="10">
        <f t="shared" si="2"/>
        <v>269838.81338723004</v>
      </c>
      <c r="F12" s="3"/>
      <c r="G12" s="26">
        <v>8.15</v>
      </c>
      <c r="H12" s="10"/>
      <c r="I12" s="10">
        <f t="shared" si="5"/>
        <v>2097.9817963007349</v>
      </c>
      <c r="J12" s="10">
        <f t="shared" si="3"/>
        <v>42469663803.825211</v>
      </c>
      <c r="K12" s="11">
        <f t="shared" si="4"/>
        <v>9.6111064999999885E-2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19973265.239617337</v>
      </c>
      <c r="D13" s="11">
        <v>1.4500000000000001E-2</v>
      </c>
      <c r="E13" s="10">
        <f t="shared" si="2"/>
        <v>285472.98765347525</v>
      </c>
      <c r="F13" s="3"/>
      <c r="G13" s="26">
        <v>8.57</v>
      </c>
      <c r="H13" s="10"/>
      <c r="I13" s="10">
        <f t="shared" si="5"/>
        <v>1939.8814575133936</v>
      </c>
      <c r="J13" s="10">
        <f t="shared" si="3"/>
        <v>38745766884.330482</v>
      </c>
      <c r="K13" s="11">
        <f t="shared" si="4"/>
        <v>0.10144265000000008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19687792.251963861</v>
      </c>
      <c r="D14" s="11">
        <v>1.4880000000000001E-2</v>
      </c>
      <c r="E14" s="10">
        <f t="shared" si="2"/>
        <v>288659.10128214583</v>
      </c>
      <c r="F14" s="3"/>
      <c r="G14" s="26">
        <v>4.16</v>
      </c>
      <c r="H14" s="10"/>
      <c r="I14" s="10">
        <f t="shared" si="5"/>
        <v>1786.7564313469591</v>
      </c>
      <c r="J14" s="10">
        <f t="shared" si="3"/>
        <v>35177289425.219261</v>
      </c>
      <c r="K14" s="11">
        <f t="shared" si="4"/>
        <v>5.7099008000000229E-2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19399133.150681715</v>
      </c>
      <c r="D15" s="11">
        <v>1.529E-2</v>
      </c>
      <c r="E15" s="10">
        <f t="shared" si="2"/>
        <v>292145.83604085818</v>
      </c>
      <c r="F15" s="3"/>
      <c r="G15" s="26">
        <v>5.78</v>
      </c>
      <c r="H15" s="10"/>
      <c r="I15" s="10">
        <f t="shared" si="5"/>
        <v>1715.3959594344844</v>
      </c>
      <c r="J15" s="10">
        <f t="shared" si="3"/>
        <v>33277194623.210976</v>
      </c>
      <c r="K15" s="11">
        <f t="shared" si="4"/>
        <v>7.3973762000000276E-2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19106987.314640857</v>
      </c>
      <c r="D16" s="11">
        <v>1.5469999999999999E-2</v>
      </c>
      <c r="E16" s="10">
        <f t="shared" si="2"/>
        <v>291082.05437629297</v>
      </c>
      <c r="F16" s="3"/>
      <c r="G16" s="26">
        <v>5.27</v>
      </c>
      <c r="H16" s="10"/>
      <c r="I16" s="10">
        <f t="shared" si="5"/>
        <v>1621.6637922428476</v>
      </c>
      <c r="J16" s="10">
        <f t="shared" si="3"/>
        <v>30985109506.996475</v>
      </c>
      <c r="K16" s="11">
        <f t="shared" si="4"/>
        <v>6.8985268999999905E-2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18815905.260264564</v>
      </c>
      <c r="D17" s="11">
        <v>1.5970000000000002E-2</v>
      </c>
      <c r="E17" s="10">
        <f t="shared" si="2"/>
        <v>295766.61417800188</v>
      </c>
      <c r="F17" s="3"/>
      <c r="G17" s="26">
        <v>4.25</v>
      </c>
      <c r="H17" s="10"/>
      <c r="I17" s="10">
        <f t="shared" si="5"/>
        <v>1540.4804714000643</v>
      </c>
      <c r="J17" s="10">
        <f t="shared" si="3"/>
        <v>28985534605.151306</v>
      </c>
      <c r="K17" s="11">
        <f t="shared" si="4"/>
        <v>5.9148725000000013E-2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18520138.646086562</v>
      </c>
      <c r="D18" s="11">
        <v>1.6799999999999999E-2</v>
      </c>
      <c r="E18" s="10">
        <f t="shared" si="2"/>
        <v>305997.57007696107</v>
      </c>
      <c r="F18" s="3"/>
      <c r="G18" s="26">
        <v>3.39</v>
      </c>
      <c r="H18" s="10"/>
      <c r="I18" s="10">
        <f t="shared" si="5"/>
        <v>1477.6791092566564</v>
      </c>
      <c r="J18" s="10">
        <f t="shared" si="3"/>
        <v>27366821977.858971</v>
      </c>
      <c r="K18" s="11">
        <f t="shared" si="4"/>
        <v>5.1269520000000179E-2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18214141.076009601</v>
      </c>
      <c r="D19" s="11">
        <v>1.7979999999999999E-2</v>
      </c>
      <c r="E19" s="10">
        <f t="shared" si="2"/>
        <v>321705.98297280446</v>
      </c>
      <c r="F19" s="3"/>
      <c r="G19" s="26">
        <v>3.01</v>
      </c>
      <c r="H19" s="10"/>
      <c r="I19" s="10">
        <f t="shared" si="5"/>
        <v>1429.2282708740267</v>
      </c>
      <c r="J19" s="10">
        <f t="shared" si="3"/>
        <v>26032165355.520786</v>
      </c>
      <c r="K19" s="11">
        <f t="shared" si="4"/>
        <v>4.8621198000000199E-2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17892435.093036797</v>
      </c>
      <c r="D20" s="11">
        <v>1.7850000000000001E-2</v>
      </c>
      <c r="E20" s="10">
        <f t="shared" si="2"/>
        <v>313779.01106322557</v>
      </c>
      <c r="F20" s="3"/>
      <c r="G20" s="26">
        <v>3.31</v>
      </c>
      <c r="H20" s="10"/>
      <c r="I20" s="10">
        <f t="shared" si="5"/>
        <v>1387.465557590551</v>
      </c>
      <c r="J20" s="10">
        <f t="shared" si="3"/>
        <v>24825137433.013042</v>
      </c>
      <c r="K20" s="11">
        <f t="shared" si="4"/>
        <v>5.154083499999973E-2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17578656.081973571</v>
      </c>
      <c r="D21" s="11">
        <v>1.7950000000000001E-2</v>
      </c>
      <c r="E21" s="10">
        <f t="shared" si="2"/>
        <v>309972.86376680806</v>
      </c>
      <c r="F21" s="3"/>
      <c r="G21" s="26">
        <v>2.09</v>
      </c>
      <c r="H21" s="10"/>
      <c r="I21" s="10">
        <f t="shared" si="5"/>
        <v>1343.0118648635671</v>
      </c>
      <c r="J21" s="10">
        <f t="shared" si="3"/>
        <v>23608343686.446613</v>
      </c>
      <c r="K21" s="11">
        <f t="shared" si="4"/>
        <v>3.9225154999999789E-2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17268683.218206763</v>
      </c>
      <c r="D22" s="11">
        <v>1.8489999999999999E-2</v>
      </c>
      <c r="E22" s="10">
        <f t="shared" si="2"/>
        <v>313501.3134195134</v>
      </c>
      <c r="F22" s="3"/>
      <c r="G22" s="26">
        <v>6.2</v>
      </c>
      <c r="H22" s="10"/>
      <c r="I22" s="10">
        <f t="shared" si="5"/>
        <v>1315.5175481081078</v>
      </c>
      <c r="J22" s="10">
        <f t="shared" si="3"/>
        <v>22717255806.270988</v>
      </c>
      <c r="K22" s="11">
        <f t="shared" si="4"/>
        <v>8.1636379999999731E-2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16955181.90478725</v>
      </c>
      <c r="D23" s="11">
        <v>1.9720000000000001E-2</v>
      </c>
      <c r="E23" s="10">
        <f t="shared" si="2"/>
        <v>327890.19256502017</v>
      </c>
      <c r="F23" s="3"/>
      <c r="G23" s="26">
        <v>4.97</v>
      </c>
      <c r="H23" s="10"/>
      <c r="I23" s="10">
        <f t="shared" si="5"/>
        <v>1238.7170886140375</v>
      </c>
      <c r="J23" s="10">
        <f t="shared" si="3"/>
        <v>21002673566.019474</v>
      </c>
      <c r="K23" s="11">
        <f t="shared" si="4"/>
        <v>7.0400084000000085E-2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16627291.71222223</v>
      </c>
      <c r="D24" s="11">
        <v>1.9720000000000001E-2</v>
      </c>
      <c r="E24" s="10">
        <f t="shared" si="2"/>
        <v>321549.24152220413</v>
      </c>
      <c r="F24" s="3"/>
      <c r="G24" s="26">
        <v>4.49</v>
      </c>
      <c r="H24" s="10"/>
      <c r="I24" s="10">
        <f t="shared" si="5"/>
        <v>1180.0677227913093</v>
      </c>
      <c r="J24" s="10">
        <f t="shared" si="3"/>
        <v>19621330267.028896</v>
      </c>
      <c r="K24" s="11">
        <f t="shared" si="4"/>
        <v>6.5505428000000032E-2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16305742.470700026</v>
      </c>
      <c r="D25" s="11">
        <v>2.0219999999999998E-2</v>
      </c>
      <c r="E25" s="10">
        <f t="shared" si="2"/>
        <v>323167.66261938959</v>
      </c>
      <c r="F25" s="3"/>
      <c r="G25" s="26">
        <v>14.35</v>
      </c>
      <c r="H25" s="10"/>
      <c r="I25" s="10">
        <f t="shared" si="5"/>
        <v>1129.3594820473818</v>
      </c>
      <c r="J25" s="10">
        <f t="shared" si="3"/>
        <v>18415044871.107777</v>
      </c>
      <c r="K25" s="11">
        <f t="shared" si="4"/>
        <v>0.16662157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15982574.808080636</v>
      </c>
      <c r="D26" s="11">
        <v>1.9390000000000001E-2</v>
      </c>
      <c r="E26" s="10">
        <f t="shared" si="2"/>
        <v>304007.42162340507</v>
      </c>
      <c r="F26" s="3"/>
      <c r="G26" s="26">
        <v>-0.28000000000000003</v>
      </c>
      <c r="H26" s="10"/>
      <c r="I26" s="10">
        <f t="shared" si="5"/>
        <v>987.63400266496001</v>
      </c>
      <c r="J26" s="10">
        <f t="shared" si="3"/>
        <v>15784934330.596834</v>
      </c>
      <c r="K26" s="11">
        <f t="shared" si="4"/>
        <v>1.6535707999999927E-2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15678567.386457231</v>
      </c>
      <c r="D27" s="11">
        <v>2.0799999999999999E-2</v>
      </c>
      <c r="E27" s="10">
        <f t="shared" si="2"/>
        <v>319469.24141683988</v>
      </c>
      <c r="F27" s="3"/>
      <c r="G27" s="26">
        <v>-10.73</v>
      </c>
      <c r="H27" s="10"/>
      <c r="I27" s="10">
        <f t="shared" si="5"/>
        <v>990.40714266442046</v>
      </c>
      <c r="J27" s="10">
        <f t="shared" si="3"/>
        <v>15528165126.292677</v>
      </c>
      <c r="K27" s="11">
        <f t="shared" si="4"/>
        <v>-8.8731840000000006E-2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15359098.145040391</v>
      </c>
      <c r="D28" s="11">
        <v>2.0539999999999999E-2</v>
      </c>
      <c r="E28" s="10">
        <f t="shared" si="2"/>
        <v>309126.41924778</v>
      </c>
      <c r="F28" s="3"/>
      <c r="G28" s="26">
        <v>1.5</v>
      </c>
      <c r="H28" s="10"/>
      <c r="I28" s="10">
        <f t="shared" si="5"/>
        <v>1109.4512632064752</v>
      </c>
      <c r="J28" s="10">
        <f t="shared" si="3"/>
        <v>17040170838.727293</v>
      </c>
      <c r="K28" s="11">
        <f t="shared" si="4"/>
        <v>3.5848099999999938E-2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15049971.725792611</v>
      </c>
      <c r="D29" s="11">
        <v>2.052E-2</v>
      </c>
      <c r="E29" s="10">
        <f t="shared" si="2"/>
        <v>302615.74473137781</v>
      </c>
      <c r="F29" s="3"/>
      <c r="G29" s="26">
        <v>1.46</v>
      </c>
      <c r="H29" s="10"/>
      <c r="I29" s="10">
        <f t="shared" si="5"/>
        <v>1093.0554317305175</v>
      </c>
      <c r="J29" s="10">
        <f t="shared" si="3"/>
        <v>16450453342.268324</v>
      </c>
      <c r="K29" s="11">
        <f t="shared" si="4"/>
        <v>3.5419592E-2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14747355.981061233</v>
      </c>
      <c r="D30" s="11">
        <v>2.044E-2</v>
      </c>
      <c r="E30" s="10">
        <f t="shared" si="2"/>
        <v>295398.02070958726</v>
      </c>
      <c r="F30" s="3"/>
      <c r="G30" s="26">
        <v>2.3199999999999998</v>
      </c>
      <c r="H30" s="10"/>
      <c r="I30" s="10">
        <f t="shared" si="5"/>
        <v>1077.3264653366032</v>
      </c>
      <c r="J30" s="10">
        <f t="shared" si="3"/>
        <v>15887716892.137312</v>
      </c>
      <c r="K30" s="11">
        <f t="shared" si="4"/>
        <v>4.4114208000000099E-2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14451957.960351646</v>
      </c>
      <c r="D31" s="11">
        <v>2.0660000000000001E-2</v>
      </c>
      <c r="E31" s="10">
        <f t="shared" si="2"/>
        <v>292533.70511322469</v>
      </c>
      <c r="F31" s="3"/>
      <c r="G31" s="26">
        <v>5.5</v>
      </c>
      <c r="H31" s="10"/>
      <c r="I31" s="10">
        <f t="shared" si="5"/>
        <v>1052.8992038082515</v>
      </c>
      <c r="J31" s="10">
        <f t="shared" si="3"/>
        <v>15216455029.92457</v>
      </c>
      <c r="K31" s="11">
        <f t="shared" si="4"/>
        <v>7.6796299999999817E-2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14159424.255238421</v>
      </c>
      <c r="D32" s="11">
        <v>2.0639999999999999E-2</v>
      </c>
      <c r="E32" s="10">
        <f t="shared" si="2"/>
        <v>286340.44974537566</v>
      </c>
      <c r="F32" s="3"/>
      <c r="G32" s="26">
        <v>-2.71</v>
      </c>
      <c r="H32" s="10"/>
      <c r="I32" s="10">
        <f t="shared" si="5"/>
        <v>998.00872398886406</v>
      </c>
      <c r="J32" s="10">
        <f t="shared" si="3"/>
        <v>14131228933.387468</v>
      </c>
      <c r="K32" s="11">
        <f t="shared" si="4"/>
        <v>-7.0193440000001495E-3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13873083.805493046</v>
      </c>
      <c r="D33" s="11">
        <v>2.2610000000000002E-2</v>
      </c>
      <c r="E33" s="10">
        <f t="shared" si="2"/>
        <v>306735.1432532426</v>
      </c>
      <c r="F33" s="3"/>
      <c r="G33" s="26">
        <v>4.29</v>
      </c>
      <c r="H33" s="10"/>
      <c r="I33" s="10">
        <f t="shared" si="5"/>
        <v>1025.8081241534219</v>
      </c>
      <c r="J33" s="10">
        <f t="shared" si="3"/>
        <v>14231122074.736036</v>
      </c>
      <c r="K33" s="11">
        <f t="shared" si="4"/>
        <v>6.6479968999999972E-2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13566348.662239803</v>
      </c>
      <c r="D34" s="11">
        <v>2.3630000000000002E-2</v>
      </c>
      <c r="E34" s="10">
        <f t="shared" si="2"/>
        <v>313172.55149685591</v>
      </c>
      <c r="F34" s="3"/>
      <c r="G34" s="26">
        <v>-3.52</v>
      </c>
      <c r="H34" s="10"/>
      <c r="I34" s="10">
        <f t="shared" si="5"/>
        <v>983.61120352231467</v>
      </c>
      <c r="J34" s="10">
        <f t="shared" ref="J34:J65" si="6">IF(I34="","",I34*C34)</f>
        <v>13344012535.069036</v>
      </c>
      <c r="K34" s="11">
        <f t="shared" ref="K34:K65" si="7">IFERROR(J34/J35-1,"")</f>
        <v>9.0541399999999328E-4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13253176.110742947</v>
      </c>
      <c r="D35" s="11">
        <v>2.3349999999999999E-2</v>
      </c>
      <c r="E35" s="10">
        <f t="shared" si="2"/>
        <v>302400.60798929818</v>
      </c>
      <c r="F35" s="3"/>
      <c r="G35" s="26">
        <v>-2.67</v>
      </c>
      <c r="H35" s="10"/>
      <c r="I35" s="10">
        <f t="shared" ref="I35:I66" si="8">IF(H35&lt;&gt;"",H35,I34/(1+IF(G34="",0,G34)/100))</f>
        <v>1005.9431412582478</v>
      </c>
      <c r="J35" s="10">
        <f t="shared" si="6"/>
        <v>13331941608.489527</v>
      </c>
      <c r="K35" s="11">
        <f t="shared" si="7"/>
        <v>2.3657005000000009E-2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12950775.502753649</v>
      </c>
      <c r="D36" s="11">
        <v>2.291E-2</v>
      </c>
      <c r="E36" s="10">
        <f t="shared" si="2"/>
        <v>290057.05953415856</v>
      </c>
      <c r="F36" s="3"/>
      <c r="G36" s="26">
        <v>-3.62</v>
      </c>
      <c r="H36" s="10"/>
      <c r="I36" s="10">
        <f t="shared" si="8"/>
        <v>1005.6414488236007</v>
      </c>
      <c r="J36" s="10">
        <f t="shared" si="6"/>
        <v>13023836639.978376</v>
      </c>
      <c r="K36" s="11">
        <f t="shared" si="7"/>
        <v>3.4980338000000222E-2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12660718.44321949</v>
      </c>
      <c r="D37" s="11">
        <v>2.3199999999999998E-2</v>
      </c>
      <c r="E37" s="10">
        <f t="shared" si="2"/>
        <v>287068.67463124916</v>
      </c>
      <c r="F37" s="3"/>
      <c r="G37" s="26">
        <v>-4.12</v>
      </c>
      <c r="H37" s="10"/>
      <c r="I37" s="10">
        <f t="shared" si="8"/>
        <v>993.91327221150493</v>
      </c>
      <c r="J37" s="10">
        <f t="shared" si="6"/>
        <v>12583656096.448833</v>
      </c>
      <c r="K37" s="11">
        <f t="shared" si="7"/>
        <v>3.5273759999999932E-2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12373649.768588241</v>
      </c>
      <c r="D38" s="11">
        <v>2.2419999999999999E-2</v>
      </c>
      <c r="E38" s="10">
        <f t="shared" si="2"/>
        <v>271333.92129628733</v>
      </c>
      <c r="F38" s="3"/>
      <c r="G38" s="26">
        <v>-0.9</v>
      </c>
      <c r="H38" s="10"/>
      <c r="I38" s="10">
        <f t="shared" si="8"/>
        <v>982.32187409715846</v>
      </c>
      <c r="J38" s="10">
        <f t="shared" si="6"/>
        <v>12154906830.101473</v>
      </c>
      <c r="K38" s="11">
        <f t="shared" si="7"/>
        <v>5.1047760000000331E-2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12102315.847291954</v>
      </c>
      <c r="D39" s="11">
        <v>2.239E-2</v>
      </c>
      <c r="E39" s="10">
        <f t="shared" si="2"/>
        <v>265036.6805434972</v>
      </c>
      <c r="F39" s="3"/>
      <c r="G39" s="26">
        <v>14.68</v>
      </c>
      <c r="H39" s="10"/>
      <c r="I39" s="10">
        <f t="shared" si="8"/>
        <v>955.56602538634093</v>
      </c>
      <c r="J39" s="10">
        <f t="shared" si="6"/>
        <v>11564561852.166899</v>
      </c>
      <c r="K39" s="11">
        <f t="shared" si="7"/>
        <v>0.17247685199999974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11837279.166748457</v>
      </c>
      <c r="D40" s="11">
        <v>2.2759999999999999E-2</v>
      </c>
      <c r="E40" s="10">
        <f t="shared" si="2"/>
        <v>263421.01161092892</v>
      </c>
      <c r="F40" s="3"/>
      <c r="G40" s="26">
        <v>8.3000000000000007</v>
      </c>
      <c r="H40" s="10"/>
      <c r="I40" s="10">
        <f t="shared" si="8"/>
        <v>833.24557497936951</v>
      </c>
      <c r="J40" s="10">
        <f t="shared" si="6"/>
        <v>9863360485.4886303</v>
      </c>
      <c r="K40" s="11">
        <f t="shared" si="7"/>
        <v>0.10764908000000006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11573858.155137528</v>
      </c>
      <c r="D41" s="11">
        <v>2.155E-2</v>
      </c>
      <c r="E41" s="10">
        <f t="shared" si="2"/>
        <v>244155.10082053021</v>
      </c>
      <c r="F41" s="3"/>
      <c r="G41" s="26">
        <v>5.19</v>
      </c>
      <c r="H41" s="10"/>
      <c r="I41" s="10">
        <f t="shared" si="8"/>
        <v>769.38649582582593</v>
      </c>
      <c r="J41" s="10">
        <f t="shared" si="6"/>
        <v>8904770169.16642</v>
      </c>
      <c r="K41" s="11">
        <f t="shared" si="7"/>
        <v>7.4568444999999706E-2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11329703.054316998</v>
      </c>
      <c r="D42" s="11">
        <v>2.2020000000000001E-2</v>
      </c>
      <c r="E42" s="10">
        <f t="shared" si="2"/>
        <v>244104.87197516672</v>
      </c>
      <c r="F42" s="3"/>
      <c r="G42" s="26">
        <v>-5.1100000000000003</v>
      </c>
      <c r="H42" s="10"/>
      <c r="I42" s="10">
        <f t="shared" si="8"/>
        <v>731.42551176521147</v>
      </c>
      <c r="J42" s="10">
        <f t="shared" si="6"/>
        <v>8286833854.6516895</v>
      </c>
      <c r="K42" s="11">
        <f t="shared" si="7"/>
        <v>-3.0205222000000087E-2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11085598.182341831</v>
      </c>
      <c r="D43" s="11">
        <v>2.2259999999999999E-2</v>
      </c>
      <c r="E43" s="10">
        <f t="shared" si="2"/>
        <v>241392.0289739687</v>
      </c>
      <c r="F43" s="3"/>
      <c r="G43" s="26">
        <v>3.59</v>
      </c>
      <c r="H43" s="10"/>
      <c r="I43" s="10">
        <f t="shared" si="8"/>
        <v>770.81411293625411</v>
      </c>
      <c r="J43" s="10">
        <f t="shared" si="6"/>
        <v>8544935529.2895689</v>
      </c>
      <c r="K43" s="11">
        <f t="shared" si="7"/>
        <v>5.8959133999999969E-2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10844206.153367862</v>
      </c>
      <c r="D44" s="11">
        <v>2.2749999999999999E-2</v>
      </c>
      <c r="E44" s="10">
        <f t="shared" si="2"/>
        <v>241217.98092311807</v>
      </c>
      <c r="F44" s="3"/>
      <c r="G44" s="26">
        <v>3.84</v>
      </c>
      <c r="H44" s="10"/>
      <c r="I44" s="10">
        <f t="shared" si="8"/>
        <v>744.10089095110925</v>
      </c>
      <c r="J44" s="10">
        <f t="shared" si="6"/>
        <v>8069183460.3785276</v>
      </c>
      <c r="K44" s="11">
        <f t="shared" si="7"/>
        <v>6.2023600000000068E-2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10602988.172444744</v>
      </c>
      <c r="D45" s="11">
        <v>2.308E-2</v>
      </c>
      <c r="E45" s="10">
        <f t="shared" si="2"/>
        <v>239196.31604569033</v>
      </c>
      <c r="F45" s="3"/>
      <c r="G45" s="26">
        <v>9.39</v>
      </c>
      <c r="H45" s="10"/>
      <c r="I45" s="10">
        <f t="shared" si="8"/>
        <v>716.58406293442727</v>
      </c>
      <c r="J45" s="10">
        <f t="shared" si="6"/>
        <v>7597932343.8561325</v>
      </c>
      <c r="K45" s="11">
        <f t="shared" si="7"/>
        <v>0.11914721200000011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10363791.856399054</v>
      </c>
      <c r="D46" s="11">
        <v>2.333E-2</v>
      </c>
      <c r="E46" s="10">
        <f t="shared" si="2"/>
        <v>236274.96898340806</v>
      </c>
      <c r="F46" s="3"/>
      <c r="G46" s="26">
        <v>5.64</v>
      </c>
      <c r="H46" s="10"/>
      <c r="I46" s="10">
        <f t="shared" si="8"/>
        <v>655.07273327948371</v>
      </c>
      <c r="J46" s="10">
        <f t="shared" si="6"/>
        <v>6789037458.5109825</v>
      </c>
      <c r="K46" s="11">
        <f t="shared" si="7"/>
        <v>8.1045812000000161E-2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10127516.887415646</v>
      </c>
      <c r="D47" s="11">
        <v>2.486E-2</v>
      </c>
      <c r="E47" s="10">
        <f t="shared" si="2"/>
        <v>245662.89036663994</v>
      </c>
      <c r="F47" s="3"/>
      <c r="G47" s="26">
        <v>6.8</v>
      </c>
      <c r="H47" s="10"/>
      <c r="I47" s="10">
        <f t="shared" si="8"/>
        <v>620.09914168826549</v>
      </c>
      <c r="J47" s="10">
        <f t="shared" si="6"/>
        <v>6280064529.3198557</v>
      </c>
      <c r="K47" s="11">
        <f t="shared" si="7"/>
        <v>9.4550480000000103E-2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9881853.9970490057</v>
      </c>
      <c r="D48" s="11">
        <v>2.5739999999999999E-2</v>
      </c>
      <c r="E48" s="10">
        <f t="shared" si="2"/>
        <v>247976.01915109344</v>
      </c>
      <c r="F48" s="3"/>
      <c r="G48" s="26">
        <v>8.7100000000000009</v>
      </c>
      <c r="H48" s="10"/>
      <c r="I48" s="10">
        <f t="shared" si="8"/>
        <v>580.61717386541704</v>
      </c>
      <c r="J48" s="10">
        <f t="shared" si="6"/>
        <v>5737574140.3172693</v>
      </c>
      <c r="K48" s="11">
        <f t="shared" si="7"/>
        <v>0.1150819540000001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9633877.9778979123</v>
      </c>
      <c r="D49" s="11">
        <v>2.6710000000000001E-2</v>
      </c>
      <c r="E49" s="10">
        <f t="shared" si="2"/>
        <v>250626.64315108769</v>
      </c>
      <c r="F49" s="3"/>
      <c r="G49" s="26">
        <v>8.41</v>
      </c>
      <c r="H49" s="10"/>
      <c r="I49" s="10">
        <f t="shared" si="8"/>
        <v>534.09729911270085</v>
      </c>
      <c r="J49" s="10">
        <f t="shared" si="6"/>
        <v>5145428207.9766026</v>
      </c>
      <c r="K49" s="11">
        <f t="shared" si="7"/>
        <v>0.11305631100000002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9383251.3347468246</v>
      </c>
      <c r="D50" s="11">
        <v>2.7779999999999999E-2</v>
      </c>
      <c r="E50" s="10">
        <f t="shared" si="2"/>
        <v>253621.12716657855</v>
      </c>
      <c r="F50" s="3"/>
      <c r="G50" s="26">
        <v>10.78</v>
      </c>
      <c r="H50" s="10"/>
      <c r="I50" s="10">
        <f t="shared" si="8"/>
        <v>492.66423679798987</v>
      </c>
      <c r="J50" s="10">
        <f t="shared" si="6"/>
        <v>4622792357.5167637</v>
      </c>
      <c r="K50" s="11">
        <f t="shared" si="7"/>
        <v>0.13857468399999973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9129630.207580246</v>
      </c>
      <c r="D51" s="11">
        <v>2.8420000000000001E-2</v>
      </c>
      <c r="E51" s="10">
        <f t="shared" si="2"/>
        <v>252293.89792053029</v>
      </c>
      <c r="F51" s="3"/>
      <c r="G51" s="26">
        <v>6.33</v>
      </c>
      <c r="H51" s="10"/>
      <c r="I51" s="10">
        <f t="shared" si="8"/>
        <v>444.72308792019311</v>
      </c>
      <c r="J51" s="10">
        <f t="shared" si="6"/>
        <v>4060157337.4845605</v>
      </c>
      <c r="K51" s="11">
        <f t="shared" si="7"/>
        <v>9.3518986000000082E-2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8877336.3096597157</v>
      </c>
      <c r="D52" s="11">
        <v>2.9489999999999999E-2</v>
      </c>
      <c r="E52" s="10">
        <f t="shared" si="2"/>
        <v>254293.53152712993</v>
      </c>
      <c r="F52" s="3"/>
      <c r="G52" s="26">
        <v>6.81</v>
      </c>
      <c r="H52" s="10"/>
      <c r="I52" s="10">
        <f t="shared" si="8"/>
        <v>418.2479901440733</v>
      </c>
      <c r="J52" s="10">
        <f t="shared" si="6"/>
        <v>3712928069.3481808</v>
      </c>
      <c r="K52" s="11">
        <f t="shared" si="7"/>
        <v>9.9598268999999906E-2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8623042.7781325858</v>
      </c>
      <c r="D53" s="11">
        <v>2.9909999999999999E-2</v>
      </c>
      <c r="E53" s="10">
        <f t="shared" si="2"/>
        <v>250424.99780946504</v>
      </c>
      <c r="F53" s="3"/>
      <c r="G53" s="26">
        <v>6.47</v>
      </c>
      <c r="H53" s="10"/>
      <c r="I53" s="10">
        <f t="shared" si="8"/>
        <v>391.58130338364691</v>
      </c>
      <c r="J53" s="10">
        <f t="shared" si="6"/>
        <v>3376622330.1941018</v>
      </c>
      <c r="K53" s="11">
        <f t="shared" si="7"/>
        <v>9.6545177000000093E-2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8372617.7803231208</v>
      </c>
      <c r="D54" s="11">
        <v>3.0370000000000001E-2</v>
      </c>
      <c r="E54" s="10">
        <f t="shared" si="2"/>
        <v>246781.64347604569</v>
      </c>
      <c r="F54" s="3"/>
      <c r="G54" s="26">
        <v>8.73</v>
      </c>
      <c r="H54" s="10"/>
      <c r="I54" s="10">
        <f t="shared" si="8"/>
        <v>367.78557657898648</v>
      </c>
      <c r="J54" s="10">
        <f t="shared" si="6"/>
        <v>3079328057.8116131</v>
      </c>
      <c r="K54" s="11">
        <f t="shared" si="7"/>
        <v>0.12032130099999994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8125836.1368470751</v>
      </c>
      <c r="D55" s="11">
        <v>3.0720000000000001E-2</v>
      </c>
      <c r="E55" s="10">
        <f t="shared" si="2"/>
        <v>242185.74018544611</v>
      </c>
      <c r="F55" s="3"/>
      <c r="G55" s="26">
        <v>5.18</v>
      </c>
      <c r="H55" s="10"/>
      <c r="I55" s="10">
        <f t="shared" si="8"/>
        <v>338.25584160671986</v>
      </c>
      <c r="J55" s="10">
        <f t="shared" si="6"/>
        <v>2748611541.2275047</v>
      </c>
      <c r="K55" s="11">
        <f t="shared" si="7"/>
        <v>8.4111296000000335E-2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7883650.396661629</v>
      </c>
      <c r="D56" s="11">
        <v>3.0929999999999999E-2</v>
      </c>
      <c r="E56" s="10">
        <f t="shared" si="2"/>
        <v>236525.57086198218</v>
      </c>
      <c r="F56" s="3"/>
      <c r="G56" s="26">
        <v>3.14</v>
      </c>
      <c r="H56" s="10"/>
      <c r="I56" s="10">
        <f t="shared" si="8"/>
        <v>321.59711124426678</v>
      </c>
      <c r="J56" s="10">
        <f t="shared" si="6"/>
        <v>2535359193.6260977</v>
      </c>
      <c r="K56" s="11">
        <f t="shared" si="7"/>
        <v>6.330120199999989E-2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7647124.8257996468</v>
      </c>
      <c r="D57" s="11">
        <v>3.0769999999999999E-2</v>
      </c>
      <c r="E57" s="10">
        <f t="shared" si="2"/>
        <v>228277.91931260563</v>
      </c>
      <c r="F57" s="3"/>
      <c r="G57" s="26">
        <v>8.0500000000000007</v>
      </c>
      <c r="H57" s="10"/>
      <c r="I57" s="10">
        <f t="shared" si="8"/>
        <v>311.80639058005306</v>
      </c>
      <c r="J57" s="10">
        <f t="shared" si="6"/>
        <v>2384422390.247705</v>
      </c>
      <c r="K57" s="11">
        <f t="shared" si="7"/>
        <v>0.11374698499999991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7418846.9064870412</v>
      </c>
      <c r="D58" s="11">
        <v>3.0380000000000001E-2</v>
      </c>
      <c r="E58" s="10">
        <f t="shared" si="2"/>
        <v>218739.26999658067</v>
      </c>
      <c r="F58" s="3"/>
      <c r="G58" s="26">
        <v>4.91</v>
      </c>
      <c r="H58" s="10"/>
      <c r="I58" s="10">
        <f t="shared" si="8"/>
        <v>288.57602089778163</v>
      </c>
      <c r="J58" s="10">
        <f t="shared" si="6"/>
        <v>2140901319.923847</v>
      </c>
      <c r="K58" s="11">
        <f t="shared" si="7"/>
        <v>8.0971658000000168E-2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7200107.6364904605</v>
      </c>
      <c r="D59" s="11">
        <v>2.9000000000000001E-2</v>
      </c>
      <c r="E59" s="10">
        <f t="shared" si="2"/>
        <v>202918.48538214061</v>
      </c>
      <c r="F59" s="3"/>
      <c r="G59" s="26">
        <v>5.0999999999999996</v>
      </c>
      <c r="H59" s="10"/>
      <c r="I59" s="10">
        <f t="shared" si="8"/>
        <v>275.07007997119592</v>
      </c>
      <c r="J59" s="10">
        <f t="shared" si="6"/>
        <v>1980534183.3706493</v>
      </c>
      <c r="K59" s="11">
        <f t="shared" si="7"/>
        <v>8.1478999999999857E-2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6997189.1511083199</v>
      </c>
      <c r="D60" s="11">
        <v>2.9430000000000001E-2</v>
      </c>
      <c r="E60" s="10">
        <f t="shared" si="2"/>
        <v>200040.09667205997</v>
      </c>
      <c r="F60" s="3"/>
      <c r="G60" s="26">
        <v>9.07</v>
      </c>
      <c r="H60" s="10"/>
      <c r="I60" s="10">
        <f t="shared" si="8"/>
        <v>261.72224545308842</v>
      </c>
      <c r="J60" s="10">
        <f t="shared" si="6"/>
        <v>1831320056.488059</v>
      </c>
      <c r="K60" s="11">
        <f t="shared" si="7"/>
        <v>0.12279930100000014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6797149.0544362599</v>
      </c>
      <c r="D61" s="11">
        <v>2.8639999999999999E-2</v>
      </c>
      <c r="E61" s="10">
        <f t="shared" si="2"/>
        <v>189250.22254535556</v>
      </c>
      <c r="F61" s="3"/>
      <c r="G61" s="26">
        <v>11.52</v>
      </c>
      <c r="H61" s="10"/>
      <c r="I61" s="10">
        <f t="shared" si="8"/>
        <v>239.95805029163694</v>
      </c>
      <c r="J61" s="10">
        <f t="shared" si="6"/>
        <v>1631030634.6441686</v>
      </c>
      <c r="K61" s="11">
        <f t="shared" si="7"/>
        <v>0.14713932799999996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6607898.8318909043</v>
      </c>
      <c r="D62" s="11">
        <v>2.8240000000000001E-2</v>
      </c>
      <c r="E62" s="10">
        <f t="shared" si="2"/>
        <v>181482.0110213561</v>
      </c>
      <c r="F62" s="3"/>
      <c r="G62" s="26">
        <v>6.4</v>
      </c>
      <c r="H62" s="10"/>
      <c r="I62" s="10">
        <f t="shared" si="8"/>
        <v>215.17041812377775</v>
      </c>
      <c r="J62" s="10">
        <f t="shared" si="6"/>
        <v>1421824354.5775886</v>
      </c>
      <c r="K62" s="11">
        <f t="shared" si="7"/>
        <v>9.4047360000000024E-2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6426416.8208695482</v>
      </c>
      <c r="D63" s="11">
        <v>2.7779999999999999E-2</v>
      </c>
      <c r="E63" s="10">
        <f t="shared" si="2"/>
        <v>173700.46049130708</v>
      </c>
      <c r="F63" s="3"/>
      <c r="G63" s="26">
        <v>8.33</v>
      </c>
      <c r="H63" s="10"/>
      <c r="I63" s="10">
        <f t="shared" si="8"/>
        <v>202.22783658249787</v>
      </c>
      <c r="J63" s="10">
        <f t="shared" si="6"/>
        <v>1299600370.6618226</v>
      </c>
      <c r="K63" s="11">
        <f t="shared" si="7"/>
        <v>0.1133940739999999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6252716.3603782412</v>
      </c>
      <c r="D64" s="11">
        <v>2.7119999999999998E-2</v>
      </c>
      <c r="E64" s="10">
        <f t="shared" si="2"/>
        <v>165096.25719824154</v>
      </c>
      <c r="F64" s="3"/>
      <c r="G64" s="26">
        <v>3.42</v>
      </c>
      <c r="H64" s="10"/>
      <c r="I64" s="10">
        <f t="shared" si="8"/>
        <v>186.67759307901585</v>
      </c>
      <c r="J64" s="10">
        <f t="shared" si="6"/>
        <v>1167242040.3611944</v>
      </c>
      <c r="K64" s="11">
        <f t="shared" si="7"/>
        <v>6.2247503999999898E-2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6087620.1031799996</v>
      </c>
      <c r="D65" s="11">
        <v>2.6980000000000001E-2</v>
      </c>
      <c r="E65" s="10">
        <f t="shared" si="2"/>
        <v>159929.10317999963</v>
      </c>
      <c r="F65" s="3"/>
      <c r="G65" s="26">
        <v>5.55</v>
      </c>
      <c r="H65" s="10"/>
      <c r="I65" s="10">
        <f t="shared" si="8"/>
        <v>180.50434449721124</v>
      </c>
      <c r="J65" s="10">
        <f t="shared" si="6"/>
        <v>1098841876.2725513</v>
      </c>
      <c r="K65" s="11">
        <f t="shared" si="7"/>
        <v>8.3977390000000041E-2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5927691</v>
      </c>
      <c r="D66" s="11">
        <v>2.6440000000000002E-2</v>
      </c>
      <c r="E66" s="10">
        <f t="shared" si="2"/>
        <v>152691</v>
      </c>
      <c r="F66" s="23">
        <f>SUM(F2)</f>
        <v>22501433</v>
      </c>
      <c r="G66" s="26">
        <v>6.47</v>
      </c>
      <c r="H66" s="10"/>
      <c r="I66" s="10">
        <f t="shared" si="8"/>
        <v>171.01311652980692</v>
      </c>
      <c r="J66" s="10">
        <f t="shared" ref="J66:J67" si="9">IF(I66="","",I66*C66)</f>
        <v>1013712911.7356877</v>
      </c>
      <c r="K66" s="11">
        <f t="shared" ref="K66" si="10">IFERROR(J66/J67-1,"")</f>
        <v>9.2850667999999859E-2</v>
      </c>
    </row>
    <row r="67" spans="1:11" ht="22.5" customHeight="1">
      <c r="A67" s="3">
        <f t="shared" si="0"/>
        <v>1950</v>
      </c>
      <c r="B67" s="3">
        <v>1700</v>
      </c>
      <c r="C67" s="10">
        <v>5775000</v>
      </c>
      <c r="D67" s="11">
        <v>2.5860000000000001E-2</v>
      </c>
      <c r="E67" s="3" t="s">
        <v>72</v>
      </c>
      <c r="F67" s="10">
        <f>SUM(C2)</f>
        <v>22501504.120199237</v>
      </c>
      <c r="G67" s="26">
        <v>6.36</v>
      </c>
      <c r="H67" s="10"/>
      <c r="I67" s="10">
        <f t="shared" ref="I67" si="11">IF(H67&lt;&gt;"",H67,I66/(1+IF(G66="",0,G66)/100))</f>
        <v>160.62094160778335</v>
      </c>
      <c r="J67" s="10">
        <f t="shared" si="9"/>
        <v>927585937.78494883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</sheetData>
  <dataValidations count="1">
    <dataValidation type="custom" allowBlank="1" showDropDown="1" sqref="D2:D67" xr:uid="{00000000-0002-0000-5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M67"/>
  <sheetViews>
    <sheetView workbookViewId="0">
      <selection activeCell="G9" sqref="G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11018613.204951858</v>
      </c>
      <c r="D2" s="11">
        <v>1.034E-2</v>
      </c>
      <c r="E2" s="10">
        <f t="shared" ref="E2:E66" si="2">SUM(C2-C3)</f>
        <v>112766.45539046451</v>
      </c>
      <c r="F2" s="14">
        <v>11019227</v>
      </c>
      <c r="G2" s="26">
        <v>2.39</v>
      </c>
      <c r="H2" s="10"/>
      <c r="I2" s="10">
        <f>IF(H2&lt;&gt;"",H2,50480)</f>
        <v>6310</v>
      </c>
      <c r="J2" s="10">
        <f t="shared" ref="J2:J33" si="3">IF(I2="","",I2*C2)</f>
        <v>69527449323.246231</v>
      </c>
      <c r="K2" s="11">
        <f t="shared" ref="K2:K33" si="4">IFERROR(J2/J3-1,"")</f>
        <v>3.4487126000000146E-2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10905846.749561394</v>
      </c>
      <c r="D3" s="11">
        <v>1.06E-2</v>
      </c>
      <c r="E3" s="10">
        <f t="shared" si="2"/>
        <v>114389.4474028796</v>
      </c>
      <c r="F3" s="3"/>
      <c r="G3" s="26">
        <v>2.76</v>
      </c>
      <c r="H3" s="10"/>
      <c r="I3" s="10">
        <f t="shared" ref="I3:I34" si="5">IF(H3&lt;&gt;"",H3,I2/(1+IF(G2="",0,G2)/100))</f>
        <v>6162.7112022658457</v>
      </c>
      <c r="J3" s="10">
        <f t="shared" si="3"/>
        <v>67209583933.71656</v>
      </c>
      <c r="K3" s="11">
        <f t="shared" si="4"/>
        <v>3.849256000000012E-2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10791457.302158514</v>
      </c>
      <c r="D4" s="11">
        <v>1.0030000000000001E-2</v>
      </c>
      <c r="E4" s="10">
        <f t="shared" si="2"/>
        <v>107163.46716498584</v>
      </c>
      <c r="F4" s="3"/>
      <c r="G4" s="26">
        <v>-0.82</v>
      </c>
      <c r="H4" s="10"/>
      <c r="I4" s="10">
        <f t="shared" si="5"/>
        <v>5997.18879161721</v>
      </c>
      <c r="J4" s="10">
        <f t="shared" si="3"/>
        <v>64718406777.720734</v>
      </c>
      <c r="K4" s="11">
        <f t="shared" si="4"/>
        <v>1.7477540000001568E-3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10684293.834993528</v>
      </c>
      <c r="D5" s="11">
        <v>9.8300000000000002E-3</v>
      </c>
      <c r="E5" s="10">
        <f t="shared" si="2"/>
        <v>104004.2466533836</v>
      </c>
      <c r="F5" s="3"/>
      <c r="G5" s="26">
        <v>-2.92</v>
      </c>
      <c r="H5" s="10"/>
      <c r="I5" s="10">
        <f t="shared" si="5"/>
        <v>6046.7723246795822</v>
      </c>
      <c r="J5" s="10">
        <f t="shared" si="3"/>
        <v>64605492270.183548</v>
      </c>
      <c r="K5" s="11">
        <f t="shared" si="4"/>
        <v>-1.9657036000000017E-2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10580289.588340145</v>
      </c>
      <c r="D6" s="11">
        <v>1.073E-2</v>
      </c>
      <c r="E6" s="10">
        <f t="shared" si="2"/>
        <v>112321.29973671399</v>
      </c>
      <c r="F6" s="3"/>
      <c r="G6" s="26">
        <v>0.66</v>
      </c>
      <c r="H6" s="10"/>
      <c r="I6" s="10">
        <f t="shared" si="5"/>
        <v>6228.6488717342218</v>
      </c>
      <c r="J6" s="10">
        <f t="shared" si="3"/>
        <v>65900908807.036179</v>
      </c>
      <c r="K6" s="11">
        <f t="shared" si="4"/>
        <v>1.7400817999999818E-2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10467968.288603431</v>
      </c>
      <c r="D7" s="11">
        <v>1.057E-2</v>
      </c>
      <c r="E7" s="10">
        <f t="shared" si="2"/>
        <v>109489.12476180494</v>
      </c>
      <c r="F7" s="3"/>
      <c r="G7" s="26">
        <v>1.1100000000000001</v>
      </c>
      <c r="H7" s="10"/>
      <c r="I7" s="10">
        <f t="shared" si="5"/>
        <v>6187.809330155198</v>
      </c>
      <c r="J7" s="10">
        <f t="shared" si="3"/>
        <v>64773791843.989052</v>
      </c>
      <c r="K7" s="11">
        <f t="shared" si="4"/>
        <v>2.1787326999999967E-2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10358479.163841626</v>
      </c>
      <c r="D8" s="11">
        <v>1.056E-2</v>
      </c>
      <c r="E8" s="10">
        <f t="shared" si="2"/>
        <v>108242.49917883798</v>
      </c>
      <c r="F8" s="3"/>
      <c r="G8" s="26">
        <v>7.59</v>
      </c>
      <c r="H8" s="10"/>
      <c r="I8" s="10">
        <f t="shared" si="5"/>
        <v>6119.8786768422488</v>
      </c>
      <c r="J8" s="10">
        <f t="shared" si="3"/>
        <v>63392635759.30909</v>
      </c>
      <c r="K8" s="11">
        <f t="shared" si="4"/>
        <v>8.726150399999999E-2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10250236.664662788</v>
      </c>
      <c r="D9" s="11">
        <v>1.064E-2</v>
      </c>
      <c r="E9" s="10">
        <f t="shared" si="2"/>
        <v>107914.30985515378</v>
      </c>
      <c r="F9" s="3"/>
      <c r="G9" s="26">
        <v>3.37</v>
      </c>
      <c r="H9" s="10"/>
      <c r="I9" s="10">
        <f t="shared" si="5"/>
        <v>5688.148226454362</v>
      </c>
      <c r="J9" s="10">
        <f t="shared" si="3"/>
        <v>58304865504.839111</v>
      </c>
      <c r="K9" s="11">
        <f t="shared" si="4"/>
        <v>4.4698568000000272E-2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10142322.354807634</v>
      </c>
      <c r="D10" s="11">
        <v>9.6200000000000001E-3</v>
      </c>
      <c r="E10" s="10">
        <f t="shared" si="2"/>
        <v>96639.469358025119</v>
      </c>
      <c r="F10" s="3"/>
      <c r="G10" s="26">
        <v>7.14</v>
      </c>
      <c r="H10" s="10"/>
      <c r="I10" s="10">
        <f t="shared" si="5"/>
        <v>5502.7070005362884</v>
      </c>
      <c r="J10" s="10">
        <f t="shared" si="3"/>
        <v>55810228223.495659</v>
      </c>
      <c r="K10" s="11">
        <f t="shared" si="4"/>
        <v>8.1706867999999711E-2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10045682.885449609</v>
      </c>
      <c r="D11" s="11">
        <v>1.021E-2</v>
      </c>
      <c r="E11" s="10">
        <f t="shared" si="2"/>
        <v>101529.80297209509</v>
      </c>
      <c r="F11" s="3"/>
      <c r="G11" s="26">
        <v>5.91</v>
      </c>
      <c r="H11" s="10"/>
      <c r="I11" s="10">
        <f t="shared" si="5"/>
        <v>5135.9968270825921</v>
      </c>
      <c r="J11" s="10">
        <f t="shared" si="3"/>
        <v>51594595425.547089</v>
      </c>
      <c r="K11" s="11">
        <f t="shared" si="4"/>
        <v>6.9913410999999925E-2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9944153.0824775137</v>
      </c>
      <c r="D12" s="11">
        <v>1.0359999999999999E-2</v>
      </c>
      <c r="E12" s="10">
        <f t="shared" si="2"/>
        <v>101965.06783173047</v>
      </c>
      <c r="F12" s="3"/>
      <c r="G12" s="26">
        <v>3.85</v>
      </c>
      <c r="H12" s="10"/>
      <c r="I12" s="10">
        <f t="shared" si="5"/>
        <v>4849.39743846907</v>
      </c>
      <c r="J12" s="10">
        <f t="shared" si="3"/>
        <v>48223150485.910759</v>
      </c>
      <c r="K12" s="11">
        <f t="shared" si="4"/>
        <v>4.9258859999999904E-2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9842188.0146457832</v>
      </c>
      <c r="D13" s="11">
        <v>1.0189999999999999E-2</v>
      </c>
      <c r="E13" s="10">
        <f t="shared" si="2"/>
        <v>99280.230322256684</v>
      </c>
      <c r="F13" s="3"/>
      <c r="G13" s="26">
        <v>4.55</v>
      </c>
      <c r="H13" s="10"/>
      <c r="I13" s="10">
        <f t="shared" si="5"/>
        <v>4669.6171771488398</v>
      </c>
      <c r="J13" s="10">
        <f t="shared" si="3"/>
        <v>45959250213.918388</v>
      </c>
      <c r="K13" s="11">
        <f t="shared" si="4"/>
        <v>5.6153645000000196E-2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9742907.7843235265</v>
      </c>
      <c r="D14" s="11">
        <v>1.009E-2</v>
      </c>
      <c r="E14" s="10">
        <f t="shared" si="2"/>
        <v>97323.940979342908</v>
      </c>
      <c r="F14" s="3"/>
      <c r="G14" s="26">
        <v>3.2</v>
      </c>
      <c r="H14" s="10"/>
      <c r="I14" s="10">
        <f t="shared" si="5"/>
        <v>4466.3961522227064</v>
      </c>
      <c r="J14" s="10">
        <f t="shared" si="3"/>
        <v>43515685839.363251</v>
      </c>
      <c r="K14" s="11">
        <f t="shared" si="4"/>
        <v>4.2412879999999875E-2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9645583.8433441836</v>
      </c>
      <c r="D15" s="11">
        <v>1.0580000000000001E-2</v>
      </c>
      <c r="E15" s="10">
        <f t="shared" si="2"/>
        <v>100981.88868034445</v>
      </c>
      <c r="F15" s="3"/>
      <c r="G15" s="26">
        <v>3.28</v>
      </c>
      <c r="H15" s="10"/>
      <c r="I15" s="10">
        <f t="shared" si="5"/>
        <v>4327.9032482778166</v>
      </c>
      <c r="J15" s="10">
        <f t="shared" si="3"/>
        <v>41745153647.145317</v>
      </c>
      <c r="K15" s="11">
        <f t="shared" si="4"/>
        <v>4.3727024000000059E-2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9544601.9546638392</v>
      </c>
      <c r="D16" s="11">
        <v>1.081E-2</v>
      </c>
      <c r="E16" s="10">
        <f t="shared" si="2"/>
        <v>102073.73010745458</v>
      </c>
      <c r="F16" s="3"/>
      <c r="G16" s="26">
        <v>2.83</v>
      </c>
      <c r="H16" s="10"/>
      <c r="I16" s="10">
        <f t="shared" si="5"/>
        <v>4190.4562822209691</v>
      </c>
      <c r="J16" s="10">
        <f t="shared" si="3"/>
        <v>39996237222.219627</v>
      </c>
      <c r="K16" s="11">
        <f t="shared" si="4"/>
        <v>3.9415923000000186E-2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9442528.2245563846</v>
      </c>
      <c r="D17" s="11">
        <v>1.115E-2</v>
      </c>
      <c r="E17" s="10">
        <f t="shared" si="2"/>
        <v>104123.21584710851</v>
      </c>
      <c r="F17" s="3"/>
      <c r="G17" s="26">
        <v>3.5</v>
      </c>
      <c r="H17" s="10"/>
      <c r="I17" s="10">
        <f t="shared" si="5"/>
        <v>4075.1301003802091</v>
      </c>
      <c r="J17" s="10">
        <f t="shared" si="3"/>
        <v>38479530991.579414</v>
      </c>
      <c r="K17" s="11">
        <f t="shared" si="4"/>
        <v>4.6540249999999617E-2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9338405.0087092761</v>
      </c>
      <c r="D18" s="11">
        <v>1.1520000000000001E-2</v>
      </c>
      <c r="E18" s="10">
        <f t="shared" si="2"/>
        <v>106353.23641680926</v>
      </c>
      <c r="F18" s="3"/>
      <c r="G18" s="26">
        <v>5.27</v>
      </c>
      <c r="H18" s="10"/>
      <c r="I18" s="10">
        <f t="shared" si="5"/>
        <v>3937.3237684832943</v>
      </c>
      <c r="J18" s="10">
        <f t="shared" si="3"/>
        <v>36768324000.514481</v>
      </c>
      <c r="K18" s="11">
        <f t="shared" si="4"/>
        <v>6.4827103999999913E-2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9232051.7722924668</v>
      </c>
      <c r="D19" s="11">
        <v>1.154E-2</v>
      </c>
      <c r="E19" s="10">
        <f t="shared" si="2"/>
        <v>105322.45630647987</v>
      </c>
      <c r="F19" s="3"/>
      <c r="G19" s="26">
        <v>3.06</v>
      </c>
      <c r="H19" s="10"/>
      <c r="I19" s="10">
        <f t="shared" si="5"/>
        <v>3740.2144661188322</v>
      </c>
      <c r="J19" s="10">
        <f t="shared" si="3"/>
        <v>34529853590.686287</v>
      </c>
      <c r="K19" s="11">
        <f t="shared" si="4"/>
        <v>4.249312400000016E-2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9126729.315985987</v>
      </c>
      <c r="D20" s="11">
        <v>1.197E-2</v>
      </c>
      <c r="E20" s="10">
        <f t="shared" si="2"/>
        <v>107954.73177303001</v>
      </c>
      <c r="F20" s="3"/>
      <c r="G20" s="26">
        <v>5.17</v>
      </c>
      <c r="H20" s="10"/>
      <c r="I20" s="10">
        <f t="shared" si="5"/>
        <v>3629.1621056848753</v>
      </c>
      <c r="J20" s="10">
        <f t="shared" si="3"/>
        <v>33122380182.419586</v>
      </c>
      <c r="K20" s="11">
        <f t="shared" si="4"/>
        <v>6.4288849000000203E-2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9018774.584212957</v>
      </c>
      <c r="D21" s="11">
        <v>1.2330000000000001E-2</v>
      </c>
      <c r="E21" s="10">
        <f t="shared" si="2"/>
        <v>109847.07617411762</v>
      </c>
      <c r="F21" s="3"/>
      <c r="G21" s="26">
        <v>2.91</v>
      </c>
      <c r="H21" s="10"/>
      <c r="I21" s="10">
        <f t="shared" si="5"/>
        <v>3450.7579211608586</v>
      </c>
      <c r="J21" s="10">
        <f t="shared" si="3"/>
        <v>31121607835.637089</v>
      </c>
      <c r="K21" s="11">
        <f t="shared" si="4"/>
        <v>4.1788802999999763E-2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8908927.5080388393</v>
      </c>
      <c r="D22" s="11">
        <v>1.2829999999999999E-2</v>
      </c>
      <c r="E22" s="10">
        <f t="shared" si="2"/>
        <v>112853.62788240612</v>
      </c>
      <c r="F22" s="3"/>
      <c r="G22" s="26">
        <v>4.1100000000000003</v>
      </c>
      <c r="H22" s="10"/>
      <c r="I22" s="10">
        <f t="shared" si="5"/>
        <v>3353.1803723261673</v>
      </c>
      <c r="J22" s="10">
        <f t="shared" si="3"/>
        <v>29873240858.43251</v>
      </c>
      <c r="K22" s="11">
        <f t="shared" si="4"/>
        <v>5.4457312999999896E-2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8796073.8801564332</v>
      </c>
      <c r="D23" s="11">
        <v>1.338E-2</v>
      </c>
      <c r="E23" s="10">
        <f t="shared" si="2"/>
        <v>116137.54812261276</v>
      </c>
      <c r="F23" s="3"/>
      <c r="G23" s="26">
        <v>5.33</v>
      </c>
      <c r="H23" s="10"/>
      <c r="I23" s="10">
        <f t="shared" si="5"/>
        <v>3220.8052755029944</v>
      </c>
      <c r="J23" s="10">
        <f t="shared" si="3"/>
        <v>28330441156.921932</v>
      </c>
      <c r="K23" s="11">
        <f t="shared" si="4"/>
        <v>6.73931539999999E-2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8679936.3320338205</v>
      </c>
      <c r="D24" s="11">
        <v>1.342E-2</v>
      </c>
      <c r="E24" s="10">
        <f t="shared" si="2"/>
        <v>114942.22097047046</v>
      </c>
      <c r="F24" s="3"/>
      <c r="G24" s="26">
        <v>2.84</v>
      </c>
      <c r="H24" s="10"/>
      <c r="I24" s="10">
        <f t="shared" si="5"/>
        <v>3057.8232939361956</v>
      </c>
      <c r="J24" s="10">
        <f t="shared" si="3"/>
        <v>26541711505.976116</v>
      </c>
      <c r="K24" s="11">
        <f t="shared" si="4"/>
        <v>4.2201128000000088E-2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8564994.11106335</v>
      </c>
      <c r="D25" s="11">
        <v>1.3650000000000001E-2</v>
      </c>
      <c r="E25" s="10">
        <f t="shared" si="2"/>
        <v>115337.8085295856</v>
      </c>
      <c r="F25" s="3"/>
      <c r="G25" s="26">
        <v>-5.46</v>
      </c>
      <c r="H25" s="10"/>
      <c r="I25" s="10">
        <f t="shared" si="5"/>
        <v>2973.3793212137257</v>
      </c>
      <c r="J25" s="10">
        <f t="shared" si="3"/>
        <v>25466976376.153103</v>
      </c>
      <c r="K25" s="11">
        <f t="shared" si="4"/>
        <v>-4.169528999999994E-2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8449656.3025337644</v>
      </c>
      <c r="D26" s="11">
        <v>1.404E-2</v>
      </c>
      <c r="E26" s="10">
        <f t="shared" si="2"/>
        <v>116990.62609717064</v>
      </c>
      <c r="F26" s="3"/>
      <c r="G26" s="26">
        <v>-8.9</v>
      </c>
      <c r="H26" s="10"/>
      <c r="I26" s="10">
        <f t="shared" si="5"/>
        <v>3145.1018840847532</v>
      </c>
      <c r="J26" s="10">
        <f t="shared" si="3"/>
        <v>26575029956.967552</v>
      </c>
      <c r="K26" s="11">
        <f t="shared" si="4"/>
        <v>-7.6209559999999898E-2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8332665.6764365938</v>
      </c>
      <c r="D27" s="11">
        <v>1.473E-2</v>
      </c>
      <c r="E27" s="10">
        <f t="shared" si="2"/>
        <v>120958.44748249277</v>
      </c>
      <c r="F27" s="3"/>
      <c r="G27" s="26">
        <v>-5.6</v>
      </c>
      <c r="H27" s="10"/>
      <c r="I27" s="10">
        <f t="shared" si="5"/>
        <v>3452.3621120579069</v>
      </c>
      <c r="J27" s="10">
        <f t="shared" si="3"/>
        <v>28767379273.775066</v>
      </c>
      <c r="K27" s="11">
        <f t="shared" si="4"/>
        <v>-4.2094880000000168E-2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8211707.228954101</v>
      </c>
      <c r="D28" s="11">
        <v>1.511E-2</v>
      </c>
      <c r="E28" s="10">
        <f t="shared" si="2"/>
        <v>122231.97114548739</v>
      </c>
      <c r="F28" s="3"/>
      <c r="G28" s="26">
        <v>6.36</v>
      </c>
      <c r="H28" s="10"/>
      <c r="I28" s="10">
        <f t="shared" si="5"/>
        <v>3657.1632542986304</v>
      </c>
      <c r="J28" s="10">
        <f t="shared" si="3"/>
        <v>30031553932.789368</v>
      </c>
      <c r="K28" s="11">
        <f t="shared" si="4"/>
        <v>7.9670995999999938E-2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8089475.2578086136</v>
      </c>
      <c r="D29" s="11">
        <v>1.5520000000000001E-2</v>
      </c>
      <c r="E29" s="10">
        <f t="shared" si="2"/>
        <v>123629.9196482487</v>
      </c>
      <c r="F29" s="3"/>
      <c r="G29" s="26">
        <v>7.94</v>
      </c>
      <c r="H29" s="10"/>
      <c r="I29" s="10">
        <f t="shared" si="5"/>
        <v>3438.4761698934094</v>
      </c>
      <c r="J29" s="10">
        <f t="shared" si="3"/>
        <v>27815467900.917263</v>
      </c>
      <c r="K29" s="11">
        <f t="shared" si="4"/>
        <v>9.6152287999999864E-2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7965845.3381603649</v>
      </c>
      <c r="D30" s="11">
        <v>1.5480000000000001E-2</v>
      </c>
      <c r="E30" s="10">
        <f t="shared" si="2"/>
        <v>121431.52581510413</v>
      </c>
      <c r="F30" s="3"/>
      <c r="G30" s="26">
        <v>5.2</v>
      </c>
      <c r="H30" s="10"/>
      <c r="I30" s="10">
        <f t="shared" si="5"/>
        <v>3185.5439780372517</v>
      </c>
      <c r="J30" s="10">
        <f t="shared" si="3"/>
        <v>25375550646.952866</v>
      </c>
      <c r="K30" s="11">
        <f t="shared" si="4"/>
        <v>6.828495999999995E-2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7844413.8123452608</v>
      </c>
      <c r="D31" s="11">
        <v>1.5429999999999999E-2</v>
      </c>
      <c r="E31" s="10">
        <f t="shared" si="2"/>
        <v>119200.04837801494</v>
      </c>
      <c r="F31" s="3"/>
      <c r="G31" s="26">
        <v>6.52</v>
      </c>
      <c r="H31" s="10"/>
      <c r="I31" s="10">
        <f t="shared" si="5"/>
        <v>3028.0836293129769</v>
      </c>
      <c r="J31" s="10">
        <f t="shared" si="3"/>
        <v>23753541046.719284</v>
      </c>
      <c r="K31" s="11">
        <f t="shared" si="4"/>
        <v>8.1636036000000134E-2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7725213.7639672458</v>
      </c>
      <c r="D32" s="11">
        <v>1.5679999999999999E-2</v>
      </c>
      <c r="E32" s="10">
        <f t="shared" si="2"/>
        <v>119261.33410031255</v>
      </c>
      <c r="F32" s="3"/>
      <c r="G32" s="26">
        <v>5.95</v>
      </c>
      <c r="H32" s="10"/>
      <c r="I32" s="10">
        <f t="shared" si="5"/>
        <v>2842.7371660842819</v>
      </c>
      <c r="J32" s="10">
        <f t="shared" si="3"/>
        <v>21960752282.775536</v>
      </c>
      <c r="K32" s="11">
        <f t="shared" si="4"/>
        <v>7.6112959999999896E-2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7605952.4298669333</v>
      </c>
      <c r="D33" s="11">
        <v>1.5769999999999999E-2</v>
      </c>
      <c r="E33" s="10">
        <f t="shared" si="2"/>
        <v>118083.69002727233</v>
      </c>
      <c r="F33" s="3"/>
      <c r="G33" s="26">
        <v>6.08</v>
      </c>
      <c r="H33" s="10"/>
      <c r="I33" s="10">
        <f t="shared" si="5"/>
        <v>2683.0931251385387</v>
      </c>
      <c r="J33" s="10">
        <f t="shared" si="3"/>
        <v>20407478674.70673</v>
      </c>
      <c r="K33" s="11">
        <f t="shared" si="4"/>
        <v>7.7528816000000056E-2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7487868.7398396609</v>
      </c>
      <c r="D34" s="11">
        <v>1.6080000000000001E-2</v>
      </c>
      <c r="E34" s="10">
        <f t="shared" si="2"/>
        <v>118499.45805115998</v>
      </c>
      <c r="F34" s="3"/>
      <c r="G34" s="26">
        <v>2.85</v>
      </c>
      <c r="H34" s="10"/>
      <c r="I34" s="10">
        <f t="shared" si="5"/>
        <v>2529.3110154020915</v>
      </c>
      <c r="J34" s="10">
        <f t="shared" ref="J34:J65" si="6">IF(I34="","",I34*C34)</f>
        <v>18939148885.561432</v>
      </c>
      <c r="K34" s="11">
        <f t="shared" ref="K34:K65" si="7">IFERROR(J34/J35-1,"")</f>
        <v>5.8247320000000213E-2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7369369.281788501</v>
      </c>
      <c r="D35" s="11">
        <v>1.5959999999999998E-2</v>
      </c>
      <c r="E35" s="10">
        <f t="shared" si="2"/>
        <v>115767.48468182236</v>
      </c>
      <c r="F35" s="3"/>
      <c r="G35" s="26">
        <v>2.64</v>
      </c>
      <c r="H35" s="10"/>
      <c r="I35" s="10">
        <f t="shared" ref="I35:I66" si="8">IF(H35&lt;&gt;"",H35,I34/(1+IF(G34="",0,G34)/100))</f>
        <v>2428.5271391282681</v>
      </c>
      <c r="J35" s="10">
        <f t="shared" si="6"/>
        <v>17896713299.08157</v>
      </c>
      <c r="K35" s="11">
        <f t="shared" si="7"/>
        <v>7.0212264000000024E-2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7253601.7971066786</v>
      </c>
      <c r="D36" s="11">
        <v>1.6129999999999999E-2</v>
      </c>
      <c r="E36" s="10">
        <f t="shared" si="2"/>
        <v>115143.33499387931</v>
      </c>
      <c r="F36" s="3"/>
      <c r="G36" s="26">
        <v>-5.77</v>
      </c>
      <c r="H36" s="10"/>
      <c r="I36" s="10">
        <f t="shared" si="8"/>
        <v>2305.4178271580295</v>
      </c>
      <c r="J36" s="10">
        <f t="shared" si="6"/>
        <v>16722582894.155256</v>
      </c>
      <c r="K36" s="11">
        <f t="shared" si="7"/>
        <v>6.2735389999999391E-3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7138458.4621127993</v>
      </c>
      <c r="D37" s="11">
        <v>1.5910000000000001E-2</v>
      </c>
      <c r="E37" s="10">
        <f t="shared" si="2"/>
        <v>111794.22796528786</v>
      </c>
      <c r="F37" s="3"/>
      <c r="G37" s="26">
        <v>-2.86</v>
      </c>
      <c r="H37" s="10"/>
      <c r="I37" s="10">
        <f t="shared" si="8"/>
        <v>2327.999421547036</v>
      </c>
      <c r="J37" s="10">
        <f t="shared" si="6"/>
        <v>16618327170.53614</v>
      </c>
      <c r="K37" s="11">
        <f t="shared" si="7"/>
        <v>4.0698204000000127E-2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7026664.2341475114</v>
      </c>
      <c r="D38" s="11">
        <v>1.5949999999999999E-2</v>
      </c>
      <c r="E38" s="10">
        <f t="shared" si="2"/>
        <v>110315.758191498</v>
      </c>
      <c r="F38" s="3"/>
      <c r="G38" s="26">
        <v>0.43</v>
      </c>
      <c r="H38" s="10"/>
      <c r="I38" s="10">
        <f t="shared" si="8"/>
        <v>2272.549220565244</v>
      </c>
      <c r="J38" s="10">
        <f t="shared" si="6"/>
        <v>15968440328.485605</v>
      </c>
      <c r="K38" s="11">
        <f t="shared" si="7"/>
        <v>5.7908734999999822E-2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6916348.4759560134</v>
      </c>
      <c r="D39" s="11">
        <v>1.5990000000000001E-2</v>
      </c>
      <c r="E39" s="10">
        <f t="shared" si="2"/>
        <v>108851.87071775924</v>
      </c>
      <c r="F39" s="3"/>
      <c r="G39" s="26">
        <v>4.9800000000000004</v>
      </c>
      <c r="H39" s="10"/>
      <c r="I39" s="10">
        <f t="shared" si="8"/>
        <v>2182.4154619852534</v>
      </c>
      <c r="J39" s="10">
        <f t="shared" si="6"/>
        <v>15094345854.404547</v>
      </c>
      <c r="K39" s="11">
        <f t="shared" si="7"/>
        <v>6.6586302000000153E-2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6807496.6052382542</v>
      </c>
      <c r="D40" s="11">
        <v>1.5990000000000001E-2</v>
      </c>
      <c r="E40" s="10">
        <f t="shared" si="2"/>
        <v>107138.72254427616</v>
      </c>
      <c r="F40" s="3"/>
      <c r="G40" s="26">
        <v>3.29</v>
      </c>
      <c r="H40" s="10"/>
      <c r="I40" s="10">
        <f t="shared" si="8"/>
        <v>2078.886894632552</v>
      </c>
      <c r="J40" s="10">
        <f t="shared" si="6"/>
        <v>14152015477.885393</v>
      </c>
      <c r="K40" s="11">
        <f t="shared" si="7"/>
        <v>4.9416070999999784E-2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6700357.882693978</v>
      </c>
      <c r="D41" s="11">
        <v>1.5679999999999999E-2</v>
      </c>
      <c r="E41" s="10">
        <f t="shared" si="2"/>
        <v>103439.67745809816</v>
      </c>
      <c r="F41" s="3"/>
      <c r="G41" s="26">
        <v>12.06</v>
      </c>
      <c r="H41" s="10"/>
      <c r="I41" s="10">
        <f t="shared" si="8"/>
        <v>2012.6700499879487</v>
      </c>
      <c r="J41" s="10">
        <f t="shared" si="6"/>
        <v>13485609634.698835</v>
      </c>
      <c r="K41" s="11">
        <f t="shared" si="7"/>
        <v>0.13817100800000004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6596918.2052358799</v>
      </c>
      <c r="D42" s="11">
        <v>1.562E-2</v>
      </c>
      <c r="E42" s="10">
        <f t="shared" si="2"/>
        <v>101459.07166635618</v>
      </c>
      <c r="F42" s="3"/>
      <c r="G42" s="26">
        <v>-5.93</v>
      </c>
      <c r="H42" s="10"/>
      <c r="I42" s="10">
        <f t="shared" si="8"/>
        <v>1796.0646528537825</v>
      </c>
      <c r="J42" s="10">
        <f t="shared" si="6"/>
        <v>11848491606.191778</v>
      </c>
      <c r="K42" s="11">
        <f t="shared" si="7"/>
        <v>-4.4606266000000061E-2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6495459.1335695237</v>
      </c>
      <c r="D43" s="11">
        <v>1.6539999999999999E-2</v>
      </c>
      <c r="E43" s="10">
        <f t="shared" si="2"/>
        <v>105686.8338375669</v>
      </c>
      <c r="F43" s="3"/>
      <c r="G43" s="26">
        <v>-4.8499999999999996</v>
      </c>
      <c r="H43" s="10"/>
      <c r="I43" s="10">
        <f t="shared" si="8"/>
        <v>1909.2852693247396</v>
      </c>
      <c r="J43" s="10">
        <f t="shared" si="6"/>
        <v>12401684441.225128</v>
      </c>
      <c r="K43" s="11">
        <f t="shared" si="7"/>
        <v>-3.2762189999999913E-2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6389772.2997319568</v>
      </c>
      <c r="D44" s="11">
        <v>1.635E-2</v>
      </c>
      <c r="E44" s="10">
        <f t="shared" si="2"/>
        <v>102792.12584308349</v>
      </c>
      <c r="F44" s="3"/>
      <c r="G44" s="26">
        <v>10.69</v>
      </c>
      <c r="H44" s="10"/>
      <c r="I44" s="10">
        <f t="shared" si="8"/>
        <v>2006.6056430107615</v>
      </c>
      <c r="J44" s="10">
        <f t="shared" si="6"/>
        <v>12821753154.195995</v>
      </c>
      <c r="K44" s="11">
        <f t="shared" si="7"/>
        <v>0.12499781499999996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6286980.1738888733</v>
      </c>
      <c r="D45" s="11">
        <v>1.5980000000000001E-2</v>
      </c>
      <c r="E45" s="10">
        <f t="shared" si="2"/>
        <v>98885.748911145143</v>
      </c>
      <c r="F45" s="3"/>
      <c r="G45" s="26">
        <v>-5.89</v>
      </c>
      <c r="H45" s="10"/>
      <c r="I45" s="10">
        <f t="shared" si="8"/>
        <v>1812.8156500232735</v>
      </c>
      <c r="J45" s="10">
        <f t="shared" si="6"/>
        <v>11397136050.611792</v>
      </c>
      <c r="K45" s="11">
        <f t="shared" si="7"/>
        <v>-4.3861221999999755E-2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6188094.4249777282</v>
      </c>
      <c r="D46" s="11">
        <v>1.5679999999999999E-2</v>
      </c>
      <c r="E46" s="10">
        <f t="shared" si="2"/>
        <v>95531.388413329609</v>
      </c>
      <c r="F46" s="3"/>
      <c r="G46" s="26">
        <v>13.35</v>
      </c>
      <c r="H46" s="10"/>
      <c r="I46" s="10">
        <f t="shared" si="8"/>
        <v>1926.2731378421777</v>
      </c>
      <c r="J46" s="10">
        <f t="shared" si="6"/>
        <v>11919960065.265535</v>
      </c>
      <c r="K46" s="11">
        <f t="shared" si="7"/>
        <v>0.15127328000000007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6092563.0365643986</v>
      </c>
      <c r="D47" s="11">
        <v>1.5810000000000001E-2</v>
      </c>
      <c r="E47" s="10">
        <f t="shared" si="2"/>
        <v>94824.250212228857</v>
      </c>
      <c r="F47" s="3"/>
      <c r="G47" s="26">
        <v>4.22</v>
      </c>
      <c r="H47" s="10"/>
      <c r="I47" s="10">
        <f t="shared" si="8"/>
        <v>1699.4028564994951</v>
      </c>
      <c r="J47" s="10">
        <f t="shared" si="6"/>
        <v>10353719027.740776</v>
      </c>
      <c r="K47" s="11">
        <f t="shared" si="7"/>
        <v>5.867718200000005E-2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5997738.7863521697</v>
      </c>
      <c r="D48" s="11">
        <v>1.5389999999999999E-2</v>
      </c>
      <c r="E48" s="10">
        <f t="shared" si="2"/>
        <v>90906.154208688065</v>
      </c>
      <c r="F48" s="3"/>
      <c r="G48" s="26">
        <v>-2.0499999999999998</v>
      </c>
      <c r="H48" s="10"/>
      <c r="I48" s="10">
        <f t="shared" si="8"/>
        <v>1630.5918791973663</v>
      </c>
      <c r="J48" s="10">
        <f t="shared" si="6"/>
        <v>9779864158.572916</v>
      </c>
      <c r="K48" s="11">
        <f t="shared" si="7"/>
        <v>-5.4254950000000024E-3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5906832.6321434816</v>
      </c>
      <c r="D49" s="11">
        <v>1.5310000000000001E-2</v>
      </c>
      <c r="E49" s="10">
        <f t="shared" si="2"/>
        <v>89069.946713926271</v>
      </c>
      <c r="F49" s="3"/>
      <c r="G49" s="26">
        <v>2.97</v>
      </c>
      <c r="H49" s="10"/>
      <c r="I49" s="10">
        <f t="shared" si="8"/>
        <v>1664.7186107170662</v>
      </c>
      <c r="J49" s="10">
        <f t="shared" si="6"/>
        <v>9833214213.1201286</v>
      </c>
      <c r="K49" s="11">
        <f t="shared" si="7"/>
        <v>4.5464707000000049E-2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5817762.6854295554</v>
      </c>
      <c r="D50" s="11">
        <v>1.529E-2</v>
      </c>
      <c r="E50" s="10">
        <f t="shared" si="2"/>
        <v>87613.973800803535</v>
      </c>
      <c r="F50" s="3"/>
      <c r="G50" s="26">
        <v>3.04</v>
      </c>
      <c r="H50" s="10"/>
      <c r="I50" s="10">
        <f t="shared" si="8"/>
        <v>1616.7025451268003</v>
      </c>
      <c r="J50" s="10">
        <f t="shared" si="6"/>
        <v>9405591740.4776897</v>
      </c>
      <c r="K50" s="11">
        <f t="shared" si="7"/>
        <v>4.6154815999999821E-2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5730148.7116287518</v>
      </c>
      <c r="D51" s="11">
        <v>1.5219999999999999E-2</v>
      </c>
      <c r="E51" s="10">
        <f t="shared" si="2"/>
        <v>85905.383454807103</v>
      </c>
      <c r="F51" s="3"/>
      <c r="G51" s="26">
        <v>4.24</v>
      </c>
      <c r="H51" s="10"/>
      <c r="I51" s="10">
        <f t="shared" si="8"/>
        <v>1569.0047992302023</v>
      </c>
      <c r="J51" s="10">
        <f t="shared" si="6"/>
        <v>8990630828.8482723</v>
      </c>
      <c r="K51" s="11">
        <f t="shared" si="7"/>
        <v>5.8265327999999839E-2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5644243.3281739447</v>
      </c>
      <c r="D52" s="11">
        <v>1.541E-2</v>
      </c>
      <c r="E52" s="10">
        <f t="shared" si="2"/>
        <v>85657.802943795919</v>
      </c>
      <c r="F52" s="3"/>
      <c r="G52" s="26">
        <v>6.71</v>
      </c>
      <c r="H52" s="10"/>
      <c r="I52" s="10">
        <f t="shared" si="8"/>
        <v>1505.1849570512302</v>
      </c>
      <c r="J52" s="10">
        <f t="shared" si="6"/>
        <v>8495630151.5041914</v>
      </c>
      <c r="K52" s="11">
        <f t="shared" si="7"/>
        <v>8.3544010999999641E-2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5558585.5252301488</v>
      </c>
      <c r="D53" s="11">
        <v>1.5869999999999999E-2</v>
      </c>
      <c r="E53" s="10">
        <f t="shared" si="2"/>
        <v>86836.654577261768</v>
      </c>
      <c r="F53" s="3"/>
      <c r="G53" s="26">
        <v>5.24</v>
      </c>
      <c r="H53" s="10"/>
      <c r="I53" s="10">
        <f t="shared" si="8"/>
        <v>1410.5378662273736</v>
      </c>
      <c r="J53" s="10">
        <f t="shared" si="6"/>
        <v>7840595366.0004988</v>
      </c>
      <c r="K53" s="11">
        <f t="shared" si="7"/>
        <v>6.9101588000000103E-2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5471748.870652887</v>
      </c>
      <c r="D54" s="11">
        <v>1.634E-2</v>
      </c>
      <c r="E54" s="10">
        <f t="shared" si="2"/>
        <v>87970.931525344029</v>
      </c>
      <c r="F54" s="3"/>
      <c r="G54" s="26">
        <v>3.49</v>
      </c>
      <c r="H54" s="10"/>
      <c r="I54" s="10">
        <f t="shared" si="8"/>
        <v>1340.3058402008492</v>
      </c>
      <c r="J54" s="10">
        <f t="shared" si="6"/>
        <v>7333816967.4484653</v>
      </c>
      <c r="K54" s="11">
        <f t="shared" si="7"/>
        <v>5.1810265999999938E-2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5383777.939127543</v>
      </c>
      <c r="D55" s="11">
        <v>1.653E-2</v>
      </c>
      <c r="E55" s="10">
        <f t="shared" si="2"/>
        <v>87546.702344031073</v>
      </c>
      <c r="F55" s="3"/>
      <c r="G55" s="26">
        <v>6.24</v>
      </c>
      <c r="H55" s="10"/>
      <c r="I55" s="10">
        <f t="shared" si="8"/>
        <v>1295.1066191910804</v>
      </c>
      <c r="J55" s="10">
        <f t="shared" si="6"/>
        <v>6972566445.2189951</v>
      </c>
      <c r="K55" s="11">
        <f t="shared" si="7"/>
        <v>7.9961471999999922E-2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5296231.2367835119</v>
      </c>
      <c r="D56" s="11">
        <v>1.66E-2</v>
      </c>
      <c r="E56" s="10">
        <f t="shared" si="2"/>
        <v>86481.839986824431</v>
      </c>
      <c r="F56" s="3"/>
      <c r="G56" s="26">
        <v>4.7</v>
      </c>
      <c r="H56" s="10"/>
      <c r="I56" s="10">
        <f t="shared" si="8"/>
        <v>1219.0386099313635</v>
      </c>
      <c r="J56" s="10">
        <f t="shared" si="6"/>
        <v>6456310364.7636385</v>
      </c>
      <c r="K56" s="11">
        <f t="shared" si="7"/>
        <v>6.4380199999999999E-2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5209749.3967966875</v>
      </c>
      <c r="D57" s="11">
        <v>1.6500000000000001E-2</v>
      </c>
      <c r="E57" s="10">
        <f t="shared" si="2"/>
        <v>84565.533740428276</v>
      </c>
      <c r="F57" s="3"/>
      <c r="G57" s="26">
        <v>1.32</v>
      </c>
      <c r="H57" s="10"/>
      <c r="I57" s="10">
        <f t="shared" si="8"/>
        <v>1164.3157687978639</v>
      </c>
      <c r="J57" s="10">
        <f t="shared" si="6"/>
        <v>6065793374.1755428</v>
      </c>
      <c r="K57" s="11">
        <f t="shared" si="7"/>
        <v>2.9917799999999994E-2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5125183.8630562592</v>
      </c>
      <c r="D58" s="11">
        <v>1.6789999999999999E-2</v>
      </c>
      <c r="E58" s="10">
        <f t="shared" si="2"/>
        <v>84630.884509795345</v>
      </c>
      <c r="F58" s="3"/>
      <c r="G58" s="26">
        <v>3.8</v>
      </c>
      <c r="H58" s="10"/>
      <c r="I58" s="10">
        <f t="shared" si="8"/>
        <v>1149.1470280278957</v>
      </c>
      <c r="J58" s="10">
        <f t="shared" si="6"/>
        <v>5889589804.32763</v>
      </c>
      <c r="K58" s="11">
        <f t="shared" si="7"/>
        <v>5.5428020000000133E-2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5040552.9785464639</v>
      </c>
      <c r="D59" s="11">
        <v>1.695E-2</v>
      </c>
      <c r="E59" s="10">
        <f t="shared" si="2"/>
        <v>84013.346758800559</v>
      </c>
      <c r="F59" s="3"/>
      <c r="G59" s="26">
        <v>4.71</v>
      </c>
      <c r="H59" s="10"/>
      <c r="I59" s="10">
        <f t="shared" si="8"/>
        <v>1107.0780616839072</v>
      </c>
      <c r="J59" s="10">
        <f t="shared" si="6"/>
        <v>5580285621.3042641</v>
      </c>
      <c r="K59" s="11">
        <f t="shared" si="7"/>
        <v>6.4848344999999918E-2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4956539.6317876633</v>
      </c>
      <c r="D60" s="11">
        <v>1.694E-2</v>
      </c>
      <c r="E60" s="10">
        <f t="shared" si="2"/>
        <v>82565.128092594445</v>
      </c>
      <c r="F60" s="3"/>
      <c r="G60" s="26">
        <v>6.05</v>
      </c>
      <c r="H60" s="10"/>
      <c r="I60" s="10">
        <f t="shared" si="8"/>
        <v>1057.2801658713659</v>
      </c>
      <c r="J60" s="10">
        <f t="shared" si="6"/>
        <v>5240451044.0444593</v>
      </c>
      <c r="K60" s="11">
        <f t="shared" si="7"/>
        <v>7.8464869999999909E-2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4873974.5036950689</v>
      </c>
      <c r="D61" s="11">
        <v>1.7739999999999999E-2</v>
      </c>
      <c r="E61" s="10">
        <f t="shared" si="2"/>
        <v>84957.167543332092</v>
      </c>
      <c r="F61" s="3"/>
      <c r="G61" s="26">
        <v>4.78</v>
      </c>
      <c r="H61" s="10"/>
      <c r="I61" s="10">
        <f t="shared" si="8"/>
        <v>996.96385277827994</v>
      </c>
      <c r="J61" s="10">
        <f t="shared" si="6"/>
        <v>4859176399.5469408</v>
      </c>
      <c r="K61" s="11">
        <f t="shared" si="7"/>
        <v>6.6387972000000239E-2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4789017.3361517368</v>
      </c>
      <c r="D62" s="11">
        <v>1.763E-2</v>
      </c>
      <c r="E62" s="10">
        <f t="shared" si="2"/>
        <v>82967.655863482505</v>
      </c>
      <c r="F62" s="3"/>
      <c r="G62" s="26">
        <v>5.44</v>
      </c>
      <c r="H62" s="10"/>
      <c r="I62" s="10">
        <f t="shared" si="8"/>
        <v>951.48296695770171</v>
      </c>
      <c r="J62" s="10">
        <f t="shared" si="6"/>
        <v>4556668423.8135233</v>
      </c>
      <c r="K62" s="11">
        <f t="shared" si="7"/>
        <v>7.2989071999999933E-2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4706049.6802882543</v>
      </c>
      <c r="D63" s="11">
        <v>1.848E-2</v>
      </c>
      <c r="E63" s="10">
        <f t="shared" si="2"/>
        <v>85389.794685930945</v>
      </c>
      <c r="F63" s="3"/>
      <c r="G63" s="26">
        <v>7.15</v>
      </c>
      <c r="H63" s="10"/>
      <c r="I63" s="10">
        <f t="shared" si="8"/>
        <v>902.39279870798725</v>
      </c>
      <c r="J63" s="10">
        <f t="shared" si="6"/>
        <v>4246705341.8541465</v>
      </c>
      <c r="K63" s="11">
        <f t="shared" si="7"/>
        <v>9.1301319999999908E-2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4620659.8856023233</v>
      </c>
      <c r="D64" s="11">
        <v>1.8859999999999998E-2</v>
      </c>
      <c r="E64" s="10">
        <f t="shared" si="2"/>
        <v>85532.502446322702</v>
      </c>
      <c r="F64" s="3"/>
      <c r="G64" s="26">
        <v>7.65</v>
      </c>
      <c r="H64" s="10"/>
      <c r="I64" s="10">
        <f t="shared" si="8"/>
        <v>842.17713365187808</v>
      </c>
      <c r="J64" s="10">
        <f t="shared" si="6"/>
        <v>3891414098.0367794</v>
      </c>
      <c r="K64" s="11">
        <f t="shared" si="7"/>
        <v>9.6802790000000138E-2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4535127.3831560006</v>
      </c>
      <c r="D65" s="11">
        <v>1.9470000000000001E-2</v>
      </c>
      <c r="E65" s="10">
        <f t="shared" si="2"/>
        <v>86612.583156000823</v>
      </c>
      <c r="F65" s="3"/>
      <c r="G65" s="26">
        <v>7.29</v>
      </c>
      <c r="H65" s="10"/>
      <c r="I65" s="10">
        <f t="shared" si="8"/>
        <v>782.32896762831217</v>
      </c>
      <c r="J65" s="10">
        <f t="shared" si="6"/>
        <v>3547961523.7273231</v>
      </c>
      <c r="K65" s="11">
        <f t="shared" si="7"/>
        <v>9.3789362999999959E-2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4448514.8</v>
      </c>
      <c r="D66" s="11">
        <v>1.9599999999999999E-2</v>
      </c>
      <c r="E66" s="10">
        <f t="shared" si="2"/>
        <v>85514.799999999814</v>
      </c>
      <c r="F66" s="23">
        <f>SUM(F2)</f>
        <v>11019227</v>
      </c>
      <c r="G66" s="26">
        <v>5.08</v>
      </c>
      <c r="H66" s="10"/>
      <c r="I66" s="10">
        <f t="shared" si="8"/>
        <v>729.17230648551799</v>
      </c>
      <c r="J66" s="10">
        <f t="shared" ref="J66:J67" si="9">IF(I66="","",I66*C66)</f>
        <v>3243733797.1509628</v>
      </c>
      <c r="K66" s="11">
        <f t="shared" ref="K66" si="10">IFERROR(J66/J67-1,"")</f>
        <v>7.1395679999999961E-2</v>
      </c>
    </row>
    <row r="67" spans="1:11" ht="22.5" customHeight="1">
      <c r="A67" s="3">
        <f t="shared" si="0"/>
        <v>1950</v>
      </c>
      <c r="B67" s="3">
        <v>1700</v>
      </c>
      <c r="C67" s="10">
        <v>4363000</v>
      </c>
      <c r="D67" s="11">
        <v>1.9789999999999999E-2</v>
      </c>
      <c r="E67" s="3" t="s">
        <v>72</v>
      </c>
      <c r="F67" s="10">
        <f>SUM(C2)</f>
        <v>11018613.204951858</v>
      </c>
      <c r="G67" s="26">
        <v>5.44</v>
      </c>
      <c r="H67" s="10"/>
      <c r="I67" s="10">
        <f t="shared" ref="I67" si="11">IF(H67&lt;&gt;"",H67,I66/(1+IF(G66="",0,G66)/100))</f>
        <v>693.92111389942716</v>
      </c>
      <c r="J67" s="10">
        <f t="shared" si="9"/>
        <v>3027577819.9432006</v>
      </c>
      <c r="K67" s="11"/>
    </row>
  </sheetData>
  <dataValidations count="1">
    <dataValidation type="custom" allowBlank="1" showDropDown="1" sqref="D2:D67" xr:uid="{00000000-0002-0000-5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23361072.93305508</v>
      </c>
      <c r="D2" s="11">
        <v>1.057E-2</v>
      </c>
      <c r="E2" s="10">
        <f t="shared" ref="E2:E66" si="2">SUM(C2-C3)</f>
        <v>244343.82665465027</v>
      </c>
      <c r="F2" s="14">
        <v>23361657</v>
      </c>
      <c r="G2" s="29">
        <v>0.37</v>
      </c>
      <c r="H2" s="10"/>
      <c r="I2" s="10">
        <f>IF(H2&lt;&gt;"",H2,113648)</f>
        <v>14206</v>
      </c>
      <c r="J2" s="10">
        <f t="shared" ref="J2:J33" si="3">IF(I2="","",I2*C2)</f>
        <v>331867402086.98047</v>
      </c>
      <c r="K2" s="11">
        <f t="shared" ref="K2:K33" si="4">IFERROR(J2/J3-1,"")</f>
        <v>1.430910899999982E-2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23116729.10640043</v>
      </c>
      <c r="D3" s="11">
        <v>1.057E-2</v>
      </c>
      <c r="E3" s="10">
        <f t="shared" si="2"/>
        <v>241788.12616112828</v>
      </c>
      <c r="F3" s="3"/>
      <c r="G3" s="29">
        <v>3.24</v>
      </c>
      <c r="H3" s="10"/>
      <c r="I3" s="10">
        <f t="shared" ref="I3:I34" si="5">IF(H3&lt;&gt;"",H3,I2/(1+IF(G2="",0,G2)/100))</f>
        <v>14153.6315632161</v>
      </c>
      <c r="J3" s="10">
        <f t="shared" si="3"/>
        <v>327185666718.66547</v>
      </c>
      <c r="K3" s="11">
        <f t="shared" si="4"/>
        <v>4.3312467999999882E-2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22874940.980239302</v>
      </c>
      <c r="D4" s="11">
        <v>9.2800000000000001E-3</v>
      </c>
      <c r="E4" s="10">
        <f t="shared" si="2"/>
        <v>210327.61205673218</v>
      </c>
      <c r="F4" s="3"/>
      <c r="G4" s="29">
        <v>4.6399999999999997</v>
      </c>
      <c r="H4" s="10"/>
      <c r="I4" s="10">
        <f t="shared" si="5"/>
        <v>13709.445528105483</v>
      </c>
      <c r="J4" s="10">
        <f t="shared" si="3"/>
        <v>313602757327.21857</v>
      </c>
      <c r="K4" s="11">
        <f t="shared" si="4"/>
        <v>5.6110592000000015E-2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22664613.36818257</v>
      </c>
      <c r="D5" s="11">
        <v>7.6800000000000002E-3</v>
      </c>
      <c r="E5" s="10">
        <f t="shared" si="2"/>
        <v>172737.60585467517</v>
      </c>
      <c r="F5" s="3"/>
      <c r="G5" s="29">
        <v>3.54</v>
      </c>
      <c r="H5" s="10"/>
      <c r="I5" s="10">
        <f t="shared" si="5"/>
        <v>13101.534334963191</v>
      </c>
      <c r="J5" s="10">
        <f t="shared" si="3"/>
        <v>296941210231.90967</v>
      </c>
      <c r="K5" s="11">
        <f t="shared" si="4"/>
        <v>4.3351872000000125E-2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22491875.762327895</v>
      </c>
      <c r="D6" s="11">
        <v>7.1199999999999996E-3</v>
      </c>
      <c r="E6" s="10">
        <f t="shared" si="2"/>
        <v>159010.00419788435</v>
      </c>
      <c r="F6" s="3"/>
      <c r="G6" s="29">
        <v>5.16</v>
      </c>
      <c r="H6" s="10"/>
      <c r="I6" s="10">
        <f t="shared" si="5"/>
        <v>12653.59700112342</v>
      </c>
      <c r="J6" s="10">
        <f t="shared" si="3"/>
        <v>284603131695.83276</v>
      </c>
      <c r="K6" s="11">
        <f t="shared" si="4"/>
        <v>5.9087391999999905E-2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22332865.75813001</v>
      </c>
      <c r="D7" s="11">
        <v>7.9699999999999997E-3</v>
      </c>
      <c r="E7" s="10">
        <f t="shared" si="2"/>
        <v>176585.55323303118</v>
      </c>
      <c r="F7" s="3"/>
      <c r="G7" s="29">
        <v>7.8</v>
      </c>
      <c r="H7" s="10"/>
      <c r="I7" s="10">
        <f t="shared" si="5"/>
        <v>12032.709206089216</v>
      </c>
      <c r="J7" s="10">
        <f t="shared" si="3"/>
        <v>268724879406.20557</v>
      </c>
      <c r="K7" s="11">
        <f t="shared" si="4"/>
        <v>8.659166000000007E-2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22156280.204896979</v>
      </c>
      <c r="D8" s="11">
        <v>9.0600000000000003E-3</v>
      </c>
      <c r="E8" s="10">
        <f t="shared" si="2"/>
        <v>198933.56059735641</v>
      </c>
      <c r="F8" s="3"/>
      <c r="G8" s="29">
        <v>4.24</v>
      </c>
      <c r="H8" s="10"/>
      <c r="I8" s="10">
        <f t="shared" si="5"/>
        <v>11162.067909173669</v>
      </c>
      <c r="J8" s="10">
        <f t="shared" si="3"/>
        <v>247309904261.74039</v>
      </c>
      <c r="K8" s="11">
        <f t="shared" si="4"/>
        <v>5.1844144000000147E-2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21957346.644299623</v>
      </c>
      <c r="D9" s="11">
        <v>7.9699999999999997E-3</v>
      </c>
      <c r="E9" s="10">
        <f t="shared" si="2"/>
        <v>173616.33060018346</v>
      </c>
      <c r="F9" s="3"/>
      <c r="G9" s="29">
        <v>7.18</v>
      </c>
      <c r="H9" s="10"/>
      <c r="I9" s="10">
        <f t="shared" si="5"/>
        <v>10708.046727910274</v>
      </c>
      <c r="J9" s="10">
        <f t="shared" si="3"/>
        <v>235120293888.0842</v>
      </c>
      <c r="K9" s="11">
        <f t="shared" si="4"/>
        <v>8.034224599999984E-2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21783730.313699439</v>
      </c>
      <c r="D10" s="11">
        <v>7.6299999999999996E-3</v>
      </c>
      <c r="E10" s="10">
        <f t="shared" si="2"/>
        <v>164951.28399663419</v>
      </c>
      <c r="F10" s="3"/>
      <c r="G10" s="29">
        <v>6.54</v>
      </c>
      <c r="H10" s="10"/>
      <c r="I10" s="10">
        <f t="shared" si="5"/>
        <v>9990.7134987033714</v>
      </c>
      <c r="J10" s="10">
        <f t="shared" si="3"/>
        <v>217635008497.19083</v>
      </c>
      <c r="K10" s="11">
        <f t="shared" si="4"/>
        <v>7.3529001999999899E-2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21618779.029702805</v>
      </c>
      <c r="D11" s="11">
        <v>7.2100000000000003E-3</v>
      </c>
      <c r="E11" s="10">
        <f t="shared" si="2"/>
        <v>154755.60886424407</v>
      </c>
      <c r="F11" s="3"/>
      <c r="G11" s="29">
        <v>4.0999999999999996</v>
      </c>
      <c r="H11" s="10"/>
      <c r="I11" s="10">
        <f t="shared" si="5"/>
        <v>9377.4296026876036</v>
      </c>
      <c r="J11" s="10">
        <f t="shared" si="3"/>
        <v>202728578447.09708</v>
      </c>
      <c r="K11" s="11">
        <f t="shared" si="4"/>
        <v>4.8505609999999866E-2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21464023.420838561</v>
      </c>
      <c r="D12" s="11">
        <v>4.0099999999999997E-3</v>
      </c>
      <c r="E12" s="10">
        <f t="shared" si="2"/>
        <v>85726.968772783875</v>
      </c>
      <c r="F12" s="3"/>
      <c r="G12" s="29">
        <v>7.46</v>
      </c>
      <c r="H12" s="10"/>
      <c r="I12" s="10">
        <f t="shared" si="5"/>
        <v>9008.0976010447685</v>
      </c>
      <c r="J12" s="10">
        <f t="shared" si="3"/>
        <v>193350017886.02457</v>
      </c>
      <c r="K12" s="11">
        <f t="shared" si="4"/>
        <v>7.8909146000000208E-2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21378296.452065777</v>
      </c>
      <c r="D13" s="11">
        <v>3.9699999999999996E-3</v>
      </c>
      <c r="E13" s="10">
        <f t="shared" si="2"/>
        <v>84536.228089187294</v>
      </c>
      <c r="F13" s="3"/>
      <c r="G13" s="29">
        <v>5</v>
      </c>
      <c r="H13" s="10"/>
      <c r="I13" s="10">
        <f t="shared" si="5"/>
        <v>8382.7448362597879</v>
      </c>
      <c r="J13" s="10">
        <f t="shared" si="3"/>
        <v>179208804191.58533</v>
      </c>
      <c r="K13" s="11">
        <f t="shared" si="4"/>
        <v>5.4168500000000064E-2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21293760.22397659</v>
      </c>
      <c r="D14" s="11">
        <v>3.9100000000000003E-3</v>
      </c>
      <c r="E14" s="10">
        <f t="shared" si="2"/>
        <v>82934.329248387367</v>
      </c>
      <c r="F14" s="3"/>
      <c r="G14" s="29">
        <v>0.81</v>
      </c>
      <c r="H14" s="10"/>
      <c r="I14" s="10">
        <f t="shared" si="5"/>
        <v>7983.5665107236073</v>
      </c>
      <c r="J14" s="10">
        <f t="shared" si="3"/>
        <v>170000151011.51791</v>
      </c>
      <c r="K14" s="11">
        <f t="shared" si="4"/>
        <v>1.2041670999999976E-2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21210825.894728202</v>
      </c>
      <c r="D15" s="11">
        <v>3.5599999999999998E-3</v>
      </c>
      <c r="E15" s="10">
        <f t="shared" si="2"/>
        <v>75242.676257755607</v>
      </c>
      <c r="F15" s="3"/>
      <c r="G15" s="29">
        <v>2.73</v>
      </c>
      <c r="H15" s="10"/>
      <c r="I15" s="10">
        <f t="shared" si="5"/>
        <v>7919.4192150814479</v>
      </c>
      <c r="J15" s="10">
        <f t="shared" si="3"/>
        <v>167977422158.45767</v>
      </c>
      <c r="K15" s="11">
        <f t="shared" si="4"/>
        <v>3.0957188000000135E-2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21135583.218470447</v>
      </c>
      <c r="D16" s="11">
        <v>2.96E-3</v>
      </c>
      <c r="E16" s="10">
        <f t="shared" si="2"/>
        <v>62376.691320367157</v>
      </c>
      <c r="F16" s="3"/>
      <c r="G16" s="29">
        <v>3.84</v>
      </c>
      <c r="H16" s="10"/>
      <c r="I16" s="10">
        <f t="shared" si="5"/>
        <v>7708.9644846504889</v>
      </c>
      <c r="J16" s="10">
        <f t="shared" si="3"/>
        <v>162933460393.56354</v>
      </c>
      <c r="K16" s="11">
        <f t="shared" si="4"/>
        <v>4.1473664000000188E-2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21073206.52715008</v>
      </c>
      <c r="D17" s="11">
        <v>2.4299999999999999E-3</v>
      </c>
      <c r="E17" s="10">
        <f t="shared" si="2"/>
        <v>51083.758328236639</v>
      </c>
      <c r="F17" s="3"/>
      <c r="G17" s="29">
        <v>-1.93</v>
      </c>
      <c r="H17" s="10"/>
      <c r="I17" s="10">
        <f t="shared" si="5"/>
        <v>7423.8872155725048</v>
      </c>
      <c r="J17" s="10">
        <f t="shared" si="3"/>
        <v>156445108528.02853</v>
      </c>
      <c r="K17" s="11">
        <f t="shared" si="4"/>
        <v>-1.691689899999993E-2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21022122.768821843</v>
      </c>
      <c r="D18" s="11">
        <v>8.1999999999999998E-4</v>
      </c>
      <c r="E18" s="10">
        <f t="shared" si="2"/>
        <v>17224.016976512969</v>
      </c>
      <c r="F18" s="3"/>
      <c r="G18" s="29">
        <v>-1.52</v>
      </c>
      <c r="H18" s="10"/>
      <c r="I18" s="10">
        <f t="shared" si="5"/>
        <v>7569.9879836570863</v>
      </c>
      <c r="J18" s="10">
        <f t="shared" si="3"/>
        <v>159137216750.94537</v>
      </c>
      <c r="K18" s="11">
        <f t="shared" si="4"/>
        <v>-1.439246400000016E-2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21004898.75184533</v>
      </c>
      <c r="D19" s="11">
        <v>7.6999999999999996E-4</v>
      </c>
      <c r="E19" s="10">
        <f t="shared" si="2"/>
        <v>16161.32781650126</v>
      </c>
      <c r="F19" s="3"/>
      <c r="G19" s="29">
        <v>4.5199999999999996</v>
      </c>
      <c r="H19" s="10"/>
      <c r="I19" s="10">
        <f t="shared" si="5"/>
        <v>7686.8277656956607</v>
      </c>
      <c r="J19" s="10">
        <f t="shared" si="3"/>
        <v>161461038941.31082</v>
      </c>
      <c r="K19" s="11">
        <f t="shared" si="4"/>
        <v>4.6004804000000066E-2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20988737.424028829</v>
      </c>
      <c r="D20" s="11">
        <v>3.6999999999999999E-4</v>
      </c>
      <c r="E20" s="10">
        <f t="shared" si="2"/>
        <v>7762.9605514854193</v>
      </c>
      <c r="F20" s="3"/>
      <c r="G20" s="29">
        <v>8.5500000000000007</v>
      </c>
      <c r="H20" s="10"/>
      <c r="I20" s="10">
        <f t="shared" si="5"/>
        <v>7354.4085014309812</v>
      </c>
      <c r="J20" s="10">
        <f t="shared" si="3"/>
        <v>154359748945.5802</v>
      </c>
      <c r="K20" s="11">
        <f t="shared" si="4"/>
        <v>8.5901634999999699E-2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20980974.463477343</v>
      </c>
      <c r="D21" s="11">
        <v>8.0000000000000004E-4</v>
      </c>
      <c r="E21" s="10">
        <f t="shared" si="2"/>
        <v>16771.362480796874</v>
      </c>
      <c r="F21" s="3"/>
      <c r="G21" s="29">
        <v>5.58</v>
      </c>
      <c r="H21" s="10"/>
      <c r="I21" s="10">
        <f t="shared" si="5"/>
        <v>6775.1345015485786</v>
      </c>
      <c r="J21" s="10">
        <f t="shared" si="3"/>
        <v>142148923963.61502</v>
      </c>
      <c r="K21" s="11">
        <f t="shared" si="4"/>
        <v>5.6644640000000024E-2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20964203.100996546</v>
      </c>
      <c r="D22" s="11">
        <v>2.3800000000000002E-3</v>
      </c>
      <c r="E22" s="10">
        <f t="shared" si="2"/>
        <v>49776.335701402277</v>
      </c>
      <c r="F22" s="3"/>
      <c r="G22" s="29">
        <v>-1.45</v>
      </c>
      <c r="H22" s="10"/>
      <c r="I22" s="10">
        <f t="shared" si="5"/>
        <v>6417.0624185911893</v>
      </c>
      <c r="J22" s="10">
        <f t="shared" si="3"/>
        <v>134528599855.11781</v>
      </c>
      <c r="K22" s="11">
        <f t="shared" si="4"/>
        <v>-1.2154510000000007E-2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20914426.765295144</v>
      </c>
      <c r="D23" s="11">
        <v>8.1099999999999992E-3</v>
      </c>
      <c r="E23" s="10">
        <f t="shared" si="2"/>
        <v>168251.48155116662</v>
      </c>
      <c r="F23" s="3"/>
      <c r="G23" s="29">
        <v>7.28</v>
      </c>
      <c r="H23" s="10"/>
      <c r="I23" s="10">
        <f t="shared" si="5"/>
        <v>6511.478862091516</v>
      </c>
      <c r="J23" s="10">
        <f t="shared" si="3"/>
        <v>136183847794.98038</v>
      </c>
      <c r="K23" s="11">
        <f t="shared" si="4"/>
        <v>8.1500408000000357E-2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20746175.283743978</v>
      </c>
      <c r="D24" s="11">
        <v>6.0899999999999999E-3</v>
      </c>
      <c r="E24" s="10">
        <f t="shared" si="2"/>
        <v>125579.42875687033</v>
      </c>
      <c r="F24" s="3"/>
      <c r="G24" s="29">
        <v>2.66</v>
      </c>
      <c r="H24" s="10"/>
      <c r="I24" s="10">
        <f t="shared" si="5"/>
        <v>6069.6111689891086</v>
      </c>
      <c r="J24" s="10">
        <f t="shared" si="3"/>
        <v>125921217216.01823</v>
      </c>
      <c r="K24" s="11">
        <f t="shared" si="4"/>
        <v>3.2851993999999829E-2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20620595.854987107</v>
      </c>
      <c r="D25" s="11">
        <v>5.5199999999999997E-3</v>
      </c>
      <c r="E25" s="10">
        <f t="shared" si="2"/>
        <v>113200.82058987394</v>
      </c>
      <c r="F25" s="3"/>
      <c r="G25" s="29">
        <v>7.93</v>
      </c>
      <c r="H25" s="10"/>
      <c r="I25" s="10">
        <f t="shared" si="5"/>
        <v>5912.3428492003786</v>
      </c>
      <c r="J25" s="10">
        <f t="shared" si="3"/>
        <v>121916032449.48399</v>
      </c>
      <c r="K25" s="11">
        <f t="shared" si="4"/>
        <v>8.5257735999999973E-2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20507395.034397233</v>
      </c>
      <c r="D26" s="11">
        <v>6.1900000000000002E-3</v>
      </c>
      <c r="E26" s="10">
        <f t="shared" si="2"/>
        <v>126159.84581730887</v>
      </c>
      <c r="F26" s="3"/>
      <c r="G26" s="29">
        <v>3.54</v>
      </c>
      <c r="H26" s="10"/>
      <c r="I26" s="10">
        <f t="shared" si="5"/>
        <v>5477.9420450295365</v>
      </c>
      <c r="J26" s="10">
        <f t="shared" si="3"/>
        <v>112338321492.95454</v>
      </c>
      <c r="K26" s="11">
        <f t="shared" si="4"/>
        <v>4.1809126000000196E-2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20381235.188579924</v>
      </c>
      <c r="D27" s="11">
        <v>7.4099999999999999E-3</v>
      </c>
      <c r="E27" s="10">
        <f t="shared" si="2"/>
        <v>149914.08934532851</v>
      </c>
      <c r="F27" s="3"/>
      <c r="G27" s="29">
        <v>-0.43</v>
      </c>
      <c r="H27" s="10"/>
      <c r="I27" s="10">
        <f t="shared" si="5"/>
        <v>5290.6529312628318</v>
      </c>
      <c r="J27" s="10">
        <f t="shared" si="3"/>
        <v>107830041693.21754</v>
      </c>
      <c r="K27" s="11">
        <f t="shared" si="4"/>
        <v>3.0781369999999253E-3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20231321.099234596</v>
      </c>
      <c r="D28" s="11">
        <v>8.0199999999999994E-3</v>
      </c>
      <c r="E28" s="10">
        <f t="shared" si="2"/>
        <v>160964.26183593646</v>
      </c>
      <c r="F28" s="3"/>
      <c r="G28" s="29">
        <v>1.1000000000000001</v>
      </c>
      <c r="H28" s="10"/>
      <c r="I28" s="10">
        <f t="shared" si="5"/>
        <v>5313.5009855004837</v>
      </c>
      <c r="J28" s="10">
        <f t="shared" si="3"/>
        <v>107499144598.75975</v>
      </c>
      <c r="K28" s="11">
        <f t="shared" si="4"/>
        <v>1.9108219999999898E-2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20070356.837398659</v>
      </c>
      <c r="D29" s="11">
        <v>5.3200000000000001E-3</v>
      </c>
      <c r="E29" s="10">
        <f t="shared" si="2"/>
        <v>106209.26508470997</v>
      </c>
      <c r="F29" s="3"/>
      <c r="G29" s="29">
        <v>1.48</v>
      </c>
      <c r="H29" s="10"/>
      <c r="I29" s="10">
        <f t="shared" si="5"/>
        <v>5255.6884129579466</v>
      </c>
      <c r="J29" s="10">
        <f t="shared" si="3"/>
        <v>105483541874.24744</v>
      </c>
      <c r="K29" s="11">
        <f t="shared" si="4"/>
        <v>2.0198735999999995E-2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19964147.572313949</v>
      </c>
      <c r="D30" s="11">
        <v>3.8800000000000002E-3</v>
      </c>
      <c r="E30" s="10">
        <f t="shared" si="2"/>
        <v>77161.505937542766</v>
      </c>
      <c r="F30" s="3"/>
      <c r="G30" s="29">
        <v>7.99</v>
      </c>
      <c r="H30" s="10"/>
      <c r="I30" s="10">
        <f t="shared" si="5"/>
        <v>5179.0386410701094</v>
      </c>
      <c r="J30" s="10">
        <f t="shared" si="3"/>
        <v>103395091713.03996</v>
      </c>
      <c r="K30" s="11">
        <f t="shared" si="4"/>
        <v>8.4090012000000103E-2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19886986.066376407</v>
      </c>
      <c r="D31" s="11">
        <v>2.7899999999999999E-3</v>
      </c>
      <c r="E31" s="10">
        <f t="shared" si="2"/>
        <v>55330.31953369081</v>
      </c>
      <c r="F31" s="3"/>
      <c r="G31" s="29">
        <v>8.81</v>
      </c>
      <c r="H31" s="10"/>
      <c r="I31" s="10">
        <f t="shared" si="5"/>
        <v>4795.8502093435591</v>
      </c>
      <c r="J31" s="10">
        <f t="shared" si="3"/>
        <v>95375006289.643738</v>
      </c>
      <c r="K31" s="11">
        <f t="shared" si="4"/>
        <v>9.1135799000000128E-2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19831655.746842716</v>
      </c>
      <c r="D32" s="11">
        <v>1.8600000000000001E-3</v>
      </c>
      <c r="E32" s="10">
        <f t="shared" si="2"/>
        <v>36818.397469833493</v>
      </c>
      <c r="F32" s="3"/>
      <c r="G32" s="29">
        <v>1.47</v>
      </c>
      <c r="H32" s="10"/>
      <c r="I32" s="10">
        <f t="shared" si="5"/>
        <v>4407.545454777648</v>
      </c>
      <c r="J32" s="10">
        <f t="shared" si="3"/>
        <v>87408924147.711639</v>
      </c>
      <c r="K32" s="11">
        <f t="shared" si="4"/>
        <v>1.6587342000000005E-2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19794837.349372882</v>
      </c>
      <c r="D33" s="11">
        <v>1.4400000000000001E-3</v>
      </c>
      <c r="E33" s="10">
        <f t="shared" si="2"/>
        <v>28463.578230448067</v>
      </c>
      <c r="F33" s="3"/>
      <c r="G33" s="29">
        <v>-1.1399999999999999</v>
      </c>
      <c r="H33" s="10"/>
      <c r="I33" s="10">
        <f t="shared" si="5"/>
        <v>4343.6931652484955</v>
      </c>
      <c r="J33" s="10">
        <f t="shared" si="3"/>
        <v>85982699701.676636</v>
      </c>
      <c r="K33" s="11">
        <f t="shared" si="4"/>
        <v>-9.9764159999997659E-3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19766373.771142434</v>
      </c>
      <c r="D34" s="11">
        <v>3.6999999999999999E-4</v>
      </c>
      <c r="E34" s="10">
        <f t="shared" si="2"/>
        <v>7310.8532796092331</v>
      </c>
      <c r="F34" s="3"/>
      <c r="G34" s="29">
        <v>-3.57</v>
      </c>
      <c r="H34" s="10"/>
      <c r="I34" s="10">
        <f t="shared" si="5"/>
        <v>4393.7822832778629</v>
      </c>
      <c r="J34" s="10">
        <f t="shared" ref="J34:J65" si="6">IF(I34="","",I34*C34)</f>
        <v>86849142880.293869</v>
      </c>
      <c r="K34" s="11">
        <f t="shared" ref="K34:K65" si="7">IFERROR(J34/J35-1,"")</f>
        <v>-2.2338399000000009E-2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19759062.917862825</v>
      </c>
      <c r="D35" s="11">
        <v>5.1999999999999995E-4</v>
      </c>
      <c r="E35" s="10">
        <f t="shared" si="2"/>
        <v>10269.372643515468</v>
      </c>
      <c r="F35" s="3"/>
      <c r="G35" s="29">
        <v>-4.46</v>
      </c>
      <c r="H35" s="10"/>
      <c r="I35" s="10">
        <f t="shared" ref="I35:I66" si="8">IF(H35&lt;&gt;"",H35,I34/(1+IF(G34="",0,G34)/100))</f>
        <v>4495.837801368938</v>
      </c>
      <c r="J35" s="10">
        <f t="shared" si="6"/>
        <v>88833541985.754913</v>
      </c>
      <c r="K35" s="11">
        <f t="shared" si="7"/>
        <v>-1.708915199999983E-2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19748793.54521931</v>
      </c>
      <c r="D36" s="11">
        <v>6.0999999999999997E-4</v>
      </c>
      <c r="E36" s="10">
        <f t="shared" si="2"/>
        <v>12039.420016374439</v>
      </c>
      <c r="F36" s="3"/>
      <c r="G36" s="29">
        <v>-3.24</v>
      </c>
      <c r="H36" s="10"/>
      <c r="I36" s="10">
        <f t="shared" si="8"/>
        <v>4576.3821268006286</v>
      </c>
      <c r="J36" s="10">
        <f t="shared" si="6"/>
        <v>90378025806.21727</v>
      </c>
      <c r="K36" s="11">
        <f t="shared" si="7"/>
        <v>1.6219516000000045E-2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19736754.125202935</v>
      </c>
      <c r="D37" s="11">
        <v>1.7899999999999999E-3</v>
      </c>
      <c r="E37" s="10">
        <f t="shared" si="2"/>
        <v>35265.664344936609</v>
      </c>
      <c r="F37" s="3"/>
      <c r="G37" s="29">
        <v>0.54</v>
      </c>
      <c r="H37" s="10"/>
      <c r="I37" s="10">
        <f t="shared" si="8"/>
        <v>4506.0871669954986</v>
      </c>
      <c r="J37" s="10">
        <f t="shared" si="6"/>
        <v>88935534481.722412</v>
      </c>
      <c r="K37" s="11">
        <f t="shared" si="7"/>
        <v>6.029453600000001E-2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19701488.460857999</v>
      </c>
      <c r="D38" s="11">
        <v>2.2399999999999998E-3</v>
      </c>
      <c r="E38" s="10">
        <f t="shared" si="2"/>
        <v>44032.700902301818</v>
      </c>
      <c r="F38" s="3"/>
      <c r="G38" s="29">
        <v>2.5</v>
      </c>
      <c r="H38" s="10"/>
      <c r="I38" s="10">
        <f t="shared" si="8"/>
        <v>4257.4519718400406</v>
      </c>
      <c r="J38" s="10">
        <f t="shared" si="6"/>
        <v>83878140895.863693</v>
      </c>
      <c r="K38" s="11">
        <f t="shared" si="7"/>
        <v>6.4378880000000027E-2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19657455.759955697</v>
      </c>
      <c r="D39" s="11">
        <v>2.0999999999999999E-3</v>
      </c>
      <c r="E39" s="10">
        <f t="shared" si="2"/>
        <v>41194.149382203817</v>
      </c>
      <c r="F39" s="3"/>
      <c r="G39" s="29">
        <v>5.37</v>
      </c>
      <c r="H39" s="10"/>
      <c r="I39" s="10">
        <f t="shared" si="8"/>
        <v>4008.9001618079478</v>
      </c>
      <c r="J39" s="10">
        <f t="shared" si="6"/>
        <v>78804777576.81897</v>
      </c>
      <c r="K39" s="11">
        <f t="shared" si="7"/>
        <v>5.5912770000000167E-2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19616261.610573493</v>
      </c>
      <c r="D40" s="11">
        <v>3.7399999999999998E-3</v>
      </c>
      <c r="E40" s="10">
        <f t="shared" si="2"/>
        <v>73091.456376697868</v>
      </c>
      <c r="F40" s="3"/>
      <c r="G40" s="29">
        <v>1.46</v>
      </c>
      <c r="H40" s="10"/>
      <c r="I40" s="10">
        <f t="shared" si="8"/>
        <v>3804.5934913238566</v>
      </c>
      <c r="J40" s="10">
        <f t="shared" si="6"/>
        <v>74631901247.693939</v>
      </c>
      <c r="K40" s="11">
        <f t="shared" si="7"/>
        <v>1.8394604000000037E-2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19543170.154196795</v>
      </c>
      <c r="D41" s="11">
        <v>3.3800000000000002E-3</v>
      </c>
      <c r="E41" s="10">
        <f t="shared" si="2"/>
        <v>65833.398235149682</v>
      </c>
      <c r="F41" s="3"/>
      <c r="G41" s="29">
        <v>3.94</v>
      </c>
      <c r="H41" s="10"/>
      <c r="I41" s="10">
        <f t="shared" si="8"/>
        <v>3749.8457434692064</v>
      </c>
      <c r="J41" s="10">
        <f t="shared" si="6"/>
        <v>73283873416.609283</v>
      </c>
      <c r="K41" s="11">
        <f t="shared" si="7"/>
        <v>4.2913171999999999E-2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19477336.755961645</v>
      </c>
      <c r="D42" s="11">
        <v>3.8700000000000002E-3</v>
      </c>
      <c r="E42" s="10">
        <f t="shared" si="2"/>
        <v>75086.707686822861</v>
      </c>
      <c r="F42" s="3"/>
      <c r="G42" s="29">
        <v>-6.1</v>
      </c>
      <c r="H42" s="10"/>
      <c r="I42" s="10">
        <f t="shared" si="8"/>
        <v>3607.7022738783971</v>
      </c>
      <c r="J42" s="10">
        <f t="shared" si="6"/>
        <v>70268432103.57811</v>
      </c>
      <c r="K42" s="11">
        <f t="shared" si="7"/>
        <v>-5.7366069999999936E-2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19402250.048274823</v>
      </c>
      <c r="D43" s="11">
        <v>3.9500000000000004E-3</v>
      </c>
      <c r="E43" s="10">
        <f t="shared" si="2"/>
        <v>76337.355137888342</v>
      </c>
      <c r="F43" s="3"/>
      <c r="G43" s="29">
        <v>2.9</v>
      </c>
      <c r="H43" s="10"/>
      <c r="I43" s="10">
        <f t="shared" si="8"/>
        <v>3842.0684492847677</v>
      </c>
      <c r="J43" s="10">
        <f t="shared" si="6"/>
        <v>74544772755.61055</v>
      </c>
      <c r="K43" s="11">
        <f t="shared" si="7"/>
        <v>3.3064549999999748E-2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19325912.693136934</v>
      </c>
      <c r="D44" s="11">
        <v>1.8E-3</v>
      </c>
      <c r="E44" s="10">
        <f t="shared" si="2"/>
        <v>34724.139396734536</v>
      </c>
      <c r="F44" s="3"/>
      <c r="G44" s="29">
        <v>0.28000000000000003</v>
      </c>
      <c r="H44" s="10"/>
      <c r="I44" s="10">
        <f t="shared" si="8"/>
        <v>3733.7885804516695</v>
      </c>
      <c r="J44" s="10">
        <f t="shared" si="6"/>
        <v>72158872120.440659</v>
      </c>
      <c r="K44" s="11">
        <f t="shared" si="7"/>
        <v>4.6050399999999492E-3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19291188.5537402</v>
      </c>
      <c r="D45" s="11">
        <v>1.82E-3</v>
      </c>
      <c r="E45" s="10">
        <f t="shared" si="2"/>
        <v>35046.179121803492</v>
      </c>
      <c r="F45" s="3"/>
      <c r="G45" s="29">
        <v>-1.32</v>
      </c>
      <c r="H45" s="10"/>
      <c r="I45" s="10">
        <f t="shared" si="8"/>
        <v>3723.3631635936076</v>
      </c>
      <c r="J45" s="10">
        <f t="shared" si="6"/>
        <v>71828100842.934906</v>
      </c>
      <c r="K45" s="11">
        <f t="shared" si="7"/>
        <v>-1.1404023999999957E-2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19256142.374618396</v>
      </c>
      <c r="D46" s="11">
        <v>4.1799999999999997E-3</v>
      </c>
      <c r="E46" s="10">
        <f t="shared" si="2"/>
        <v>80155.624615017325</v>
      </c>
      <c r="F46" s="3"/>
      <c r="G46" s="29">
        <v>-0.25</v>
      </c>
      <c r="H46" s="10"/>
      <c r="I46" s="10">
        <f t="shared" si="8"/>
        <v>3773.1689943186134</v>
      </c>
      <c r="J46" s="10">
        <f t="shared" si="6"/>
        <v>72656679358.094925</v>
      </c>
      <c r="K46" s="11">
        <f t="shared" si="7"/>
        <v>1.6695500000001307E-3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19175986.750003379</v>
      </c>
      <c r="D47" s="11">
        <v>9.5499999999999995E-3</v>
      </c>
      <c r="E47" s="10">
        <f t="shared" si="2"/>
        <v>181398.31951119751</v>
      </c>
      <c r="F47" s="3"/>
      <c r="G47" s="29">
        <v>2.33</v>
      </c>
      <c r="H47" s="10"/>
      <c r="I47" s="10">
        <f t="shared" si="8"/>
        <v>3782.6255582141484</v>
      </c>
      <c r="J47" s="10">
        <f t="shared" si="6"/>
        <v>72535577584.538651</v>
      </c>
      <c r="K47" s="11">
        <f t="shared" si="7"/>
        <v>3.3072515000000191E-2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18994588.430492181</v>
      </c>
      <c r="D48" s="11">
        <v>9.1299999999999992E-3</v>
      </c>
      <c r="E48" s="10">
        <f t="shared" si="2"/>
        <v>171851.58737763762</v>
      </c>
      <c r="F48" s="3"/>
      <c r="G48" s="29">
        <v>5.86</v>
      </c>
      <c r="H48" s="10"/>
      <c r="I48" s="10">
        <f t="shared" si="8"/>
        <v>3696.4971740585829</v>
      </c>
      <c r="J48" s="10">
        <f t="shared" si="6"/>
        <v>70213442455.7202</v>
      </c>
      <c r="K48" s="11">
        <f t="shared" si="7"/>
        <v>6.8265017999999955E-2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18822736.843114544</v>
      </c>
      <c r="D49" s="11">
        <v>4.9300000000000004E-3</v>
      </c>
      <c r="E49" s="10">
        <f t="shared" si="2"/>
        <v>92340.852235037833</v>
      </c>
      <c r="F49" s="3"/>
      <c r="G49" s="29">
        <v>1.89</v>
      </c>
      <c r="H49" s="10"/>
      <c r="I49" s="10">
        <f t="shared" si="8"/>
        <v>3491.8733932161185</v>
      </c>
      <c r="J49" s="10">
        <f t="shared" si="6"/>
        <v>65726613969.980431</v>
      </c>
      <c r="K49" s="11">
        <f t="shared" si="7"/>
        <v>2.3923176999999907E-2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18730395.990879506</v>
      </c>
      <c r="D50" s="11">
        <v>6.6600000000000001E-3</v>
      </c>
      <c r="E50" s="10">
        <f t="shared" si="2"/>
        <v>123919.13585446775</v>
      </c>
      <c r="F50" s="3"/>
      <c r="G50" s="29">
        <v>-3.66</v>
      </c>
      <c r="H50" s="10"/>
      <c r="I50" s="10">
        <f t="shared" si="8"/>
        <v>3427.1011808971625</v>
      </c>
      <c r="J50" s="10">
        <f t="shared" si="6"/>
        <v>64190962219.014633</v>
      </c>
      <c r="K50" s="11">
        <f t="shared" si="7"/>
        <v>-3.0183755999999895E-2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18606476.855025038</v>
      </c>
      <c r="D51" s="11">
        <v>8.8699999999999994E-3</v>
      </c>
      <c r="E51" s="10">
        <f t="shared" si="2"/>
        <v>163588.42041499168</v>
      </c>
      <c r="F51" s="3"/>
      <c r="G51" s="29">
        <v>3.06</v>
      </c>
      <c r="H51" s="10"/>
      <c r="I51" s="10">
        <f t="shared" si="8"/>
        <v>3557.2982986269071</v>
      </c>
      <c r="J51" s="10">
        <f t="shared" si="6"/>
        <v>66188788459.821495</v>
      </c>
      <c r="K51" s="11">
        <f t="shared" si="7"/>
        <v>3.9741422000000082E-2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18442888.434610046</v>
      </c>
      <c r="D52" s="11">
        <v>9.8200000000000006E-3</v>
      </c>
      <c r="E52" s="10">
        <f t="shared" si="2"/>
        <v>179347.96738811955</v>
      </c>
      <c r="F52" s="3"/>
      <c r="G52" s="29">
        <v>1.05</v>
      </c>
      <c r="H52" s="10"/>
      <c r="I52" s="10">
        <f t="shared" si="8"/>
        <v>3451.6769829486775</v>
      </c>
      <c r="J52" s="10">
        <f t="shared" si="6"/>
        <v>63658893508.833862</v>
      </c>
      <c r="K52" s="11">
        <f t="shared" si="7"/>
        <v>2.0423110000000078E-2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18263540.467221927</v>
      </c>
      <c r="D53" s="11">
        <v>8.8299999999999993E-3</v>
      </c>
      <c r="E53" s="10">
        <f t="shared" si="2"/>
        <v>159855.53792568296</v>
      </c>
      <c r="F53" s="3"/>
      <c r="G53" s="29">
        <v>2.44</v>
      </c>
      <c r="H53" s="10"/>
      <c r="I53" s="10">
        <f t="shared" si="8"/>
        <v>3415.8109677869152</v>
      </c>
      <c r="J53" s="10">
        <f t="shared" si="6"/>
        <v>62384801838.556816</v>
      </c>
      <c r="K53" s="11">
        <f t="shared" si="7"/>
        <v>3.344545199999982E-2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18103684.929296244</v>
      </c>
      <c r="D54" s="11">
        <v>6.0899999999999999E-3</v>
      </c>
      <c r="E54" s="10">
        <f t="shared" si="2"/>
        <v>109584.07420748845</v>
      </c>
      <c r="F54" s="3"/>
      <c r="G54" s="29">
        <v>0.17</v>
      </c>
      <c r="H54" s="10"/>
      <c r="I54" s="10">
        <f t="shared" si="8"/>
        <v>3334.4503785502884</v>
      </c>
      <c r="J54" s="10">
        <f t="shared" si="6"/>
        <v>60365839065.647011</v>
      </c>
      <c r="K54" s="11">
        <f t="shared" si="7"/>
        <v>7.8003529999999266E-3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17994100.855088755</v>
      </c>
      <c r="D55" s="11">
        <v>5.1700000000000001E-3</v>
      </c>
      <c r="E55" s="10">
        <f t="shared" si="2"/>
        <v>92551.012685224414</v>
      </c>
      <c r="F55" s="3"/>
      <c r="G55" s="29">
        <v>-1.57</v>
      </c>
      <c r="H55" s="10"/>
      <c r="I55" s="10">
        <f t="shared" si="8"/>
        <v>3328.7914331139946</v>
      </c>
      <c r="J55" s="10">
        <f t="shared" si="6"/>
        <v>59898608773.008652</v>
      </c>
      <c r="K55" s="11">
        <f t="shared" si="7"/>
        <v>-1.0611169000000142E-2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17901549.842403531</v>
      </c>
      <c r="D56" s="11">
        <v>5.8500000000000002E-3</v>
      </c>
      <c r="E56" s="10">
        <f t="shared" si="2"/>
        <v>104114.99386395514</v>
      </c>
      <c r="F56" s="3"/>
      <c r="G56" s="29">
        <v>2.4900000000000002</v>
      </c>
      <c r="H56" s="10"/>
      <c r="I56" s="10">
        <f t="shared" si="8"/>
        <v>3381.8870599552929</v>
      </c>
      <c r="J56" s="10">
        <f t="shared" si="6"/>
        <v>60541019765.169212</v>
      </c>
      <c r="K56" s="11">
        <f t="shared" si="7"/>
        <v>3.089566499999985E-2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17797434.848539576</v>
      </c>
      <c r="D57" s="11">
        <v>3.5899999999999999E-3</v>
      </c>
      <c r="E57" s="10">
        <f t="shared" si="2"/>
        <v>63664.236497230828</v>
      </c>
      <c r="F57" s="3"/>
      <c r="G57" s="30">
        <v>4.07</v>
      </c>
      <c r="H57" s="10"/>
      <c r="I57" s="10">
        <f t="shared" si="8"/>
        <v>3299.723933998725</v>
      </c>
      <c r="J57" s="10">
        <f t="shared" si="6"/>
        <v>58726621733.50901</v>
      </c>
      <c r="K57" s="11">
        <f t="shared" si="7"/>
        <v>4.4436112999999944E-2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17733770.612042345</v>
      </c>
      <c r="D58" s="11">
        <v>4.7299999999999998E-3</v>
      </c>
      <c r="E58" s="10">
        <f t="shared" si="2"/>
        <v>83485.846938937902</v>
      </c>
      <c r="F58" s="3"/>
      <c r="G58" s="30">
        <v>-2.99</v>
      </c>
      <c r="H58" s="10"/>
      <c r="I58" s="10">
        <f t="shared" si="8"/>
        <v>3170.6773652337129</v>
      </c>
      <c r="J58" s="10">
        <f t="shared" si="6"/>
        <v>56228065079.849472</v>
      </c>
      <c r="K58" s="11">
        <f t="shared" si="7"/>
        <v>-2.5311427000000108E-2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17650284.765103407</v>
      </c>
      <c r="D59" s="11">
        <v>5.8199999999999997E-3</v>
      </c>
      <c r="E59" s="10">
        <f t="shared" si="2"/>
        <v>102130.25922421739</v>
      </c>
      <c r="F59" s="3"/>
      <c r="G59" s="30">
        <v>-3.35</v>
      </c>
      <c r="H59" s="10"/>
      <c r="I59" s="10">
        <f t="shared" si="8"/>
        <v>3268.4026030653677</v>
      </c>
      <c r="J59" s="10">
        <f t="shared" si="6"/>
        <v>57688236671.108978</v>
      </c>
      <c r="K59" s="11">
        <f t="shared" si="7"/>
        <v>-2.7874969999999943E-2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17548154.50587919</v>
      </c>
      <c r="D60" s="11">
        <v>7.0299999999999998E-3</v>
      </c>
      <c r="E60" s="10">
        <f t="shared" si="2"/>
        <v>122502.3347629495</v>
      </c>
      <c r="F60" s="3"/>
      <c r="G60" s="30">
        <v>0.89</v>
      </c>
      <c r="H60" s="10"/>
      <c r="I60" s="10">
        <f t="shared" si="8"/>
        <v>3381.6891909626152</v>
      </c>
      <c r="J60" s="10">
        <f t="shared" si="6"/>
        <v>59342404413.873566</v>
      </c>
      <c r="K60" s="11">
        <f t="shared" si="7"/>
        <v>1.5992566999999847E-2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17425652.17111624</v>
      </c>
      <c r="D61" s="11">
        <v>6.9699999999999996E-3</v>
      </c>
      <c r="E61" s="10">
        <f t="shared" si="2"/>
        <v>120616.10140588135</v>
      </c>
      <c r="F61" s="3"/>
      <c r="G61" s="30">
        <v>2.14</v>
      </c>
      <c r="H61" s="10"/>
      <c r="I61" s="10">
        <f t="shared" si="8"/>
        <v>3351.8576578081233</v>
      </c>
      <c r="J61" s="10">
        <f t="shared" si="6"/>
        <v>58408305672.056725</v>
      </c>
      <c r="K61" s="11">
        <f t="shared" si="7"/>
        <v>2.8519158000000155E-2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17305036.069710359</v>
      </c>
      <c r="D62" s="11">
        <v>7.6299999999999996E-3</v>
      </c>
      <c r="E62" s="10">
        <f t="shared" si="2"/>
        <v>131037.6082608588</v>
      </c>
      <c r="F62" s="3"/>
      <c r="G62" s="30">
        <v>0.39</v>
      </c>
      <c r="H62" s="10"/>
      <c r="I62" s="10">
        <f t="shared" si="8"/>
        <v>3281.6307595536746</v>
      </c>
      <c r="J62" s="10">
        <f t="shared" si="6"/>
        <v>56788738661.54734</v>
      </c>
      <c r="K62" s="11">
        <f t="shared" si="7"/>
        <v>1.1559756999999893E-2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17173998.4614495</v>
      </c>
      <c r="D63" s="11">
        <v>5.8700000000000002E-3</v>
      </c>
      <c r="E63" s="10">
        <f t="shared" si="2"/>
        <v>100223.06159713492</v>
      </c>
      <c r="F63" s="3"/>
      <c r="G63" s="30">
        <v>4.5</v>
      </c>
      <c r="H63" s="10"/>
      <c r="I63" s="10">
        <f t="shared" si="8"/>
        <v>3268.8821192884498</v>
      </c>
      <c r="J63" s="10">
        <f t="shared" si="6"/>
        <v>56139776487.319618</v>
      </c>
      <c r="K63" s="11">
        <f t="shared" si="7"/>
        <v>5.1134149999999989E-2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17073775.399852365</v>
      </c>
      <c r="D64" s="11">
        <v>5.8199999999999997E-3</v>
      </c>
      <c r="E64" s="10">
        <f t="shared" si="2"/>
        <v>98794.389480363578</v>
      </c>
      <c r="F64" s="3"/>
      <c r="G64" s="30">
        <v>6.71</v>
      </c>
      <c r="H64" s="10"/>
      <c r="I64" s="10">
        <f t="shared" si="8"/>
        <v>3128.1168605631101</v>
      </c>
      <c r="J64" s="10">
        <f t="shared" si="6"/>
        <v>53408764701.745842</v>
      </c>
      <c r="K64" s="11">
        <f t="shared" si="7"/>
        <v>7.3310521999999878E-2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16974981.010372002</v>
      </c>
      <c r="D65" s="11">
        <v>7.2700000000000004E-3</v>
      </c>
      <c r="E65" s="10">
        <f t="shared" si="2"/>
        <v>122517.41037200019</v>
      </c>
      <c r="F65" s="3"/>
      <c r="G65" s="30">
        <v>-1.27</v>
      </c>
      <c r="H65" s="10"/>
      <c r="I65" s="10">
        <f t="shared" si="8"/>
        <v>2931.4186679440636</v>
      </c>
      <c r="J65" s="10">
        <f t="shared" si="6"/>
        <v>49760776221.800468</v>
      </c>
      <c r="K65" s="11">
        <f t="shared" si="7"/>
        <v>-5.522328999999937E-3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16852463.600000001</v>
      </c>
      <c r="D66" s="11">
        <v>7.3200000000000001E-3</v>
      </c>
      <c r="E66" s="10">
        <f t="shared" si="2"/>
        <v>122463.60000000149</v>
      </c>
      <c r="F66" s="23">
        <f>SUM(F2)</f>
        <v>23361657</v>
      </c>
      <c r="G66" s="30">
        <v>9.01</v>
      </c>
      <c r="H66" s="10"/>
      <c r="I66" s="10">
        <f t="shared" si="8"/>
        <v>2969.1265754523079</v>
      </c>
      <c r="J66" s="10">
        <f t="shared" ref="J66:J67" si="9">IF(I66="","",I66*C66)</f>
        <v>50037097536.602676</v>
      </c>
      <c r="K66" s="11">
        <f t="shared" ref="K66" si="10">IFERROR(J66/J67-1,"")</f>
        <v>9.807953200000008E-2</v>
      </c>
    </row>
    <row r="67" spans="1:11" ht="22.5" customHeight="1">
      <c r="A67" s="3">
        <f t="shared" si="0"/>
        <v>1950</v>
      </c>
      <c r="B67" s="3">
        <v>1700</v>
      </c>
      <c r="C67" s="10">
        <v>16730000</v>
      </c>
      <c r="D67" s="11">
        <v>8.6700000000000006E-3</v>
      </c>
      <c r="E67" s="3" t="s">
        <v>72</v>
      </c>
      <c r="F67" s="10">
        <f>SUM(C2)</f>
        <v>23361072.93305508</v>
      </c>
      <c r="G67" s="30">
        <v>7.72</v>
      </c>
      <c r="H67" s="10"/>
      <c r="I67" s="10">
        <f t="shared" ref="I67" si="11">IF(H67&lt;&gt;"",H67,I66/(1+IF(G66="",0,G66)/100))</f>
        <v>2723.7194527587449</v>
      </c>
      <c r="J67" s="10">
        <f t="shared" si="9"/>
        <v>45567826444.653801</v>
      </c>
      <c r="K67" s="11"/>
    </row>
  </sheetData>
  <dataValidations count="1">
    <dataValidation type="custom" allowBlank="1" showDropDown="1" sqref="D2:D67" xr:uid="{00000000-0002-0000-5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M68"/>
  <sheetViews>
    <sheetView topLeftCell="A31" workbookViewId="0">
      <selection activeCell="K35" sqref="K3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2048848.2903013632</v>
      </c>
      <c r="D2" s="11">
        <v>1.1800000000000001E-3</v>
      </c>
      <c r="E2" s="10">
        <f t="shared" ref="E2:E66" si="2">SUM(C2-C3)</f>
        <v>2414.7915285518393</v>
      </c>
      <c r="F2" s="14">
        <v>2048851</v>
      </c>
      <c r="G2" s="26">
        <v>0.76</v>
      </c>
      <c r="H2" s="10"/>
      <c r="I2" s="10">
        <f>IF(H2&lt;&gt;"",H2,187616)</f>
        <v>23452</v>
      </c>
      <c r="J2" s="10">
        <f t="shared" ref="J2:J33" si="3">IF(I2="","",I2*C2)</f>
        <v>48049590104.147568</v>
      </c>
      <c r="K2" s="11">
        <f t="shared" ref="K2:K33" si="4">IFERROR(J2/J3-1,"")</f>
        <v>8.7889679999999526E-3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2046433.4987728114</v>
      </c>
      <c r="D3" s="11">
        <v>-6.5900000000000004E-3</v>
      </c>
      <c r="E3" s="10">
        <f t="shared" si="2"/>
        <v>-13575.45903193322</v>
      </c>
      <c r="F3" s="3"/>
      <c r="G3" s="26">
        <v>4.66</v>
      </c>
      <c r="H3" s="10"/>
      <c r="I3" s="10">
        <f t="shared" ref="I3:I34" si="5">IF(H3&lt;&gt;"",H3,I2/(1+IF(G2="",0,G2)/100))</f>
        <v>23275.109170305677</v>
      </c>
      <c r="J3" s="10">
        <f t="shared" si="3"/>
        <v>47630963093.707794</v>
      </c>
      <c r="K3" s="11">
        <f t="shared" si="4"/>
        <v>3.9702906000000038E-2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2060008.9578047446</v>
      </c>
      <c r="D4" s="11">
        <v>-5.4900000000000001E-3</v>
      </c>
      <c r="E4" s="10">
        <f t="shared" si="2"/>
        <v>-11371.880803961772</v>
      </c>
      <c r="F4" s="3"/>
      <c r="G4" s="26">
        <v>4.88</v>
      </c>
      <c r="H4" s="10"/>
      <c r="I4" s="10">
        <f t="shared" si="5"/>
        <v>22238.781932262256</v>
      </c>
      <c r="J4" s="10">
        <f t="shared" si="3"/>
        <v>45812089991.126556</v>
      </c>
      <c r="K4" s="11">
        <f t="shared" si="4"/>
        <v>4.3042087999999978E-2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2071380.8386087064</v>
      </c>
      <c r="D5" s="11">
        <v>-3.8700000000000002E-3</v>
      </c>
      <c r="E5" s="10">
        <f t="shared" si="2"/>
        <v>-8047.3872340114322</v>
      </c>
      <c r="F5" s="3"/>
      <c r="G5" s="26">
        <v>8.5</v>
      </c>
      <c r="H5" s="10"/>
      <c r="I5" s="10">
        <f t="shared" si="5"/>
        <v>21204.025488427018</v>
      </c>
      <c r="J5" s="10">
        <f t="shared" si="3"/>
        <v>43921612098.098343</v>
      </c>
      <c r="K5" s="11">
        <f t="shared" si="4"/>
        <v>8.0801050000000041E-2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2079428.2258427178</v>
      </c>
      <c r="D6" s="11">
        <v>1.8799999999999999E-3</v>
      </c>
      <c r="E6" s="10">
        <f t="shared" si="2"/>
        <v>3901.9893246542197</v>
      </c>
      <c r="F6" s="3"/>
      <c r="G6" s="26">
        <v>3.59</v>
      </c>
      <c r="H6" s="10"/>
      <c r="I6" s="10">
        <f t="shared" si="5"/>
        <v>19542.880634494948</v>
      </c>
      <c r="J6" s="10">
        <f t="shared" si="3"/>
        <v>40638017605.643837</v>
      </c>
      <c r="K6" s="11">
        <f t="shared" si="4"/>
        <v>3.784749200000026E-2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2075526.2365180636</v>
      </c>
      <c r="D7" s="11">
        <v>5.8799999999999998E-3</v>
      </c>
      <c r="E7" s="10">
        <f t="shared" si="2"/>
        <v>12132.753679093439</v>
      </c>
      <c r="F7" s="3"/>
      <c r="G7" s="26">
        <v>5.29</v>
      </c>
      <c r="H7" s="10"/>
      <c r="I7" s="10">
        <f t="shared" si="5"/>
        <v>18865.605400612942</v>
      </c>
      <c r="J7" s="10">
        <f t="shared" si="3"/>
        <v>39156058976.769035</v>
      </c>
      <c r="K7" s="11">
        <f t="shared" si="4"/>
        <v>5.909105200000031E-2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2063393.4828389701</v>
      </c>
      <c r="D8" s="11">
        <v>-2.5999999999999999E-3</v>
      </c>
      <c r="E8" s="10">
        <f t="shared" si="2"/>
        <v>-5378.8079560671467</v>
      </c>
      <c r="F8" s="3"/>
      <c r="G8" s="26">
        <v>2</v>
      </c>
      <c r="H8" s="10"/>
      <c r="I8" s="10">
        <f t="shared" si="5"/>
        <v>17917.756102776086</v>
      </c>
      <c r="J8" s="10">
        <f t="shared" si="3"/>
        <v>36971381169.56636</v>
      </c>
      <c r="K8" s="11">
        <f t="shared" si="4"/>
        <v>1.7347999999999919E-2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2068772.2907950373</v>
      </c>
      <c r="D9" s="11">
        <v>-2.33E-3</v>
      </c>
      <c r="E9" s="10">
        <f t="shared" si="2"/>
        <v>-4831.4968251551036</v>
      </c>
      <c r="F9" s="3"/>
      <c r="G9" s="26">
        <v>10.79</v>
      </c>
      <c r="H9" s="10"/>
      <c r="I9" s="10">
        <f t="shared" si="5"/>
        <v>17566.427551741261</v>
      </c>
      <c r="J9" s="10">
        <f t="shared" si="3"/>
        <v>36340938567.300827</v>
      </c>
      <c r="K9" s="11">
        <f t="shared" si="4"/>
        <v>0.10531859299999979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2073603.7876201924</v>
      </c>
      <c r="D10" s="11">
        <v>-1.9400000000000001E-3</v>
      </c>
      <c r="E10" s="10">
        <f t="shared" si="2"/>
        <v>-4030.6107328049839</v>
      </c>
      <c r="F10" s="3"/>
      <c r="G10" s="26">
        <v>13</v>
      </c>
      <c r="H10" s="10"/>
      <c r="I10" s="10">
        <f t="shared" si="5"/>
        <v>15855.607502248635</v>
      </c>
      <c r="J10" s="10">
        <f t="shared" si="3"/>
        <v>32878247771.681908</v>
      </c>
      <c r="K10" s="11">
        <f t="shared" si="4"/>
        <v>0.1278077999999998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2077634.3983529974</v>
      </c>
      <c r="D11" s="11">
        <v>-1.6000000000000001E-3</v>
      </c>
      <c r="E11" s="10">
        <f t="shared" si="2"/>
        <v>-3329.5423050529789</v>
      </c>
      <c r="F11" s="3"/>
      <c r="G11" s="26">
        <v>11.84</v>
      </c>
      <c r="H11" s="10"/>
      <c r="I11" s="10">
        <f t="shared" si="5"/>
        <v>14031.511063936847</v>
      </c>
      <c r="J11" s="10">
        <f t="shared" si="3"/>
        <v>29152350047.305859</v>
      </c>
      <c r="K11" s="11">
        <f t="shared" si="4"/>
        <v>0.11661056000000003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2080963.9406580504</v>
      </c>
      <c r="D12" s="11">
        <v>-7.6000000000000004E-4</v>
      </c>
      <c r="E12" s="10">
        <f t="shared" si="2"/>
        <v>-1582.735473860288</v>
      </c>
      <c r="F12" s="3"/>
      <c r="G12" s="26">
        <v>14.15</v>
      </c>
      <c r="H12" s="10"/>
      <c r="I12" s="10">
        <f t="shared" si="5"/>
        <v>12546.057818255405</v>
      </c>
      <c r="J12" s="10">
        <f t="shared" si="3"/>
        <v>26107893917.200512</v>
      </c>
      <c r="K12" s="11">
        <f t="shared" si="4"/>
        <v>0.14063246000000018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2082546.6761319106</v>
      </c>
      <c r="D13" s="11">
        <v>2.2699999999999999E-3</v>
      </c>
      <c r="E13" s="10">
        <f t="shared" si="2"/>
        <v>4716.6741046020761</v>
      </c>
      <c r="F13" s="3"/>
      <c r="G13" s="26">
        <v>11.42</v>
      </c>
      <c r="H13" s="10"/>
      <c r="I13" s="10">
        <f t="shared" si="5"/>
        <v>10990.852227994223</v>
      </c>
      <c r="J13" s="10">
        <f t="shared" si="3"/>
        <v>22888962775.266373</v>
      </c>
      <c r="K13" s="11">
        <f t="shared" si="4"/>
        <v>0.11672923400000013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2077830.0020273086</v>
      </c>
      <c r="D14" s="11">
        <v>2.8400000000000001E-3</v>
      </c>
      <c r="E14" s="10">
        <f t="shared" si="2"/>
        <v>5884.3257207106799</v>
      </c>
      <c r="F14" s="3"/>
      <c r="G14" s="26">
        <v>3.49</v>
      </c>
      <c r="H14" s="10"/>
      <c r="I14" s="10">
        <f t="shared" si="5"/>
        <v>9864.3441285175213</v>
      </c>
      <c r="J14" s="10">
        <f t="shared" si="3"/>
        <v>20496430180.55563</v>
      </c>
      <c r="K14" s="11">
        <f t="shared" si="4"/>
        <v>3.7839115999999784E-2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2071945.6763065979</v>
      </c>
      <c r="D15" s="11">
        <v>3.15E-3</v>
      </c>
      <c r="E15" s="10">
        <f t="shared" si="2"/>
        <v>6506.134556512814</v>
      </c>
      <c r="F15" s="3"/>
      <c r="G15" s="26">
        <v>13.67</v>
      </c>
      <c r="H15" s="10"/>
      <c r="I15" s="10">
        <f t="shared" si="5"/>
        <v>9531.6882099889099</v>
      </c>
      <c r="J15" s="10">
        <f t="shared" si="3"/>
        <v>19749140174.589096</v>
      </c>
      <c r="K15" s="11">
        <f t="shared" si="4"/>
        <v>0.14028060500000006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2065439.5417500851</v>
      </c>
      <c r="D16" s="11">
        <v>3.2599999999999999E-3</v>
      </c>
      <c r="E16" s="10">
        <f t="shared" si="2"/>
        <v>6711.4535674753133</v>
      </c>
      <c r="F16" s="3"/>
      <c r="G16" s="26">
        <v>4.21</v>
      </c>
      <c r="H16" s="10"/>
      <c r="I16" s="10">
        <f t="shared" si="5"/>
        <v>8385.4035453408196</v>
      </c>
      <c r="J16" s="10">
        <f t="shared" si="3"/>
        <v>17319544056.078281</v>
      </c>
      <c r="K16" s="11">
        <f t="shared" si="4"/>
        <v>4.5497246000000047E-2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2058728.0881826098</v>
      </c>
      <c r="D17" s="11">
        <v>3.9300000000000003E-3</v>
      </c>
      <c r="E17" s="10">
        <f t="shared" si="2"/>
        <v>8059.1290095502045</v>
      </c>
      <c r="F17" s="3"/>
      <c r="G17" s="26">
        <v>3.05</v>
      </c>
      <c r="H17" s="10"/>
      <c r="I17" s="10">
        <f t="shared" si="5"/>
        <v>8046.6400012866516</v>
      </c>
      <c r="J17" s="10">
        <f t="shared" si="3"/>
        <v>16565843786.14258</v>
      </c>
      <c r="K17" s="11">
        <f t="shared" si="4"/>
        <v>3.4549865000000013E-2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2050668.9591730596</v>
      </c>
      <c r="D18" s="11">
        <v>-1.1199999999999999E-3</v>
      </c>
      <c r="E18" s="10">
        <f t="shared" si="2"/>
        <v>-2299.324477688875</v>
      </c>
      <c r="F18" s="3"/>
      <c r="G18" s="26">
        <v>2.1800000000000002</v>
      </c>
      <c r="H18" s="10"/>
      <c r="I18" s="10">
        <f t="shared" si="5"/>
        <v>7808.4813209962658</v>
      </c>
      <c r="J18" s="10">
        <f t="shared" si="3"/>
        <v>16012610263.249689</v>
      </c>
      <c r="K18" s="11">
        <f t="shared" si="4"/>
        <v>2.0655584000000005E-2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2052968.2836507484</v>
      </c>
      <c r="D19" s="11">
        <v>4.0999999999999999E-4</v>
      </c>
      <c r="E19" s="10">
        <f t="shared" si="2"/>
        <v>841.37203376297839</v>
      </c>
      <c r="F19" s="3"/>
      <c r="G19" s="26">
        <v>4.6900000000000004</v>
      </c>
      <c r="H19" s="10"/>
      <c r="I19" s="10">
        <f t="shared" si="5"/>
        <v>7641.8881591272902</v>
      </c>
      <c r="J19" s="10">
        <f t="shared" si="3"/>
        <v>15688554017.894531</v>
      </c>
      <c r="K19" s="11">
        <f t="shared" si="4"/>
        <v>4.7329229000000028E-2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2052126.9116169855</v>
      </c>
      <c r="D20" s="11">
        <v>1.3699999999999999E-3</v>
      </c>
      <c r="E20" s="10">
        <f t="shared" si="2"/>
        <v>2807.5675014385488</v>
      </c>
      <c r="F20" s="3"/>
      <c r="G20" s="26">
        <v>7.27</v>
      </c>
      <c r="H20" s="10"/>
      <c r="I20" s="10">
        <f t="shared" si="5"/>
        <v>7299.5397450829023</v>
      </c>
      <c r="J20" s="10">
        <f t="shared" si="3"/>
        <v>14979581953.302414</v>
      </c>
      <c r="K20" s="11">
        <f t="shared" si="4"/>
        <v>7.4169599000000197E-2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2049319.3441155469</v>
      </c>
      <c r="D21" s="11">
        <v>2.2100000000000002E-3</v>
      </c>
      <c r="E21" s="10">
        <f t="shared" si="2"/>
        <v>4519.0087411773857</v>
      </c>
      <c r="F21" s="3"/>
      <c r="G21" s="26">
        <v>13.54</v>
      </c>
      <c r="H21" s="10"/>
      <c r="I21" s="10">
        <f t="shared" si="5"/>
        <v>6804.8286986882658</v>
      </c>
      <c r="J21" s="10">
        <f t="shared" si="3"/>
        <v>13945267085.614487</v>
      </c>
      <c r="K21" s="11">
        <f t="shared" si="4"/>
        <v>0.13790923399999988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2044800.3353743695</v>
      </c>
      <c r="D22" s="11">
        <v>3.49E-3</v>
      </c>
      <c r="E22" s="10">
        <f t="shared" si="2"/>
        <v>7111.5339170859661</v>
      </c>
      <c r="F22" s="3"/>
      <c r="G22" s="26">
        <v>15</v>
      </c>
      <c r="H22" s="10"/>
      <c r="I22" s="10">
        <f t="shared" si="5"/>
        <v>5993.3316000425102</v>
      </c>
      <c r="J22" s="10">
        <f t="shared" si="3"/>
        <v>12255166465.776731</v>
      </c>
      <c r="K22" s="11">
        <f t="shared" si="4"/>
        <v>0.15401350000000003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2037688.8014572836</v>
      </c>
      <c r="D23" s="11">
        <v>-2.9E-4</v>
      </c>
      <c r="E23" s="10">
        <f t="shared" si="2"/>
        <v>-591.10117176244967</v>
      </c>
      <c r="F23" s="3"/>
      <c r="G23" s="26">
        <v>1.34</v>
      </c>
      <c r="H23" s="10"/>
      <c r="I23" s="10">
        <f t="shared" si="5"/>
        <v>5211.5926956891399</v>
      </c>
      <c r="J23" s="10">
        <f t="shared" si="3"/>
        <v>10619604073.762337</v>
      </c>
      <c r="K23" s="11">
        <f t="shared" si="4"/>
        <v>1.3106114000000169E-2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2038279.902629046</v>
      </c>
      <c r="D24" s="11">
        <v>-2.0000000000000002E-5</v>
      </c>
      <c r="E24" s="10">
        <f t="shared" si="2"/>
        <v>-40.766413380857557</v>
      </c>
      <c r="F24" s="3"/>
      <c r="G24" s="26">
        <v>11.42</v>
      </c>
      <c r="H24" s="10"/>
      <c r="I24" s="10">
        <f t="shared" si="5"/>
        <v>5142.6807733265632</v>
      </c>
      <c r="J24" s="10">
        <f t="shared" si="3"/>
        <v>10482222865.908335</v>
      </c>
      <c r="K24" s="11">
        <f t="shared" si="4"/>
        <v>0.11417771600000015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2038320.6690424269</v>
      </c>
      <c r="D25" s="11">
        <v>2.2000000000000001E-4</v>
      </c>
      <c r="E25" s="10">
        <f t="shared" si="2"/>
        <v>448.3319141685497</v>
      </c>
      <c r="F25" s="3"/>
      <c r="G25" s="26">
        <v>-5.84</v>
      </c>
      <c r="H25" s="10"/>
      <c r="I25" s="10">
        <f t="shared" si="5"/>
        <v>4615.5813797581786</v>
      </c>
      <c r="J25" s="10">
        <f t="shared" si="3"/>
        <v>9408034926.0084591</v>
      </c>
      <c r="K25" s="11">
        <f t="shared" si="4"/>
        <v>-5.8192847999999686E-2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2037872.3371282583</v>
      </c>
      <c r="D26" s="11">
        <v>9.5E-4</v>
      </c>
      <c r="E26" s="10">
        <f t="shared" si="2"/>
        <v>1934.1412860502023</v>
      </c>
      <c r="F26" s="3"/>
      <c r="G26" s="26">
        <v>0.99</v>
      </c>
      <c r="H26" s="10"/>
      <c r="I26" s="10">
        <f t="shared" si="5"/>
        <v>4901.8493837703681</v>
      </c>
      <c r="J26" s="10">
        <f t="shared" si="3"/>
        <v>9989343259.9548321</v>
      </c>
      <c r="K26" s="11">
        <f t="shared" si="4"/>
        <v>1.0859404999999933E-2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2035938.1958422081</v>
      </c>
      <c r="D27" s="11">
        <v>2.2799999999999999E-3</v>
      </c>
      <c r="E27" s="10">
        <f t="shared" si="2"/>
        <v>4631.3795411665924</v>
      </c>
      <c r="F27" s="3"/>
      <c r="G27" s="26">
        <v>-23.98</v>
      </c>
      <c r="H27" s="10"/>
      <c r="I27" s="10">
        <f t="shared" si="5"/>
        <v>4853.7967954949681</v>
      </c>
      <c r="J27" s="10">
        <f t="shared" si="3"/>
        <v>9882030290.8047161</v>
      </c>
      <c r="K27" s="11">
        <f t="shared" si="4"/>
        <v>-0.23806674399999994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2031306.8163010415</v>
      </c>
      <c r="D28" s="11">
        <v>9.0200000000000002E-3</v>
      </c>
      <c r="E28" s="10">
        <f t="shared" si="2"/>
        <v>18158.596938648727</v>
      </c>
      <c r="F28" s="3"/>
      <c r="G28" s="26">
        <v>0.04</v>
      </c>
      <c r="H28" s="10"/>
      <c r="I28" s="10">
        <f t="shared" si="5"/>
        <v>6384.8944955208735</v>
      </c>
      <c r="J28" s="10">
        <f t="shared" si="3"/>
        <v>12969679710.11455</v>
      </c>
      <c r="K28" s="11">
        <f t="shared" si="4"/>
        <v>9.4236079999998612E-3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2013148.2193623928</v>
      </c>
      <c r="D29" s="11">
        <v>9.7999999999999997E-3</v>
      </c>
      <c r="E29" s="10">
        <f t="shared" si="2"/>
        <v>19537.386165331351</v>
      </c>
      <c r="F29" s="3"/>
      <c r="G29" s="26">
        <v>6.13</v>
      </c>
      <c r="H29" s="10"/>
      <c r="I29" s="10">
        <f t="shared" si="5"/>
        <v>6382.3415588973148</v>
      </c>
      <c r="J29" s="10">
        <f t="shared" si="3"/>
        <v>12848599544.656727</v>
      </c>
      <c r="K29" s="11">
        <f t="shared" si="4"/>
        <v>7.1700739999999819E-2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1993610.8331970614</v>
      </c>
      <c r="D30" s="11">
        <v>9.7900000000000001E-3</v>
      </c>
      <c r="E30" s="10">
        <f t="shared" si="2"/>
        <v>19328.226717435522</v>
      </c>
      <c r="F30" s="3"/>
      <c r="G30" s="26">
        <v>4.08</v>
      </c>
      <c r="H30" s="10"/>
      <c r="I30" s="10">
        <f t="shared" si="5"/>
        <v>6013.7016478821406</v>
      </c>
      <c r="J30" s="10">
        <f t="shared" si="3"/>
        <v>11988980752.832855</v>
      </c>
      <c r="K30" s="11">
        <f t="shared" si="4"/>
        <v>5.0989431999999946E-2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1974282.6064796259</v>
      </c>
      <c r="D31" s="11">
        <v>9.6900000000000007E-3</v>
      </c>
      <c r="E31" s="10">
        <f t="shared" si="2"/>
        <v>18947.200087935431</v>
      </c>
      <c r="F31" s="3"/>
      <c r="G31" s="26">
        <v>-2.9</v>
      </c>
      <c r="H31" s="10"/>
      <c r="I31" s="10">
        <f t="shared" si="5"/>
        <v>5777.9608453902201</v>
      </c>
      <c r="J31" s="10">
        <f t="shared" si="3"/>
        <v>11407327597.974226</v>
      </c>
      <c r="K31" s="11">
        <f t="shared" si="4"/>
        <v>-1.9591010000000075E-2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1955335.4063916905</v>
      </c>
      <c r="D32" s="11">
        <v>1.0070000000000001E-2</v>
      </c>
      <c r="E32" s="10">
        <f t="shared" si="2"/>
        <v>19493.923730399227</v>
      </c>
      <c r="F32" s="3"/>
      <c r="G32" s="26">
        <v>7.5</v>
      </c>
      <c r="H32" s="10"/>
      <c r="I32" s="10">
        <f t="shared" si="5"/>
        <v>5950.5261023586199</v>
      </c>
      <c r="J32" s="10">
        <f t="shared" si="3"/>
        <v>11635274374.599754</v>
      </c>
      <c r="K32" s="11">
        <f t="shared" si="4"/>
        <v>8.5825250000000075E-2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1935841.4826612913</v>
      </c>
      <c r="D33" s="11">
        <v>1.26E-2</v>
      </c>
      <c r="E33" s="10">
        <f t="shared" si="2"/>
        <v>24088.092713344144</v>
      </c>
      <c r="F33" s="3"/>
      <c r="G33" s="26">
        <v>29.5</v>
      </c>
      <c r="H33" s="10"/>
      <c r="I33" s="10">
        <f t="shared" si="5"/>
        <v>5535.373118473135</v>
      </c>
      <c r="J33" s="10">
        <f t="shared" si="3"/>
        <v>10715604904.748489</v>
      </c>
      <c r="K33" s="11">
        <f t="shared" si="4"/>
        <v>0.17461599999999988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1911753.3899479471</v>
      </c>
      <c r="D34" s="11">
        <v>1.205E-2</v>
      </c>
      <c r="E34" s="10">
        <f t="shared" si="2"/>
        <v>22762.342126251198</v>
      </c>
      <c r="F34" s="3"/>
      <c r="G34" s="26">
        <v>16</v>
      </c>
      <c r="H34" s="10"/>
      <c r="I34" s="10">
        <f t="shared" si="5"/>
        <v>4771.8733779940821</v>
      </c>
      <c r="J34" s="10">
        <f t="shared" ref="J34:J65" si="6">IF(I34="","",I34*C34)</f>
        <v>9122645106.7825489</v>
      </c>
      <c r="K34" s="11">
        <f t="shared" ref="K34:K65" si="7">IFERROR(J34/J35-1,"")</f>
        <v>0.15576109999999987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1888991.0478216959</v>
      </c>
      <c r="D35" s="11">
        <v>1.227E-2</v>
      </c>
      <c r="E35" s="10">
        <f t="shared" si="2"/>
        <v>22896.974282328039</v>
      </c>
      <c r="F35" s="3"/>
      <c r="G35" s="26">
        <v>20</v>
      </c>
      <c r="H35" s="10"/>
      <c r="I35" s="10">
        <f t="shared" ref="I35:I66" si="8">IF(H35&lt;&gt;"",H35,I34/(1+IF(G34="",0,G34)/100))</f>
        <v>4178.5230980683737</v>
      </c>
      <c r="J35" s="10">
        <f t="shared" si="6"/>
        <v>7893192725.3673363</v>
      </c>
      <c r="K35" s="11">
        <f t="shared" si="7"/>
        <v>-0.11932509999999985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1866094.0735393679</v>
      </c>
      <c r="D36" s="11">
        <v>1.205E-2</v>
      </c>
      <c r="E36" s="10">
        <f t="shared" si="2"/>
        <v>22218.698271971894</v>
      </c>
      <c r="F36" s="3"/>
      <c r="G36" s="26">
        <v>34</v>
      </c>
      <c r="H36" s="10"/>
      <c r="I36" s="10">
        <f t="shared" si="8"/>
        <v>4802.9001127222682</v>
      </c>
      <c r="J36" s="10">
        <f t="shared" si="6"/>
        <v>8962663436.152586</v>
      </c>
      <c r="K36" s="11">
        <f t="shared" si="7"/>
        <v>0.23874919999999977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1843875.375267396</v>
      </c>
      <c r="D37" s="11">
        <v>1.2070000000000001E-2</v>
      </c>
      <c r="E37" s="10">
        <f t="shared" si="2"/>
        <v>21990.154613295104</v>
      </c>
      <c r="F37" s="3"/>
      <c r="G37" s="26">
        <v>38</v>
      </c>
      <c r="H37" s="10"/>
      <c r="I37" s="10">
        <f t="shared" si="8"/>
        <v>3923.9380005900884</v>
      </c>
      <c r="J37" s="10">
        <f t="shared" si="6"/>
        <v>7235252653.3640451</v>
      </c>
      <c r="K37" s="11">
        <f t="shared" si="7"/>
        <v>0.67396378000000001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1821885.2206541009</v>
      </c>
      <c r="D38" s="11">
        <v>1.06E-3</v>
      </c>
      <c r="E38" s="10">
        <f t="shared" si="2"/>
        <v>1929.1534312563017</v>
      </c>
      <c r="F38" s="3"/>
      <c r="G38" s="26">
        <v>40</v>
      </c>
      <c r="H38" s="10"/>
      <c r="I38" s="10">
        <f t="shared" si="8"/>
        <v>2372.3929870556763</v>
      </c>
      <c r="J38" s="10">
        <f t="shared" si="6"/>
        <v>4322227720.7001724</v>
      </c>
      <c r="K38" s="11">
        <f t="shared" si="7"/>
        <v>1.0016194700000001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1819956.0672228446</v>
      </c>
      <c r="D39" s="11">
        <v>1.8000000000000001E-4</v>
      </c>
      <c r="E39" s="10">
        <f t="shared" si="2"/>
        <v>327.5331361356657</v>
      </c>
      <c r="F39" s="3"/>
      <c r="G39" s="26">
        <v>-0.54</v>
      </c>
      <c r="H39" s="10"/>
      <c r="I39" s="10">
        <f t="shared" si="8"/>
        <v>1186.4931168070398</v>
      </c>
      <c r="J39" s="10">
        <f t="shared" si="6"/>
        <v>2159365346.6511154</v>
      </c>
      <c r="K39" s="11">
        <f t="shared" si="7"/>
        <v>-5.2209719999998239E-3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1819628.5340867089</v>
      </c>
      <c r="D40" s="11">
        <v>-3.6000000000000002E-4</v>
      </c>
      <c r="E40" s="10">
        <f t="shared" si="2"/>
        <v>-655.30218105646782</v>
      </c>
      <c r="F40" s="3"/>
      <c r="G40" s="26">
        <v>0.75</v>
      </c>
      <c r="H40" s="10"/>
      <c r="I40" s="10">
        <f t="shared" si="8"/>
        <v>1192.9349656213953</v>
      </c>
      <c r="J40" s="10">
        <f t="shared" si="6"/>
        <v>2170698502.7544379</v>
      </c>
      <c r="K40" s="11">
        <f t="shared" si="7"/>
        <v>7.1372999999999021E-3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1820283.8362677654</v>
      </c>
      <c r="D41" s="11">
        <v>6.9800000000000001E-3</v>
      </c>
      <c r="E41" s="10">
        <f t="shared" si="2"/>
        <v>12617.510950712953</v>
      </c>
      <c r="F41" s="3"/>
      <c r="G41" s="26">
        <v>2.09</v>
      </c>
      <c r="H41" s="10"/>
      <c r="I41" s="10">
        <f t="shared" si="8"/>
        <v>1184.0545564480351</v>
      </c>
      <c r="J41" s="10">
        <f t="shared" si="6"/>
        <v>2155315370.3615565</v>
      </c>
      <c r="K41" s="11">
        <f t="shared" si="7"/>
        <v>2.8025881999999891E-2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1807666.3253170524</v>
      </c>
      <c r="D42" s="11">
        <v>1.0030000000000001E-2</v>
      </c>
      <c r="E42" s="10">
        <f t="shared" si="2"/>
        <v>17950.846254992532</v>
      </c>
      <c r="F42" s="3"/>
      <c r="G42" s="26">
        <v>2.56</v>
      </c>
      <c r="H42" s="10"/>
      <c r="I42" s="10">
        <f t="shared" si="8"/>
        <v>1159.8144347615194</v>
      </c>
      <c r="J42" s="10">
        <f t="shared" si="6"/>
        <v>2096557497.3350298</v>
      </c>
      <c r="K42" s="11">
        <f t="shared" si="7"/>
        <v>3.5886768000000124E-2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1789715.4790620599</v>
      </c>
      <c r="D43" s="11">
        <v>1.2460000000000001E-2</v>
      </c>
      <c r="E43" s="10">
        <f t="shared" si="2"/>
        <v>22025.418158853892</v>
      </c>
      <c r="F43" s="3"/>
      <c r="G43" s="26">
        <v>-3.35</v>
      </c>
      <c r="H43" s="10"/>
      <c r="I43" s="10">
        <f t="shared" si="8"/>
        <v>1130.8643084648199</v>
      </c>
      <c r="J43" s="10">
        <f t="shared" si="6"/>
        <v>2023925357.5783002</v>
      </c>
      <c r="K43" s="11">
        <f t="shared" si="7"/>
        <v>-2.1457409999999899E-2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1767690.060903206</v>
      </c>
      <c r="D44" s="11">
        <v>1.426E-2</v>
      </c>
      <c r="E44" s="10">
        <f t="shared" si="2"/>
        <v>24852.85850618151</v>
      </c>
      <c r="F44" s="3"/>
      <c r="G44" s="26">
        <v>6.13</v>
      </c>
      <c r="H44" s="10"/>
      <c r="I44" s="10">
        <f t="shared" si="8"/>
        <v>1170.0613641643247</v>
      </c>
      <c r="J44" s="10">
        <f t="shared" si="6"/>
        <v>2068305844.0801234</v>
      </c>
      <c r="K44" s="11">
        <f t="shared" si="7"/>
        <v>7.6434137999999763E-2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1742837.2023970245</v>
      </c>
      <c r="D45" s="11">
        <v>1.5959999999999998E-2</v>
      </c>
      <c r="E45" s="10">
        <f t="shared" si="2"/>
        <v>27378.717420229688</v>
      </c>
      <c r="F45" s="3"/>
      <c r="G45" s="26">
        <v>6.65</v>
      </c>
      <c r="H45" s="10"/>
      <c r="I45" s="10">
        <f t="shared" si="8"/>
        <v>1102.4793782760057</v>
      </c>
      <c r="J45" s="10">
        <f t="shared" si="6"/>
        <v>1921442075.3349648</v>
      </c>
      <c r="K45" s="11">
        <f t="shared" si="7"/>
        <v>8.3521339999999888E-2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1715458.4849767948</v>
      </c>
      <c r="D46" s="11">
        <v>1.6389999999999998E-2</v>
      </c>
      <c r="E46" s="10">
        <f t="shared" si="2"/>
        <v>27662.968514811713</v>
      </c>
      <c r="F46" s="3"/>
      <c r="G46" s="26">
        <v>6.8</v>
      </c>
      <c r="H46" s="10"/>
      <c r="I46" s="10">
        <f t="shared" si="8"/>
        <v>1033.7359383741264</v>
      </c>
      <c r="J46" s="10">
        <f t="shared" si="6"/>
        <v>1773331086.7093441</v>
      </c>
      <c r="K46" s="11">
        <f t="shared" si="7"/>
        <v>8.5504519999999973E-2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1687795.5164619831</v>
      </c>
      <c r="D47" s="11">
        <v>2.877E-2</v>
      </c>
      <c r="E47" s="10">
        <f t="shared" si="2"/>
        <v>47199.934882054571</v>
      </c>
      <c r="F47" s="3"/>
      <c r="G47" s="26">
        <v>7.06</v>
      </c>
      <c r="H47" s="10"/>
      <c r="I47" s="10">
        <f t="shared" si="8"/>
        <v>967.91754529412572</v>
      </c>
      <c r="J47" s="10">
        <f t="shared" si="6"/>
        <v>1633646893.2523139</v>
      </c>
      <c r="K47" s="11">
        <f t="shared" si="7"/>
        <v>0.10140116200000016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1640595.5815799285</v>
      </c>
      <c r="D48" s="11">
        <v>3.0540000000000001E-2</v>
      </c>
      <c r="E48" s="10">
        <f t="shared" si="2"/>
        <v>48618.965844558319</v>
      </c>
      <c r="F48" s="3"/>
      <c r="G48" s="26">
        <v>6.51</v>
      </c>
      <c r="H48" s="10"/>
      <c r="I48" s="10">
        <f t="shared" si="8"/>
        <v>904.0888710014251</v>
      </c>
      <c r="J48" s="10">
        <f t="shared" si="6"/>
        <v>1483244207.1205239</v>
      </c>
      <c r="K48" s="11">
        <f t="shared" si="7"/>
        <v>9.7628153999999912E-2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1591976.6157353702</v>
      </c>
      <c r="D49" s="11">
        <v>3.1910000000000001E-2</v>
      </c>
      <c r="E49" s="10">
        <f t="shared" si="2"/>
        <v>49229.074055020232</v>
      </c>
      <c r="F49" s="3"/>
      <c r="G49" s="26">
        <v>5.24</v>
      </c>
      <c r="H49" s="10"/>
      <c r="I49" s="10">
        <f t="shared" si="8"/>
        <v>848.83003567873925</v>
      </c>
      <c r="J49" s="10">
        <f t="shared" si="6"/>
        <v>1351317567.5343728</v>
      </c>
      <c r="K49" s="11">
        <f t="shared" si="7"/>
        <v>8.5982084000000292E-2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1542747.54168035</v>
      </c>
      <c r="D50" s="11">
        <v>3.3849999999999998E-2</v>
      </c>
      <c r="E50" s="10">
        <f t="shared" si="2"/>
        <v>50512.167418754892</v>
      </c>
      <c r="F50" s="3"/>
      <c r="G50" s="26">
        <v>5.87</v>
      </c>
      <c r="H50" s="10"/>
      <c r="I50" s="10">
        <f t="shared" si="8"/>
        <v>806.56597841005248</v>
      </c>
      <c r="J50" s="10">
        <f t="shared" si="6"/>
        <v>1244327680.3951147</v>
      </c>
      <c r="K50" s="11">
        <f t="shared" si="7"/>
        <v>9.4536994999999902E-2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1492235.3742615951</v>
      </c>
      <c r="D51" s="11">
        <v>3.653E-2</v>
      </c>
      <c r="E51" s="10">
        <f t="shared" si="2"/>
        <v>52590.236868953099</v>
      </c>
      <c r="F51" s="3"/>
      <c r="G51" s="26">
        <v>3.82</v>
      </c>
      <c r="H51" s="10"/>
      <c r="I51" s="10">
        <f t="shared" si="8"/>
        <v>761.84563937853261</v>
      </c>
      <c r="J51" s="10">
        <f t="shared" si="6"/>
        <v>1136853012.8075888</v>
      </c>
      <c r="K51" s="11">
        <f t="shared" si="7"/>
        <v>7.6125445999999819E-2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1439645.137392642</v>
      </c>
      <c r="D52" s="11">
        <v>3.5299999999999998E-2</v>
      </c>
      <c r="E52" s="10">
        <f t="shared" si="2"/>
        <v>49086.712402163772</v>
      </c>
      <c r="F52" s="3"/>
      <c r="G52" s="26">
        <v>4.59</v>
      </c>
      <c r="H52" s="10"/>
      <c r="I52" s="10">
        <f t="shared" si="8"/>
        <v>733.81394661773516</v>
      </c>
      <c r="J52" s="10">
        <f t="shared" si="6"/>
        <v>1056431679.9991262</v>
      </c>
      <c r="K52" s="11">
        <f t="shared" si="7"/>
        <v>8.2820270000000029E-2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1390558.4249904782</v>
      </c>
      <c r="D53" s="11">
        <v>3.5830000000000001E-2</v>
      </c>
      <c r="E53" s="10">
        <f t="shared" si="2"/>
        <v>48100.275496373884</v>
      </c>
      <c r="F53" s="3"/>
      <c r="G53" s="26">
        <v>-8.4</v>
      </c>
      <c r="H53" s="10"/>
      <c r="I53" s="10">
        <f t="shared" si="8"/>
        <v>701.61004552799989</v>
      </c>
      <c r="J53" s="10">
        <f t="shared" si="6"/>
        <v>975629759.8669132</v>
      </c>
      <c r="K53" s="11">
        <f t="shared" si="7"/>
        <v>-5.1179719999999929E-2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1342458.1494941043</v>
      </c>
      <c r="D54" s="11">
        <v>3.56E-2</v>
      </c>
      <c r="E54" s="10">
        <f t="shared" si="2"/>
        <v>46148.619275772711</v>
      </c>
      <c r="F54" s="3"/>
      <c r="G54" s="26">
        <v>3.79</v>
      </c>
      <c r="H54" s="10"/>
      <c r="I54" s="10">
        <f t="shared" si="8"/>
        <v>765.94983136244525</v>
      </c>
      <c r="J54" s="10">
        <f t="shared" si="6"/>
        <v>1028255593.2161496</v>
      </c>
      <c r="K54" s="11">
        <f t="shared" si="7"/>
        <v>7.4849240000000039E-2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1296309.5302183316</v>
      </c>
      <c r="D55" s="11">
        <v>3.5799999999999998E-2</v>
      </c>
      <c r="E55" s="10">
        <f t="shared" si="2"/>
        <v>44803.901507835835</v>
      </c>
      <c r="F55" s="3"/>
      <c r="G55" s="26">
        <v>-14.12</v>
      </c>
      <c r="H55" s="10"/>
      <c r="I55" s="10">
        <f t="shared" si="8"/>
        <v>737.9803751444698</v>
      </c>
      <c r="J55" s="10">
        <f t="shared" si="6"/>
        <v>956650993.41387582</v>
      </c>
      <c r="K55" s="11">
        <f t="shared" si="7"/>
        <v>-0.11045495999999988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1251505.6287104958</v>
      </c>
      <c r="D56" s="11">
        <v>3.6389999999999999E-2</v>
      </c>
      <c r="E56" s="10">
        <f t="shared" si="2"/>
        <v>43943.19689380913</v>
      </c>
      <c r="F56" s="3"/>
      <c r="G56" s="26">
        <v>5.21</v>
      </c>
      <c r="H56" s="10"/>
      <c r="I56" s="10">
        <f t="shared" si="8"/>
        <v>859.31576053152048</v>
      </c>
      <c r="J56" s="10">
        <f t="shared" si="6"/>
        <v>1075438511.1448383</v>
      </c>
      <c r="K56" s="11">
        <f t="shared" si="7"/>
        <v>9.0385919000000037E-2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1207562.4318166866</v>
      </c>
      <c r="D57" s="11">
        <v>4.3889999999999998E-2</v>
      </c>
      <c r="E57" s="10">
        <f t="shared" si="2"/>
        <v>50771.551727130543</v>
      </c>
      <c r="F57" s="3"/>
      <c r="G57" s="26">
        <v>4.05</v>
      </c>
      <c r="H57" s="10"/>
      <c r="I57" s="10">
        <f t="shared" si="8"/>
        <v>816.76243753590006</v>
      </c>
      <c r="J57" s="10">
        <f t="shared" si="6"/>
        <v>986291635.28737605</v>
      </c>
      <c r="K57" s="11">
        <f t="shared" si="7"/>
        <v>8.6167544999999901E-2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1156790.8800895561</v>
      </c>
      <c r="D58" s="11">
        <v>4.3779999999999999E-2</v>
      </c>
      <c r="E58" s="10">
        <f t="shared" si="2"/>
        <v>48520.094972427702</v>
      </c>
      <c r="F58" s="3"/>
      <c r="G58" s="26">
        <v>0.41</v>
      </c>
      <c r="H58" s="10"/>
      <c r="I58" s="10">
        <f t="shared" si="8"/>
        <v>784.97110767506013</v>
      </c>
      <c r="J58" s="10">
        <f t="shared" si="6"/>
        <v>908047418.49230647</v>
      </c>
      <c r="K58" s="11">
        <f t="shared" si="7"/>
        <v>4.8059497999999756E-2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1108270.7851171284</v>
      </c>
      <c r="D59" s="11">
        <v>4.1750000000000002E-2</v>
      </c>
      <c r="E59" s="10">
        <f t="shared" si="2"/>
        <v>44415.939792311052</v>
      </c>
      <c r="F59" s="3"/>
      <c r="G59" s="26">
        <v>5.36</v>
      </c>
      <c r="H59" s="10"/>
      <c r="I59" s="10">
        <f t="shared" si="8"/>
        <v>781.76586761782698</v>
      </c>
      <c r="J59" s="10">
        <f t="shared" si="6"/>
        <v>866408271.88258219</v>
      </c>
      <c r="K59" s="11">
        <f t="shared" si="7"/>
        <v>9.7587800000000113E-2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1063854.8453248173</v>
      </c>
      <c r="D60" s="11">
        <v>3.9919999999999997E-2</v>
      </c>
      <c r="E60" s="10">
        <f t="shared" si="2"/>
        <v>40838.800509045599</v>
      </c>
      <c r="F60" s="3"/>
      <c r="G60" s="26">
        <v>9.5500000000000007</v>
      </c>
      <c r="H60" s="10"/>
      <c r="I60" s="10">
        <f t="shared" si="8"/>
        <v>741.99493889315386</v>
      </c>
      <c r="J60" s="10">
        <f t="shared" si="6"/>
        <v>789374910.94797349</v>
      </c>
      <c r="K60" s="11">
        <f t="shared" si="7"/>
        <v>0.13923235999999983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1023016.0448157717</v>
      </c>
      <c r="D61" s="11">
        <v>3.805E-2</v>
      </c>
      <c r="E61" s="10">
        <f t="shared" si="2"/>
        <v>37498.926357343094</v>
      </c>
      <c r="F61" s="3"/>
      <c r="G61" s="26">
        <v>-1.85</v>
      </c>
      <c r="H61" s="10"/>
      <c r="I61" s="10">
        <f t="shared" si="8"/>
        <v>677.31167402387393</v>
      </c>
      <c r="J61" s="10">
        <f t="shared" si="6"/>
        <v>692900709.86745286</v>
      </c>
      <c r="K61" s="11">
        <f t="shared" si="7"/>
        <v>1.8846074999999907E-2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985517.11845842865</v>
      </c>
      <c r="D62" s="11">
        <v>3.073E-2</v>
      </c>
      <c r="E62" s="10">
        <f t="shared" si="2"/>
        <v>29382.031230513705</v>
      </c>
      <c r="F62" s="3"/>
      <c r="G62" s="26">
        <v>8</v>
      </c>
      <c r="H62" s="10"/>
      <c r="I62" s="10">
        <f t="shared" si="8"/>
        <v>690.07811922962196</v>
      </c>
      <c r="J62" s="10">
        <f t="shared" si="6"/>
        <v>680083799.57438898</v>
      </c>
      <c r="K62" s="11">
        <f t="shared" si="7"/>
        <v>0.11318840000000008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956135.08722791495</v>
      </c>
      <c r="D63" s="11">
        <v>2.8199999999999999E-2</v>
      </c>
      <c r="E63" s="10">
        <f t="shared" si="2"/>
        <v>26223.506574428291</v>
      </c>
      <c r="F63" s="3"/>
      <c r="G63" s="26">
        <v>-2.76</v>
      </c>
      <c r="H63" s="10"/>
      <c r="I63" s="10">
        <f t="shared" si="8"/>
        <v>638.96122150890915</v>
      </c>
      <c r="J63" s="10">
        <f t="shared" si="6"/>
        <v>610933243.26267588</v>
      </c>
      <c r="K63" s="11">
        <f t="shared" si="7"/>
        <v>-1.7832000000006509E-4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929911.58065348666</v>
      </c>
      <c r="D64" s="11">
        <v>2.6610000000000002E-2</v>
      </c>
      <c r="E64" s="10">
        <f t="shared" si="2"/>
        <v>24103.551651736605</v>
      </c>
      <c r="F64" s="3"/>
      <c r="G64" s="26">
        <v>3.77</v>
      </c>
      <c r="H64" s="10"/>
      <c r="I64" s="10">
        <f t="shared" si="8"/>
        <v>657.09710151060176</v>
      </c>
      <c r="J64" s="10">
        <f t="shared" si="6"/>
        <v>611042204.30854821</v>
      </c>
      <c r="K64" s="11">
        <f t="shared" si="7"/>
        <v>6.5313197000000267E-2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905808.02900175005</v>
      </c>
      <c r="D65" s="11">
        <v>2.5149999999999999E-2</v>
      </c>
      <c r="E65" s="10">
        <f t="shared" si="2"/>
        <v>22222.184001749963</v>
      </c>
      <c r="F65" s="3"/>
      <c r="G65" s="26">
        <v>3.78</v>
      </c>
      <c r="H65" s="10"/>
      <c r="I65" s="10">
        <f t="shared" si="8"/>
        <v>633.22453648511294</v>
      </c>
      <c r="J65" s="10">
        <f t="shared" si="6"/>
        <v>573579869.30912685</v>
      </c>
      <c r="K65" s="11">
        <f t="shared" si="7"/>
        <v>6.3900669999999993E-2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883585.84500000009</v>
      </c>
      <c r="D66" s="11">
        <v>1.737E-2</v>
      </c>
      <c r="E66" s="10">
        <f t="shared" si="2"/>
        <v>15085.845000000088</v>
      </c>
      <c r="F66" s="23">
        <f>SUM(F2)</f>
        <v>2048851</v>
      </c>
      <c r="G66" s="26">
        <v>3.64</v>
      </c>
      <c r="H66" s="10"/>
      <c r="I66" s="10">
        <f t="shared" si="8"/>
        <v>610.16047069292051</v>
      </c>
      <c r="J66" s="10">
        <f t="shared" ref="J66:J67" si="9">IF(I66="","",I66*C66)</f>
        <v>539129155.08280194</v>
      </c>
      <c r="K66" s="11">
        <f t="shared" ref="K66" si="10">IFERROR(J66/J67-1,"")</f>
        <v>5.4402268000000031E-2</v>
      </c>
    </row>
    <row r="67" spans="1:11" ht="22.5" customHeight="1">
      <c r="A67" s="3">
        <f t="shared" si="0"/>
        <v>1950</v>
      </c>
      <c r="B67" s="3">
        <v>1700</v>
      </c>
      <c r="C67" s="10">
        <v>868500</v>
      </c>
      <c r="D67" s="11">
        <v>2.1590000000000002E-2</v>
      </c>
      <c r="E67" s="3" t="s">
        <v>72</v>
      </c>
      <c r="F67" s="10">
        <f>SUM(C2)</f>
        <v>2048848.2903013632</v>
      </c>
      <c r="G67" s="26">
        <v>3.82</v>
      </c>
      <c r="H67" s="10"/>
      <c r="I67" s="10">
        <f t="shared" ref="I67" si="11">IF(H67&lt;&gt;"",H67,I66/(1+IF(G66="",0,G66)/100))</f>
        <v>588.73067415372498</v>
      </c>
      <c r="J67" s="10">
        <f t="shared" si="9"/>
        <v>511312590.50251013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5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M72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635530.82083405391</v>
      </c>
      <c r="D2" s="11">
        <v>2.3800000000000002E-3</v>
      </c>
      <c r="E2" s="10">
        <f t="shared" ref="E2:E66" si="2">SUM(C2-C3)</f>
        <v>1508.9720002245158</v>
      </c>
      <c r="F2" s="14">
        <v>635532</v>
      </c>
      <c r="G2" s="26">
        <v>2.76</v>
      </c>
      <c r="H2" s="10"/>
      <c r="I2" s="10">
        <f>IF(H2&lt;&gt;"",H2,35552)</f>
        <v>4444</v>
      </c>
      <c r="J2" s="10">
        <f t="shared" ref="J2:J33" si="3">IF(I2="","",I2*C2)</f>
        <v>2824298967.7865357</v>
      </c>
      <c r="K2" s="11">
        <f t="shared" ref="K2:K33" si="4">IFERROR(J2/J3-1,"")</f>
        <v>3.0045688000000181E-2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634021.8488338294</v>
      </c>
      <c r="D3" s="11">
        <v>2.4299999999999999E-3</v>
      </c>
      <c r="E3" s="10">
        <f t="shared" si="2"/>
        <v>1536.938332518097</v>
      </c>
      <c r="F3" s="3"/>
      <c r="G3" s="26">
        <v>3.89</v>
      </c>
      <c r="H3" s="10"/>
      <c r="I3" s="10">
        <f t="shared" ref="I3:I34" si="5">IF(H3&lt;&gt;"",H3,I2/(1+IF(G2="",0,G2)/100))</f>
        <v>4324.6399377189564</v>
      </c>
      <c r="J3" s="10">
        <f t="shared" si="3"/>
        <v>2741916208.8531895</v>
      </c>
      <c r="K3" s="11">
        <f t="shared" si="4"/>
        <v>4.1424526999999767E-2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632484.9105013113</v>
      </c>
      <c r="D4" s="11">
        <v>2.3400000000000001E-3</v>
      </c>
      <c r="E4" s="10">
        <f t="shared" si="2"/>
        <v>1476.5595412465045</v>
      </c>
      <c r="F4" s="3"/>
      <c r="G4" s="26">
        <v>4.07</v>
      </c>
      <c r="H4" s="10"/>
      <c r="I4" s="10">
        <f t="shared" si="5"/>
        <v>4162.7104992963295</v>
      </c>
      <c r="J4" s="10">
        <f t="shared" si="3"/>
        <v>2632851577.5903077</v>
      </c>
      <c r="K4" s="11">
        <f t="shared" si="4"/>
        <v>4.3135237999999632E-2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631008.3509600648</v>
      </c>
      <c r="D5" s="11">
        <v>3.7200000000000002E-3</v>
      </c>
      <c r="E5" s="10">
        <f t="shared" si="2"/>
        <v>2338.6512827994302</v>
      </c>
      <c r="F5" s="3"/>
      <c r="G5" s="26">
        <v>3.94</v>
      </c>
      <c r="H5" s="10"/>
      <c r="I5" s="10">
        <f t="shared" si="5"/>
        <v>3999.9139995160276</v>
      </c>
      <c r="J5" s="10">
        <f t="shared" si="3"/>
        <v>2523979136.8166862</v>
      </c>
      <c r="K5" s="11">
        <f t="shared" si="4"/>
        <v>4.3266568000000172E-2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628669.69967726537</v>
      </c>
      <c r="D6" s="11">
        <v>2.5300000000000001E-3</v>
      </c>
      <c r="E6" s="10">
        <f t="shared" si="2"/>
        <v>1586.5204434614861</v>
      </c>
      <c r="F6" s="3"/>
      <c r="G6" s="26">
        <v>-0.13</v>
      </c>
      <c r="H6" s="10"/>
      <c r="I6" s="10">
        <f t="shared" si="5"/>
        <v>3848.2913214508631</v>
      </c>
      <c r="J6" s="10">
        <f t="shared" si="3"/>
        <v>2419304149.3271408</v>
      </c>
      <c r="K6" s="11">
        <f t="shared" si="4"/>
        <v>1.2267109999999359E-3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627083.17923380388</v>
      </c>
      <c r="D7" s="11">
        <v>1.6900000000000001E-3</v>
      </c>
      <c r="E7" s="10">
        <f t="shared" si="2"/>
        <v>1057.9825823409483</v>
      </c>
      <c r="F7" s="3"/>
      <c r="G7" s="26">
        <v>1.42</v>
      </c>
      <c r="H7" s="10"/>
      <c r="I7" s="10">
        <f t="shared" si="5"/>
        <v>3853.3006122467837</v>
      </c>
      <c r="J7" s="10">
        <f t="shared" si="3"/>
        <v>2416339998.4712763</v>
      </c>
      <c r="K7" s="11">
        <f t="shared" si="4"/>
        <v>1.591399800000004E-2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626025.19665146293</v>
      </c>
      <c r="D8" s="11">
        <v>3.46E-3</v>
      </c>
      <c r="E8" s="10">
        <f t="shared" si="2"/>
        <v>2158.5784988082014</v>
      </c>
      <c r="F8" s="3"/>
      <c r="G8" s="26">
        <v>0.45</v>
      </c>
      <c r="H8" s="10"/>
      <c r="I8" s="10">
        <f t="shared" si="5"/>
        <v>3799.3498444555153</v>
      </c>
      <c r="J8" s="10">
        <f t="shared" si="3"/>
        <v>2378488733.5229692</v>
      </c>
      <c r="K8" s="11">
        <f t="shared" si="4"/>
        <v>7.9755699999999319E-3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623866.61815265473</v>
      </c>
      <c r="D9" s="11">
        <v>3.3E-3</v>
      </c>
      <c r="E9" s="10">
        <f t="shared" si="2"/>
        <v>2051.9882785844384</v>
      </c>
      <c r="F9" s="3"/>
      <c r="G9" s="26">
        <v>1.63</v>
      </c>
      <c r="H9" s="10"/>
      <c r="I9" s="10">
        <f t="shared" si="5"/>
        <v>3782.3293623250529</v>
      </c>
      <c r="J9" s="10">
        <f t="shared" si="3"/>
        <v>2359669028.0132179</v>
      </c>
      <c r="K9" s="11">
        <f t="shared" si="4"/>
        <v>1.9653790000000226E-2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621814.62987407029</v>
      </c>
      <c r="D10" s="11">
        <v>3.5899999999999999E-3</v>
      </c>
      <c r="E10" s="10">
        <f t="shared" si="2"/>
        <v>2224.3291794934776</v>
      </c>
      <c r="F10" s="3"/>
      <c r="G10" s="26">
        <v>3.34</v>
      </c>
      <c r="H10" s="10"/>
      <c r="I10" s="10">
        <f t="shared" si="5"/>
        <v>3721.666203212686</v>
      </c>
      <c r="J10" s="10">
        <f t="shared" si="3"/>
        <v>2314186492.6655326</v>
      </c>
      <c r="K10" s="11">
        <f t="shared" si="4"/>
        <v>3.710990599999997E-2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619590.30069457681</v>
      </c>
      <c r="D11" s="11">
        <v>4.45E-3</v>
      </c>
      <c r="E11" s="10">
        <f t="shared" si="2"/>
        <v>2744.9617582666688</v>
      </c>
      <c r="F11" s="3"/>
      <c r="G11" s="26">
        <v>4.51</v>
      </c>
      <c r="H11" s="10"/>
      <c r="I11" s="10">
        <f t="shared" si="5"/>
        <v>3601.3801076182367</v>
      </c>
      <c r="J11" s="10">
        <f t="shared" si="3"/>
        <v>2231380183.7946506</v>
      </c>
      <c r="K11" s="11">
        <f t="shared" si="4"/>
        <v>4.9750694999999956E-2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616845.33893631015</v>
      </c>
      <c r="D12" s="11">
        <v>3.3899999999999998E-3</v>
      </c>
      <c r="E12" s="10">
        <f t="shared" si="2"/>
        <v>2084.0408006798243</v>
      </c>
      <c r="F12" s="3"/>
      <c r="G12" s="26">
        <v>2.2200000000000002</v>
      </c>
      <c r="H12" s="10"/>
      <c r="I12" s="10">
        <f t="shared" si="5"/>
        <v>3445.9669960943806</v>
      </c>
      <c r="J12" s="10">
        <f t="shared" si="3"/>
        <v>2125628679.6691768</v>
      </c>
      <c r="K12" s="11">
        <f t="shared" si="4"/>
        <v>2.566525800000008E-2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614761.29813563032</v>
      </c>
      <c r="D13" s="11">
        <v>3.5899999999999999E-3</v>
      </c>
      <c r="E13" s="10">
        <f t="shared" si="2"/>
        <v>2199.0982974191429</v>
      </c>
      <c r="F13" s="3"/>
      <c r="G13" s="26">
        <v>4.78</v>
      </c>
      <c r="H13" s="10"/>
      <c r="I13" s="10">
        <f t="shared" si="5"/>
        <v>3371.1279554826656</v>
      </c>
      <c r="J13" s="10">
        <f t="shared" si="3"/>
        <v>2072438998.0938368</v>
      </c>
      <c r="K13" s="11">
        <f t="shared" si="4"/>
        <v>5.1561601999999818E-2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612562.19983821118</v>
      </c>
      <c r="D14" s="11">
        <v>3.5699999999999998E-3</v>
      </c>
      <c r="E14" s="10">
        <f t="shared" si="2"/>
        <v>2179.0677814426599</v>
      </c>
      <c r="F14" s="3"/>
      <c r="G14" s="26">
        <v>9.67</v>
      </c>
      <c r="H14" s="10"/>
      <c r="I14" s="10">
        <f t="shared" si="5"/>
        <v>3217.339144381242</v>
      </c>
      <c r="J14" s="10">
        <f t="shared" si="3"/>
        <v>1970820343.9077618</v>
      </c>
      <c r="K14" s="11">
        <f t="shared" si="4"/>
        <v>0.10061521900000003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610383.13205676852</v>
      </c>
      <c r="D15" s="11">
        <v>5.0299999999999997E-3</v>
      </c>
      <c r="E15" s="10">
        <f t="shared" si="2"/>
        <v>3054.8612023975002</v>
      </c>
      <c r="F15" s="3"/>
      <c r="G15" s="26">
        <v>5.4</v>
      </c>
      <c r="H15" s="10"/>
      <c r="I15" s="10">
        <f t="shared" si="5"/>
        <v>2933.654731814755</v>
      </c>
      <c r="J15" s="10">
        <f t="shared" si="3"/>
        <v>1790653363.5782495</v>
      </c>
      <c r="K15" s="11">
        <f t="shared" si="4"/>
        <v>5.9301620000000055E-2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607328.27085437102</v>
      </c>
      <c r="D16" s="11">
        <v>5.6899999999999997E-3</v>
      </c>
      <c r="E16" s="10">
        <f t="shared" si="2"/>
        <v>3436.1461893439991</v>
      </c>
      <c r="F16" s="3"/>
      <c r="G16" s="26">
        <v>4.99</v>
      </c>
      <c r="H16" s="10"/>
      <c r="I16" s="10">
        <f t="shared" si="5"/>
        <v>2783.3536354978701</v>
      </c>
      <c r="J16" s="10">
        <f t="shared" si="3"/>
        <v>1690409350.6231487</v>
      </c>
      <c r="K16" s="11">
        <f t="shared" si="4"/>
        <v>5.5873931000000043E-2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603892.12466502702</v>
      </c>
      <c r="D17" s="11">
        <v>4.4299999999999999E-3</v>
      </c>
      <c r="E17" s="10">
        <f t="shared" si="2"/>
        <v>2663.443059512414</v>
      </c>
      <c r="F17" s="3"/>
      <c r="G17" s="26">
        <v>12.24</v>
      </c>
      <c r="H17" s="10"/>
      <c r="I17" s="10">
        <f t="shared" si="5"/>
        <v>2651.0654686140297</v>
      </c>
      <c r="J17" s="10">
        <f t="shared" si="3"/>
        <v>1600957558.467412</v>
      </c>
      <c r="K17" s="11">
        <f t="shared" si="4"/>
        <v>0.12737223200000014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601228.6816055146</v>
      </c>
      <c r="D18" s="11">
        <v>7.1700000000000002E-3</v>
      </c>
      <c r="E18" s="10">
        <f t="shared" si="2"/>
        <v>4280.1211782633327</v>
      </c>
      <c r="F18" s="3"/>
      <c r="G18" s="26">
        <v>9.42</v>
      </c>
      <c r="H18" s="10"/>
      <c r="I18" s="10">
        <f t="shared" si="5"/>
        <v>2361.9613939896913</v>
      </c>
      <c r="J18" s="10">
        <f t="shared" si="3"/>
        <v>1420078934.9115455</v>
      </c>
      <c r="K18" s="11">
        <f t="shared" si="4"/>
        <v>0.102045414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596948.56042725127</v>
      </c>
      <c r="D19" s="11">
        <v>6.7999999999999996E-3</v>
      </c>
      <c r="E19" s="10">
        <f t="shared" si="2"/>
        <v>4031.8337414632551</v>
      </c>
      <c r="F19" s="3"/>
      <c r="G19" s="26">
        <v>3.89</v>
      </c>
      <c r="H19" s="10"/>
      <c r="I19" s="10">
        <f t="shared" si="5"/>
        <v>2158.6194425056583</v>
      </c>
      <c r="J19" s="10">
        <f t="shared" si="3"/>
        <v>1288584768.7140284</v>
      </c>
      <c r="K19" s="11">
        <f t="shared" si="4"/>
        <v>4.5964519999999842E-2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592916.72668578802</v>
      </c>
      <c r="D20" s="11">
        <v>8.1300000000000001E-3</v>
      </c>
      <c r="E20" s="10">
        <f t="shared" si="2"/>
        <v>4781.5390752734384</v>
      </c>
      <c r="F20" s="3"/>
      <c r="G20" s="26">
        <v>4.2300000000000004</v>
      </c>
      <c r="H20" s="10"/>
      <c r="I20" s="10">
        <f t="shared" si="5"/>
        <v>2077.7932837671174</v>
      </c>
      <c r="J20" s="10">
        <f t="shared" si="3"/>
        <v>1231958392.5409138</v>
      </c>
      <c r="K20" s="11">
        <f t="shared" si="4"/>
        <v>5.0773898999999956E-2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588135.18761051458</v>
      </c>
      <c r="D21" s="11">
        <v>8.0199999999999994E-3</v>
      </c>
      <c r="E21" s="10">
        <f t="shared" si="2"/>
        <v>4679.3160895976471</v>
      </c>
      <c r="F21" s="3"/>
      <c r="G21" s="26">
        <v>1.1100000000000001</v>
      </c>
      <c r="H21" s="10"/>
      <c r="I21" s="10">
        <f t="shared" si="5"/>
        <v>1993.4695229464812</v>
      </c>
      <c r="J21" s="10">
        <f t="shared" si="3"/>
        <v>1172429571.8739717</v>
      </c>
      <c r="K21" s="11">
        <f t="shared" si="4"/>
        <v>1.9209021999999853E-2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583455.87152091693</v>
      </c>
      <c r="D22" s="11">
        <v>8.1399999999999997E-3</v>
      </c>
      <c r="E22" s="10">
        <f t="shared" si="2"/>
        <v>4710.9833893906325</v>
      </c>
      <c r="F22" s="3"/>
      <c r="G22" s="26">
        <v>0.73</v>
      </c>
      <c r="H22" s="10"/>
      <c r="I22" s="10">
        <f t="shared" si="5"/>
        <v>1971.5849302210277</v>
      </c>
      <c r="J22" s="10">
        <f t="shared" si="3"/>
        <v>1150332803.7396159</v>
      </c>
      <c r="K22" s="11">
        <f t="shared" si="4"/>
        <v>1.5499422000000207E-2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578744.8881315263</v>
      </c>
      <c r="D23" s="11">
        <v>8.3999999999999995E-3</v>
      </c>
      <c r="E23" s="10">
        <f t="shared" si="2"/>
        <v>4820.9609880055068</v>
      </c>
      <c r="F23" s="3"/>
      <c r="G23" s="26">
        <v>-0.02</v>
      </c>
      <c r="H23" s="10"/>
      <c r="I23" s="10">
        <f t="shared" si="5"/>
        <v>1957.296664569669</v>
      </c>
      <c r="J23" s="10">
        <f t="shared" si="3"/>
        <v>1132775439.1765826</v>
      </c>
      <c r="K23" s="11">
        <f t="shared" si="4"/>
        <v>8.1983199999999812E-3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573923.92714352079</v>
      </c>
      <c r="D24" s="11">
        <v>8.7600000000000004E-3</v>
      </c>
      <c r="E24" s="10">
        <f t="shared" si="2"/>
        <v>4983.9145106638316</v>
      </c>
      <c r="F24" s="3"/>
      <c r="G24" s="26">
        <v>6.14</v>
      </c>
      <c r="H24" s="10"/>
      <c r="I24" s="10">
        <f t="shared" si="5"/>
        <v>1957.6882022101111</v>
      </c>
      <c r="J24" s="10">
        <f t="shared" si="3"/>
        <v>1123564101.1349659</v>
      </c>
      <c r="K24" s="11">
        <f t="shared" si="4"/>
        <v>7.0697863999999999E-2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568940.01263285696</v>
      </c>
      <c r="D25" s="11">
        <v>9.5099999999999994E-3</v>
      </c>
      <c r="E25" s="10">
        <f t="shared" si="2"/>
        <v>5359.6492557165911</v>
      </c>
      <c r="F25" s="3"/>
      <c r="G25" s="26">
        <v>12.74</v>
      </c>
      <c r="H25" s="10"/>
      <c r="I25" s="10">
        <f t="shared" si="5"/>
        <v>1844.4396101470804</v>
      </c>
      <c r="J25" s="10">
        <f t="shared" si="3"/>
        <v>1049375495.0976217</v>
      </c>
      <c r="K25" s="11">
        <f t="shared" si="4"/>
        <v>0.13812157399999991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563580.36337714037</v>
      </c>
      <c r="D26" s="11">
        <v>9.6699999999999998E-3</v>
      </c>
      <c r="E26" s="10">
        <f t="shared" si="2"/>
        <v>5397.6270601849537</v>
      </c>
      <c r="F26" s="3"/>
      <c r="G26" s="26">
        <v>11.78</v>
      </c>
      <c r="H26" s="10"/>
      <c r="I26" s="10">
        <f t="shared" si="5"/>
        <v>1636.0117173559345</v>
      </c>
      <c r="J26" s="10">
        <f t="shared" si="3"/>
        <v>922024078.15671706</v>
      </c>
      <c r="K26" s="11">
        <f t="shared" si="4"/>
        <v>0.12860912599999996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558182.73631695542</v>
      </c>
      <c r="D27" s="11">
        <v>8.3800000000000003E-3</v>
      </c>
      <c r="E27" s="10">
        <f t="shared" si="2"/>
        <v>4638.6990324442741</v>
      </c>
      <c r="F27" s="3"/>
      <c r="G27" s="26">
        <v>2.34</v>
      </c>
      <c r="H27" s="10"/>
      <c r="I27" s="10">
        <f t="shared" si="5"/>
        <v>1463.5996755733893</v>
      </c>
      <c r="J27" s="10">
        <f t="shared" si="3"/>
        <v>816956071.78416264</v>
      </c>
      <c r="K27" s="11">
        <f t="shared" si="4"/>
        <v>3.1976092000000289E-2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553544.03728451114</v>
      </c>
      <c r="D28" s="11">
        <v>8.7799999999999996E-3</v>
      </c>
      <c r="E28" s="10">
        <f t="shared" si="2"/>
        <v>4817.8162209382281</v>
      </c>
      <c r="F28" s="3"/>
      <c r="G28" s="26">
        <v>13.01</v>
      </c>
      <c r="H28" s="10"/>
      <c r="I28" s="10">
        <f t="shared" si="5"/>
        <v>1430.1345276269192</v>
      </c>
      <c r="J28" s="10">
        <f t="shared" si="3"/>
        <v>791642440.28258204</v>
      </c>
      <c r="K28" s="11">
        <f t="shared" si="4"/>
        <v>0.14002227800000022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548726.22106357291</v>
      </c>
      <c r="D29" s="11">
        <v>1.044E-2</v>
      </c>
      <c r="E29" s="10">
        <f t="shared" si="2"/>
        <v>5669.5120421833126</v>
      </c>
      <c r="F29" s="3"/>
      <c r="G29" s="26">
        <v>9.7899999999999991</v>
      </c>
      <c r="H29" s="10"/>
      <c r="I29" s="10">
        <f t="shared" si="5"/>
        <v>1265.4937860604539</v>
      </c>
      <c r="J29" s="10">
        <f t="shared" si="3"/>
        <v>694409623.00438643</v>
      </c>
      <c r="K29" s="11">
        <f t="shared" si="4"/>
        <v>0.10936207600000003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543056.7090213896</v>
      </c>
      <c r="D30" s="11">
        <v>1.022E-2</v>
      </c>
      <c r="E30" s="10">
        <f t="shared" si="2"/>
        <v>5493.8919900601031</v>
      </c>
      <c r="F30" s="3"/>
      <c r="G30" s="26">
        <v>10.73</v>
      </c>
      <c r="H30" s="10"/>
      <c r="I30" s="10">
        <f t="shared" si="5"/>
        <v>1152.649408926545</v>
      </c>
      <c r="J30" s="10">
        <f t="shared" si="3"/>
        <v>625953994.66709948</v>
      </c>
      <c r="K30" s="11">
        <f t="shared" si="4"/>
        <v>0.11861660599999979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537562.8170313295</v>
      </c>
      <c r="D31" s="11">
        <v>1.086E-2</v>
      </c>
      <c r="E31" s="10">
        <f t="shared" si="2"/>
        <v>5775.213375700172</v>
      </c>
      <c r="F31" s="3"/>
      <c r="G31" s="26">
        <v>4.55</v>
      </c>
      <c r="H31" s="10"/>
      <c r="I31" s="10">
        <f t="shared" si="5"/>
        <v>1040.9549434900614</v>
      </c>
      <c r="J31" s="10">
        <f t="shared" si="3"/>
        <v>559578671.8252058</v>
      </c>
      <c r="K31" s="11">
        <f t="shared" si="4"/>
        <v>5.685413000000028E-2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531787.60365562933</v>
      </c>
      <c r="D32" s="11">
        <v>1.295E-2</v>
      </c>
      <c r="E32" s="10">
        <f t="shared" si="2"/>
        <v>6798.6075002126163</v>
      </c>
      <c r="F32" s="3"/>
      <c r="G32" s="26">
        <v>1.01</v>
      </c>
      <c r="H32" s="10"/>
      <c r="I32" s="10">
        <f t="shared" si="5"/>
        <v>995.65274365381276</v>
      </c>
      <c r="J32" s="10">
        <f t="shared" si="3"/>
        <v>529475786.62081367</v>
      </c>
      <c r="K32" s="11">
        <f t="shared" si="4"/>
        <v>2.318079499999981E-2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524988.99615541671</v>
      </c>
      <c r="D33" s="11">
        <v>1.4319999999999999E-2</v>
      </c>
      <c r="E33" s="10">
        <f t="shared" si="2"/>
        <v>7411.70678380155</v>
      </c>
      <c r="F33" s="3"/>
      <c r="G33" s="26">
        <v>1.98</v>
      </c>
      <c r="H33" s="10"/>
      <c r="I33" s="10">
        <f t="shared" si="5"/>
        <v>985.69720191447652</v>
      </c>
      <c r="J33" s="10">
        <f t="shared" si="3"/>
        <v>517480184.54628414</v>
      </c>
      <c r="K33" s="11">
        <f t="shared" si="4"/>
        <v>3.4403536000000123E-2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517577.28937161516</v>
      </c>
      <c r="D34" s="11">
        <v>1.5339999999999999E-2</v>
      </c>
      <c r="E34" s="10">
        <f t="shared" si="2"/>
        <v>7819.6817016571295</v>
      </c>
      <c r="F34" s="3"/>
      <c r="G34" s="26">
        <v>-3.45</v>
      </c>
      <c r="H34" s="10"/>
      <c r="I34" s="10">
        <f t="shared" si="5"/>
        <v>966.55932723521914</v>
      </c>
      <c r="J34" s="10">
        <f t="shared" ref="J34:J65" si="6">IF(I34="","",I34*C34)</f>
        <v>500269156.60725671</v>
      </c>
      <c r="K34" s="11">
        <f t="shared" ref="K34:K65" si="7">IFERROR(J34/J35-1,"")</f>
        <v>-6.4898100000000403E-3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509757.60766995803</v>
      </c>
      <c r="D35" s="11">
        <v>1.6310000000000002E-2</v>
      </c>
      <c r="E35" s="10">
        <f t="shared" si="2"/>
        <v>8180.7190533371177</v>
      </c>
      <c r="F35" s="3"/>
      <c r="G35" s="26">
        <v>-2.81</v>
      </c>
      <c r="H35" s="10"/>
      <c r="I35" s="10">
        <f t="shared" ref="I35:I66" si="8">IF(H35&lt;&gt;"",H35,I34/(1+IF(G34="",0,G34)/100))</f>
        <v>987.79696191642222</v>
      </c>
      <c r="J35" s="10">
        <f t="shared" si="6"/>
        <v>503537016.17016804</v>
      </c>
      <c r="K35" s="11">
        <f t="shared" si="7"/>
        <v>1.5192059000000091E-2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501576.88861662091</v>
      </c>
      <c r="D36" s="11">
        <v>1.721E-2</v>
      </c>
      <c r="E36" s="10">
        <f t="shared" si="2"/>
        <v>8486.0925994553836</v>
      </c>
      <c r="F36" s="3"/>
      <c r="G36" s="26">
        <v>-3.67</v>
      </c>
      <c r="H36" s="10"/>
      <c r="I36" s="10">
        <f t="shared" si="8"/>
        <v>988.88473512505982</v>
      </c>
      <c r="J36" s="10">
        <f t="shared" si="6"/>
        <v>496001728.64449883</v>
      </c>
      <c r="K36" s="11">
        <f t="shared" si="7"/>
        <v>2.8704473000000119E-2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493090.79601716553</v>
      </c>
      <c r="D37" s="11">
        <v>1.856E-2</v>
      </c>
      <c r="E37" s="10">
        <f t="shared" si="2"/>
        <v>8985.0035089523881</v>
      </c>
      <c r="F37" s="3"/>
      <c r="G37" s="26">
        <v>6.81</v>
      </c>
      <c r="H37" s="10"/>
      <c r="I37" s="10">
        <f t="shared" si="8"/>
        <v>977.83519739450185</v>
      </c>
      <c r="J37" s="10">
        <f t="shared" si="6"/>
        <v>482161535.85685712</v>
      </c>
      <c r="K37" s="11">
        <f t="shared" si="7"/>
        <v>0.1419076159999999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484105.79250821314</v>
      </c>
      <c r="D38" s="11">
        <v>2.0619999999999999E-2</v>
      </c>
      <c r="E38" s="10">
        <f t="shared" si="2"/>
        <v>9780.5857630845858</v>
      </c>
      <c r="F38" s="3"/>
      <c r="G38" s="26">
        <v>3.82</v>
      </c>
      <c r="H38" s="10"/>
      <c r="I38" s="10">
        <f t="shared" si="8"/>
        <v>872.21050521318512</v>
      </c>
      <c r="J38" s="10">
        <f t="shared" si="6"/>
        <v>422242157.86021793</v>
      </c>
      <c r="K38" s="11">
        <f t="shared" si="7"/>
        <v>9.7370624000000072E-2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474325.20674512855</v>
      </c>
      <c r="D39" s="11">
        <v>2.0629999999999999E-2</v>
      </c>
      <c r="E39" s="10">
        <f t="shared" si="2"/>
        <v>9587.5381040651118</v>
      </c>
      <c r="F39" s="3"/>
      <c r="G39" s="26">
        <v>7.92</v>
      </c>
      <c r="H39" s="10"/>
      <c r="I39" s="10">
        <f t="shared" si="8"/>
        <v>811.20768714023916</v>
      </c>
      <c r="J39" s="10">
        <f t="shared" si="6"/>
        <v>384776253.91603148</v>
      </c>
      <c r="K39" s="11">
        <f t="shared" si="7"/>
        <v>0.10146389599999983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464737.66864106344</v>
      </c>
      <c r="D40" s="11">
        <v>2.0500000000000001E-2</v>
      </c>
      <c r="E40" s="10">
        <f t="shared" si="2"/>
        <v>9335.739546439785</v>
      </c>
      <c r="F40" s="3"/>
      <c r="G40" s="26">
        <v>6.5</v>
      </c>
      <c r="H40" s="10"/>
      <c r="I40" s="10">
        <f t="shared" si="8"/>
        <v>751.67502514847968</v>
      </c>
      <c r="J40" s="10">
        <f t="shared" si="6"/>
        <v>349331698.76321715</v>
      </c>
      <c r="K40" s="11">
        <f t="shared" si="7"/>
        <v>8.683250000000009E-2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455401.92909462366</v>
      </c>
      <c r="D41" s="11">
        <v>2.0889999999999999E-2</v>
      </c>
      <c r="E41" s="10">
        <f t="shared" si="2"/>
        <v>9318.6790925434907</v>
      </c>
      <c r="F41" s="3"/>
      <c r="G41" s="26">
        <v>-0.03</v>
      </c>
      <c r="H41" s="10"/>
      <c r="I41" s="10">
        <f t="shared" si="8"/>
        <v>705.79814567932362</v>
      </c>
      <c r="J41" s="10">
        <f t="shared" si="6"/>
        <v>321421837.09377217</v>
      </c>
      <c r="K41" s="11">
        <f t="shared" si="7"/>
        <v>2.0583733000000048E-2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446083.25000208017</v>
      </c>
      <c r="D42" s="11">
        <v>1.6140000000000002E-2</v>
      </c>
      <c r="E42" s="10">
        <f t="shared" si="2"/>
        <v>7085.4248971929192</v>
      </c>
      <c r="F42" s="3"/>
      <c r="G42" s="26">
        <v>-3.59</v>
      </c>
      <c r="H42" s="10"/>
      <c r="I42" s="10">
        <f t="shared" si="8"/>
        <v>706.00994866392273</v>
      </c>
      <c r="J42" s="10">
        <f t="shared" si="6"/>
        <v>314939212.43380445</v>
      </c>
      <c r="K42" s="11">
        <f t="shared" si="7"/>
        <v>-2.0339425999999827E-2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438997.82510488725</v>
      </c>
      <c r="D43" s="11">
        <v>1.8759999999999999E-2</v>
      </c>
      <c r="E43" s="10">
        <f t="shared" si="2"/>
        <v>8083.9444019863731</v>
      </c>
      <c r="F43" s="3"/>
      <c r="G43" s="26">
        <v>13.56</v>
      </c>
      <c r="H43" s="10"/>
      <c r="I43" s="10">
        <f t="shared" si="8"/>
        <v>732.29950074050691</v>
      </c>
      <c r="J43" s="10">
        <f t="shared" si="6"/>
        <v>321477888.15047729</v>
      </c>
      <c r="K43" s="11">
        <f t="shared" si="7"/>
        <v>0.15690385599999956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430913.88070290087</v>
      </c>
      <c r="D44" s="11">
        <v>2.0129999999999999E-2</v>
      </c>
      <c r="E44" s="10">
        <f t="shared" si="2"/>
        <v>8503.1284429919324</v>
      </c>
      <c r="F44" s="3"/>
      <c r="G44" s="26">
        <v>5.35</v>
      </c>
      <c r="H44" s="10"/>
      <c r="I44" s="10">
        <f t="shared" si="8"/>
        <v>644.85690449146443</v>
      </c>
      <c r="J44" s="10">
        <f t="shared" si="6"/>
        <v>277877791.21247685</v>
      </c>
      <c r="K44" s="11">
        <f t="shared" si="7"/>
        <v>7.4706954999999908E-2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422410.75225990894</v>
      </c>
      <c r="D45" s="11">
        <v>2.1139999999999999E-2</v>
      </c>
      <c r="E45" s="10">
        <f t="shared" si="2"/>
        <v>8744.8961971663521</v>
      </c>
      <c r="F45" s="3"/>
      <c r="G45" s="26">
        <v>10.220000000000001</v>
      </c>
      <c r="H45" s="10"/>
      <c r="I45" s="10">
        <f t="shared" si="8"/>
        <v>612.10906928473128</v>
      </c>
      <c r="J45" s="10">
        <f t="shared" si="6"/>
        <v>258561452.42167607</v>
      </c>
      <c r="K45" s="11">
        <f t="shared" si="7"/>
        <v>0.12550050800000001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413665.85606274259</v>
      </c>
      <c r="D46" s="11">
        <v>2.198E-2</v>
      </c>
      <c r="E46" s="10">
        <f t="shared" si="2"/>
        <v>8896.8233392621623</v>
      </c>
      <c r="F46" s="3"/>
      <c r="G46" s="26">
        <v>3.96</v>
      </c>
      <c r="H46" s="10"/>
      <c r="I46" s="10">
        <f t="shared" si="8"/>
        <v>555.35208608667324</v>
      </c>
      <c r="J46" s="10">
        <f t="shared" si="6"/>
        <v>229730196.10727361</v>
      </c>
      <c r="K46" s="11">
        <f t="shared" si="7"/>
        <v>6.2450408000000124E-2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404769.03272348043</v>
      </c>
      <c r="D47" s="11">
        <v>1.8800000000000001E-2</v>
      </c>
      <c r="E47" s="10">
        <f t="shared" si="2"/>
        <v>7469.2361751093413</v>
      </c>
      <c r="F47" s="3"/>
      <c r="G47" s="26">
        <v>4.8099999999999996</v>
      </c>
      <c r="H47" s="10"/>
      <c r="I47" s="10">
        <f t="shared" si="8"/>
        <v>534.19785117994729</v>
      </c>
      <c r="J47" s="10">
        <f t="shared" si="6"/>
        <v>216226747.50506902</v>
      </c>
      <c r="K47" s="11">
        <f t="shared" si="7"/>
        <v>6.780428000000005E-2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397299.79654837109</v>
      </c>
      <c r="D48" s="11">
        <v>2.1059999999999999E-2</v>
      </c>
      <c r="E48" s="10">
        <f t="shared" si="2"/>
        <v>8194.5563584007905</v>
      </c>
      <c r="F48" s="3"/>
      <c r="G48" s="26">
        <v>5.1100000000000003</v>
      </c>
      <c r="H48" s="10"/>
      <c r="I48" s="10">
        <f t="shared" si="8"/>
        <v>509.6821402346601</v>
      </c>
      <c r="J48" s="10">
        <f t="shared" si="6"/>
        <v>202496610.61956879</v>
      </c>
      <c r="K48" s="11">
        <f t="shared" si="7"/>
        <v>7.3236165999999825E-2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389105.2401899703</v>
      </c>
      <c r="D49" s="11">
        <v>2.1819999999999999E-2</v>
      </c>
      <c r="E49" s="10">
        <f t="shared" si="2"/>
        <v>8308.974516984541</v>
      </c>
      <c r="F49" s="3"/>
      <c r="G49" s="26">
        <v>7.37</v>
      </c>
      <c r="H49" s="10"/>
      <c r="I49" s="10">
        <f t="shared" si="8"/>
        <v>484.90356791424233</v>
      </c>
      <c r="J49" s="10">
        <f t="shared" si="6"/>
        <v>188678519.26224485</v>
      </c>
      <c r="K49" s="11">
        <f t="shared" si="7"/>
        <v>9.7128134000000088E-2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380796.26567298576</v>
      </c>
      <c r="D50" s="11">
        <v>2.2880000000000001E-2</v>
      </c>
      <c r="E50" s="10">
        <f t="shared" si="2"/>
        <v>8517.7328314151382</v>
      </c>
      <c r="F50" s="3"/>
      <c r="G50" s="26">
        <v>4.91</v>
      </c>
      <c r="H50" s="10"/>
      <c r="I50" s="10">
        <f t="shared" si="8"/>
        <v>451.6192306177166</v>
      </c>
      <c r="J50" s="10">
        <f t="shared" si="6"/>
        <v>171974916.52533343</v>
      </c>
      <c r="K50" s="11">
        <f t="shared" si="7"/>
        <v>7.3103407999999925E-2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372278.53284157062</v>
      </c>
      <c r="D51" s="11">
        <v>3.0249999999999999E-2</v>
      </c>
      <c r="E51" s="10">
        <f t="shared" si="2"/>
        <v>10930.769831067766</v>
      </c>
      <c r="F51" s="3"/>
      <c r="G51" s="26">
        <v>4.7699999999999996</v>
      </c>
      <c r="H51" s="10"/>
      <c r="I51" s="10">
        <f t="shared" si="8"/>
        <v>430.48253800182692</v>
      </c>
      <c r="J51" s="10">
        <f t="shared" si="6"/>
        <v>160259407.66123581</v>
      </c>
      <c r="K51" s="11">
        <f t="shared" si="7"/>
        <v>7.9392925000000281E-2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361347.76301050285</v>
      </c>
      <c r="D52" s="11">
        <v>3.1719999999999998E-2</v>
      </c>
      <c r="E52" s="10">
        <f t="shared" si="2"/>
        <v>11109.555928636808</v>
      </c>
      <c r="F52" s="3"/>
      <c r="G52" s="26">
        <v>4.93</v>
      </c>
      <c r="H52" s="10"/>
      <c r="I52" s="10">
        <f t="shared" si="8"/>
        <v>410.88339982993881</v>
      </c>
      <c r="J52" s="10">
        <f t="shared" si="6"/>
        <v>148471797.38669842</v>
      </c>
      <c r="K52" s="11">
        <f t="shared" si="7"/>
        <v>8.2583796000000209E-2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350238.20708186604</v>
      </c>
      <c r="D53" s="11">
        <v>3.3050000000000003E-2</v>
      </c>
      <c r="E53" s="10">
        <f t="shared" si="2"/>
        <v>11205.045974595298</v>
      </c>
      <c r="F53" s="3"/>
      <c r="G53" s="26">
        <v>5</v>
      </c>
      <c r="H53" s="10"/>
      <c r="I53" s="10">
        <f t="shared" si="8"/>
        <v>391.57857603158186</v>
      </c>
      <c r="J53" s="10">
        <f t="shared" si="6"/>
        <v>137145778.40097138</v>
      </c>
      <c r="K53" s="11">
        <f t="shared" si="7"/>
        <v>8.4702499999999903E-2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339033.16110727075</v>
      </c>
      <c r="D54" s="11">
        <v>3.4349999999999999E-2</v>
      </c>
      <c r="E54" s="10">
        <f t="shared" si="2"/>
        <v>11259.041024831822</v>
      </c>
      <c r="F54" s="3"/>
      <c r="G54" s="26">
        <v>4.96</v>
      </c>
      <c r="H54" s="10"/>
      <c r="I54" s="10">
        <f t="shared" si="8"/>
        <v>372.93197717293509</v>
      </c>
      <c r="J54" s="10">
        <f t="shared" si="6"/>
        <v>126436307.09892473</v>
      </c>
      <c r="K54" s="11">
        <f t="shared" si="7"/>
        <v>8.5653760000000245E-2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327774.12008243892</v>
      </c>
      <c r="D55" s="11">
        <v>3.5069999999999997E-2</v>
      </c>
      <c r="E55" s="10">
        <f t="shared" si="2"/>
        <v>11105.566185176955</v>
      </c>
      <c r="F55" s="3"/>
      <c r="G55" s="26">
        <v>4.8899999999999997</v>
      </c>
      <c r="H55" s="10"/>
      <c r="I55" s="10">
        <f t="shared" si="8"/>
        <v>355.30866727604331</v>
      </c>
      <c r="J55" s="10">
        <f t="shared" si="6"/>
        <v>116460985.77406916</v>
      </c>
      <c r="K55" s="11">
        <f t="shared" si="7"/>
        <v>8.5684922999999857E-2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316668.55389726197</v>
      </c>
      <c r="D56" s="11">
        <v>3.5819999999999998E-2</v>
      </c>
      <c r="E56" s="10">
        <f t="shared" si="2"/>
        <v>10950.80960070272</v>
      </c>
      <c r="F56" s="3"/>
      <c r="G56" s="26">
        <v>4.8899999999999997</v>
      </c>
      <c r="H56" s="10"/>
      <c r="I56" s="10">
        <f t="shared" si="8"/>
        <v>338.74408168180315</v>
      </c>
      <c r="J56" s="10">
        <f t="shared" si="6"/>
        <v>107269598.4874326</v>
      </c>
      <c r="K56" s="11">
        <f t="shared" si="7"/>
        <v>8.6471597999999927E-2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305717.74429655925</v>
      </c>
      <c r="D57" s="11">
        <v>3.6600000000000001E-2</v>
      </c>
      <c r="E57" s="10">
        <f t="shared" si="2"/>
        <v>10794.201660480467</v>
      </c>
      <c r="F57" s="3"/>
      <c r="G57" s="26">
        <v>0.63</v>
      </c>
      <c r="H57" s="10"/>
      <c r="I57" s="10">
        <f t="shared" si="8"/>
        <v>322.9517415214064</v>
      </c>
      <c r="J57" s="10">
        <f t="shared" si="6"/>
        <v>98732077.934569821</v>
      </c>
      <c r="K57" s="11">
        <f t="shared" si="7"/>
        <v>4.3130579999999696E-2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294923.54263607878</v>
      </c>
      <c r="D58" s="11">
        <v>3.7569999999999999E-2</v>
      </c>
      <c r="E58" s="10">
        <f t="shared" si="2"/>
        <v>10679.06502388994</v>
      </c>
      <c r="F58" s="3"/>
      <c r="G58" s="26">
        <v>1.08</v>
      </c>
      <c r="H58" s="10"/>
      <c r="I58" s="10">
        <f t="shared" si="8"/>
        <v>320.92988325688805</v>
      </c>
      <c r="J58" s="10">
        <f t="shared" si="6"/>
        <v>94649778.107904613</v>
      </c>
      <c r="K58" s="11">
        <f t="shared" si="7"/>
        <v>4.8775755999999948E-2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284244.47761218884</v>
      </c>
      <c r="D59" s="11">
        <v>3.8670000000000003E-2</v>
      </c>
      <c r="E59" s="10">
        <f t="shared" si="2"/>
        <v>10582.508351317898</v>
      </c>
      <c r="F59" s="3"/>
      <c r="G59" s="26">
        <v>3.92</v>
      </c>
      <c r="H59" s="10"/>
      <c r="I59" s="10">
        <f t="shared" si="8"/>
        <v>317.50087381963601</v>
      </c>
      <c r="J59" s="10">
        <f t="shared" si="6"/>
        <v>90247870.020275921</v>
      </c>
      <c r="K59" s="11">
        <f t="shared" si="7"/>
        <v>7.9385863999999806E-2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273661.96926087094</v>
      </c>
      <c r="D60" s="11">
        <v>4.0120000000000003E-2</v>
      </c>
      <c r="E60" s="10">
        <f t="shared" si="2"/>
        <v>10555.818758168432</v>
      </c>
      <c r="F60" s="3"/>
      <c r="G60" s="26">
        <v>1.84</v>
      </c>
      <c r="H60" s="10"/>
      <c r="I60" s="10">
        <f t="shared" si="8"/>
        <v>305.52432045769444</v>
      </c>
      <c r="J60" s="10">
        <f t="shared" si="6"/>
        <v>83610387.193542063</v>
      </c>
      <c r="K60" s="11">
        <f t="shared" si="7"/>
        <v>5.9258207999999923E-2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263106.15050270251</v>
      </c>
      <c r="D61" s="11">
        <v>3.9570000000000001E-2</v>
      </c>
      <c r="E61" s="10">
        <f t="shared" si="2"/>
        <v>10014.823797716323</v>
      </c>
      <c r="F61" s="3"/>
      <c r="G61" s="26">
        <v>-1.5</v>
      </c>
      <c r="H61" s="10"/>
      <c r="I61" s="10">
        <f t="shared" si="8"/>
        <v>300.00424239757899</v>
      </c>
      <c r="J61" s="10">
        <f t="shared" si="6"/>
        <v>78932961.351706669</v>
      </c>
      <c r="K61" s="11">
        <f t="shared" si="7"/>
        <v>2.3976450000000149E-2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253091.32670498619</v>
      </c>
      <c r="D62" s="11">
        <v>3.8300000000000001E-2</v>
      </c>
      <c r="E62" s="10">
        <f t="shared" si="2"/>
        <v>9335.8353200433194</v>
      </c>
      <c r="F62" s="3"/>
      <c r="G62" s="26">
        <v>7.04</v>
      </c>
      <c r="H62" s="10"/>
      <c r="I62" s="10">
        <f t="shared" si="8"/>
        <v>304.57283492139999</v>
      </c>
      <c r="J62" s="10">
        <f t="shared" si="6"/>
        <v>77084742.868555874</v>
      </c>
      <c r="K62" s="11">
        <f t="shared" si="7"/>
        <v>0.1113963200000001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243755.49138494287</v>
      </c>
      <c r="D63" s="11">
        <v>3.6970000000000003E-2</v>
      </c>
      <c r="E63" s="10">
        <f t="shared" si="2"/>
        <v>8690.3579819101142</v>
      </c>
      <c r="F63" s="3"/>
      <c r="G63" s="26">
        <v>15.17</v>
      </c>
      <c r="H63" s="10"/>
      <c r="I63" s="10">
        <f t="shared" si="8"/>
        <v>284.54113875317637</v>
      </c>
      <c r="J63" s="10">
        <f t="shared" si="6"/>
        <v>69358465.096011713</v>
      </c>
      <c r="K63" s="11">
        <f t="shared" si="7"/>
        <v>0.19427834899999974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235065.13340303276</v>
      </c>
      <c r="D64" s="11">
        <v>3.653E-2</v>
      </c>
      <c r="E64" s="10">
        <f t="shared" si="2"/>
        <v>8284.3037087327684</v>
      </c>
      <c r="F64" s="3"/>
      <c r="G64" s="26">
        <v>7.98</v>
      </c>
      <c r="H64" s="10"/>
      <c r="I64" s="10">
        <f t="shared" si="8"/>
        <v>247.06185530361759</v>
      </c>
      <c r="J64" s="10">
        <f t="shared" si="6"/>
        <v>58075627.975745648</v>
      </c>
      <c r="K64" s="11">
        <f t="shared" si="7"/>
        <v>0.11924509400000027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226780.82969429999</v>
      </c>
      <c r="D65" s="11">
        <v>3.6330000000000001E-2</v>
      </c>
      <c r="E65" s="10">
        <f t="shared" si="2"/>
        <v>7950.1196942999959</v>
      </c>
      <c r="F65" s="3"/>
      <c r="G65" s="26">
        <v>6.91</v>
      </c>
      <c r="H65" s="10"/>
      <c r="I65" s="10">
        <f t="shared" si="8"/>
        <v>228.80334812337244</v>
      </c>
      <c r="J65" s="10">
        <f t="shared" si="6"/>
        <v>51888213.124252155</v>
      </c>
      <c r="K65" s="11">
        <f t="shared" si="7"/>
        <v>0.10794040299999996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218830.71</v>
      </c>
      <c r="D66" s="11">
        <v>3.5150000000000001E-2</v>
      </c>
      <c r="E66" s="10">
        <f t="shared" si="2"/>
        <v>7430.7099999999919</v>
      </c>
      <c r="F66" s="23">
        <f>SUM(F2)</f>
        <v>635532</v>
      </c>
      <c r="G66" s="26">
        <v>10.199999999999999</v>
      </c>
      <c r="H66" s="10"/>
      <c r="I66" s="10">
        <f t="shared" si="8"/>
        <v>214.01491733549008</v>
      </c>
      <c r="J66" s="10">
        <f t="shared" ref="J66:J67" si="9">IF(I66="","",I66*C66)</f>
        <v>46833036.311116599</v>
      </c>
      <c r="K66" s="11">
        <f t="shared" ref="K66" si="10">IFERROR(J66/J67-1,"")</f>
        <v>0.14073530000000001</v>
      </c>
    </row>
    <row r="67" spans="1:11" ht="22.5" customHeight="1">
      <c r="A67" s="3">
        <f t="shared" si="0"/>
        <v>1950</v>
      </c>
      <c r="B67" s="3">
        <v>1700</v>
      </c>
      <c r="C67" s="10">
        <v>211400</v>
      </c>
      <c r="D67" s="11">
        <v>3.3730000000000003E-2</v>
      </c>
      <c r="E67" s="3" t="s">
        <v>72</v>
      </c>
      <c r="F67" s="10">
        <f>SUM(C2)</f>
        <v>635530.82083405391</v>
      </c>
      <c r="G67" s="26">
        <v>4.18</v>
      </c>
      <c r="H67" s="10"/>
      <c r="I67" s="10">
        <f t="shared" ref="I67" si="11">IF(H67&lt;&gt;"",H67,I66/(1+IF(G66="",0,G66)/100))</f>
        <v>194.2059140975409</v>
      </c>
      <c r="J67" s="10">
        <f t="shared" si="9"/>
        <v>41055130.240220144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5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M67"/>
  <sheetViews>
    <sheetView workbookViewId="0">
      <selection activeCell="L29" sqref="L2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15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6231300.9585402627</v>
      </c>
      <c r="D2" s="11">
        <v>-1.9990000000000001E-2</v>
      </c>
      <c r="E2" s="10">
        <f t="shared" ref="E2:E66" si="2">SUM(C2-C3)</f>
        <v>-127104.52562853415</v>
      </c>
      <c r="F2" s="14">
        <v>6231859</v>
      </c>
      <c r="G2" s="26">
        <v>1.91</v>
      </c>
      <c r="H2" s="10"/>
      <c r="I2" s="10">
        <f>IF(H2&lt;&gt;"",H2,2480)</f>
        <v>310</v>
      </c>
      <c r="J2" s="10">
        <f t="shared" ref="J2:J33" si="3">IF(I2="","",I2*C2)</f>
        <v>1931703297.1474814</v>
      </c>
      <c r="K2" s="11">
        <f t="shared" ref="K2:K33" si="4">IFERROR(J2/J3-1,"")</f>
        <v>-1.2718090000000126E-3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6358405.4841687968</v>
      </c>
      <c r="D3" s="11">
        <v>-2.069E-2</v>
      </c>
      <c r="E3" s="10">
        <f t="shared" si="2"/>
        <v>-134334.79640507326</v>
      </c>
      <c r="F3" s="3"/>
      <c r="G3" s="26">
        <v>-3.66</v>
      </c>
      <c r="H3" s="10"/>
      <c r="I3" s="10">
        <f t="shared" ref="I3:I34" si="5">IF(H3&lt;&gt;"",H3,I2/(1+IF(G2="",0,G2)/100))</f>
        <v>304.18997154351882</v>
      </c>
      <c r="J3" s="10">
        <f t="shared" si="3"/>
        <v>1934163183.2914603</v>
      </c>
      <c r="K3" s="11">
        <f t="shared" si="4"/>
        <v>-5.6532745999999912E-2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6492740.2805738701</v>
      </c>
      <c r="D4" s="11">
        <v>-5.8619999999999998E-2</v>
      </c>
      <c r="E4" s="10">
        <f t="shared" si="2"/>
        <v>-404304.78154118452</v>
      </c>
      <c r="F4" s="3"/>
      <c r="G4" s="26">
        <v>-12.96</v>
      </c>
      <c r="H4" s="10"/>
      <c r="I4" s="10">
        <f t="shared" si="5"/>
        <v>315.74628559634505</v>
      </c>
      <c r="J4" s="10">
        <f t="shared" si="3"/>
        <v>2050058626.9329705</v>
      </c>
      <c r="K4" s="11">
        <f t="shared" si="4"/>
        <v>-0.18062284800000006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6897045.0621150546</v>
      </c>
      <c r="D5" s="11">
        <v>2.281E-2</v>
      </c>
      <c r="E5" s="10">
        <f t="shared" si="2"/>
        <v>153813.1205862714</v>
      </c>
      <c r="F5" s="3"/>
      <c r="G5" s="26">
        <v>-17</v>
      </c>
      <c r="H5" s="10"/>
      <c r="I5" s="10">
        <f t="shared" si="5"/>
        <v>362.75997885609496</v>
      </c>
      <c r="J5" s="10">
        <f t="shared" si="3"/>
        <v>2501971920.9023914</v>
      </c>
      <c r="K5" s="11">
        <f t="shared" si="4"/>
        <v>-0.15106770000000003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6743231.9415287832</v>
      </c>
      <c r="D6" s="11">
        <v>5.4599999999999996E-3</v>
      </c>
      <c r="E6" s="10">
        <f t="shared" si="2"/>
        <v>36618.111511892639</v>
      </c>
      <c r="F6" s="3"/>
      <c r="G6" s="26">
        <v>-3.21</v>
      </c>
      <c r="H6" s="10"/>
      <c r="I6" s="10">
        <f t="shared" si="5"/>
        <v>437.06021548927106</v>
      </c>
      <c r="J6" s="10">
        <f t="shared" si="3"/>
        <v>2947198405.4587054</v>
      </c>
      <c r="K6" s="11">
        <f t="shared" si="4"/>
        <v>-2.681526600000006E-2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6706613.8300168905</v>
      </c>
      <c r="D7" s="11">
        <v>2.4764999999999999E-2</v>
      </c>
      <c r="E7" s="10">
        <f t="shared" si="2"/>
        <v>162075.49194241408</v>
      </c>
      <c r="F7" s="3"/>
      <c r="G7" s="26">
        <v>3.86</v>
      </c>
      <c r="H7" s="10"/>
      <c r="I7" s="10">
        <f t="shared" si="5"/>
        <v>451.55513533347562</v>
      </c>
      <c r="J7" s="10">
        <f t="shared" si="3"/>
        <v>3028405915.6426363</v>
      </c>
      <c r="K7" s="11">
        <f t="shared" si="4"/>
        <v>6.4320928999999971E-2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6544538.3380744765</v>
      </c>
      <c r="D8" s="11">
        <v>2.3279999999999999E-2</v>
      </c>
      <c r="E8" s="10">
        <f t="shared" si="2"/>
        <v>148890.67753730528</v>
      </c>
      <c r="F8" s="3"/>
      <c r="G8" s="26">
        <v>-2.77</v>
      </c>
      <c r="H8" s="10"/>
      <c r="I8" s="10">
        <f t="shared" si="5"/>
        <v>434.77290134168652</v>
      </c>
      <c r="J8" s="10">
        <f t="shared" si="3"/>
        <v>2845387921.1865396</v>
      </c>
      <c r="K8" s="11">
        <f t="shared" si="4"/>
        <v>-5.064855999999951E-3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6395647.6605371712</v>
      </c>
      <c r="D9" s="11">
        <v>2.9794999999999999E-2</v>
      </c>
      <c r="E9" s="10">
        <f t="shared" si="2"/>
        <v>185044.90898256935</v>
      </c>
      <c r="F9" s="3"/>
      <c r="G9" s="26">
        <v>3.85</v>
      </c>
      <c r="H9" s="10"/>
      <c r="I9" s="10">
        <f t="shared" si="5"/>
        <v>447.15921150024326</v>
      </c>
      <c r="J9" s="10">
        <f t="shared" si="3"/>
        <v>2859872764.9191771</v>
      </c>
      <c r="K9" s="11">
        <f t="shared" si="4"/>
        <v>6.9442107500000017E-2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6210602.7515546018</v>
      </c>
      <c r="D10" s="11">
        <v>3.2309999999999998E-2</v>
      </c>
      <c r="E10" s="10">
        <f t="shared" si="2"/>
        <v>194384.0269906614</v>
      </c>
      <c r="F10" s="3"/>
      <c r="G10" s="26">
        <v>5.74</v>
      </c>
      <c r="H10" s="10"/>
      <c r="I10" s="10">
        <f t="shared" si="5"/>
        <v>430.58181174794731</v>
      </c>
      <c r="J10" s="10">
        <f t="shared" si="3"/>
        <v>2674172584.8111672</v>
      </c>
      <c r="K10" s="11">
        <f t="shared" si="4"/>
        <v>9.1564594000000055E-2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6016218.7245639404</v>
      </c>
      <c r="D11" s="11">
        <v>3.4825000000000002E-2</v>
      </c>
      <c r="E11" s="10">
        <f t="shared" si="2"/>
        <v>202464.00800419413</v>
      </c>
      <c r="F11" s="3"/>
      <c r="G11" s="26">
        <v>6.53</v>
      </c>
      <c r="H11" s="10"/>
      <c r="I11" s="10">
        <f t="shared" si="5"/>
        <v>407.20806860974784</v>
      </c>
      <c r="J11" s="10">
        <f t="shared" si="3"/>
        <v>2449852807.1634827</v>
      </c>
      <c r="K11" s="11">
        <f t="shared" si="4"/>
        <v>0.10239907250000013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5813754.7165597463</v>
      </c>
      <c r="D12" s="11">
        <v>3.7339999999999998E-2</v>
      </c>
      <c r="E12" s="10">
        <f t="shared" si="2"/>
        <v>209271.40678691678</v>
      </c>
      <c r="F12" s="3"/>
      <c r="G12" s="26">
        <v>5.64</v>
      </c>
      <c r="H12" s="10"/>
      <c r="I12" s="10">
        <f t="shared" si="5"/>
        <v>382.24731869872136</v>
      </c>
      <c r="J12" s="10">
        <f t="shared" si="3"/>
        <v>2222292151.9770079</v>
      </c>
      <c r="K12" s="11">
        <f t="shared" si="4"/>
        <v>9.5845975999999888E-2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5604483.3097728295</v>
      </c>
      <c r="D13" s="11">
        <v>3.9855000000000002E-2</v>
      </c>
      <c r="E13" s="10">
        <f t="shared" si="2"/>
        <v>214805.60492664482</v>
      </c>
      <c r="F13" s="3"/>
      <c r="G13" s="26">
        <v>5.14</v>
      </c>
      <c r="H13" s="10"/>
      <c r="I13" s="10">
        <f t="shared" si="5"/>
        <v>361.83956711351891</v>
      </c>
      <c r="J13" s="10">
        <f t="shared" si="3"/>
        <v>2027923814.7031424</v>
      </c>
      <c r="K13" s="11">
        <f t="shared" si="4"/>
        <v>9.3303546999999876E-2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5389677.7048461847</v>
      </c>
      <c r="D14" s="11">
        <v>4.2369999999999998E-2</v>
      </c>
      <c r="E14" s="10">
        <f t="shared" si="2"/>
        <v>219078.29691408295</v>
      </c>
      <c r="F14" s="3"/>
      <c r="G14" s="26">
        <v>6.29</v>
      </c>
      <c r="H14" s="10"/>
      <c r="I14" s="10">
        <f t="shared" si="5"/>
        <v>344.15024454395945</v>
      </c>
      <c r="J14" s="10">
        <f t="shared" si="3"/>
        <v>1854858900.1359406</v>
      </c>
      <c r="K14" s="11">
        <f t="shared" si="4"/>
        <v>0.10793507299999994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5170599.4079321017</v>
      </c>
      <c r="D15" s="11">
        <v>4.0800000000000003E-2</v>
      </c>
      <c r="E15" s="10">
        <f t="shared" si="2"/>
        <v>202690.67625252623</v>
      </c>
      <c r="F15" s="3"/>
      <c r="G15" s="26">
        <v>6.01</v>
      </c>
      <c r="H15" s="10"/>
      <c r="I15" s="10">
        <f t="shared" si="5"/>
        <v>323.78421727722218</v>
      </c>
      <c r="J15" s="10">
        <f t="shared" si="3"/>
        <v>1674158482.1513641</v>
      </c>
      <c r="K15" s="11">
        <f t="shared" si="4"/>
        <v>0.10335208000000007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4967908.7316795755</v>
      </c>
      <c r="D16" s="11">
        <v>4.8370000000000003E-2</v>
      </c>
      <c r="E16" s="10">
        <f t="shared" si="2"/>
        <v>229210.81808077451</v>
      </c>
      <c r="F16" s="3"/>
      <c r="G16" s="26">
        <v>6.5</v>
      </c>
      <c r="H16" s="10"/>
      <c r="I16" s="10">
        <f t="shared" si="5"/>
        <v>305.42799479032374</v>
      </c>
      <c r="J16" s="10">
        <f t="shared" si="3"/>
        <v>1517338402.2182331</v>
      </c>
      <c r="K16" s="11">
        <f t="shared" si="4"/>
        <v>0.11651404999999992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4738697.913598801</v>
      </c>
      <c r="D17" s="11">
        <v>6.0229999999999999E-2</v>
      </c>
      <c r="E17" s="10">
        <f t="shared" si="2"/>
        <v>269197.98094381019</v>
      </c>
      <c r="F17" s="3"/>
      <c r="G17" s="26">
        <v>6.35</v>
      </c>
      <c r="H17" s="10"/>
      <c r="I17" s="10">
        <f t="shared" si="5"/>
        <v>286.78684956837913</v>
      </c>
      <c r="J17" s="10">
        <f t="shared" si="3"/>
        <v>1358996245.6972513</v>
      </c>
      <c r="K17" s="11">
        <f t="shared" si="4"/>
        <v>0.1275546049999996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4469499.9326549908</v>
      </c>
      <c r="D18" s="11">
        <v>4.5229999999999999E-2</v>
      </c>
      <c r="E18" s="10">
        <f t="shared" si="2"/>
        <v>193407.65377379674</v>
      </c>
      <c r="F18" s="3"/>
      <c r="G18" s="26">
        <v>3.1</v>
      </c>
      <c r="H18" s="10"/>
      <c r="I18" s="10">
        <f t="shared" si="5"/>
        <v>269.66323419687745</v>
      </c>
      <c r="J18" s="10">
        <f t="shared" si="3"/>
        <v>1205259807.0824709</v>
      </c>
      <c r="K18" s="11">
        <f t="shared" si="4"/>
        <v>7.7632130000000021E-2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4276092.2788811941</v>
      </c>
      <c r="D19" s="11">
        <v>4.9209999999999997E-2</v>
      </c>
      <c r="E19" s="10">
        <f t="shared" si="2"/>
        <v>200557.08680220647</v>
      </c>
      <c r="F19" s="3"/>
      <c r="G19" s="26">
        <v>4.3099999999999996</v>
      </c>
      <c r="H19" s="10"/>
      <c r="I19" s="10">
        <f t="shared" si="5"/>
        <v>261.55502831898883</v>
      </c>
      <c r="J19" s="10">
        <f t="shared" si="3"/>
        <v>1118433437.0973802</v>
      </c>
      <c r="K19" s="11">
        <f t="shared" si="4"/>
        <v>9.4430950999999652E-2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4075535.1920789876</v>
      </c>
      <c r="D20" s="11">
        <v>6.0539999999999997E-2</v>
      </c>
      <c r="E20" s="10">
        <f t="shared" si="2"/>
        <v>232648.36831091903</v>
      </c>
      <c r="F20" s="3"/>
      <c r="G20" s="26">
        <v>18.309999999999999</v>
      </c>
      <c r="H20" s="10"/>
      <c r="I20" s="10">
        <f t="shared" si="5"/>
        <v>250.74779821588425</v>
      </c>
      <c r="J20" s="10">
        <f t="shared" si="3"/>
        <v>1021931475.965157</v>
      </c>
      <c r="K20" s="11">
        <f t="shared" si="4"/>
        <v>0.25472487400000032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3842886.8237680686</v>
      </c>
      <c r="D21" s="11">
        <v>8.0240000000000006E-2</v>
      </c>
      <c r="E21" s="10">
        <f t="shared" si="2"/>
        <v>285448.82501957892</v>
      </c>
      <c r="F21" s="3"/>
      <c r="G21" s="26">
        <v>5.92</v>
      </c>
      <c r="H21" s="10"/>
      <c r="I21" s="10">
        <f t="shared" si="5"/>
        <v>211.94133903802233</v>
      </c>
      <c r="J21" s="10">
        <f t="shared" si="3"/>
        <v>814466579.20097697</v>
      </c>
      <c r="K21" s="11">
        <f t="shared" si="4"/>
        <v>0.14419020799999993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3557437.9987484897</v>
      </c>
      <c r="D22" s="11">
        <v>0.14904000000000001</v>
      </c>
      <c r="E22" s="10">
        <f t="shared" si="2"/>
        <v>461429.15767377568</v>
      </c>
      <c r="F22" s="3"/>
      <c r="G22" s="26">
        <v>6</v>
      </c>
      <c r="H22" s="10"/>
      <c r="I22" s="10">
        <f t="shared" si="5"/>
        <v>200.0956750736616</v>
      </c>
      <c r="J22" s="10">
        <f t="shared" si="3"/>
        <v>711827957.89227474</v>
      </c>
      <c r="K22" s="11">
        <f t="shared" si="4"/>
        <v>0.21798240000000013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3096008.841074714</v>
      </c>
      <c r="D23" s="11">
        <v>8.7300000000000003E-2</v>
      </c>
      <c r="E23" s="10">
        <f t="shared" si="2"/>
        <v>248580.49464344932</v>
      </c>
      <c r="F23" s="3"/>
      <c r="G23" s="26">
        <v>1.01</v>
      </c>
      <c r="H23" s="10"/>
      <c r="I23" s="10">
        <f t="shared" si="5"/>
        <v>188.76950478647319</v>
      </c>
      <c r="J23" s="10">
        <f t="shared" si="3"/>
        <v>584432055.74421656</v>
      </c>
      <c r="K23" s="11">
        <f t="shared" si="4"/>
        <v>9.8281729999999845E-2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2847428.3464312647</v>
      </c>
      <c r="D24" s="11">
        <v>2.6040000000000001E-2</v>
      </c>
      <c r="E24" s="10">
        <f t="shared" si="2"/>
        <v>72265.247106418945</v>
      </c>
      <c r="F24" s="3"/>
      <c r="G24" s="26">
        <v>-4.57</v>
      </c>
      <c r="H24" s="10"/>
      <c r="I24" s="10">
        <f t="shared" si="5"/>
        <v>186.88199662060509</v>
      </c>
      <c r="J24" s="10">
        <f t="shared" si="3"/>
        <v>532133094.61518276</v>
      </c>
      <c r="K24" s="11">
        <f t="shared" si="4"/>
        <v>-2.0850027999999909E-2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2775163.0993248457</v>
      </c>
      <c r="D25" s="11">
        <v>-4.471E-2</v>
      </c>
      <c r="E25" s="10">
        <f t="shared" si="2"/>
        <v>-129884.68650442688</v>
      </c>
      <c r="F25" s="3"/>
      <c r="G25" s="26">
        <v>-16.579999999999998</v>
      </c>
      <c r="H25" s="10"/>
      <c r="I25" s="10">
        <f t="shared" si="5"/>
        <v>195.8314959872211</v>
      </c>
      <c r="J25" s="10">
        <f t="shared" si="3"/>
        <v>543464341.34931755</v>
      </c>
      <c r="K25" s="11">
        <f t="shared" si="4"/>
        <v>-0.20309708199999998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2905047.7858292726</v>
      </c>
      <c r="D26" s="11">
        <v>-3.4700000000000002E-2</v>
      </c>
      <c r="E26" s="10">
        <f t="shared" si="2"/>
        <v>-104428.83887731843</v>
      </c>
      <c r="F26" s="3"/>
      <c r="G26" s="26">
        <v>-7.51</v>
      </c>
      <c r="H26" s="10"/>
      <c r="I26" s="10">
        <f t="shared" si="5"/>
        <v>234.75365138722259</v>
      </c>
      <c r="J26" s="10">
        <f t="shared" si="3"/>
        <v>681970575.1777879</v>
      </c>
      <c r="K26" s="11">
        <f t="shared" si="4"/>
        <v>-0.10719402999999983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3009476.624706591</v>
      </c>
      <c r="D27" s="11">
        <v>4.4810000000000003E-2</v>
      </c>
      <c r="E27" s="10">
        <f t="shared" si="2"/>
        <v>129070.97707056999</v>
      </c>
      <c r="F27" s="3"/>
      <c r="G27" s="26">
        <v>-5.47</v>
      </c>
      <c r="H27" s="10"/>
      <c r="I27" s="10">
        <f t="shared" si="5"/>
        <v>253.81517070734412</v>
      </c>
      <c r="J27" s="10">
        <f t="shared" si="3"/>
        <v>763850823.23966515</v>
      </c>
      <c r="K27" s="11">
        <f t="shared" si="4"/>
        <v>-1.2341107000000129E-2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2880405.647636021</v>
      </c>
      <c r="D28" s="11">
        <v>4.3490000000000001E-2</v>
      </c>
      <c r="E28" s="10">
        <f t="shared" si="2"/>
        <v>120047.95600886503</v>
      </c>
      <c r="F28" s="3"/>
      <c r="G28" s="26">
        <v>8.93</v>
      </c>
      <c r="H28" s="10"/>
      <c r="I28" s="10">
        <f t="shared" si="5"/>
        <v>268.50224342255802</v>
      </c>
      <c r="J28" s="10">
        <f t="shared" si="3"/>
        <v>773395378.35727787</v>
      </c>
      <c r="K28" s="11">
        <f t="shared" si="4"/>
        <v>0.136673657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2760357.691627156</v>
      </c>
      <c r="D29" s="11">
        <v>3.9280000000000002E-2</v>
      </c>
      <c r="E29" s="10">
        <f t="shared" si="2"/>
        <v>104328.81430135714</v>
      </c>
      <c r="F29" s="3"/>
      <c r="G29" s="26">
        <v>-0.33</v>
      </c>
      <c r="H29" s="10"/>
      <c r="I29" s="10">
        <f t="shared" si="5"/>
        <v>246.49063015014968</v>
      </c>
      <c r="J29" s="10">
        <f t="shared" si="3"/>
        <v>680402306.8489902</v>
      </c>
      <c r="K29" s="11">
        <f t="shared" si="4"/>
        <v>3.585037599999974E-2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2656028.8773257989</v>
      </c>
      <c r="D30" s="11">
        <v>3.0810000000000001E-2</v>
      </c>
      <c r="E30" s="10">
        <f t="shared" si="2"/>
        <v>79386.356079595629</v>
      </c>
      <c r="F30" s="3"/>
      <c r="G30" s="26">
        <v>14.22</v>
      </c>
      <c r="H30" s="10"/>
      <c r="I30" s="10">
        <f t="shared" si="5"/>
        <v>247.30674240006991</v>
      </c>
      <c r="J30" s="10">
        <f t="shared" si="3"/>
        <v>656853849.37195826</v>
      </c>
      <c r="K30" s="11">
        <f t="shared" si="4"/>
        <v>0.17739118200000004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2576642.5212462032</v>
      </c>
      <c r="D31" s="11">
        <v>3.5139999999999998E-2</v>
      </c>
      <c r="E31" s="10">
        <f t="shared" si="2"/>
        <v>87469.538609841838</v>
      </c>
      <c r="F31" s="3"/>
      <c r="G31" s="26">
        <v>5.41</v>
      </c>
      <c r="H31" s="10"/>
      <c r="I31" s="10">
        <f t="shared" si="5"/>
        <v>216.51789739106104</v>
      </c>
      <c r="J31" s="10">
        <f t="shared" si="3"/>
        <v>557889221.02863026</v>
      </c>
      <c r="K31" s="11">
        <f t="shared" si="4"/>
        <v>9.1141074000000044E-2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2489172.9826363614</v>
      </c>
      <c r="D32" s="11">
        <v>3.44E-2</v>
      </c>
      <c r="E32" s="10">
        <f t="shared" si="2"/>
        <v>82779.921309639234</v>
      </c>
      <c r="F32" s="3"/>
      <c r="G32" s="26">
        <v>-6.28</v>
      </c>
      <c r="H32" s="10"/>
      <c r="I32" s="10">
        <f t="shared" si="5"/>
        <v>205.40546190215449</v>
      </c>
      <c r="J32" s="10">
        <f t="shared" si="3"/>
        <v>511289726.25278538</v>
      </c>
      <c r="K32" s="11">
        <f t="shared" si="4"/>
        <v>-3.0560319999999974E-2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2406393.0613267221</v>
      </c>
      <c r="D33" s="11">
        <v>3.5860000000000003E-2</v>
      </c>
      <c r="E33" s="10">
        <f t="shared" si="2"/>
        <v>83305.905411133077</v>
      </c>
      <c r="F33" s="3"/>
      <c r="G33" s="26">
        <v>-5.01</v>
      </c>
      <c r="H33" s="10"/>
      <c r="I33" s="10">
        <f t="shared" si="5"/>
        <v>219.1692935362297</v>
      </c>
      <c r="J33" s="10">
        <f t="shared" si="3"/>
        <v>527407467.22146279</v>
      </c>
      <c r="K33" s="11">
        <f t="shared" si="4"/>
        <v>-1.6036585999999908E-2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2323087.1559155891</v>
      </c>
      <c r="D34" s="11">
        <v>3.9122999999999998E-2</v>
      </c>
      <c r="E34" s="10">
        <f t="shared" si="2"/>
        <v>87464.274008837994</v>
      </c>
      <c r="F34" s="3"/>
      <c r="G34" s="26">
        <v>0.76</v>
      </c>
      <c r="H34" s="10"/>
      <c r="I34" s="10">
        <f t="shared" si="5"/>
        <v>230.72880675463702</v>
      </c>
      <c r="J34" s="10">
        <f t="shared" ref="J34:J65" si="6">IF(I34="","",I34*C34)</f>
        <v>536003127.47142726</v>
      </c>
      <c r="K34" s="11">
        <f t="shared" ref="K34:K65" si="7">IFERROR(J34/J35-1,"")</f>
        <v>6.0528933799999907E-2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2235622.8819067511</v>
      </c>
      <c r="D35" s="11">
        <v>4.3797999999999997E-2</v>
      </c>
      <c r="E35" s="10">
        <f t="shared" si="2"/>
        <v>93807.241421953309</v>
      </c>
      <c r="F35" s="3"/>
      <c r="G35" s="26">
        <v>3.26</v>
      </c>
      <c r="H35" s="10"/>
      <c r="I35" s="10">
        <f t="shared" ref="I35:I66" si="8">IF(H35&lt;&gt;"",H35,I34/(1+IF(G34="",0,G34)/100))</f>
        <v>226.07172913446701</v>
      </c>
      <c r="J35" s="10">
        <f t="shared" si="6"/>
        <v>505411130.60523957</v>
      </c>
      <c r="K35" s="11">
        <f t="shared" si="7"/>
        <v>0.1060083608000002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2141815.6404847978</v>
      </c>
      <c r="D36" s="11">
        <v>2.8472999999999998E-2</v>
      </c>
      <c r="E36" s="10">
        <f t="shared" si="2"/>
        <v>59295.593303395901</v>
      </c>
      <c r="F36" s="3"/>
      <c r="G36" s="26">
        <v>2.64</v>
      </c>
      <c r="H36" s="10"/>
      <c r="I36" s="10">
        <f t="shared" si="8"/>
        <v>213.35572775997261</v>
      </c>
      <c r="J36" s="10">
        <f t="shared" si="6"/>
        <v>456968634.70332587</v>
      </c>
      <c r="K36" s="11">
        <f t="shared" si="7"/>
        <v>0.10499139120000001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2082520.0471814019</v>
      </c>
      <c r="D37" s="11">
        <v>9.7999999999999997E-3</v>
      </c>
      <c r="E37" s="10">
        <f t="shared" si="2"/>
        <v>20210.632266169414</v>
      </c>
      <c r="F37" s="3"/>
      <c r="G37" s="26">
        <v>-3.78</v>
      </c>
      <c r="H37" s="10"/>
      <c r="I37" s="10">
        <f t="shared" si="8"/>
        <v>198.58128049141158</v>
      </c>
      <c r="J37" s="10">
        <f t="shared" si="6"/>
        <v>413549497.6183176</v>
      </c>
      <c r="K37" s="11">
        <f t="shared" si="7"/>
        <v>2.5148960000000109E-2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2062309.4149152325</v>
      </c>
      <c r="D38" s="11">
        <v>8.9499999999999996E-3</v>
      </c>
      <c r="E38" s="10">
        <f t="shared" si="2"/>
        <v>18293.938513792818</v>
      </c>
      <c r="F38" s="3"/>
      <c r="G38" s="26">
        <v>-8.72</v>
      </c>
      <c r="H38" s="10"/>
      <c r="I38" s="10">
        <f t="shared" si="8"/>
        <v>195.60803830911303</v>
      </c>
      <c r="J38" s="10">
        <f t="shared" si="6"/>
        <v>403404299.03798324</v>
      </c>
      <c r="K38" s="11">
        <f t="shared" si="7"/>
        <v>-4.1699290000000055E-2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2044015.4764014396</v>
      </c>
      <c r="D39" s="11">
        <v>-4.5909999999999999E-2</v>
      </c>
      <c r="E39" s="10">
        <f t="shared" si="2"/>
        <v>-98356.287689410849</v>
      </c>
      <c r="F39" s="3"/>
      <c r="G39" s="26">
        <v>-15.93</v>
      </c>
      <c r="H39" s="10"/>
      <c r="I39" s="10">
        <f t="shared" si="8"/>
        <v>205.9465553896747</v>
      </c>
      <c r="J39" s="10">
        <f t="shared" si="6"/>
        <v>420957946.52806139</v>
      </c>
      <c r="K39" s="11">
        <f t="shared" si="7"/>
        <v>-0.19789653699999998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2142371.7640908505</v>
      </c>
      <c r="D40" s="11">
        <v>-9.9900000000000006E-3</v>
      </c>
      <c r="E40" s="10">
        <f t="shared" si="2"/>
        <v>-21618.260344105307</v>
      </c>
      <c r="F40" s="3"/>
      <c r="G40" s="26">
        <v>-6.22</v>
      </c>
      <c r="H40" s="10"/>
      <c r="I40" s="10">
        <f t="shared" si="8"/>
        <v>244.97032876135921</v>
      </c>
      <c r="J40" s="10">
        <f t="shared" si="6"/>
        <v>524817515.37838876</v>
      </c>
      <c r="K40" s="11">
        <f t="shared" si="7"/>
        <v>-7.1568622000000137E-2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2163990.0244349558</v>
      </c>
      <c r="D41" s="11">
        <v>-4.5909999999999999E-2</v>
      </c>
      <c r="E41" s="10">
        <f t="shared" si="2"/>
        <v>-104129.36098461226</v>
      </c>
      <c r="F41" s="3"/>
      <c r="G41" s="26">
        <v>-16.670000000000002</v>
      </c>
      <c r="H41" s="10"/>
      <c r="I41" s="10">
        <f t="shared" si="8"/>
        <v>261.21809422196549</v>
      </c>
      <c r="J41" s="10">
        <f t="shared" si="6"/>
        <v>565273350.09824371</v>
      </c>
      <c r="K41" s="11">
        <f t="shared" si="7"/>
        <v>-0.20495680299999997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2268119.385419568</v>
      </c>
      <c r="D42" s="11">
        <v>-1.25E-3</v>
      </c>
      <c r="E42" s="10">
        <f t="shared" si="2"/>
        <v>-2838.6976037789136</v>
      </c>
      <c r="F42" s="3"/>
      <c r="G42" s="26">
        <v>-5.71</v>
      </c>
      <c r="H42" s="10"/>
      <c r="I42" s="10">
        <f t="shared" si="8"/>
        <v>313.47425203644008</v>
      </c>
      <c r="J42" s="10">
        <f t="shared" si="6"/>
        <v>710997027.87374926</v>
      </c>
      <c r="K42" s="11">
        <f t="shared" si="7"/>
        <v>-5.8278624999999917E-2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2270958.083023347</v>
      </c>
      <c r="D43" s="11">
        <v>1.7260000000000001E-2</v>
      </c>
      <c r="E43" s="10">
        <f t="shared" si="2"/>
        <v>38531.679720998742</v>
      </c>
      <c r="F43" s="3"/>
      <c r="G43" s="26">
        <v>11.45</v>
      </c>
      <c r="H43" s="10"/>
      <c r="I43" s="10">
        <f t="shared" si="8"/>
        <v>332.45757984562528</v>
      </c>
      <c r="J43" s="10">
        <f t="shared" si="6"/>
        <v>754997228.21280253</v>
      </c>
      <c r="K43" s="11">
        <f t="shared" si="7"/>
        <v>0.13373627000000021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2232426.4033023482</v>
      </c>
      <c r="D44" s="11">
        <v>2.0619999999999999E-2</v>
      </c>
      <c r="E44" s="10">
        <f t="shared" si="2"/>
        <v>45102.616484190803</v>
      </c>
      <c r="F44" s="3"/>
      <c r="G44" s="26">
        <v>0.63</v>
      </c>
      <c r="H44" s="10"/>
      <c r="I44" s="10">
        <f t="shared" si="8"/>
        <v>298.30200075874853</v>
      </c>
      <c r="J44" s="10">
        <f t="shared" si="6"/>
        <v>665937262.65174735</v>
      </c>
      <c r="K44" s="11">
        <f t="shared" si="7"/>
        <v>2.7049906000000234E-2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2187323.7868181574</v>
      </c>
      <c r="D45" s="11">
        <v>2.4500000000000001E-2</v>
      </c>
      <c r="E45" s="10">
        <f t="shared" si="2"/>
        <v>52307.889484670479</v>
      </c>
      <c r="F45" s="3"/>
      <c r="G45" s="26">
        <v>-5.07</v>
      </c>
      <c r="H45" s="10"/>
      <c r="I45" s="10">
        <f t="shared" si="8"/>
        <v>296.43446363783022</v>
      </c>
      <c r="J45" s="10">
        <f t="shared" si="6"/>
        <v>648398153.54770815</v>
      </c>
      <c r="K45" s="11">
        <f t="shared" si="7"/>
        <v>-2.7442149999999943E-2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2135015.8973334869</v>
      </c>
      <c r="D46" s="11">
        <v>2.4549999999999999E-2</v>
      </c>
      <c r="E46" s="10">
        <f t="shared" si="2"/>
        <v>51158.694333646446</v>
      </c>
      <c r="F46" s="3"/>
      <c r="G46" s="26">
        <v>2.25</v>
      </c>
      <c r="H46" s="10"/>
      <c r="I46" s="10">
        <f t="shared" si="8"/>
        <v>312.26636852189006</v>
      </c>
      <c r="J46" s="10">
        <f t="shared" si="6"/>
        <v>666693660.99683237</v>
      </c>
      <c r="K46" s="11">
        <f t="shared" si="7"/>
        <v>4.7602375000000086E-2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2083857.2029998405</v>
      </c>
      <c r="D47" s="11">
        <v>2.4729999999999999E-2</v>
      </c>
      <c r="E47" s="10">
        <f t="shared" si="2"/>
        <v>50290.114108287962</v>
      </c>
      <c r="F47" s="3"/>
      <c r="G47" s="26">
        <v>5.93</v>
      </c>
      <c r="H47" s="10"/>
      <c r="I47" s="10">
        <f t="shared" si="8"/>
        <v>305.39498143950129</v>
      </c>
      <c r="J47" s="10">
        <f t="shared" si="6"/>
        <v>636399531.83270741</v>
      </c>
      <c r="K47" s="11">
        <f t="shared" si="7"/>
        <v>8.5496489000000064E-2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2033567.0888915525</v>
      </c>
      <c r="D48" s="11">
        <v>2.494E-2</v>
      </c>
      <c r="E48" s="10">
        <f t="shared" si="2"/>
        <v>49483.055785660865</v>
      </c>
      <c r="F48" s="3"/>
      <c r="G48" s="26">
        <v>1.39</v>
      </c>
      <c r="H48" s="10"/>
      <c r="I48" s="10">
        <f t="shared" si="8"/>
        <v>288.29885909515843</v>
      </c>
      <c r="J48" s="10">
        <f t="shared" si="6"/>
        <v>586275071.62089717</v>
      </c>
      <c r="K48" s="11">
        <f t="shared" si="7"/>
        <v>3.9186665999999981E-2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1984084.0331058917</v>
      </c>
      <c r="D49" s="11">
        <v>2.528E-2</v>
      </c>
      <c r="E49" s="10">
        <f t="shared" si="2"/>
        <v>48920.92341303546</v>
      </c>
      <c r="F49" s="3"/>
      <c r="G49" s="26">
        <v>1.96</v>
      </c>
      <c r="H49" s="10"/>
      <c r="I49" s="10">
        <f t="shared" si="8"/>
        <v>284.3464435300902</v>
      </c>
      <c r="J49" s="10">
        <f t="shared" si="6"/>
        <v>564167238.47849798</v>
      </c>
      <c r="K49" s="11">
        <f t="shared" si="7"/>
        <v>4.5375487999999908E-2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1935163.1096928562</v>
      </c>
      <c r="D50" s="11">
        <v>2.5569999999999999E-2</v>
      </c>
      <c r="E50" s="10">
        <f t="shared" si="2"/>
        <v>48248.408899291651</v>
      </c>
      <c r="F50" s="3"/>
      <c r="G50" s="26">
        <v>1.42</v>
      </c>
      <c r="H50" s="10"/>
      <c r="I50" s="10">
        <f t="shared" si="8"/>
        <v>278.88038792672637</v>
      </c>
      <c r="J50" s="10">
        <f t="shared" si="6"/>
        <v>539679038.73263383</v>
      </c>
      <c r="K50" s="11">
        <f t="shared" si="7"/>
        <v>4.013309399999998E-2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1886914.7007935646</v>
      </c>
      <c r="D51" s="11">
        <v>2.5839999999999998E-2</v>
      </c>
      <c r="E51" s="10">
        <f t="shared" si="2"/>
        <v>47529.708208400756</v>
      </c>
      <c r="F51" s="3"/>
      <c r="G51" s="26">
        <v>-3.58</v>
      </c>
      <c r="H51" s="10"/>
      <c r="I51" s="10">
        <f t="shared" si="8"/>
        <v>274.97573252487319</v>
      </c>
      <c r="J51" s="10">
        <f t="shared" si="6"/>
        <v>518855752.06266236</v>
      </c>
      <c r="K51" s="11">
        <f t="shared" si="7"/>
        <v>-1.0885071999999996E-2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1839384.9925851638</v>
      </c>
      <c r="D52" s="11">
        <v>2.6030000000000001E-2</v>
      </c>
      <c r="E52" s="10">
        <f t="shared" si="2"/>
        <v>46664.51405611122</v>
      </c>
      <c r="F52" s="3"/>
      <c r="G52" s="26">
        <v>6.78</v>
      </c>
      <c r="H52" s="10"/>
      <c r="I52" s="10">
        <f t="shared" si="8"/>
        <v>285.18536872523669</v>
      </c>
      <c r="J52" s="10">
        <f t="shared" si="6"/>
        <v>524565687.3380667</v>
      </c>
      <c r="K52" s="11">
        <f t="shared" si="7"/>
        <v>9.5594834000000128E-2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1792720.4785290526</v>
      </c>
      <c r="D53" s="11">
        <v>2.605E-2</v>
      </c>
      <c r="E53" s="10">
        <f t="shared" si="2"/>
        <v>45514.710263322107</v>
      </c>
      <c r="F53" s="3"/>
      <c r="G53" s="26">
        <v>-1.1200000000000001</v>
      </c>
      <c r="H53" s="10"/>
      <c r="I53" s="10">
        <f t="shared" si="8"/>
        <v>267.07751332200473</v>
      </c>
      <c r="J53" s="10">
        <f t="shared" si="6"/>
        <v>478795327.48697376</v>
      </c>
      <c r="K53" s="11">
        <f t="shared" si="7"/>
        <v>1.4558239999999945E-2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1747205.7682657305</v>
      </c>
      <c r="D54" s="11">
        <v>2.613E-2</v>
      </c>
      <c r="E54" s="10">
        <f t="shared" si="2"/>
        <v>44491.913037123391</v>
      </c>
      <c r="F54" s="3"/>
      <c r="G54" s="26">
        <v>-2.85</v>
      </c>
      <c r="H54" s="10"/>
      <c r="I54" s="10">
        <f t="shared" si="8"/>
        <v>270.10266314927662</v>
      </c>
      <c r="J54" s="10">
        <f t="shared" si="6"/>
        <v>471924931.07835168</v>
      </c>
      <c r="K54" s="11">
        <f t="shared" si="7"/>
        <v>-3.1147050000001064E-3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1702713.8552286071</v>
      </c>
      <c r="D55" s="11">
        <v>2.1170000000000001E-2</v>
      </c>
      <c r="E55" s="10">
        <f t="shared" si="2"/>
        <v>35299.168909377884</v>
      </c>
      <c r="F55" s="3"/>
      <c r="G55" s="26">
        <v>6.92</v>
      </c>
      <c r="H55" s="10"/>
      <c r="I55" s="10">
        <f t="shared" si="8"/>
        <v>278.02641600543143</v>
      </c>
      <c r="J55" s="10">
        <f t="shared" si="6"/>
        <v>473399430.65200067</v>
      </c>
      <c r="K55" s="11">
        <f t="shared" si="7"/>
        <v>9.1834963999999797E-2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1667414.6863192292</v>
      </c>
      <c r="D56" s="11">
        <v>2.0959999999999999E-2</v>
      </c>
      <c r="E56" s="10">
        <f t="shared" si="2"/>
        <v>34231.519183171913</v>
      </c>
      <c r="F56" s="3"/>
      <c r="G56" s="26">
        <v>0.02</v>
      </c>
      <c r="H56" s="10"/>
      <c r="I56" s="10">
        <f t="shared" si="8"/>
        <v>260.03218855726846</v>
      </c>
      <c r="J56" s="10">
        <f t="shared" si="6"/>
        <v>433581490.11612046</v>
      </c>
      <c r="K56" s="11">
        <f t="shared" si="7"/>
        <v>2.1164192000000304E-2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1633183.1671360573</v>
      </c>
      <c r="D57" s="11">
        <v>1.3299999999999999E-2</v>
      </c>
      <c r="E57" s="10">
        <f t="shared" si="2"/>
        <v>21436.234207944013</v>
      </c>
      <c r="F57" s="3"/>
      <c r="G57" s="29">
        <v>2.63</v>
      </c>
      <c r="H57" s="10"/>
      <c r="I57" s="10">
        <f t="shared" si="8"/>
        <v>259.98019251876468</v>
      </c>
      <c r="J57" s="10">
        <f t="shared" si="6"/>
        <v>424595274.21043801</v>
      </c>
      <c r="K57" s="11">
        <f t="shared" si="7"/>
        <v>3.9949790000000096E-2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1611746.9329281133</v>
      </c>
      <c r="D58" s="11">
        <v>1.272E-2</v>
      </c>
      <c r="E58" s="10">
        <f t="shared" si="2"/>
        <v>20243.918345491169</v>
      </c>
      <c r="F58" s="3"/>
      <c r="G58" s="29">
        <v>12.53</v>
      </c>
      <c r="H58" s="10"/>
      <c r="I58" s="10">
        <f t="shared" si="8"/>
        <v>253.31793093516973</v>
      </c>
      <c r="J58" s="10">
        <f t="shared" si="6"/>
        <v>408284398.24045545</v>
      </c>
      <c r="K58" s="11">
        <f t="shared" si="7"/>
        <v>0.13961381600000022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1591503.0145826221</v>
      </c>
      <c r="D59" s="11">
        <v>1.3610000000000001E-2</v>
      </c>
      <c r="E59" s="10">
        <f t="shared" si="2"/>
        <v>21369.516903413925</v>
      </c>
      <c r="F59" s="3"/>
      <c r="G59" s="29">
        <v>14.42</v>
      </c>
      <c r="H59" s="10"/>
      <c r="I59" s="10">
        <f t="shared" si="8"/>
        <v>225.11146444074444</v>
      </c>
      <c r="J59" s="10">
        <f t="shared" si="6"/>
        <v>358265574.27455354</v>
      </c>
      <c r="K59" s="11">
        <f t="shared" si="7"/>
        <v>0.15977256200000012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1570133.4976792082</v>
      </c>
      <c r="D60" s="11">
        <v>1.298E-2</v>
      </c>
      <c r="E60" s="10">
        <f t="shared" si="2"/>
        <v>20119.185768599622</v>
      </c>
      <c r="F60" s="3"/>
      <c r="G60" s="29">
        <v>3.3</v>
      </c>
      <c r="H60" s="10"/>
      <c r="I60" s="10">
        <f t="shared" si="8"/>
        <v>196.74136028731377</v>
      </c>
      <c r="J60" s="10">
        <f t="shared" si="6"/>
        <v>308910200.16608524</v>
      </c>
      <c r="K60" s="11">
        <f t="shared" si="7"/>
        <v>4.6408339999999937E-2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1550014.3119106086</v>
      </c>
      <c r="D61" s="11">
        <v>1.2330000000000001E-2</v>
      </c>
      <c r="E61" s="10">
        <f t="shared" si="2"/>
        <v>18878.899633378256</v>
      </c>
      <c r="F61" s="3"/>
      <c r="G61" s="29">
        <v>-2.71</v>
      </c>
      <c r="H61" s="10"/>
      <c r="I61" s="10">
        <f t="shared" si="8"/>
        <v>190.45630231104917</v>
      </c>
      <c r="J61" s="10">
        <f t="shared" si="6"/>
        <v>295209994.3756997</v>
      </c>
      <c r="K61" s="11">
        <f t="shared" si="7"/>
        <v>-1.510414300000007E-2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1531135.4122772303</v>
      </c>
      <c r="D62" s="11">
        <v>1.67E-2</v>
      </c>
      <c r="E62" s="10">
        <f t="shared" si="2"/>
        <v>25149.957101435633</v>
      </c>
      <c r="F62" s="3"/>
      <c r="G62" s="29">
        <v>-6.86</v>
      </c>
      <c r="H62" s="10"/>
      <c r="I62" s="10">
        <f t="shared" si="8"/>
        <v>195.76143726081733</v>
      </c>
      <c r="J62" s="10">
        <f t="shared" si="6"/>
        <v>299737268.94832468</v>
      </c>
      <c r="K62" s="11">
        <f t="shared" si="7"/>
        <v>-5.3045620000000127E-2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1505985.4551757947</v>
      </c>
      <c r="D63" s="11">
        <v>2.1270000000000001E-2</v>
      </c>
      <c r="E63" s="10">
        <f t="shared" si="2"/>
        <v>31365.173393509118</v>
      </c>
      <c r="F63" s="3"/>
      <c r="G63" s="29">
        <v>0.46</v>
      </c>
      <c r="H63" s="10"/>
      <c r="I63" s="10">
        <f t="shared" si="8"/>
        <v>210.17976944472551</v>
      </c>
      <c r="J63" s="10">
        <f t="shared" si="6"/>
        <v>316527675.7559585</v>
      </c>
      <c r="K63" s="11">
        <f t="shared" si="7"/>
        <v>2.5967841999999797E-2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1474620.2817822855</v>
      </c>
      <c r="D64" s="11">
        <v>1.5599999999999999E-2</v>
      </c>
      <c r="E64" s="10">
        <f t="shared" si="2"/>
        <v>22650.725084485719</v>
      </c>
      <c r="F64" s="3"/>
      <c r="G64" s="29">
        <v>-1.93</v>
      </c>
      <c r="H64" s="10"/>
      <c r="I64" s="10">
        <f t="shared" si="8"/>
        <v>209.21736954481935</v>
      </c>
      <c r="J64" s="10">
        <f t="shared" si="6"/>
        <v>308516176.43193007</v>
      </c>
      <c r="K64" s="11">
        <f t="shared" si="7"/>
        <v>-4.0010799999999902E-3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1451969.5566977998</v>
      </c>
      <c r="D65" s="11">
        <v>1.6129999999999999E-2</v>
      </c>
      <c r="E65" s="10">
        <f t="shared" si="2"/>
        <v>23048.496697800001</v>
      </c>
      <c r="F65" s="3"/>
      <c r="G65" s="29">
        <v>6.63</v>
      </c>
      <c r="H65" s="10"/>
      <c r="I65" s="10">
        <f t="shared" si="8"/>
        <v>213.33472983054895</v>
      </c>
      <c r="J65" s="10">
        <f t="shared" si="6"/>
        <v>309755533.10030705</v>
      </c>
      <c r="K65" s="11">
        <f t="shared" si="7"/>
        <v>8.3499419000000019E-2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1428921.0599999998</v>
      </c>
      <c r="D66" s="11">
        <v>1.558E-2</v>
      </c>
      <c r="E66" s="10">
        <f t="shared" si="2"/>
        <v>21921.059999999823</v>
      </c>
      <c r="F66" s="23">
        <f>SUM(F2)</f>
        <v>6231859</v>
      </c>
      <c r="G66" s="29">
        <v>2.6</v>
      </c>
      <c r="H66" s="10"/>
      <c r="I66" s="10">
        <f t="shared" si="8"/>
        <v>200.07008330727652</v>
      </c>
      <c r="J66" s="10">
        <f t="shared" ref="J66:J67" si="9">IF(I66="","",I66*C66)</f>
        <v>285884355.51372182</v>
      </c>
      <c r="K66" s="11">
        <f t="shared" ref="K66" si="10">IFERROR(J66/J67-1,"")</f>
        <v>4.1985079999999897E-2</v>
      </c>
    </row>
    <row r="67" spans="1:11" ht="22.5" customHeight="1">
      <c r="A67" s="3">
        <f t="shared" si="0"/>
        <v>1950</v>
      </c>
      <c r="B67" s="3">
        <v>1700</v>
      </c>
      <c r="C67" s="10">
        <v>1407000</v>
      </c>
      <c r="D67" s="11">
        <v>1.499E-2</v>
      </c>
      <c r="E67" s="3" t="s">
        <v>72</v>
      </c>
      <c r="F67" s="10">
        <f>SUM(C2)</f>
        <v>6231300.9585402627</v>
      </c>
      <c r="G67" s="29">
        <v>8.33</v>
      </c>
      <c r="H67" s="10"/>
      <c r="I67" s="10">
        <f t="shared" ref="I67" si="11">IF(H67&lt;&gt;"",H67,I66/(1+IF(G66="",0,G66)/100))</f>
        <v>195.00008119617593</v>
      </c>
      <c r="J67" s="10">
        <f t="shared" si="9"/>
        <v>274365114.24301952</v>
      </c>
      <c r="K67" s="11"/>
    </row>
  </sheetData>
  <dataValidations count="1">
    <dataValidation type="custom" allowBlank="1" showDropDown="1" sqref="D2:D67" xr:uid="{00000000-0002-0000-5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M67"/>
  <sheetViews>
    <sheetView workbookViewId="0">
      <selection activeCell="I6" sqref="I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42673535.88442307</v>
      </c>
      <c r="D2" s="11">
        <v>5.7800000000000004E-3</v>
      </c>
      <c r="E2" s="10">
        <f t="shared" ref="E2:E66" si="2">SUM(C2-C3)</f>
        <v>245235.57578393072</v>
      </c>
      <c r="F2" s="14">
        <v>42672208</v>
      </c>
      <c r="G2" s="26">
        <v>8.66</v>
      </c>
      <c r="H2" s="10"/>
      <c r="I2" s="10">
        <f>IF(H2&lt;&gt;"",H2,58728)</f>
        <v>7341</v>
      </c>
      <c r="J2" s="10">
        <f t="shared" ref="J2:J33" si="3">IF(I2="","",I2*C2)</f>
        <v>313266426927.54974</v>
      </c>
      <c r="K2" s="11">
        <f t="shared" ref="K2:K33" si="4">IFERROR(J2/J3-1,"")</f>
        <v>9.2880547999999896E-2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42428300.308639139</v>
      </c>
      <c r="D3" s="11">
        <v>7.0000000000000001E-3</v>
      </c>
      <c r="E3" s="10">
        <f t="shared" si="2"/>
        <v>294933.56719014049</v>
      </c>
      <c r="F3" s="3"/>
      <c r="G3" s="26">
        <v>9.33</v>
      </c>
      <c r="H3" s="10"/>
      <c r="I3" s="10">
        <f t="shared" ref="I3:I34" si="5">IF(H3&lt;&gt;"",H3,I2/(1+IF(G2="",0,G2)/100))</f>
        <v>6755.935946990613</v>
      </c>
      <c r="J3" s="10">
        <f t="shared" si="3"/>
        <v>286642879224.84808</v>
      </c>
      <c r="K3" s="11">
        <f t="shared" si="4"/>
        <v>0.10095309999999991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42133366.741448998</v>
      </c>
      <c r="D4" s="11">
        <v>8.1399999999999997E-3</v>
      </c>
      <c r="E4" s="10">
        <f t="shared" si="2"/>
        <v>340196.40652627498</v>
      </c>
      <c r="F4" s="3"/>
      <c r="G4" s="26">
        <v>7.03</v>
      </c>
      <c r="H4" s="10"/>
      <c r="I4" s="10">
        <f t="shared" si="5"/>
        <v>6179.3981038970214</v>
      </c>
      <c r="J4" s="10">
        <f t="shared" si="3"/>
        <v>260358846552.90778</v>
      </c>
      <c r="K4" s="11">
        <f t="shared" si="4"/>
        <v>7.9012242000000121E-2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41793170.334922723</v>
      </c>
      <c r="D5" s="11">
        <v>9.3699999999999999E-3</v>
      </c>
      <c r="E5" s="10">
        <f t="shared" si="2"/>
        <v>387966.75752026588</v>
      </c>
      <c r="F5" s="3"/>
      <c r="G5" s="26">
        <v>13.34</v>
      </c>
      <c r="H5" s="10"/>
      <c r="I5" s="10">
        <f t="shared" si="5"/>
        <v>5773.5196710240316</v>
      </c>
      <c r="J5" s="10">
        <f t="shared" si="3"/>
        <v>241293691043.13437</v>
      </c>
      <c r="K5" s="11">
        <f t="shared" si="4"/>
        <v>0.14401995800000034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41405203.577402458</v>
      </c>
      <c r="D6" s="11">
        <v>6.8199999999999997E-3</v>
      </c>
      <c r="E6" s="10">
        <f t="shared" si="2"/>
        <v>280470.67837139219</v>
      </c>
      <c r="F6" s="3"/>
      <c r="G6" s="26">
        <v>6.92</v>
      </c>
      <c r="H6" s="10"/>
      <c r="I6" s="10">
        <f t="shared" si="5"/>
        <v>5093.9824166437547</v>
      </c>
      <c r="J6" s="10">
        <f t="shared" si="3"/>
        <v>210917378980.8432</v>
      </c>
      <c r="K6" s="11">
        <f t="shared" si="4"/>
        <v>7.6491943999999812E-2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41124732.899031065</v>
      </c>
      <c r="D7" s="11">
        <v>4.7800000000000004E-3</v>
      </c>
      <c r="E7" s="10">
        <f t="shared" si="2"/>
        <v>195641.05899537355</v>
      </c>
      <c r="F7" s="3"/>
      <c r="G7" s="26">
        <v>6.07</v>
      </c>
      <c r="H7" s="10"/>
      <c r="I7" s="10">
        <f t="shared" si="5"/>
        <v>4764.2933189709647</v>
      </c>
      <c r="J7" s="10">
        <f t="shared" si="3"/>
        <v>195930290195.31915</v>
      </c>
      <c r="K7" s="11">
        <f t="shared" si="4"/>
        <v>6.5770145999999974E-2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40929091.840035692</v>
      </c>
      <c r="D8" s="11">
        <v>5.7099999999999998E-3</v>
      </c>
      <c r="E8" s="10">
        <f t="shared" si="2"/>
        <v>232378.23468654603</v>
      </c>
      <c r="F8" s="3"/>
      <c r="G8" s="26">
        <v>11.74</v>
      </c>
      <c r="H8" s="10"/>
      <c r="I8" s="10">
        <f t="shared" si="5"/>
        <v>4491.6501545875035</v>
      </c>
      <c r="J8" s="10">
        <f t="shared" si="3"/>
        <v>183839161690.42245</v>
      </c>
      <c r="K8" s="11">
        <f t="shared" si="4"/>
        <v>0.12378035399999998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40696713.605349146</v>
      </c>
      <c r="D9" s="11">
        <v>6.7299999999999999E-3</v>
      </c>
      <c r="E9" s="10">
        <f t="shared" si="2"/>
        <v>272057.93267708272</v>
      </c>
      <c r="F9" s="3"/>
      <c r="G9" s="26">
        <v>5.99</v>
      </c>
      <c r="H9" s="10"/>
      <c r="I9" s="10">
        <f t="shared" si="5"/>
        <v>4019.7334478141252</v>
      </c>
      <c r="J9" s="10">
        <f t="shared" si="3"/>
        <v>163589940895.53415</v>
      </c>
      <c r="K9" s="11">
        <f t="shared" si="4"/>
        <v>6.703312699999997E-2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40424655.672672063</v>
      </c>
      <c r="D10" s="11">
        <v>7.3800000000000003E-3</v>
      </c>
      <c r="E10" s="10">
        <f t="shared" si="2"/>
        <v>296148.38379193097</v>
      </c>
      <c r="F10" s="3"/>
      <c r="G10" s="26">
        <v>5.33</v>
      </c>
      <c r="H10" s="10"/>
      <c r="I10" s="10">
        <f t="shared" si="5"/>
        <v>3792.5591544618596</v>
      </c>
      <c r="J10" s="10">
        <f t="shared" si="3"/>
        <v>153312897937.36099</v>
      </c>
      <c r="K10" s="11">
        <f t="shared" si="4"/>
        <v>6.1073353999999691E-2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40128507.288880132</v>
      </c>
      <c r="D11" s="11">
        <v>4.1900000000000001E-3</v>
      </c>
      <c r="E11" s="10">
        <f t="shared" si="2"/>
        <v>167436.88499228656</v>
      </c>
      <c r="F11" s="3"/>
      <c r="G11" s="26">
        <v>8.93</v>
      </c>
      <c r="H11" s="10"/>
      <c r="I11" s="10">
        <f t="shared" si="5"/>
        <v>3600.6447872988324</v>
      </c>
      <c r="J11" s="10">
        <f t="shared" si="3"/>
        <v>144488500591.78946</v>
      </c>
      <c r="K11" s="11">
        <f t="shared" si="4"/>
        <v>9.3864166999999998E-2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39961070.403887846</v>
      </c>
      <c r="D12" s="11">
        <v>2.3400000000000001E-3</v>
      </c>
      <c r="E12" s="10">
        <f t="shared" si="2"/>
        <v>93290.604730032384</v>
      </c>
      <c r="F12" s="3"/>
      <c r="G12" s="26">
        <v>9.3000000000000007</v>
      </c>
      <c r="H12" s="10"/>
      <c r="I12" s="10">
        <f t="shared" si="5"/>
        <v>3305.4666182859014</v>
      </c>
      <c r="J12" s="10">
        <f t="shared" si="3"/>
        <v>132089984251.02397</v>
      </c>
      <c r="K12" s="11">
        <f t="shared" si="4"/>
        <v>9.5557620000000121E-2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39867779.799157813</v>
      </c>
      <c r="D13" s="11">
        <v>3.5500000000000002E-3</v>
      </c>
      <c r="E13" s="10">
        <f t="shared" si="2"/>
        <v>141029.96192218363</v>
      </c>
      <c r="F13" s="3"/>
      <c r="G13" s="26">
        <v>9.9600000000000009</v>
      </c>
      <c r="H13" s="10"/>
      <c r="I13" s="10">
        <f t="shared" si="5"/>
        <v>3024.2146553393427</v>
      </c>
      <c r="J13" s="10">
        <f t="shared" si="3"/>
        <v>120568723944.45485</v>
      </c>
      <c r="K13" s="11">
        <f t="shared" si="4"/>
        <v>0.10350357999999971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39726749.83723563</v>
      </c>
      <c r="D14" s="11">
        <v>4.96E-3</v>
      </c>
      <c r="E14" s="10">
        <f t="shared" si="2"/>
        <v>196072.16127277911</v>
      </c>
      <c r="F14" s="3"/>
      <c r="G14" s="26">
        <v>8.94</v>
      </c>
      <c r="H14" s="10"/>
      <c r="I14" s="10">
        <f t="shared" si="5"/>
        <v>2750.2861543646263</v>
      </c>
      <c r="J14" s="10">
        <f t="shared" si="3"/>
        <v>109259930035.25632</v>
      </c>
      <c r="K14" s="11">
        <f t="shared" si="4"/>
        <v>9.4803423999999969E-2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39530677.67596285</v>
      </c>
      <c r="D15" s="11">
        <v>6.0099999999999997E-3</v>
      </c>
      <c r="E15" s="10">
        <f t="shared" si="2"/>
        <v>236160.05092646927</v>
      </c>
      <c r="F15" s="3"/>
      <c r="G15" s="26">
        <v>9.73</v>
      </c>
      <c r="H15" s="10"/>
      <c r="I15" s="10">
        <f t="shared" si="5"/>
        <v>2524.5879882179424</v>
      </c>
      <c r="J15" s="10">
        <f t="shared" si="3"/>
        <v>99798674026.850983</v>
      </c>
      <c r="K15" s="11">
        <f t="shared" si="4"/>
        <v>0.10389477299999994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39294517.625036381</v>
      </c>
      <c r="D16" s="11">
        <v>7.8799999999999999E-3</v>
      </c>
      <c r="E16" s="10">
        <f t="shared" si="2"/>
        <v>307219.90602580458</v>
      </c>
      <c r="F16" s="3"/>
      <c r="G16" s="26">
        <v>9.06</v>
      </c>
      <c r="H16" s="10"/>
      <c r="I16" s="10">
        <f t="shared" si="5"/>
        <v>2300.7272288507634</v>
      </c>
      <c r="J16" s="10">
        <f t="shared" si="3"/>
        <v>90405966644.477432</v>
      </c>
      <c r="K16" s="11">
        <f t="shared" si="4"/>
        <v>9.9193928000000042E-2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38987297.719010577</v>
      </c>
      <c r="D17" s="11">
        <v>1.2789999999999999E-2</v>
      </c>
      <c r="E17" s="10">
        <f t="shared" si="2"/>
        <v>492350.37651057541</v>
      </c>
      <c r="F17" s="3"/>
      <c r="G17" s="26">
        <v>9.41</v>
      </c>
      <c r="H17" s="10"/>
      <c r="I17" s="10">
        <f t="shared" si="5"/>
        <v>2109.5976791222843</v>
      </c>
      <c r="J17" s="10">
        <f t="shared" si="3"/>
        <v>82247512783.274246</v>
      </c>
      <c r="K17" s="11">
        <f t="shared" si="4"/>
        <v>0.10809353900000018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38494947.342500001</v>
      </c>
      <c r="D18" s="11">
        <v>1.3679999999999999E-2</v>
      </c>
      <c r="E18" s="10">
        <f t="shared" si="2"/>
        <v>519504.06404920667</v>
      </c>
      <c r="F18" s="3"/>
      <c r="G18" s="26">
        <v>8.09</v>
      </c>
      <c r="H18" s="10"/>
      <c r="I18" s="10">
        <f t="shared" si="5"/>
        <v>1928.1580103484912</v>
      </c>
      <c r="J18" s="10">
        <f t="shared" si="3"/>
        <v>74224341076.384735</v>
      </c>
      <c r="K18" s="11">
        <f t="shared" si="4"/>
        <v>9.5686712000000007E-2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37975443.278450795</v>
      </c>
      <c r="D19" s="11">
        <v>1.532E-2</v>
      </c>
      <c r="E19" s="10">
        <f t="shared" si="2"/>
        <v>573005.34907799214</v>
      </c>
      <c r="F19" s="3"/>
      <c r="G19" s="26">
        <v>8.85</v>
      </c>
      <c r="H19" s="10"/>
      <c r="I19" s="10">
        <f t="shared" si="5"/>
        <v>1783.8449536020828</v>
      </c>
      <c r="J19" s="10">
        <f t="shared" si="3"/>
        <v>67742302853.066582</v>
      </c>
      <c r="K19" s="11">
        <f t="shared" si="4"/>
        <v>0.10517581999999992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37402437.929372802</v>
      </c>
      <c r="D20" s="11">
        <v>1.7059999999999999E-2</v>
      </c>
      <c r="E20" s="10">
        <f t="shared" si="2"/>
        <v>627382.44653718174</v>
      </c>
      <c r="F20" s="3"/>
      <c r="G20" s="26">
        <v>7.98</v>
      </c>
      <c r="H20" s="10"/>
      <c r="I20" s="10">
        <f t="shared" si="5"/>
        <v>1638.8102467635119</v>
      </c>
      <c r="J20" s="10">
        <f t="shared" si="3"/>
        <v>61295498532.592384</v>
      </c>
      <c r="K20" s="11">
        <f t="shared" si="4"/>
        <v>9.8221388000000243E-2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36775055.482835621</v>
      </c>
      <c r="D21" s="11">
        <v>1.8880000000000001E-2</v>
      </c>
      <c r="E21" s="10">
        <f t="shared" si="2"/>
        <v>681447.32207515836</v>
      </c>
      <c r="F21" s="3"/>
      <c r="G21" s="26">
        <v>5.0999999999999996</v>
      </c>
      <c r="H21" s="10"/>
      <c r="I21" s="10">
        <f t="shared" si="5"/>
        <v>1517.6979503273865</v>
      </c>
      <c r="J21" s="10">
        <f t="shared" si="3"/>
        <v>55813426329.47554</v>
      </c>
      <c r="K21" s="11">
        <f t="shared" si="4"/>
        <v>7.0842880000000052E-2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36093608.160760462</v>
      </c>
      <c r="D22" s="11">
        <v>2.1329999999999998E-2</v>
      </c>
      <c r="E22" s="10">
        <f t="shared" si="2"/>
        <v>753798.14758111537</v>
      </c>
      <c r="F22" s="3"/>
      <c r="G22" s="26">
        <v>6.49</v>
      </c>
      <c r="H22" s="10"/>
      <c r="I22" s="10">
        <f t="shared" si="5"/>
        <v>1444.0513323762004</v>
      </c>
      <c r="J22" s="10">
        <f t="shared" si="3"/>
        <v>52121022954.810646</v>
      </c>
      <c r="K22" s="11">
        <f t="shared" si="4"/>
        <v>8.7614316999999886E-2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35339810.013179347</v>
      </c>
      <c r="D23" s="11">
        <v>2.283E-2</v>
      </c>
      <c r="E23" s="10">
        <f t="shared" si="2"/>
        <v>788799.56845309585</v>
      </c>
      <c r="F23" s="3"/>
      <c r="G23" s="26">
        <v>7.95</v>
      </c>
      <c r="H23" s="10"/>
      <c r="I23" s="10">
        <f t="shared" si="5"/>
        <v>1356.0440720970987</v>
      </c>
      <c r="J23" s="10">
        <f t="shared" si="3"/>
        <v>47922339877.409546</v>
      </c>
      <c r="K23" s="11">
        <f t="shared" si="4"/>
        <v>0.1041449849999998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34551010.444726251</v>
      </c>
      <c r="D24" s="11">
        <v>2.3980000000000001E-2</v>
      </c>
      <c r="E24" s="10">
        <f t="shared" si="2"/>
        <v>809130.2862014249</v>
      </c>
      <c r="F24" s="3"/>
      <c r="G24" s="26">
        <v>-0.57999999999999996</v>
      </c>
      <c r="H24" s="10"/>
      <c r="I24" s="10">
        <f t="shared" si="5"/>
        <v>1256.1779269079193</v>
      </c>
      <c r="J24" s="10">
        <f t="shared" si="3"/>
        <v>43402216673.03009</v>
      </c>
      <c r="K24" s="11">
        <f t="shared" si="4"/>
        <v>1.8040915999999907E-2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33741880.158524826</v>
      </c>
      <c r="D25" s="11">
        <v>2.5059999999999999E-2</v>
      </c>
      <c r="E25" s="10">
        <f t="shared" si="2"/>
        <v>824899.53443957865</v>
      </c>
      <c r="F25" s="3"/>
      <c r="G25" s="26">
        <v>-3.06</v>
      </c>
      <c r="H25" s="10"/>
      <c r="I25" s="10">
        <f t="shared" si="5"/>
        <v>1263.5062632346805</v>
      </c>
      <c r="J25" s="10">
        <f t="shared" si="3"/>
        <v>42633076913.610115</v>
      </c>
      <c r="K25" s="11">
        <f t="shared" si="4"/>
        <v>-6.3068359999999268E-3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32916980.624085248</v>
      </c>
      <c r="D26" s="11">
        <v>2.1069999999999998E-2</v>
      </c>
      <c r="E26" s="10">
        <f t="shared" si="2"/>
        <v>679249.00520970672</v>
      </c>
      <c r="F26" s="3"/>
      <c r="G26" s="26">
        <v>-11.89</v>
      </c>
      <c r="H26" s="10"/>
      <c r="I26" s="10">
        <f t="shared" si="5"/>
        <v>1303.3899971473907</v>
      </c>
      <c r="J26" s="10">
        <f t="shared" si="3"/>
        <v>42903663281.727188</v>
      </c>
      <c r="K26" s="11">
        <f t="shared" si="4"/>
        <v>-0.10033522299999997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32237731.618875541</v>
      </c>
      <c r="D27" s="11">
        <v>2.9499999999999999E-3</v>
      </c>
      <c r="E27" s="10">
        <f t="shared" si="2"/>
        <v>94821.584601107985</v>
      </c>
      <c r="F27" s="3"/>
      <c r="G27" s="26">
        <v>-3.5</v>
      </c>
      <c r="H27" s="10"/>
      <c r="I27" s="10">
        <f t="shared" si="5"/>
        <v>1479.2759018810473</v>
      </c>
      <c r="J27" s="10">
        <f t="shared" si="3"/>
        <v>47688499515.111267</v>
      </c>
      <c r="K27" s="11">
        <f t="shared" si="4"/>
        <v>-3.2153250000000133E-2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32142910.034274433</v>
      </c>
      <c r="D28" s="11">
        <v>4.2599999999999999E-3</v>
      </c>
      <c r="E28" s="10">
        <f t="shared" si="2"/>
        <v>136347.95446000621</v>
      </c>
      <c r="F28" s="3"/>
      <c r="G28" s="26">
        <v>0.74</v>
      </c>
      <c r="H28" s="10"/>
      <c r="I28" s="10">
        <f t="shared" si="5"/>
        <v>1532.9283957316552</v>
      </c>
      <c r="J28" s="10">
        <f t="shared" si="3"/>
        <v>49272779512.987228</v>
      </c>
      <c r="K28" s="11">
        <f t="shared" si="4"/>
        <v>1.1691523999999953E-2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32006562.079814427</v>
      </c>
      <c r="D29" s="11">
        <v>5.0299999999999997E-3</v>
      </c>
      <c r="E29" s="10">
        <f t="shared" si="2"/>
        <v>160187.26531692594</v>
      </c>
      <c r="F29" s="3"/>
      <c r="G29" s="26">
        <v>-7.0000000000000007E-2</v>
      </c>
      <c r="H29" s="10"/>
      <c r="I29" s="10">
        <f t="shared" si="5"/>
        <v>1521.6680521457763</v>
      </c>
      <c r="J29" s="10">
        <f t="shared" si="3"/>
        <v>48703362975.874084</v>
      </c>
      <c r="K29" s="11">
        <f t="shared" si="4"/>
        <v>4.3264789999999387E-3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31846374.814497501</v>
      </c>
      <c r="D30" s="11">
        <v>5.3499999999999997E-3</v>
      </c>
      <c r="E30" s="10">
        <f t="shared" si="2"/>
        <v>169471.43309052661</v>
      </c>
      <c r="F30" s="3"/>
      <c r="G30" s="26">
        <v>4.05</v>
      </c>
      <c r="H30" s="10"/>
      <c r="I30" s="10">
        <f t="shared" si="5"/>
        <v>1522.7339659219217</v>
      </c>
      <c r="J30" s="10">
        <f t="shared" si="3"/>
        <v>48493556621.515785</v>
      </c>
      <c r="K30" s="11">
        <f t="shared" si="4"/>
        <v>4.6066675000000057E-2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31676903.381406974</v>
      </c>
      <c r="D31" s="11">
        <v>7.4400000000000004E-3</v>
      </c>
      <c r="E31" s="10">
        <f t="shared" si="2"/>
        <v>233935.67970069125</v>
      </c>
      <c r="F31" s="3"/>
      <c r="G31" s="26">
        <v>1.53</v>
      </c>
      <c r="H31" s="10"/>
      <c r="I31" s="10">
        <f t="shared" si="5"/>
        <v>1463.4636866140527</v>
      </c>
      <c r="J31" s="10">
        <f t="shared" si="3"/>
        <v>46357997803.070999</v>
      </c>
      <c r="K31" s="11">
        <f t="shared" si="4"/>
        <v>2.2853831999999796E-2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31442967.701706283</v>
      </c>
      <c r="D32" s="11">
        <v>1.4109999999999999E-2</v>
      </c>
      <c r="E32" s="10">
        <f t="shared" si="2"/>
        <v>437487.32807198167</v>
      </c>
      <c r="F32" s="3"/>
      <c r="G32" s="26">
        <v>-0.25</v>
      </c>
      <c r="H32" s="10"/>
      <c r="I32" s="10">
        <f t="shared" si="5"/>
        <v>1441.4101119019526</v>
      </c>
      <c r="J32" s="10">
        <f t="shared" si="3"/>
        <v>45322211593.445938</v>
      </c>
      <c r="K32" s="11">
        <f t="shared" si="4"/>
        <v>1.157472500000023E-2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31005480.373634301</v>
      </c>
      <c r="D33" s="11">
        <v>1.4710000000000001E-2</v>
      </c>
      <c r="E33" s="10">
        <f t="shared" si="2"/>
        <v>449478.78339245915</v>
      </c>
      <c r="F33" s="3"/>
      <c r="G33" s="26">
        <v>2.66</v>
      </c>
      <c r="H33" s="10"/>
      <c r="I33" s="10">
        <f t="shared" si="5"/>
        <v>1445.022668573386</v>
      </c>
      <c r="J33" s="10">
        <f t="shared" si="3"/>
        <v>44803621989.908783</v>
      </c>
      <c r="K33" s="11">
        <f t="shared" si="4"/>
        <v>4.1701286000000115E-2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30556001.590241842</v>
      </c>
      <c r="D34" s="11">
        <v>1.5959999999999998E-2</v>
      </c>
      <c r="E34" s="10">
        <f t="shared" si="2"/>
        <v>480012.78138928488</v>
      </c>
      <c r="F34" s="3"/>
      <c r="G34" s="26">
        <v>-0.58</v>
      </c>
      <c r="H34" s="10"/>
      <c r="I34" s="10">
        <f t="shared" si="5"/>
        <v>1407.5810136113248</v>
      </c>
      <c r="J34" s="10">
        <f t="shared" ref="J34:J65" si="6">IF(I34="","",I34*C34)</f>
        <v>43010047690.301865</v>
      </c>
      <c r="K34" s="11">
        <f t="shared" ref="K34:K65" si="7">IFERROR(J34/J35-1,"")</f>
        <v>2.3274911999999981E-2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30075988.808852557</v>
      </c>
      <c r="D35" s="11">
        <v>1.6789999999999999E-2</v>
      </c>
      <c r="E35" s="10">
        <f t="shared" si="2"/>
        <v>496637.31163823232</v>
      </c>
      <c r="F35" s="3"/>
      <c r="G35" s="26">
        <v>0.14</v>
      </c>
      <c r="H35" s="10"/>
      <c r="I35" s="10">
        <f t="shared" ref="I35:I66" si="8">IF(H35&lt;&gt;"",H35,I34/(1+IF(G34="",0,G34)/100))</f>
        <v>1397.5188776919426</v>
      </c>
      <c r="J35" s="10">
        <f t="shared" si="6"/>
        <v>42031762125.623055</v>
      </c>
      <c r="K35" s="11">
        <f t="shared" si="7"/>
        <v>4.5666836000000099E-2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29579351.497214325</v>
      </c>
      <c r="D36" s="11">
        <v>1.814E-2</v>
      </c>
      <c r="E36" s="10">
        <f t="shared" si="2"/>
        <v>527009.48411757499</v>
      </c>
      <c r="F36" s="3"/>
      <c r="G36" s="26">
        <v>-1.93</v>
      </c>
      <c r="H36" s="10"/>
      <c r="I36" s="10">
        <f t="shared" si="8"/>
        <v>1358.9253964332386</v>
      </c>
      <c r="J36" s="10">
        <f t="shared" si="6"/>
        <v>40196131959.590088</v>
      </c>
      <c r="K36" s="11">
        <f t="shared" si="7"/>
        <v>4.7360618000000132E-2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29052342.01309675</v>
      </c>
      <c r="D37" s="11">
        <v>2.1190000000000001E-2</v>
      </c>
      <c r="E37" s="10">
        <f t="shared" si="2"/>
        <v>602844.84499213845</v>
      </c>
      <c r="F37" s="3"/>
      <c r="G37" s="26">
        <v>-5.1</v>
      </c>
      <c r="H37" s="10"/>
      <c r="I37" s="10">
        <f t="shared" si="8"/>
        <v>1321.0123422117611</v>
      </c>
      <c r="J37" s="10">
        <f t="shared" si="6"/>
        <v>38378502369.458084</v>
      </c>
      <c r="K37" s="11">
        <f t="shared" si="7"/>
        <v>2.3232380000000052E-2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28449497.168104611</v>
      </c>
      <c r="D38" s="11">
        <v>2.1510000000000001E-2</v>
      </c>
      <c r="E38" s="10">
        <f t="shared" si="2"/>
        <v>599062.8423470445</v>
      </c>
      <c r="F38" s="3"/>
      <c r="G38" s="26">
        <v>-1</v>
      </c>
      <c r="H38" s="10"/>
      <c r="I38" s="10">
        <f t="shared" si="8"/>
        <v>1318.3755910297016</v>
      </c>
      <c r="J38" s="10">
        <f t="shared" si="6"/>
        <v>37507122643.497742</v>
      </c>
      <c r="K38" s="11">
        <f t="shared" si="7"/>
        <v>4.9090769999999839E-2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27850434.325757567</v>
      </c>
      <c r="D39" s="11">
        <v>2.1610000000000001E-2</v>
      </c>
      <c r="E39" s="10">
        <f t="shared" si="2"/>
        <v>589117.06598370895</v>
      </c>
      <c r="F39" s="3"/>
      <c r="G39" s="26">
        <v>4.4000000000000004</v>
      </c>
      <c r="H39" s="10"/>
      <c r="I39" s="10">
        <f t="shared" si="8"/>
        <v>1283.7152785099336</v>
      </c>
      <c r="J39" s="10">
        <f t="shared" si="6"/>
        <v>35752028057.112488</v>
      </c>
      <c r="K39" s="11">
        <f t="shared" si="7"/>
        <v>6.6560839999999732E-2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27261317.259773858</v>
      </c>
      <c r="D40" s="11">
        <v>2.2460000000000001E-2</v>
      </c>
      <c r="E40" s="10">
        <f t="shared" si="2"/>
        <v>598839.2559655346</v>
      </c>
      <c r="F40" s="3"/>
      <c r="G40" s="26">
        <v>7.6</v>
      </c>
      <c r="H40" s="10"/>
      <c r="I40" s="10">
        <f t="shared" si="8"/>
        <v>1229.6123357374843</v>
      </c>
      <c r="J40" s="10">
        <f t="shared" si="6"/>
        <v>33520851991.071129</v>
      </c>
      <c r="K40" s="11">
        <f t="shared" si="7"/>
        <v>0.10016696000000014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26662478.003808323</v>
      </c>
      <c r="D41" s="11">
        <v>2.3390000000000001E-2</v>
      </c>
      <c r="E41" s="10">
        <f t="shared" si="2"/>
        <v>609381.91745969653</v>
      </c>
      <c r="F41" s="3"/>
      <c r="G41" s="26">
        <v>3.6</v>
      </c>
      <c r="H41" s="10"/>
      <c r="I41" s="10">
        <f t="shared" si="8"/>
        <v>1142.7623938080708</v>
      </c>
      <c r="J41" s="10">
        <f t="shared" si="6"/>
        <v>30468877188.487034</v>
      </c>
      <c r="K41" s="11">
        <f t="shared" si="7"/>
        <v>6.0232040000000264E-2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26053096.086348627</v>
      </c>
      <c r="D42" s="11">
        <v>2.4160000000000001E-2</v>
      </c>
      <c r="E42" s="10">
        <f t="shared" si="2"/>
        <v>614594.20544268563</v>
      </c>
      <c r="F42" s="3"/>
      <c r="G42" s="26">
        <v>-6.2</v>
      </c>
      <c r="H42" s="10"/>
      <c r="I42" s="10">
        <f t="shared" si="8"/>
        <v>1103.052503675744</v>
      </c>
      <c r="J42" s="10">
        <f t="shared" si="6"/>
        <v>28737932866.551579</v>
      </c>
      <c r="K42" s="11">
        <f t="shared" si="7"/>
        <v>-3.9337920000000137E-2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25438501.880905941</v>
      </c>
      <c r="D43" s="11">
        <v>2.496E-2</v>
      </c>
      <c r="E43" s="10">
        <f t="shared" si="2"/>
        <v>619482.71829868108</v>
      </c>
      <c r="F43" s="3"/>
      <c r="G43" s="26">
        <v>5.9</v>
      </c>
      <c r="H43" s="10"/>
      <c r="I43" s="10">
        <f t="shared" si="8"/>
        <v>1175.9621574368273</v>
      </c>
      <c r="J43" s="10">
        <f t="shared" si="6"/>
        <v>29914715553.83094</v>
      </c>
      <c r="K43" s="11">
        <f t="shared" si="7"/>
        <v>8.543264000000006E-2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24819019.16260726</v>
      </c>
      <c r="D44" s="11">
        <v>2.53E-2</v>
      </c>
      <c r="E44" s="10">
        <f t="shared" si="2"/>
        <v>612426.78710032627</v>
      </c>
      <c r="F44" s="3"/>
      <c r="G44" s="26">
        <v>6.9</v>
      </c>
      <c r="H44" s="10"/>
      <c r="I44" s="10">
        <f t="shared" si="8"/>
        <v>1110.4458521594215</v>
      </c>
      <c r="J44" s="10">
        <f t="shared" si="6"/>
        <v>27560176883.782433</v>
      </c>
      <c r="K44" s="11">
        <f t="shared" si="7"/>
        <v>9.6045700000000123E-2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24206592.375506934</v>
      </c>
      <c r="D45" s="11">
        <v>2.5600000000000001E-2</v>
      </c>
      <c r="E45" s="10">
        <f t="shared" si="2"/>
        <v>604220.71452123672</v>
      </c>
      <c r="F45" s="3"/>
      <c r="G45" s="26">
        <v>6.1</v>
      </c>
      <c r="H45" s="10"/>
      <c r="I45" s="10">
        <f t="shared" si="8"/>
        <v>1038.7706755466993</v>
      </c>
      <c r="J45" s="10">
        <f t="shared" si="6"/>
        <v>25145098314.588917</v>
      </c>
      <c r="K45" s="11">
        <f t="shared" si="7"/>
        <v>8.8161600000000062E-2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23602371.660985697</v>
      </c>
      <c r="D46" s="11">
        <v>3.7699999999999997E-2</v>
      </c>
      <c r="E46" s="10">
        <f t="shared" si="2"/>
        <v>857482.32785888389</v>
      </c>
      <c r="F46" s="3"/>
      <c r="G46" s="26">
        <v>6.2</v>
      </c>
      <c r="H46" s="10"/>
      <c r="I46" s="10">
        <f t="shared" si="8"/>
        <v>979.04870456804838</v>
      </c>
      <c r="J46" s="10">
        <f t="shared" si="6"/>
        <v>23107871399.421661</v>
      </c>
      <c r="K46" s="11">
        <f t="shared" si="7"/>
        <v>0.10203740000000017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22744889.333126813</v>
      </c>
      <c r="D47" s="11">
        <v>3.3189999999999997E-2</v>
      </c>
      <c r="E47" s="10">
        <f t="shared" si="2"/>
        <v>730652.51983321458</v>
      </c>
      <c r="F47" s="3"/>
      <c r="G47" s="26">
        <v>4.7</v>
      </c>
      <c r="H47" s="10"/>
      <c r="I47" s="10">
        <f t="shared" si="8"/>
        <v>921.891435563134</v>
      </c>
      <c r="J47" s="10">
        <f t="shared" si="6"/>
        <v>20968318679.04089</v>
      </c>
      <c r="K47" s="11">
        <f t="shared" si="7"/>
        <v>8.1749929999999971E-2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22014236.813293599</v>
      </c>
      <c r="D48" s="11">
        <v>3.0370000000000001E-2</v>
      </c>
      <c r="E48" s="10">
        <f t="shared" si="2"/>
        <v>648866.30241537094</v>
      </c>
      <c r="F48" s="3"/>
      <c r="G48" s="26">
        <v>6.9</v>
      </c>
      <c r="H48" s="10"/>
      <c r="I48" s="10">
        <f t="shared" si="8"/>
        <v>880.5075793344165</v>
      </c>
      <c r="J48" s="10">
        <f t="shared" si="6"/>
        <v>19383702367.367744</v>
      </c>
      <c r="K48" s="11">
        <f t="shared" si="7"/>
        <v>0.1014655299999998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21365370.510878228</v>
      </c>
      <c r="D49" s="11">
        <v>3.4439999999999998E-2</v>
      </c>
      <c r="E49" s="10">
        <f t="shared" si="2"/>
        <v>711325.31649457291</v>
      </c>
      <c r="F49" s="3"/>
      <c r="G49" s="26">
        <v>4.9000000000000004</v>
      </c>
      <c r="H49" s="10"/>
      <c r="I49" s="10">
        <f t="shared" si="8"/>
        <v>823.67406860095093</v>
      </c>
      <c r="J49" s="10">
        <f t="shared" si="6"/>
        <v>17598101655.861847</v>
      </c>
      <c r="K49" s="11">
        <f t="shared" si="7"/>
        <v>8.512755999999988E-2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20654045.194383655</v>
      </c>
      <c r="D50" s="11">
        <v>2.0379999999999999E-2</v>
      </c>
      <c r="E50" s="10">
        <f t="shared" si="2"/>
        <v>412522.23785407469</v>
      </c>
      <c r="F50" s="3"/>
      <c r="G50" s="26">
        <v>7.5</v>
      </c>
      <c r="H50" s="10"/>
      <c r="I50" s="10">
        <f t="shared" si="8"/>
        <v>785.19930276544426</v>
      </c>
      <c r="J50" s="10">
        <f t="shared" si="6"/>
        <v>16217541885.916019</v>
      </c>
      <c r="K50" s="11">
        <f t="shared" si="7"/>
        <v>9.6908500000000064E-2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20241522.95652958</v>
      </c>
      <c r="D51" s="11">
        <v>3.3730000000000003E-2</v>
      </c>
      <c r="E51" s="10">
        <f t="shared" si="2"/>
        <v>660468.95158672333</v>
      </c>
      <c r="F51" s="3"/>
      <c r="G51" s="26">
        <v>7.4</v>
      </c>
      <c r="H51" s="10"/>
      <c r="I51" s="10">
        <f t="shared" si="8"/>
        <v>730.4179560608784</v>
      </c>
      <c r="J51" s="10">
        <f t="shared" si="6"/>
        <v>14784771825.467684</v>
      </c>
      <c r="K51" s="11">
        <f t="shared" si="7"/>
        <v>0.11022602000000026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19581054.004942857</v>
      </c>
      <c r="D52" s="11">
        <v>3.8670000000000003E-2</v>
      </c>
      <c r="E52" s="10">
        <f t="shared" si="2"/>
        <v>729008.59596516564</v>
      </c>
      <c r="F52" s="3"/>
      <c r="G52" s="26">
        <v>2.41</v>
      </c>
      <c r="H52" s="10"/>
      <c r="I52" s="10">
        <f t="shared" si="8"/>
        <v>680.09120676059433</v>
      </c>
      <c r="J52" s="10">
        <f t="shared" si="6"/>
        <v>13316902647.865955</v>
      </c>
      <c r="K52" s="11">
        <f t="shared" si="7"/>
        <v>6.3701946999999759E-2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18852045.408977691</v>
      </c>
      <c r="D53" s="11">
        <v>3.8870000000000002E-2</v>
      </c>
      <c r="E53" s="10">
        <f t="shared" si="2"/>
        <v>705361.59966787323</v>
      </c>
      <c r="F53" s="3"/>
      <c r="G53" s="26">
        <v>4.7</v>
      </c>
      <c r="H53" s="10"/>
      <c r="I53" s="10">
        <f t="shared" si="8"/>
        <v>664.08671688369725</v>
      </c>
      <c r="J53" s="10">
        <f t="shared" si="6"/>
        <v>12519392942.190372</v>
      </c>
      <c r="K53" s="11">
        <f t="shared" si="7"/>
        <v>8.7696889999999916E-2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18146683.809309818</v>
      </c>
      <c r="D54" s="11">
        <v>3.5409999999999997E-2</v>
      </c>
      <c r="E54" s="10">
        <f t="shared" si="2"/>
        <v>620598.67461938784</v>
      </c>
      <c r="F54" s="3"/>
      <c r="G54" s="26">
        <v>5.7</v>
      </c>
      <c r="H54" s="10"/>
      <c r="I54" s="10">
        <f t="shared" si="8"/>
        <v>634.27575633590959</v>
      </c>
      <c r="J54" s="10">
        <f t="shared" si="6"/>
        <v>11510001598.13859</v>
      </c>
      <c r="K54" s="11">
        <f t="shared" si="7"/>
        <v>9.4428369999999928E-2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17526085.13469043</v>
      </c>
      <c r="D55" s="11">
        <v>3.8159999999999999E-2</v>
      </c>
      <c r="E55" s="10">
        <f t="shared" si="2"/>
        <v>644212.2685711123</v>
      </c>
      <c r="F55" s="3"/>
      <c r="G55" s="26">
        <v>6.1</v>
      </c>
      <c r="H55" s="10"/>
      <c r="I55" s="10">
        <f t="shared" si="8"/>
        <v>600.07167108411511</v>
      </c>
      <c r="J55" s="10">
        <f t="shared" si="6"/>
        <v>10516907194.336155</v>
      </c>
      <c r="K55" s="11">
        <f t="shared" si="7"/>
        <v>0.10148775999999993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16881872.866119318</v>
      </c>
      <c r="D56" s="11">
        <v>3.8589999999999999E-2</v>
      </c>
      <c r="E56" s="10">
        <f t="shared" si="2"/>
        <v>627265.30575447902</v>
      </c>
      <c r="F56" s="3"/>
      <c r="G56" s="26">
        <v>4.7</v>
      </c>
      <c r="H56" s="10"/>
      <c r="I56" s="10">
        <f t="shared" si="8"/>
        <v>565.57179178521687</v>
      </c>
      <c r="J56" s="10">
        <f t="shared" si="6"/>
        <v>9547911085.581337</v>
      </c>
      <c r="K56" s="11">
        <f t="shared" si="7"/>
        <v>8.7403729999999902E-2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16254607.560364839</v>
      </c>
      <c r="D57" s="11">
        <v>3.6549999999999999E-2</v>
      </c>
      <c r="E57" s="10">
        <f t="shared" si="2"/>
        <v>573157.01734729297</v>
      </c>
      <c r="F57" s="3"/>
      <c r="G57" s="26">
        <v>5.23</v>
      </c>
      <c r="H57" s="10"/>
      <c r="I57" s="10">
        <f t="shared" si="8"/>
        <v>540.18318222083758</v>
      </c>
      <c r="J57" s="10">
        <f t="shared" si="6"/>
        <v>8780465637.7087631</v>
      </c>
      <c r="K57" s="11">
        <f t="shared" si="7"/>
        <v>9.0761564999999989E-2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15681450.543017546</v>
      </c>
      <c r="D58" s="11">
        <v>4.2869999999999998E-2</v>
      </c>
      <c r="E58" s="10">
        <f t="shared" si="2"/>
        <v>644628.55847724155</v>
      </c>
      <c r="F58" s="3"/>
      <c r="G58" s="26">
        <v>4.04</v>
      </c>
      <c r="H58" s="10"/>
      <c r="I58" s="10">
        <f t="shared" si="8"/>
        <v>513.33572386281253</v>
      </c>
      <c r="J58" s="10">
        <f t="shared" si="6"/>
        <v>8049848765.7188063</v>
      </c>
      <c r="K58" s="11">
        <f t="shared" si="7"/>
        <v>8.5001947999999716E-2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15036821.984540304</v>
      </c>
      <c r="D59" s="11">
        <v>4.5900000000000003E-2</v>
      </c>
      <c r="E59" s="10">
        <f t="shared" si="2"/>
        <v>659900.68753265217</v>
      </c>
      <c r="F59" s="3"/>
      <c r="G59" s="26">
        <v>6.72</v>
      </c>
      <c r="H59" s="10"/>
      <c r="I59" s="10">
        <f t="shared" si="8"/>
        <v>493.40227207113855</v>
      </c>
      <c r="J59" s="10">
        <f t="shared" si="6"/>
        <v>7419202131.901433</v>
      </c>
      <c r="K59" s="11">
        <f t="shared" si="7"/>
        <v>0.11618448000000003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14376921.297007652</v>
      </c>
      <c r="D60" s="11">
        <v>4.6399999999999997E-2</v>
      </c>
      <c r="E60" s="10">
        <f t="shared" si="2"/>
        <v>637508.74252786301</v>
      </c>
      <c r="F60" s="3"/>
      <c r="G60" s="26">
        <v>8.25</v>
      </c>
      <c r="H60" s="10"/>
      <c r="I60" s="10">
        <f t="shared" si="8"/>
        <v>462.33346333502493</v>
      </c>
      <c r="J60" s="10">
        <f t="shared" si="6"/>
        <v>6646931815.3406267</v>
      </c>
      <c r="K60" s="11">
        <f t="shared" si="7"/>
        <v>0.13272800000000018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13739412.554479789</v>
      </c>
      <c r="D61" s="11">
        <v>4.6190000000000002E-2</v>
      </c>
      <c r="E61" s="10">
        <f t="shared" si="2"/>
        <v>606604.4082732778</v>
      </c>
      <c r="F61" s="3"/>
      <c r="G61" s="26">
        <v>-4.53</v>
      </c>
      <c r="H61" s="10"/>
      <c r="I61" s="10">
        <f t="shared" si="8"/>
        <v>427.09788760741333</v>
      </c>
      <c r="J61" s="10">
        <f t="shared" si="6"/>
        <v>5868074078.9850922</v>
      </c>
      <c r="K61" s="11">
        <f t="shared" si="7"/>
        <v>-1.202407000000183E-3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13132808.146206511</v>
      </c>
      <c r="D62" s="11">
        <v>4.5330000000000002E-2</v>
      </c>
      <c r="E62" s="10">
        <f t="shared" si="2"/>
        <v>569494.98557158187</v>
      </c>
      <c r="F62" s="3"/>
      <c r="G62" s="26">
        <v>9.0500000000000007</v>
      </c>
      <c r="H62" s="10"/>
      <c r="I62" s="10">
        <f t="shared" si="8"/>
        <v>447.36345198220732</v>
      </c>
      <c r="J62" s="10">
        <f t="shared" si="6"/>
        <v>5875138386.5069981</v>
      </c>
      <c r="K62" s="11">
        <f t="shared" si="7"/>
        <v>0.13993236500000039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12563313.160634929</v>
      </c>
      <c r="D63" s="11">
        <v>4.512E-2</v>
      </c>
      <c r="E63" s="10">
        <f t="shared" si="2"/>
        <v>542384.3097518459</v>
      </c>
      <c r="F63" s="3"/>
      <c r="G63" s="26">
        <v>3.48</v>
      </c>
      <c r="H63" s="10"/>
      <c r="I63" s="10">
        <f t="shared" si="8"/>
        <v>410.2370031932208</v>
      </c>
      <c r="J63" s="10">
        <f t="shared" si="6"/>
        <v>5153935941.1968241</v>
      </c>
      <c r="K63" s="11">
        <f t="shared" si="7"/>
        <v>8.149017599999997E-2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12020928.850883083</v>
      </c>
      <c r="D64" s="11">
        <v>4.4929999999999998E-2</v>
      </c>
      <c r="E64" s="10">
        <f t="shared" si="2"/>
        <v>516877.04752488248</v>
      </c>
      <c r="F64" s="3"/>
      <c r="G64" s="26">
        <v>1.83</v>
      </c>
      <c r="H64" s="10"/>
      <c r="I64" s="10">
        <f t="shared" si="8"/>
        <v>396.44086122267186</v>
      </c>
      <c r="J64" s="10">
        <f t="shared" si="6"/>
        <v>4765587386.3405523</v>
      </c>
      <c r="K64" s="11">
        <f t="shared" si="7"/>
        <v>6.4052218999999688E-2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11504051.803358201</v>
      </c>
      <c r="D65" s="11">
        <v>4.4970000000000003E-2</v>
      </c>
      <c r="E65" s="10">
        <f t="shared" si="2"/>
        <v>495073.74335820042</v>
      </c>
      <c r="F65" s="3"/>
      <c r="G65" s="26">
        <v>3.37</v>
      </c>
      <c r="H65" s="10"/>
      <c r="I65" s="10">
        <f t="shared" si="8"/>
        <v>389.31637162198945</v>
      </c>
      <c r="J65" s="10">
        <f t="shared" si="6"/>
        <v>4478715707.0348196</v>
      </c>
      <c r="K65" s="11">
        <f t="shared" si="7"/>
        <v>8.0185489000000221E-2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11008978.060000001</v>
      </c>
      <c r="D66" s="11">
        <v>4.5089999999999998E-2</v>
      </c>
      <c r="E66" s="10">
        <f t="shared" si="2"/>
        <v>474978.06000000052</v>
      </c>
      <c r="F66" s="23">
        <f>SUM(F2)</f>
        <v>42672208</v>
      </c>
      <c r="G66" s="26">
        <v>9.67</v>
      </c>
      <c r="H66" s="10"/>
      <c r="I66" s="10">
        <f t="shared" si="8"/>
        <v>376.62413816580192</v>
      </c>
      <c r="J66" s="10">
        <f t="shared" ref="J66:J67" si="9">IF(I66="","",I66*C66)</f>
        <v>4146246873.933722</v>
      </c>
      <c r="K66" s="11">
        <f t="shared" ref="K66" si="10">IFERROR(J66/J67-1,"")</f>
        <v>0.14615020299999992</v>
      </c>
    </row>
    <row r="67" spans="1:11" ht="22.5" customHeight="1">
      <c r="A67" s="3">
        <f t="shared" si="0"/>
        <v>1950</v>
      </c>
      <c r="B67" s="3">
        <v>1700</v>
      </c>
      <c r="C67" s="10">
        <v>10534000</v>
      </c>
      <c r="D67" s="11">
        <v>4.4979999999999999E-2</v>
      </c>
      <c r="E67" s="3" t="s">
        <v>72</v>
      </c>
      <c r="F67" s="10">
        <f>SUM(C2)</f>
        <v>42673535.88442307</v>
      </c>
      <c r="G67" s="26">
        <v>6.36</v>
      </c>
      <c r="H67" s="10"/>
      <c r="I67" s="10">
        <f t="shared" ref="I67" si="11">IF(H67&lt;&gt;"",H67,I66/(1+IF(G66="",0,G66)/100))</f>
        <v>343.41582763362993</v>
      </c>
      <c r="J67" s="10">
        <f t="shared" si="9"/>
        <v>3617542328.2926579</v>
      </c>
      <c r="K67" s="11"/>
    </row>
  </sheetData>
  <dataValidations count="1">
    <dataValidation type="custom" allowBlank="1" showDropDown="1" sqref="D2:D67" xr:uid="{00000000-0002-0000-5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M70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133059.51721603354</v>
      </c>
      <c r="D2" s="11">
        <v>1.039E-2</v>
      </c>
      <c r="E2" s="10">
        <f t="shared" ref="E2:E66" si="2">SUM(C2-C3)</f>
        <v>1368.2720374059281</v>
      </c>
      <c r="F2" s="14">
        <v>133065</v>
      </c>
      <c r="G2" s="26">
        <v>-2.5299999999999998</v>
      </c>
      <c r="H2" s="10"/>
      <c r="I2" s="10">
        <f>IF(H2&lt;&gt;"",H2,326984)</f>
        <v>40873</v>
      </c>
      <c r="J2" s="10">
        <f t="shared" ref="J2:J33" si="3">IF(I2="","",I2*C2)</f>
        <v>5438541647.1709385</v>
      </c>
      <c r="K2" s="11">
        <f t="shared" ref="K2:K33" si="4">IFERROR(J2/J3-1,"")</f>
        <v>-1.5172867000000201E-2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131691.24517862761</v>
      </c>
      <c r="D3" s="11">
        <v>1.051E-2</v>
      </c>
      <c r="E3" s="10">
        <f t="shared" si="2"/>
        <v>1369.679653667321</v>
      </c>
      <c r="F3" s="3"/>
      <c r="G3" s="26">
        <v>4.74</v>
      </c>
      <c r="H3" s="10"/>
      <c r="I3" s="10">
        <f t="shared" ref="I3:I34" si="5">IF(H3&lt;&gt;"",H3,I2/(1+IF(G2="",0,G2)/100))</f>
        <v>41933.928388222019</v>
      </c>
      <c r="J3" s="10">
        <f t="shared" si="3"/>
        <v>5522331244.6763582</v>
      </c>
      <c r="K3" s="11">
        <f t="shared" si="4"/>
        <v>5.8408173999999979E-2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130321.56552496029</v>
      </c>
      <c r="D4" s="11">
        <v>1.1769999999999999E-2</v>
      </c>
      <c r="E4" s="10">
        <f t="shared" si="2"/>
        <v>1516.0410233835719</v>
      </c>
      <c r="F4" s="3"/>
      <c r="G4" s="26">
        <v>-1.3</v>
      </c>
      <c r="H4" s="10"/>
      <c r="I4" s="10">
        <f t="shared" si="5"/>
        <v>40036.211942163463</v>
      </c>
      <c r="J4" s="10">
        <f t="shared" si="3"/>
        <v>5217581817.9918537</v>
      </c>
      <c r="K4" s="11">
        <f t="shared" si="4"/>
        <v>-1.3830099999997403E-3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128805.52450157671</v>
      </c>
      <c r="D5" s="11">
        <v>7.1000000000000004E-3</v>
      </c>
      <c r="E5" s="10">
        <f t="shared" si="2"/>
        <v>908.07191337623226</v>
      </c>
      <c r="F5" s="3"/>
      <c r="G5" s="26">
        <v>1.39</v>
      </c>
      <c r="H5" s="10"/>
      <c r="I5" s="10">
        <f t="shared" si="5"/>
        <v>40563.53793532266</v>
      </c>
      <c r="J5" s="10">
        <f t="shared" si="3"/>
        <v>5224807779.398839</v>
      </c>
      <c r="K5" s="11">
        <f t="shared" si="4"/>
        <v>2.1098689999999864E-2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127897.45258820048</v>
      </c>
      <c r="D6" s="11">
        <v>3.5400000000000002E-3</v>
      </c>
      <c r="E6" s="10">
        <f t="shared" si="2"/>
        <v>451.15987620048691</v>
      </c>
      <c r="F6" s="3"/>
      <c r="G6" s="26">
        <v>-0.5</v>
      </c>
      <c r="H6" s="10"/>
      <c r="I6" s="10">
        <f t="shared" si="5"/>
        <v>40007.434594459672</v>
      </c>
      <c r="J6" s="10">
        <f t="shared" si="3"/>
        <v>5116848969.220438</v>
      </c>
      <c r="K6" s="11">
        <f t="shared" si="4"/>
        <v>-1.4777000000000262E-3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127446.29271199999</v>
      </c>
      <c r="D7" s="11">
        <v>2.5999999999999999E-3</v>
      </c>
      <c r="E7" s="10">
        <f t="shared" si="2"/>
        <v>330.50105829961831</v>
      </c>
      <c r="F7" s="3"/>
      <c r="G7" s="26">
        <v>1.74</v>
      </c>
      <c r="H7" s="10"/>
      <c r="I7" s="10">
        <f t="shared" si="5"/>
        <v>40208.476979356456</v>
      </c>
      <c r="J7" s="10">
        <f t="shared" si="3"/>
        <v>5124421326.6147766</v>
      </c>
      <c r="K7" s="11">
        <f t="shared" si="4"/>
        <v>2.0045240000000186E-2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127115.79165370038</v>
      </c>
      <c r="D8" s="11">
        <v>-5.45E-3</v>
      </c>
      <c r="E8" s="10">
        <f t="shared" si="2"/>
        <v>-696.57741140481085</v>
      </c>
      <c r="F8" s="3"/>
      <c r="G8" s="26">
        <v>0.87</v>
      </c>
      <c r="H8" s="10"/>
      <c r="I8" s="10">
        <f t="shared" si="5"/>
        <v>39520.814801805041</v>
      </c>
      <c r="J8" s="10">
        <f t="shared" si="3"/>
        <v>5023719660.3307276</v>
      </c>
      <c r="K8" s="11">
        <f t="shared" si="4"/>
        <v>3.2025850000001466E-3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127812.36906510519</v>
      </c>
      <c r="D9" s="11">
        <v>1.238E-2</v>
      </c>
      <c r="E9" s="10">
        <f t="shared" si="2"/>
        <v>1562.9675902586023</v>
      </c>
      <c r="F9" s="3"/>
      <c r="G9" s="26">
        <v>6.17</v>
      </c>
      <c r="H9" s="10"/>
      <c r="I9" s="10">
        <f t="shared" si="5"/>
        <v>39179.949243387571</v>
      </c>
      <c r="J9" s="10">
        <f t="shared" si="3"/>
        <v>5007682132.6479406</v>
      </c>
      <c r="K9" s="11">
        <f t="shared" si="4"/>
        <v>7.4843846000000269E-2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126249.40147484659</v>
      </c>
      <c r="D10" s="11">
        <v>2.5020000000000001E-2</v>
      </c>
      <c r="E10" s="10">
        <f t="shared" si="2"/>
        <v>3081.6569675720093</v>
      </c>
      <c r="F10" s="3"/>
      <c r="G10" s="26">
        <v>2.35</v>
      </c>
      <c r="H10" s="10"/>
      <c r="I10" s="10">
        <f t="shared" si="5"/>
        <v>36903.032159166964</v>
      </c>
      <c r="J10" s="10">
        <f t="shared" si="3"/>
        <v>4658985722.7018442</v>
      </c>
      <c r="K10" s="11">
        <f t="shared" si="4"/>
        <v>4.910796999999989E-2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123167.74450727458</v>
      </c>
      <c r="D11" s="11">
        <v>2.5530000000000001E-2</v>
      </c>
      <c r="E11" s="10">
        <f t="shared" si="2"/>
        <v>3066.1926196900458</v>
      </c>
      <c r="F11" s="3"/>
      <c r="G11" s="26">
        <v>5.56</v>
      </c>
      <c r="H11" s="10"/>
      <c r="I11" s="10">
        <f t="shared" si="5"/>
        <v>36055.722676274512</v>
      </c>
      <c r="J11" s="10">
        <f t="shared" si="3"/>
        <v>4440902038.6165257</v>
      </c>
      <c r="K11" s="11">
        <f t="shared" si="4"/>
        <v>8.2549468000000292E-2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120101.55188758453</v>
      </c>
      <c r="D12" s="11">
        <v>2.1299999999999999E-2</v>
      </c>
      <c r="E12" s="10">
        <f t="shared" si="2"/>
        <v>2504.8105896461057</v>
      </c>
      <c r="F12" s="3"/>
      <c r="G12" s="26">
        <v>4.99</v>
      </c>
      <c r="H12" s="10"/>
      <c r="I12" s="10">
        <f t="shared" si="5"/>
        <v>34156.614888475284</v>
      </c>
      <c r="J12" s="10">
        <f t="shared" si="3"/>
        <v>4102262455.3324566</v>
      </c>
      <c r="K12" s="11">
        <f t="shared" si="4"/>
        <v>7.226287000000009E-2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117596.74129793842</v>
      </c>
      <c r="D13" s="11">
        <v>7.3099999999999997E-3</v>
      </c>
      <c r="E13" s="10">
        <f t="shared" si="2"/>
        <v>853.39386970040505</v>
      </c>
      <c r="F13" s="3"/>
      <c r="G13" s="26">
        <v>6.91</v>
      </c>
      <c r="H13" s="10"/>
      <c r="I13" s="10">
        <f t="shared" si="5"/>
        <v>32533.20781834011</v>
      </c>
      <c r="J13" s="10">
        <f t="shared" si="3"/>
        <v>3825799223.4054098</v>
      </c>
      <c r="K13" s="11">
        <f t="shared" si="4"/>
        <v>7.6915120999999864E-2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116743.34742823802</v>
      </c>
      <c r="D14" s="11">
        <v>6.5300000000000002E-3</v>
      </c>
      <c r="E14" s="10">
        <f t="shared" si="2"/>
        <v>757.38831302235485</v>
      </c>
      <c r="F14" s="3"/>
      <c r="G14" s="26">
        <v>4.43</v>
      </c>
      <c r="H14" s="10"/>
      <c r="I14" s="10">
        <f t="shared" si="5"/>
        <v>30430.462836348433</v>
      </c>
      <c r="J14" s="10">
        <f t="shared" si="3"/>
        <v>3552554095.3059106</v>
      </c>
      <c r="K14" s="11">
        <f t="shared" si="4"/>
        <v>5.1119278999999906E-2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115985.95911521566</v>
      </c>
      <c r="D15" s="11">
        <v>1.133E-2</v>
      </c>
      <c r="E15" s="10">
        <f t="shared" si="2"/>
        <v>1299.3987291738595</v>
      </c>
      <c r="F15" s="3"/>
      <c r="G15" s="26">
        <v>-0.97</v>
      </c>
      <c r="H15" s="10"/>
      <c r="I15" s="10">
        <f t="shared" si="5"/>
        <v>29139.579466004438</v>
      </c>
      <c r="J15" s="10">
        <f t="shared" si="3"/>
        <v>3379782072.5785685</v>
      </c>
      <c r="K15" s="11">
        <f t="shared" si="4"/>
        <v>1.5200989999999415E-3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114686.56038604181</v>
      </c>
      <c r="D16" s="11">
        <v>1.5339999999999999E-2</v>
      </c>
      <c r="E16" s="10">
        <f t="shared" si="2"/>
        <v>1732.7120337245433</v>
      </c>
      <c r="F16" s="3"/>
      <c r="G16" s="26">
        <v>1.27</v>
      </c>
      <c r="H16" s="10"/>
      <c r="I16" s="10">
        <f t="shared" si="5"/>
        <v>29425.001985261475</v>
      </c>
      <c r="J16" s="10">
        <f t="shared" si="3"/>
        <v>3374652267.0420899</v>
      </c>
      <c r="K16" s="11">
        <f t="shared" si="4"/>
        <v>2.8234817999999828E-2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112953.84835231726</v>
      </c>
      <c r="D17" s="11">
        <v>1.2070000000000001E-2</v>
      </c>
      <c r="E17" s="10">
        <f t="shared" si="2"/>
        <v>1347.0935306969623</v>
      </c>
      <c r="F17" s="3"/>
      <c r="G17" s="26">
        <v>7.1</v>
      </c>
      <c r="H17" s="10"/>
      <c r="I17" s="10">
        <f t="shared" si="5"/>
        <v>29055.990900821049</v>
      </c>
      <c r="J17" s="10">
        <f t="shared" si="3"/>
        <v>3281985989.9376512</v>
      </c>
      <c r="K17" s="11">
        <f t="shared" si="4"/>
        <v>8.3926970000000045E-2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111606.7548216203</v>
      </c>
      <c r="D18" s="11">
        <v>1.2120000000000001E-2</v>
      </c>
      <c r="E18" s="10">
        <f t="shared" si="2"/>
        <v>1336.4757819606602</v>
      </c>
      <c r="F18" s="3"/>
      <c r="G18" s="26">
        <v>1.38</v>
      </c>
      <c r="H18" s="10"/>
      <c r="I18" s="10">
        <f t="shared" si="5"/>
        <v>27129.776751466899</v>
      </c>
      <c r="J18" s="10">
        <f t="shared" si="3"/>
        <v>3027866342.2662606</v>
      </c>
      <c r="K18" s="11">
        <f t="shared" si="4"/>
        <v>2.6087255999999837E-2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110270.27903965964</v>
      </c>
      <c r="D19" s="11">
        <v>9.3299999999999998E-3</v>
      </c>
      <c r="E19" s="10">
        <f t="shared" si="2"/>
        <v>1019.3115268941037</v>
      </c>
      <c r="F19" s="3"/>
      <c r="G19" s="26">
        <v>7.76</v>
      </c>
      <c r="H19" s="10"/>
      <c r="I19" s="10">
        <f t="shared" si="5"/>
        <v>26760.482098507495</v>
      </c>
      <c r="J19" s="10">
        <f t="shared" si="3"/>
        <v>2950885828.2382379</v>
      </c>
      <c r="K19" s="11">
        <f t="shared" si="4"/>
        <v>8.7654007999999894E-2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109250.96751276554</v>
      </c>
      <c r="D20" s="11">
        <v>7.1300000000000001E-3</v>
      </c>
      <c r="E20" s="10">
        <f t="shared" si="2"/>
        <v>773.44473738844681</v>
      </c>
      <c r="F20" s="3"/>
      <c r="G20" s="26">
        <v>1.47</v>
      </c>
      <c r="H20" s="10"/>
      <c r="I20" s="10">
        <f t="shared" si="5"/>
        <v>24833.409519773104</v>
      </c>
      <c r="J20" s="10">
        <f t="shared" si="3"/>
        <v>2713074016.6759338</v>
      </c>
      <c r="K20" s="11">
        <f t="shared" si="4"/>
        <v>2.1934811000000165E-2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108477.52277537709</v>
      </c>
      <c r="D21" s="11">
        <v>3.6700000000000001E-3</v>
      </c>
      <c r="E21" s="10">
        <f t="shared" si="2"/>
        <v>396.65677820960991</v>
      </c>
      <c r="F21" s="3"/>
      <c r="G21" s="26">
        <v>1.53</v>
      </c>
      <c r="H21" s="10"/>
      <c r="I21" s="10">
        <f t="shared" si="5"/>
        <v>24473.646910193263</v>
      </c>
      <c r="J21" s="10">
        <f t="shared" si="3"/>
        <v>2654840590.0970268</v>
      </c>
      <c r="K21" s="11">
        <f t="shared" si="4"/>
        <v>1.9026151000000047E-2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108080.86599716748</v>
      </c>
      <c r="D22" s="11">
        <v>7.26E-3</v>
      </c>
      <c r="E22" s="10">
        <f t="shared" si="2"/>
        <v>779.01146391144721</v>
      </c>
      <c r="F22" s="3"/>
      <c r="G22" s="26">
        <v>3.73</v>
      </c>
      <c r="H22" s="10"/>
      <c r="I22" s="10">
        <f t="shared" si="5"/>
        <v>24104.842815121898</v>
      </c>
      <c r="J22" s="10">
        <f t="shared" si="3"/>
        <v>2605272286.1839752</v>
      </c>
      <c r="K22" s="11">
        <f t="shared" si="4"/>
        <v>4.4830798000000227E-2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107301.85453325603</v>
      </c>
      <c r="D23" s="11">
        <v>1.0120000000000001E-2</v>
      </c>
      <c r="E23" s="10">
        <f t="shared" si="2"/>
        <v>1075.0156099043088</v>
      </c>
      <c r="F23" s="3"/>
      <c r="G23" s="26">
        <v>5.92</v>
      </c>
      <c r="H23" s="10"/>
      <c r="I23" s="10">
        <f t="shared" si="5"/>
        <v>23238.063062876598</v>
      </c>
      <c r="J23" s="10">
        <f t="shared" si="3"/>
        <v>2493487262.4074149</v>
      </c>
      <c r="K23" s="11">
        <f t="shared" si="4"/>
        <v>6.9919103999999788E-2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106226.83892335172</v>
      </c>
      <c r="D24" s="11">
        <v>1.023E-2</v>
      </c>
      <c r="E24" s="10">
        <f t="shared" si="2"/>
        <v>1075.6961901605391</v>
      </c>
      <c r="F24" s="3"/>
      <c r="G24" s="26">
        <v>-5.03</v>
      </c>
      <c r="H24" s="10"/>
      <c r="I24" s="10">
        <f t="shared" si="5"/>
        <v>21939.258933984704</v>
      </c>
      <c r="J24" s="10">
        <f t="shared" si="3"/>
        <v>2330538124.8780985</v>
      </c>
      <c r="K24" s="11">
        <f t="shared" si="4"/>
        <v>-4.058456900000007E-2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105151.14273319118</v>
      </c>
      <c r="D25" s="11">
        <v>1.503E-2</v>
      </c>
      <c r="E25" s="10">
        <f t="shared" si="2"/>
        <v>1557.0196696451021</v>
      </c>
      <c r="F25" s="3"/>
      <c r="G25" s="26">
        <v>-5.1100000000000003</v>
      </c>
      <c r="H25" s="10"/>
      <c r="I25" s="10">
        <f t="shared" si="5"/>
        <v>23101.251904795939</v>
      </c>
      <c r="J25" s="10">
        <f t="shared" si="3"/>
        <v>2429123036.3566027</v>
      </c>
      <c r="K25" s="11">
        <f t="shared" si="4"/>
        <v>-3.6838032999999992E-2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103594.12306354608</v>
      </c>
      <c r="D26" s="11">
        <v>8.1700000000000002E-3</v>
      </c>
      <c r="E26" s="10">
        <f t="shared" si="2"/>
        <v>839.50522771870601</v>
      </c>
      <c r="F26" s="3"/>
      <c r="G26" s="26">
        <v>-0.11</v>
      </c>
      <c r="H26" s="10"/>
      <c r="I26" s="10">
        <f t="shared" si="5"/>
        <v>24345.296558958733</v>
      </c>
      <c r="J26" s="10">
        <f t="shared" si="3"/>
        <v>2522029647.7472959</v>
      </c>
      <c r="K26" s="11">
        <f t="shared" si="4"/>
        <v>7.0610129999999494E-3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102754.61783582738</v>
      </c>
      <c r="D27" s="11">
        <v>7.4599999999999996E-3</v>
      </c>
      <c r="E27" s="10">
        <f t="shared" si="2"/>
        <v>760.87333398374903</v>
      </c>
      <c r="F27" s="3"/>
      <c r="G27" s="26">
        <v>-11.72</v>
      </c>
      <c r="H27" s="10"/>
      <c r="I27" s="10">
        <f t="shared" si="5"/>
        <v>24372.105875421697</v>
      </c>
      <c r="J27" s="10">
        <f t="shared" si="3"/>
        <v>2504346425.0832796</v>
      </c>
      <c r="K27" s="11">
        <f t="shared" si="4"/>
        <v>-0.11061431200000005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101993.74450184363</v>
      </c>
      <c r="D28" s="11">
        <v>1.7469999999999999E-2</v>
      </c>
      <c r="E28" s="10">
        <f t="shared" si="2"/>
        <v>1751.2366128212307</v>
      </c>
      <c r="F28" s="3"/>
      <c r="G28" s="26">
        <v>6.66</v>
      </c>
      <c r="H28" s="10"/>
      <c r="I28" s="10">
        <f t="shared" si="5"/>
        <v>27607.732074560146</v>
      </c>
      <c r="J28" s="10">
        <f t="shared" si="3"/>
        <v>2815815971.4880409</v>
      </c>
      <c r="K28" s="11">
        <f t="shared" si="4"/>
        <v>8.5233502000000128E-2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100242.5078890224</v>
      </c>
      <c r="D29" s="11">
        <v>1.375E-2</v>
      </c>
      <c r="E29" s="10">
        <f t="shared" si="2"/>
        <v>1359.6394411581277</v>
      </c>
      <c r="F29" s="3"/>
      <c r="G29" s="26">
        <v>5.6</v>
      </c>
      <c r="H29" s="10"/>
      <c r="I29" s="10">
        <f t="shared" si="5"/>
        <v>25883.866561560237</v>
      </c>
      <c r="J29" s="10">
        <f t="shared" si="3"/>
        <v>2594663697.995605</v>
      </c>
      <c r="K29" s="11">
        <f t="shared" si="4"/>
        <v>7.0519999999999916E-2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98882.868447864268</v>
      </c>
      <c r="D30" s="11">
        <v>8.0599999999999995E-3</v>
      </c>
      <c r="E30" s="10">
        <f t="shared" si="2"/>
        <v>790.62349432551127</v>
      </c>
      <c r="F30" s="3"/>
      <c r="G30" s="26">
        <v>5.52</v>
      </c>
      <c r="H30" s="10"/>
      <c r="I30" s="10">
        <f t="shared" si="5"/>
        <v>24511.23727420477</v>
      </c>
      <c r="J30" s="10">
        <f t="shared" si="3"/>
        <v>2423741450.8795776</v>
      </c>
      <c r="K30" s="11">
        <f t="shared" si="4"/>
        <v>6.3704911999999947E-2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98092.244953538757</v>
      </c>
      <c r="D31" s="11">
        <v>6.6400000000000001E-3</v>
      </c>
      <c r="E31" s="10">
        <f t="shared" si="2"/>
        <v>647.03618621503119</v>
      </c>
      <c r="F31" s="3"/>
      <c r="G31" s="26">
        <v>7.1</v>
      </c>
      <c r="H31" s="10"/>
      <c r="I31" s="10">
        <f t="shared" si="5"/>
        <v>23228.996658647433</v>
      </c>
      <c r="J31" s="10">
        <f t="shared" si="3"/>
        <v>2278584430.2649775</v>
      </c>
      <c r="K31" s="11">
        <f t="shared" si="4"/>
        <v>7.8111440000000032E-2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97445.208767323726</v>
      </c>
      <c r="D32" s="11">
        <v>9.1699999999999993E-3</v>
      </c>
      <c r="E32" s="10">
        <f t="shared" si="2"/>
        <v>885.4529607463046</v>
      </c>
      <c r="F32" s="3"/>
      <c r="G32" s="26">
        <v>3.66</v>
      </c>
      <c r="H32" s="10"/>
      <c r="I32" s="10">
        <f t="shared" si="5"/>
        <v>21689.072510408434</v>
      </c>
      <c r="J32" s="10">
        <f t="shared" si="3"/>
        <v>2113496198.746372</v>
      </c>
      <c r="K32" s="11">
        <f t="shared" si="4"/>
        <v>4.6105621999999791E-2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96559.755806577421</v>
      </c>
      <c r="D33" s="11">
        <v>1.2149999999999999E-2</v>
      </c>
      <c r="E33" s="10">
        <f t="shared" si="2"/>
        <v>1159.1177523587685</v>
      </c>
      <c r="F33" s="3"/>
      <c r="G33" s="26">
        <v>-5.18</v>
      </c>
      <c r="H33" s="10"/>
      <c r="I33" s="10">
        <f t="shared" si="5"/>
        <v>20923.280446081841</v>
      </c>
      <c r="J33" s="10">
        <f t="shared" si="3"/>
        <v>2020346850.5461988</v>
      </c>
      <c r="K33" s="11">
        <f t="shared" si="4"/>
        <v>-4.0279369999999703E-2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95400.638054218653</v>
      </c>
      <c r="D34" s="11">
        <v>1.436E-2</v>
      </c>
      <c r="E34" s="10">
        <f t="shared" si="2"/>
        <v>1350.5591333043267</v>
      </c>
      <c r="F34" s="3"/>
      <c r="G34" s="26">
        <v>2.16</v>
      </c>
      <c r="H34" s="10"/>
      <c r="I34" s="10">
        <f t="shared" si="5"/>
        <v>22066.315593842901</v>
      </c>
      <c r="J34" s="10">
        <f t="shared" ref="J34:J65" si="6">IF(I34="","",I34*C34)</f>
        <v>2105140587.1583674</v>
      </c>
      <c r="K34" s="11">
        <f t="shared" ref="K34:K65" si="7">IFERROR(J34/J35-1,"")</f>
        <v>4.9456855999999938E-2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94050.078920914326</v>
      </c>
      <c r="D35" s="11">
        <v>1.23E-2</v>
      </c>
      <c r="E35" s="10">
        <f t="shared" si="2"/>
        <v>1142.760022451097</v>
      </c>
      <c r="F35" s="3"/>
      <c r="G35" s="26">
        <v>-7.12</v>
      </c>
      <c r="H35" s="10"/>
      <c r="I35" s="10">
        <f t="shared" ref="I35:I66" si="8">IF(H35&lt;&gt;"",H35,I34/(1+IF(G34="",0,G34)/100))</f>
        <v>21328.354527201722</v>
      </c>
      <c r="J35" s="10">
        <f t="shared" si="6"/>
        <v>2005933426.5365622</v>
      </c>
      <c r="K35" s="11">
        <f t="shared" si="7"/>
        <v>-3.2443660000000096E-2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92907.318898463229</v>
      </c>
      <c r="D36" s="11">
        <v>1.038E-2</v>
      </c>
      <c r="E36" s="10">
        <f t="shared" si="2"/>
        <v>954.47056569415145</v>
      </c>
      <c r="F36" s="3"/>
      <c r="G36" s="26">
        <v>-4.13</v>
      </c>
      <c r="H36" s="10"/>
      <c r="I36" s="10">
        <f t="shared" si="8"/>
        <v>22314.662614774767</v>
      </c>
      <c r="J36" s="10">
        <f t="shared" si="6"/>
        <v>2073195475.6624947</v>
      </c>
      <c r="K36" s="11">
        <f t="shared" si="7"/>
        <v>1.714954599999996E-2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91952.848332769077</v>
      </c>
      <c r="D37" s="11">
        <v>1.068E-2</v>
      </c>
      <c r="E37" s="10">
        <f t="shared" si="2"/>
        <v>971.6788896524813</v>
      </c>
      <c r="F37" s="3"/>
      <c r="G37" s="26">
        <v>3.38</v>
      </c>
      <c r="H37" s="10"/>
      <c r="I37" s="10">
        <f t="shared" si="8"/>
        <v>22166.149413702959</v>
      </c>
      <c r="J37" s="10">
        <f t="shared" si="6"/>
        <v>2038240575.1597264</v>
      </c>
      <c r="K37" s="11">
        <f t="shared" si="7"/>
        <v>9.8407023999999899E-2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90981.169443116596</v>
      </c>
      <c r="D38" s="11">
        <v>8.7600000000000004E-3</v>
      </c>
      <c r="E38" s="10">
        <f t="shared" si="2"/>
        <v>790.07399611573783</v>
      </c>
      <c r="F38" s="3"/>
      <c r="G38" s="26">
        <v>1.16</v>
      </c>
      <c r="H38" s="10"/>
      <c r="I38" s="10">
        <f t="shared" si="8"/>
        <v>20395.794455008243</v>
      </c>
      <c r="J38" s="10">
        <f t="shared" si="6"/>
        <v>1855633231.2380829</v>
      </c>
      <c r="K38" s="11">
        <f t="shared" si="7"/>
        <v>5.7785736000000032E-2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90191.095447000858</v>
      </c>
      <c r="D39" s="11">
        <v>6.8399999999999997E-3</v>
      </c>
      <c r="E39" s="10">
        <f t="shared" si="2"/>
        <v>612.7161146333965</v>
      </c>
      <c r="F39" s="3"/>
      <c r="G39" s="26">
        <v>6.02</v>
      </c>
      <c r="H39" s="10"/>
      <c r="I39" s="10">
        <f t="shared" si="8"/>
        <v>19450.500147823997</v>
      </c>
      <c r="J39" s="10">
        <f t="shared" si="6"/>
        <v>1754261915.3242984</v>
      </c>
      <c r="K39" s="11">
        <f t="shared" si="7"/>
        <v>6.7451767999999968E-2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89578.379332367462</v>
      </c>
      <c r="D40" s="11">
        <v>8.0400000000000003E-3</v>
      </c>
      <c r="E40" s="10">
        <f t="shared" si="2"/>
        <v>714.46586428339651</v>
      </c>
      <c r="F40" s="3"/>
      <c r="G40" s="26">
        <v>8.82</v>
      </c>
      <c r="H40" s="10"/>
      <c r="I40" s="10">
        <f t="shared" si="8"/>
        <v>18346.066919283152</v>
      </c>
      <c r="J40" s="10">
        <f t="shared" si="6"/>
        <v>1643410941.7525444</v>
      </c>
      <c r="K40" s="11">
        <f t="shared" si="7"/>
        <v>9.6949128000000107E-2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88863.913468084065</v>
      </c>
      <c r="D41" s="11">
        <v>1.171E-2</v>
      </c>
      <c r="E41" s="10">
        <f t="shared" si="2"/>
        <v>1028.5520818330115</v>
      </c>
      <c r="F41" s="3"/>
      <c r="G41" s="26">
        <v>5.96</v>
      </c>
      <c r="H41" s="10"/>
      <c r="I41" s="10">
        <f t="shared" si="8"/>
        <v>16859.094761333534</v>
      </c>
      <c r="J41" s="10">
        <f t="shared" si="6"/>
        <v>1498165138.0213726</v>
      </c>
      <c r="K41" s="11">
        <f t="shared" si="7"/>
        <v>7.2007916000000227E-2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87835.361386251054</v>
      </c>
      <c r="D42" s="11">
        <v>1.38E-2</v>
      </c>
      <c r="E42" s="10">
        <f t="shared" si="2"/>
        <v>1195.6283163644403</v>
      </c>
      <c r="F42" s="3"/>
      <c r="G42" s="26">
        <v>0.65</v>
      </c>
      <c r="H42" s="10"/>
      <c r="I42" s="10">
        <f t="shared" si="8"/>
        <v>15910.810458034666</v>
      </c>
      <c r="J42" s="10">
        <f t="shared" si="6"/>
        <v>1397531786.5296175</v>
      </c>
      <c r="K42" s="11">
        <f t="shared" si="7"/>
        <v>2.0389699999999955E-2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86639.733069886614</v>
      </c>
      <c r="D43" s="11">
        <v>1.3180000000000001E-2</v>
      </c>
      <c r="E43" s="10">
        <f t="shared" si="2"/>
        <v>1127.0570696826908</v>
      </c>
      <c r="F43" s="3"/>
      <c r="G43" s="26">
        <v>5.71</v>
      </c>
      <c r="H43" s="10"/>
      <c r="I43" s="10">
        <f t="shared" si="8"/>
        <v>15808.058080511344</v>
      </c>
      <c r="J43" s="10">
        <f t="shared" si="6"/>
        <v>1369605932.4487669</v>
      </c>
      <c r="K43" s="11">
        <f t="shared" si="7"/>
        <v>7.1032578000000068E-2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85512.676000203923</v>
      </c>
      <c r="D44" s="11">
        <v>1.6990000000000002E-2</v>
      </c>
      <c r="E44" s="10">
        <f t="shared" si="2"/>
        <v>1428.5886441788753</v>
      </c>
      <c r="F44" s="3"/>
      <c r="G44" s="26">
        <v>6.81</v>
      </c>
      <c r="H44" s="10"/>
      <c r="I44" s="10">
        <f t="shared" si="8"/>
        <v>14954.174704863632</v>
      </c>
      <c r="J44" s="10">
        <f t="shared" si="6"/>
        <v>1278771496.3874488</v>
      </c>
      <c r="K44" s="11">
        <f t="shared" si="7"/>
        <v>8.624701899999998E-2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84084.087356025047</v>
      </c>
      <c r="D45" s="11">
        <v>1.2279999999999999E-2</v>
      </c>
      <c r="E45" s="10">
        <f t="shared" si="2"/>
        <v>1020.0266652823193</v>
      </c>
      <c r="F45" s="3"/>
      <c r="G45" s="26">
        <v>6.18</v>
      </c>
      <c r="H45" s="10"/>
      <c r="I45" s="10">
        <f t="shared" si="8"/>
        <v>14000.725311172766</v>
      </c>
      <c r="J45" s="10">
        <f t="shared" si="6"/>
        <v>1177238210.1123619</v>
      </c>
      <c r="K45" s="11">
        <f t="shared" si="7"/>
        <v>7.483890400000015E-2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83064.060690742728</v>
      </c>
      <c r="D46" s="11">
        <v>4.0699999999999998E-3</v>
      </c>
      <c r="E46" s="10">
        <f t="shared" si="2"/>
        <v>336.70035656011896</v>
      </c>
      <c r="F46" s="3"/>
      <c r="G46" s="26">
        <v>13.06</v>
      </c>
      <c r="H46" s="10"/>
      <c r="I46" s="10">
        <f t="shared" si="8"/>
        <v>13185.840375939692</v>
      </c>
      <c r="J46" s="10">
        <f t="shared" si="6"/>
        <v>1095269445.2455006</v>
      </c>
      <c r="K46" s="11">
        <f t="shared" si="7"/>
        <v>0.13520154200000012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82727.360334182609</v>
      </c>
      <c r="D47" s="11">
        <v>6.7400000000000003E-3</v>
      </c>
      <c r="E47" s="10">
        <f t="shared" si="2"/>
        <v>553.84946326994395</v>
      </c>
      <c r="F47" s="3"/>
      <c r="G47" s="26">
        <v>2.38</v>
      </c>
      <c r="H47" s="10"/>
      <c r="I47" s="10">
        <f t="shared" si="8"/>
        <v>11662.692708243138</v>
      </c>
      <c r="J47" s="10">
        <f t="shared" si="6"/>
        <v>964823782.14167404</v>
      </c>
      <c r="K47" s="11">
        <f t="shared" si="7"/>
        <v>3.0700411999999844E-2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82173.510870912665</v>
      </c>
      <c r="D48" s="11">
        <v>1.179E-2</v>
      </c>
      <c r="E48" s="10">
        <f t="shared" si="2"/>
        <v>957.53633972273383</v>
      </c>
      <c r="F48" s="3"/>
      <c r="G48" s="26">
        <v>-1.03</v>
      </c>
      <c r="H48" s="10"/>
      <c r="I48" s="10">
        <f>IF(H48&lt;&gt;"",H48,I47/(1+IF(G47="",0,G47)/100))</f>
        <v>11391.57326454692</v>
      </c>
      <c r="J48" s="10">
        <f t="shared" si="6"/>
        <v>936085569.4910444</v>
      </c>
      <c r="K48" s="11">
        <f t="shared" si="7"/>
        <v>1.3685630000002114E-3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81215.974531189931</v>
      </c>
      <c r="D49" s="11">
        <v>1.542E-2</v>
      </c>
      <c r="E49" s="10">
        <f t="shared" si="2"/>
        <v>1233.3323425488488</v>
      </c>
      <c r="F49" s="3"/>
      <c r="G49" s="26">
        <v>0.93</v>
      </c>
      <c r="H49" s="10"/>
      <c r="I49" s="10">
        <f>IF(H49&lt;&gt;"",H49,I48/(1+IF(G48="",0,G48)/100))</f>
        <v>11510.127578606567</v>
      </c>
      <c r="J49" s="10">
        <f t="shared" si="6"/>
        <v>934806228.27485776</v>
      </c>
      <c r="K49" s="11">
        <f t="shared" si="7"/>
        <v>2.4863405999999921E-2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79982.642188641083</v>
      </c>
      <c r="D50" s="11">
        <v>1.6910000000000001E-2</v>
      </c>
      <c r="E50" s="10">
        <f t="shared" si="2"/>
        <v>1330.0159103656333</v>
      </c>
      <c r="F50" s="3"/>
      <c r="G50" s="26">
        <v>2.5499999999999998</v>
      </c>
      <c r="H50" s="10"/>
      <c r="I50" s="10">
        <f>IF(H50&lt;&gt;"",H50,I49/(1+IF(G49="",0,G49)/100))</f>
        <v>11404.069730116484</v>
      </c>
      <c r="J50" s="10">
        <f t="shared" si="6"/>
        <v>912127628.7182194</v>
      </c>
      <c r="K50" s="11">
        <f t="shared" si="7"/>
        <v>4.2841204999999993E-2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78652.626278275449</v>
      </c>
      <c r="D51" s="11">
        <v>1.6729999999999998E-2</v>
      </c>
      <c r="E51" s="10">
        <f t="shared" si="2"/>
        <v>1294.2063651466451</v>
      </c>
      <c r="F51" s="3"/>
      <c r="G51" s="26">
        <v>3.78</v>
      </c>
      <c r="H51" s="10"/>
      <c r="I51" s="10">
        <f t="shared" si="8"/>
        <v>11120.497055208662</v>
      </c>
      <c r="J51" s="10">
        <f t="shared" si="6"/>
        <v>874656298.91198957</v>
      </c>
      <c r="K51" s="11">
        <f t="shared" si="7"/>
        <v>5.5162394000000115E-2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77358.419913128804</v>
      </c>
      <c r="D52" s="11">
        <v>1.797E-2</v>
      </c>
      <c r="E52" s="10">
        <f t="shared" si="2"/>
        <v>1365.5911331757525</v>
      </c>
      <c r="F52" s="3"/>
      <c r="G52" s="26">
        <v>4.83</v>
      </c>
      <c r="H52" s="10"/>
      <c r="I52" s="10">
        <f t="shared" si="8"/>
        <v>10715.452934292409</v>
      </c>
      <c r="J52" s="10">
        <f t="shared" si="6"/>
        <v>828930507.65036035</v>
      </c>
      <c r="K52" s="11">
        <f t="shared" si="7"/>
        <v>6.7137951000000085E-2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75992.828779953052</v>
      </c>
      <c r="D53" s="11">
        <v>1.8149999999999999E-2</v>
      </c>
      <c r="E53" s="10">
        <f t="shared" si="2"/>
        <v>1354.6823575663147</v>
      </c>
      <c r="F53" s="3"/>
      <c r="G53" s="26">
        <v>5.09</v>
      </c>
      <c r="H53" s="10"/>
      <c r="I53" s="10">
        <f t="shared" si="8"/>
        <v>10221.742759031202</v>
      </c>
      <c r="J53" s="10">
        <f t="shared" si="6"/>
        <v>776779147.31978297</v>
      </c>
      <c r="K53" s="11">
        <f t="shared" si="7"/>
        <v>6.9973834999999873E-2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74638.146422386737</v>
      </c>
      <c r="D54" s="11">
        <v>1.7739999999999999E-2</v>
      </c>
      <c r="E54" s="10">
        <f t="shared" si="2"/>
        <v>1301.0009604939842</v>
      </c>
      <c r="F54" s="3"/>
      <c r="G54" s="26">
        <v>5.55</v>
      </c>
      <c r="H54" s="10"/>
      <c r="I54" s="10">
        <f t="shared" si="8"/>
        <v>9726.6559701505394</v>
      </c>
      <c r="J54" s="10">
        <f t="shared" si="6"/>
        <v>725979572.50027812</v>
      </c>
      <c r="K54" s="11">
        <f t="shared" si="7"/>
        <v>7.4224570000000156E-2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73337.145461892753</v>
      </c>
      <c r="D55" s="11">
        <v>1.9290000000000002E-2</v>
      </c>
      <c r="E55" s="10">
        <f t="shared" si="2"/>
        <v>1387.900927076611</v>
      </c>
      <c r="F55" s="3"/>
      <c r="G55" s="26">
        <v>3.25</v>
      </c>
      <c r="H55" s="10"/>
      <c r="I55" s="10">
        <f t="shared" si="8"/>
        <v>9215.211719706811</v>
      </c>
      <c r="J55" s="10">
        <f t="shared" si="6"/>
        <v>675817322.3502773</v>
      </c>
      <c r="K55" s="11">
        <f t="shared" si="7"/>
        <v>5.241692500000017E-2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71949.244534816142</v>
      </c>
      <c r="D56" s="11">
        <v>1.949E-2</v>
      </c>
      <c r="E56" s="10">
        <f t="shared" si="2"/>
        <v>1375.4826197251241</v>
      </c>
      <c r="F56" s="3"/>
      <c r="G56" s="26">
        <v>2.3199999999999998</v>
      </c>
      <c r="H56" s="10"/>
      <c r="I56" s="10">
        <f t="shared" si="8"/>
        <v>8925.1445227184613</v>
      </c>
      <c r="J56" s="10">
        <f t="shared" si="6"/>
        <v>642157405.77364552</v>
      </c>
      <c r="K56" s="11">
        <f t="shared" si="7"/>
        <v>4.3142168000000147E-2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70573.761915091018</v>
      </c>
      <c r="D57" s="11">
        <v>2.1579999999999998E-2</v>
      </c>
      <c r="E57" s="10">
        <f t="shared" si="2"/>
        <v>1490.8101001660689</v>
      </c>
      <c r="F57" s="3"/>
      <c r="G57" s="26">
        <v>1.78</v>
      </c>
      <c r="H57" s="10"/>
      <c r="I57" s="10">
        <f t="shared" si="8"/>
        <v>8722.7761168085035</v>
      </c>
      <c r="J57" s="10">
        <f t="shared" si="6"/>
        <v>615599124.90628552</v>
      </c>
      <c r="K57" s="11">
        <f t="shared" si="7"/>
        <v>3.9764123999999734E-2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69082.951814924949</v>
      </c>
      <c r="D58" s="11">
        <v>1.9709999999999998E-2</v>
      </c>
      <c r="E58" s="10">
        <f t="shared" si="2"/>
        <v>1335.3060970983497</v>
      </c>
      <c r="F58" s="3"/>
      <c r="G58" s="26">
        <v>1.77</v>
      </c>
      <c r="H58" s="10"/>
      <c r="I58" s="10">
        <f t="shared" si="8"/>
        <v>8570.2260923644171</v>
      </c>
      <c r="J58" s="10">
        <f t="shared" si="6"/>
        <v>592056516.18182361</v>
      </c>
      <c r="K58" s="11">
        <f t="shared" si="7"/>
        <v>3.7758866999999974E-2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67747.645717826599</v>
      </c>
      <c r="D59" s="11">
        <v>2.504E-2</v>
      </c>
      <c r="E59" s="10">
        <f t="shared" si="2"/>
        <v>1654.9608296011575</v>
      </c>
      <c r="F59" s="3"/>
      <c r="G59" s="26">
        <v>1.25</v>
      </c>
      <c r="H59" s="10"/>
      <c r="I59" s="10">
        <f t="shared" si="8"/>
        <v>8421.1713593047225</v>
      </c>
      <c r="J59" s="10">
        <f t="shared" si="6"/>
        <v>570514533.7792846</v>
      </c>
      <c r="K59" s="11">
        <f t="shared" si="7"/>
        <v>3.7852999999999914E-2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66092.684888225442</v>
      </c>
      <c r="D60" s="11">
        <v>2.002E-2</v>
      </c>
      <c r="E60" s="10">
        <f t="shared" si="2"/>
        <v>1297.2054974042403</v>
      </c>
      <c r="F60" s="3"/>
      <c r="G60" s="26">
        <v>-0.13</v>
      </c>
      <c r="H60" s="10"/>
      <c r="I60" s="10">
        <f t="shared" si="8"/>
        <v>8317.2062807947877</v>
      </c>
      <c r="J60" s="10">
        <f t="shared" si="6"/>
        <v>549706493.86693943</v>
      </c>
      <c r="K60" s="11">
        <f t="shared" si="7"/>
        <v>1.8693974000000058E-2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64795.479390821201</v>
      </c>
      <c r="D61" s="11">
        <v>2.181E-2</v>
      </c>
      <c r="E61" s="10">
        <f t="shared" si="2"/>
        <v>1383.0256168111664</v>
      </c>
      <c r="F61" s="3"/>
      <c r="G61" s="26">
        <v>2.21</v>
      </c>
      <c r="H61" s="10"/>
      <c r="I61" s="10">
        <f t="shared" si="8"/>
        <v>8328.0327233351236</v>
      </c>
      <c r="J61" s="10">
        <f t="shared" si="6"/>
        <v>539618872.69094551</v>
      </c>
      <c r="K61" s="11">
        <f t="shared" si="7"/>
        <v>4.439200100000007E-2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63412.453774010035</v>
      </c>
      <c r="D62" s="11">
        <v>2.2859999999999998E-2</v>
      </c>
      <c r="E62" s="10">
        <f t="shared" si="2"/>
        <v>1417.2112442307625</v>
      </c>
      <c r="F62" s="3"/>
      <c r="G62" s="26">
        <v>0.04</v>
      </c>
      <c r="H62" s="10"/>
      <c r="I62" s="10">
        <f t="shared" si="8"/>
        <v>8147.9627466345009</v>
      </c>
      <c r="J62" s="10">
        <f t="shared" si="6"/>
        <v>516682311.02331614</v>
      </c>
      <c r="K62" s="11">
        <f t="shared" si="7"/>
        <v>2.326914400000013E-2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61995.242529779272</v>
      </c>
      <c r="D63" s="11">
        <v>2.333E-2</v>
      </c>
      <c r="E63" s="10">
        <f t="shared" si="2"/>
        <v>1413.3749701657871</v>
      </c>
      <c r="F63" s="3"/>
      <c r="G63" s="26">
        <v>1.46</v>
      </c>
      <c r="H63" s="10"/>
      <c r="I63" s="10">
        <f t="shared" si="8"/>
        <v>8144.704864688626</v>
      </c>
      <c r="J63" s="10">
        <f t="shared" si="6"/>
        <v>504932953.41984445</v>
      </c>
      <c r="K63" s="11">
        <f t="shared" si="7"/>
        <v>3.827061800000009E-2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60581.867559613485</v>
      </c>
      <c r="D64" s="11">
        <v>1.652E-2</v>
      </c>
      <c r="E64" s="10">
        <f t="shared" si="2"/>
        <v>984.54772368947306</v>
      </c>
      <c r="F64" s="3"/>
      <c r="G64" s="26">
        <v>2.84</v>
      </c>
      <c r="H64" s="10"/>
      <c r="I64" s="10">
        <f t="shared" si="8"/>
        <v>8027.5033162710688</v>
      </c>
      <c r="J64" s="10">
        <f t="shared" si="6"/>
        <v>486321142.74069196</v>
      </c>
      <c r="K64" s="11">
        <f t="shared" si="7"/>
        <v>4.5389168000000257E-2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59597.319835924012</v>
      </c>
      <c r="D65" s="11">
        <v>1.5429999999999999E-2</v>
      </c>
      <c r="E65" s="10">
        <f t="shared" si="2"/>
        <v>905.61303592400509</v>
      </c>
      <c r="F65" s="3"/>
      <c r="G65" s="26">
        <v>3.3</v>
      </c>
      <c r="H65" s="10"/>
      <c r="I65" s="10">
        <f t="shared" si="8"/>
        <v>7805.8180827217702</v>
      </c>
      <c r="J65" s="10">
        <f t="shared" si="6"/>
        <v>465205836.85700852</v>
      </c>
      <c r="K65" s="11">
        <f t="shared" si="7"/>
        <v>4.8939190000000021E-2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58691.706800000007</v>
      </c>
      <c r="D66" s="11">
        <v>2.2859999999999998E-2</v>
      </c>
      <c r="E66" s="10">
        <f t="shared" si="2"/>
        <v>1311.7068000000072</v>
      </c>
      <c r="F66" s="23">
        <f>SUM(F2)</f>
        <v>133065</v>
      </c>
      <c r="G66" s="26">
        <v>0.54</v>
      </c>
      <c r="H66" s="10"/>
      <c r="I66" s="10">
        <f t="shared" si="8"/>
        <v>7556.4550655583453</v>
      </c>
      <c r="J66" s="10">
        <f t="shared" ref="J66:J67" si="9">IF(I66="","",I66*C66)</f>
        <v>443501245.15512526</v>
      </c>
      <c r="K66" s="11">
        <f t="shared" ref="K66" si="10">IFERROR(J66/J67-1,"")</f>
        <v>2.8383444000000146E-2</v>
      </c>
    </row>
    <row r="67" spans="1:11" ht="22.5" customHeight="1">
      <c r="A67" s="3">
        <f t="shared" si="0"/>
        <v>1950</v>
      </c>
      <c r="B67" s="3">
        <v>1700</v>
      </c>
      <c r="C67" s="10">
        <v>57380</v>
      </c>
      <c r="D67" s="11">
        <v>1.1350000000000001E-2</v>
      </c>
      <c r="E67" s="3" t="s">
        <v>72</v>
      </c>
      <c r="F67" s="10">
        <f>SUM(C2)</f>
        <v>133059.51721603354</v>
      </c>
      <c r="G67" s="26">
        <v>5.62</v>
      </c>
      <c r="H67" s="10"/>
      <c r="I67" s="10">
        <f t="shared" ref="I67" si="11">IF(H67&lt;&gt;"",H67,I66/(1+IF(G66="",0,G66)/100))</f>
        <v>7515.8693709551872</v>
      </c>
      <c r="J67" s="10">
        <f t="shared" si="9"/>
        <v>431260584.50540864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</sheetData>
  <dataValidations count="1">
    <dataValidation type="custom" allowBlank="1" showDropDown="1" sqref="D2:D67" xr:uid="{00000000-0002-0000-5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M67"/>
  <sheetViews>
    <sheetView workbookViewId="0">
      <selection activeCell="N16" sqref="N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53637097.248155266</v>
      </c>
      <c r="D2" s="11">
        <v>4.9999999999999992E-3</v>
      </c>
      <c r="E2" s="10">
        <f t="shared" ref="E2:E66" si="2">SUM(C2-C3)</f>
        <v>266851.23009032011</v>
      </c>
      <c r="F2" s="14">
        <v>53637198</v>
      </c>
      <c r="G2" s="26">
        <v>2.7</v>
      </c>
      <c r="H2" s="10"/>
      <c r="I2" s="10">
        <f>IF(H2&lt;&gt;"",H2,124448)</f>
        <v>15556</v>
      </c>
      <c r="J2" s="10">
        <f t="shared" ref="J2:J33" si="3">IF(I2="","",I2*C2)</f>
        <v>834378684792.30334</v>
      </c>
      <c r="K2" s="11">
        <f t="shared" ref="K2:K33" si="4">IFERROR(J2/J3-1,"")</f>
        <v>3.2135000000000025E-2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53370246.018064946</v>
      </c>
      <c r="D3" s="11">
        <v>4.9999999999999992E-3</v>
      </c>
      <c r="E3" s="10">
        <f t="shared" si="2"/>
        <v>265523.61203017086</v>
      </c>
      <c r="F3" s="3"/>
      <c r="G3" s="26">
        <v>-6.3</v>
      </c>
      <c r="H3" s="10"/>
      <c r="I3" s="10">
        <f t="shared" ref="I3:I34" si="5">IF(H3&lt;&gt;"",H3,I2/(1+IF(G2="",0,G2)/100))</f>
        <v>15147.030185004869</v>
      </c>
      <c r="J3" s="10">
        <f t="shared" si="3"/>
        <v>808400727416.76563</v>
      </c>
      <c r="K3" s="11">
        <f t="shared" si="4"/>
        <v>-5.8315000000000006E-2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53104722.406034775</v>
      </c>
      <c r="D4" s="11">
        <v>4.2000000000000006E-3</v>
      </c>
      <c r="E4" s="10">
        <f t="shared" si="2"/>
        <v>222106.98476931453</v>
      </c>
      <c r="F4" s="3"/>
      <c r="G4" s="26">
        <v>0.85</v>
      </c>
      <c r="H4" s="10"/>
      <c r="I4" s="10">
        <f t="shared" si="5"/>
        <v>16165.453772683957</v>
      </c>
      <c r="J4" s="10">
        <f t="shared" si="3"/>
        <v>858461935165.96912</v>
      </c>
      <c r="K4" s="11">
        <f t="shared" si="4"/>
        <v>1.2735699999999905E-2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52882615.421265461</v>
      </c>
      <c r="D5" s="11">
        <v>5.7000000000000002E-3</v>
      </c>
      <c r="E5" s="10">
        <f t="shared" si="2"/>
        <v>299722.48970986903</v>
      </c>
      <c r="F5" s="3"/>
      <c r="G5" s="26">
        <v>3.55</v>
      </c>
      <c r="H5" s="10"/>
      <c r="I5" s="10">
        <f t="shared" si="5"/>
        <v>16029.205525715377</v>
      </c>
      <c r="J5" s="10">
        <f t="shared" si="3"/>
        <v>847666311324.82959</v>
      </c>
      <c r="K5" s="11">
        <f t="shared" si="4"/>
        <v>4.1402350000000254E-2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52582892.931555592</v>
      </c>
      <c r="D6" s="11">
        <v>6.8999999999999999E-3</v>
      </c>
      <c r="E6" s="10">
        <f t="shared" si="2"/>
        <v>360335.64527533203</v>
      </c>
      <c r="F6" s="3"/>
      <c r="G6" s="26">
        <v>3.44</v>
      </c>
      <c r="H6" s="10"/>
      <c r="I6" s="10">
        <f t="shared" si="5"/>
        <v>15479.676992482255</v>
      </c>
      <c r="J6" s="10">
        <f t="shared" si="3"/>
        <v>813966197910.75891</v>
      </c>
      <c r="K6" s="11">
        <f t="shared" si="4"/>
        <v>4.1537359999999968E-2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52222557.286280259</v>
      </c>
      <c r="D7" s="11">
        <v>6.9999999999999993E-3</v>
      </c>
      <c r="E7" s="10">
        <f t="shared" si="2"/>
        <v>363016.78351932019</v>
      </c>
      <c r="F7" s="3"/>
      <c r="G7" s="26">
        <v>4.97</v>
      </c>
      <c r="H7" s="10"/>
      <c r="I7" s="10">
        <f t="shared" si="5"/>
        <v>14964.884950195528</v>
      </c>
      <c r="J7" s="10">
        <f t="shared" si="3"/>
        <v>781504561594.17932</v>
      </c>
      <c r="K7" s="11">
        <f t="shared" si="4"/>
        <v>5.7047899999999929E-2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51859540.502760939</v>
      </c>
      <c r="D8" s="11">
        <v>6.9999999999999993E-3</v>
      </c>
      <c r="E8" s="10">
        <f t="shared" si="2"/>
        <v>360493.33020786941</v>
      </c>
      <c r="F8" s="3"/>
      <c r="G8" s="26">
        <v>0.6</v>
      </c>
      <c r="H8" s="10"/>
      <c r="I8" s="10">
        <f t="shared" si="5"/>
        <v>14256.344622459301</v>
      </c>
      <c r="J8" s="10">
        <f t="shared" si="3"/>
        <v>739327481369.74622</v>
      </c>
      <c r="K8" s="11">
        <f t="shared" si="4"/>
        <v>1.3041999999999998E-2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51499047.17255307</v>
      </c>
      <c r="D9" s="11">
        <v>7.0999999999999987E-3</v>
      </c>
      <c r="E9" s="10">
        <f t="shared" si="2"/>
        <v>363065.47008751333</v>
      </c>
      <c r="F9" s="3"/>
      <c r="G9" s="26">
        <v>0.94</v>
      </c>
      <c r="H9" s="10"/>
      <c r="I9" s="10">
        <f t="shared" si="5"/>
        <v>14171.316722126541</v>
      </c>
      <c r="J9" s="10">
        <f t="shared" si="3"/>
        <v>729809308369.98486</v>
      </c>
      <c r="K9" s="11">
        <f t="shared" si="4"/>
        <v>1.6566740000000024E-2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51135981.702465557</v>
      </c>
      <c r="D10" s="11">
        <v>7.4000000000000003E-3</v>
      </c>
      <c r="E10" s="10">
        <f t="shared" si="2"/>
        <v>375626.6275543496</v>
      </c>
      <c r="F10" s="3"/>
      <c r="G10" s="26">
        <v>2.08</v>
      </c>
      <c r="H10" s="10"/>
      <c r="I10" s="10">
        <f t="shared" si="5"/>
        <v>14039.346861627244</v>
      </c>
      <c r="J10" s="10">
        <f t="shared" si="3"/>
        <v>717915784230.73804</v>
      </c>
      <c r="K10" s="11">
        <f t="shared" si="4"/>
        <v>2.8353920000000032E-2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50760355.074911207</v>
      </c>
      <c r="D11" s="11">
        <v>7.7000000000000002E-3</v>
      </c>
      <c r="E11" s="10">
        <f t="shared" si="2"/>
        <v>387868.14932700247</v>
      </c>
      <c r="F11" s="3"/>
      <c r="G11" s="26">
        <v>4.8099999999999996</v>
      </c>
      <c r="H11" s="10"/>
      <c r="I11" s="10">
        <f t="shared" si="5"/>
        <v>13753.278665387192</v>
      </c>
      <c r="J11" s="10">
        <f t="shared" si="3"/>
        <v>698121308499.25476</v>
      </c>
      <c r="K11" s="11">
        <f t="shared" si="4"/>
        <v>5.6170370000000025E-2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50372486.925584204</v>
      </c>
      <c r="D12" s="11">
        <v>8.0000000000000002E-3</v>
      </c>
      <c r="E12" s="10">
        <f t="shared" si="2"/>
        <v>399781.64226654172</v>
      </c>
      <c r="F12" s="3"/>
      <c r="G12" s="26">
        <v>2.11</v>
      </c>
      <c r="H12" s="10"/>
      <c r="I12" s="10">
        <f t="shared" si="5"/>
        <v>13122.105395846953</v>
      </c>
      <c r="J12" s="10">
        <f t="shared" si="3"/>
        <v>660993082488.4386</v>
      </c>
      <c r="K12" s="11">
        <f t="shared" si="4"/>
        <v>2.9268799999999873E-2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49972705.283317663</v>
      </c>
      <c r="D13" s="11">
        <v>8.3000000000000001E-3</v>
      </c>
      <c r="E13" s="10">
        <f t="shared" si="2"/>
        <v>411359.17271797359</v>
      </c>
      <c r="F13" s="3"/>
      <c r="G13" s="26">
        <v>3.57</v>
      </c>
      <c r="H13" s="10"/>
      <c r="I13" s="10">
        <f t="shared" si="5"/>
        <v>12850.950343597056</v>
      </c>
      <c r="J13" s="10">
        <f t="shared" si="3"/>
        <v>642196754131.12561</v>
      </c>
      <c r="K13" s="11">
        <f t="shared" si="4"/>
        <v>4.4296310000000227E-2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49561346.110599689</v>
      </c>
      <c r="D14" s="11">
        <v>8.6E-3</v>
      </c>
      <c r="E14" s="10">
        <f t="shared" si="2"/>
        <v>422593.27439139038</v>
      </c>
      <c r="F14" s="3"/>
      <c r="G14" s="26">
        <v>1.19</v>
      </c>
      <c r="H14" s="10"/>
      <c r="I14" s="10">
        <f t="shared" si="5"/>
        <v>12407.985269476736</v>
      </c>
      <c r="J14" s="10">
        <f t="shared" si="3"/>
        <v>614956452475.75903</v>
      </c>
      <c r="K14" s="11">
        <f t="shared" si="4"/>
        <v>2.0602339999999941E-2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49138752.836208299</v>
      </c>
      <c r="D15" s="11">
        <v>8.8999999999999999E-3</v>
      </c>
      <c r="E15" s="10">
        <f t="shared" si="2"/>
        <v>433476.95533972234</v>
      </c>
      <c r="F15" s="3"/>
      <c r="G15" s="26">
        <v>-0.24</v>
      </c>
      <c r="H15" s="10"/>
      <c r="I15" s="10">
        <f t="shared" si="5"/>
        <v>12262.066676031955</v>
      </c>
      <c r="J15" s="10">
        <f t="shared" si="3"/>
        <v>602542663654.6405</v>
      </c>
      <c r="K15" s="11">
        <f t="shared" si="4"/>
        <v>6.4786399999998689E-3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48705275.880868576</v>
      </c>
      <c r="D16" s="11">
        <v>9.4000000000000004E-3</v>
      </c>
      <c r="E16" s="10">
        <f t="shared" si="2"/>
        <v>453566.0722014755</v>
      </c>
      <c r="F16" s="3"/>
      <c r="G16" s="26">
        <v>-0.45</v>
      </c>
      <c r="H16" s="10"/>
      <c r="I16" s="10">
        <f t="shared" si="5"/>
        <v>12291.5664354771</v>
      </c>
      <c r="J16" s="10">
        <f t="shared" si="3"/>
        <v>598664134247.93652</v>
      </c>
      <c r="K16" s="11">
        <f t="shared" si="4"/>
        <v>4.8577000000000758E-3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48251709.808667101</v>
      </c>
      <c r="D17" s="11">
        <v>9.7999999999999997E-3</v>
      </c>
      <c r="E17" s="10">
        <f t="shared" si="2"/>
        <v>468277.63529901206</v>
      </c>
      <c r="F17" s="3"/>
      <c r="G17" s="26">
        <v>5.03</v>
      </c>
      <c r="H17" s="10"/>
      <c r="I17" s="10">
        <f t="shared" si="5"/>
        <v>12347.12851378915</v>
      </c>
      <c r="J17" s="10">
        <f t="shared" si="3"/>
        <v>595770062017.67322</v>
      </c>
      <c r="K17" s="11">
        <f t="shared" si="4"/>
        <v>6.059294000000004E-2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47783432.173368089</v>
      </c>
      <c r="D18" s="11">
        <v>1.0199999999999999E-2</v>
      </c>
      <c r="E18" s="10">
        <f t="shared" si="2"/>
        <v>482469.81604469568</v>
      </c>
      <c r="F18" s="3"/>
      <c r="G18" s="26">
        <v>2.76</v>
      </c>
      <c r="H18" s="10"/>
      <c r="I18" s="10">
        <f t="shared" si="5"/>
        <v>11755.811209929687</v>
      </c>
      <c r="J18" s="10">
        <f t="shared" si="3"/>
        <v>561733007592.59546</v>
      </c>
      <c r="K18" s="11">
        <f t="shared" si="4"/>
        <v>3.808151999999998E-2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47300962.357323393</v>
      </c>
      <c r="D19" s="11">
        <v>1.0499999999999999E-2</v>
      </c>
      <c r="E19" s="10">
        <f t="shared" si="2"/>
        <v>491499.36145660281</v>
      </c>
      <c r="F19" s="3"/>
      <c r="G19" s="26">
        <v>6.19</v>
      </c>
      <c r="H19" s="10"/>
      <c r="I19" s="10">
        <f t="shared" si="5"/>
        <v>11440.065404758356</v>
      </c>
      <c r="J19" s="10">
        <f t="shared" si="3"/>
        <v>541126103075.7926</v>
      </c>
      <c r="K19" s="11">
        <f t="shared" si="4"/>
        <v>7.3049949999999919E-2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46809462.99586679</v>
      </c>
      <c r="D20" s="11">
        <v>1.09E-2</v>
      </c>
      <c r="E20" s="10">
        <f t="shared" si="2"/>
        <v>504721.68033924699</v>
      </c>
      <c r="F20" s="3"/>
      <c r="G20" s="26">
        <v>7.2</v>
      </c>
      <c r="H20" s="10"/>
      <c r="I20" s="10">
        <f t="shared" si="5"/>
        <v>10773.204072660661</v>
      </c>
      <c r="J20" s="10">
        <f t="shared" si="3"/>
        <v>504287897386.13062</v>
      </c>
      <c r="K20" s="11">
        <f t="shared" si="4"/>
        <v>8.3684799999999893E-2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46304741.315527543</v>
      </c>
      <c r="D21" s="11">
        <v>8.7999999999999988E-3</v>
      </c>
      <c r="E21" s="10">
        <f t="shared" si="2"/>
        <v>403927.16452878714</v>
      </c>
      <c r="F21" s="3"/>
      <c r="G21" s="26">
        <v>6.22</v>
      </c>
      <c r="H21" s="10"/>
      <c r="I21" s="10">
        <f t="shared" si="5"/>
        <v>10049.630664795392</v>
      </c>
      <c r="J21" s="10">
        <f t="shared" si="3"/>
        <v>465345548249.94373</v>
      </c>
      <c r="K21" s="11">
        <f t="shared" si="4"/>
        <v>7.154736000000006E-2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45900814.150998756</v>
      </c>
      <c r="D22" s="11">
        <v>9.2999999999999992E-3</v>
      </c>
      <c r="E22" s="10">
        <f t="shared" si="2"/>
        <v>422944.19063141942</v>
      </c>
      <c r="F22" s="3"/>
      <c r="G22" s="26">
        <v>-5.91</v>
      </c>
      <c r="H22" s="10"/>
      <c r="I22" s="10">
        <f t="shared" si="5"/>
        <v>9461.147302575213</v>
      </c>
      <c r="J22" s="10">
        <f t="shared" si="3"/>
        <v>434274363990.72803</v>
      </c>
      <c r="K22" s="11">
        <f t="shared" si="4"/>
        <v>-5.0349629999999923E-2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45477869.960367337</v>
      </c>
      <c r="D23" s="11">
        <v>9.8999999999999991E-3</v>
      </c>
      <c r="E23" s="10">
        <f t="shared" si="2"/>
        <v>445817.32112846524</v>
      </c>
      <c r="F23" s="3"/>
      <c r="G23" s="26">
        <v>4.3899999999999997</v>
      </c>
      <c r="H23" s="10"/>
      <c r="I23" s="10">
        <f t="shared" si="5"/>
        <v>10055.422789430559</v>
      </c>
      <c r="J23" s="10">
        <f t="shared" si="3"/>
        <v>457299210014.23712</v>
      </c>
      <c r="K23" s="11">
        <f t="shared" si="4"/>
        <v>5.4234609999999961E-2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45032052.639238872</v>
      </c>
      <c r="D24" s="11">
        <v>1.0499999999999999E-2</v>
      </c>
      <c r="E24" s="10">
        <f t="shared" si="2"/>
        <v>467923.35745868832</v>
      </c>
      <c r="F24" s="3"/>
      <c r="G24" s="26">
        <v>2.87</v>
      </c>
      <c r="H24" s="10"/>
      <c r="I24" s="10">
        <f t="shared" si="5"/>
        <v>9632.5536827575033</v>
      </c>
      <c r="J24" s="10">
        <f t="shared" si="3"/>
        <v>433773664492.23016</v>
      </c>
      <c r="K24" s="11">
        <f t="shared" si="4"/>
        <v>3.950134999999988E-2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44564129.281780183</v>
      </c>
      <c r="D25" s="11">
        <v>1.09E-2</v>
      </c>
      <c r="E25" s="10">
        <f t="shared" si="2"/>
        <v>480511.43453496695</v>
      </c>
      <c r="F25" s="3"/>
      <c r="G25" s="26">
        <v>3.57</v>
      </c>
      <c r="H25" s="10"/>
      <c r="I25" s="10">
        <f t="shared" si="5"/>
        <v>9363.8122705915266</v>
      </c>
      <c r="J25" s="10">
        <f t="shared" si="3"/>
        <v>417290140596.96045</v>
      </c>
      <c r="K25" s="11">
        <f t="shared" si="4"/>
        <v>4.6989130000000046E-2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44083617.847245216</v>
      </c>
      <c r="D26" s="11">
        <v>1.1299999999999998E-2</v>
      </c>
      <c r="E26" s="10">
        <f t="shared" si="2"/>
        <v>492578.74189051241</v>
      </c>
      <c r="F26" s="3"/>
      <c r="G26" s="26">
        <v>3.98</v>
      </c>
      <c r="H26" s="10"/>
      <c r="I26" s="10">
        <f t="shared" si="5"/>
        <v>9041.0468963903895</v>
      </c>
      <c r="J26" s="10">
        <f t="shared" si="3"/>
        <v>398562056319.49634</v>
      </c>
      <c r="K26" s="11">
        <f t="shared" si="4"/>
        <v>5.1549740000000011E-2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43591039.105354704</v>
      </c>
      <c r="D27" s="11">
        <v>1.1599999999999999E-2</v>
      </c>
      <c r="E27" s="10">
        <f t="shared" si="2"/>
        <v>499857.70425278693</v>
      </c>
      <c r="F27" s="3"/>
      <c r="G27" s="26">
        <v>-7.25</v>
      </c>
      <c r="H27" s="10"/>
      <c r="I27" s="10">
        <f t="shared" si="5"/>
        <v>8694.9864362284952</v>
      </c>
      <c r="J27" s="10">
        <f t="shared" si="3"/>
        <v>379023493762.1651</v>
      </c>
      <c r="K27" s="11">
        <f t="shared" si="4"/>
        <v>-6.1740999999999935E-2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43091181.401101917</v>
      </c>
      <c r="D28" s="11">
        <v>1.1899999999999997E-2</v>
      </c>
      <c r="E28" s="10">
        <f t="shared" si="2"/>
        <v>506754.67800485343</v>
      </c>
      <c r="F28" s="3"/>
      <c r="G28" s="26">
        <v>3.63</v>
      </c>
      <c r="H28" s="10"/>
      <c r="I28" s="10">
        <f t="shared" si="5"/>
        <v>9374.6484487638772</v>
      </c>
      <c r="J28" s="10">
        <f t="shared" si="3"/>
        <v>403964676877.24292</v>
      </c>
      <c r="K28" s="11">
        <f t="shared" si="4"/>
        <v>4.8631969999999969E-2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42584426.723097064</v>
      </c>
      <c r="D29" s="11">
        <v>1.2299999999999998E-2</v>
      </c>
      <c r="E29" s="10">
        <f t="shared" si="2"/>
        <v>517424.13187206537</v>
      </c>
      <c r="F29" s="3"/>
      <c r="G29" s="26">
        <v>1.22</v>
      </c>
      <c r="H29" s="10"/>
      <c r="I29" s="10">
        <f t="shared" si="5"/>
        <v>9046.2688881249414</v>
      </c>
      <c r="J29" s="10">
        <f t="shared" si="3"/>
        <v>385230174583.78931</v>
      </c>
      <c r="K29" s="11">
        <f t="shared" si="4"/>
        <v>2.465006000000014E-2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42067002.591224998</v>
      </c>
      <c r="D30" s="11">
        <v>1.2799999999999999E-2</v>
      </c>
      <c r="E30" s="10">
        <f t="shared" si="2"/>
        <v>531652.48140568286</v>
      </c>
      <c r="F30" s="3"/>
      <c r="G30" s="26">
        <v>2.06</v>
      </c>
      <c r="H30" s="10"/>
      <c r="I30" s="10">
        <f t="shared" si="5"/>
        <v>8937.2346256915043</v>
      </c>
      <c r="J30" s="10">
        <f t="shared" si="3"/>
        <v>375962672157.35028</v>
      </c>
      <c r="K30" s="11">
        <f t="shared" si="4"/>
        <v>3.3663679999999863E-2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41535350.109819315</v>
      </c>
      <c r="D31" s="11">
        <v>1.34E-2</v>
      </c>
      <c r="E31" s="10">
        <f t="shared" si="2"/>
        <v>549214.22091136873</v>
      </c>
      <c r="F31" s="3"/>
      <c r="G31" s="26">
        <v>-3.93</v>
      </c>
      <c r="H31" s="10"/>
      <c r="I31" s="10">
        <f t="shared" si="5"/>
        <v>8756.8436465721188</v>
      </c>
      <c r="J31" s="10">
        <f t="shared" si="3"/>
        <v>363718566717.31982</v>
      </c>
      <c r="K31" s="11">
        <f t="shared" si="4"/>
        <v>-2.6426619999999956E-2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40986135.888907947</v>
      </c>
      <c r="D32" s="11">
        <v>1.5900000000000001E-2</v>
      </c>
      <c r="E32" s="10">
        <f t="shared" si="2"/>
        <v>641480.02818548679</v>
      </c>
      <c r="F32" s="3"/>
      <c r="G32" s="26">
        <v>1.92</v>
      </c>
      <c r="H32" s="10"/>
      <c r="I32" s="10">
        <f t="shared" si="5"/>
        <v>9115.0657297513462</v>
      </c>
      <c r="J32" s="10">
        <f t="shared" si="3"/>
        <v>373591322635.91656</v>
      </c>
      <c r="K32" s="11">
        <f t="shared" si="4"/>
        <v>3.5405280000000205E-2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40344655.86072246</v>
      </c>
      <c r="D33" s="11">
        <v>1.66E-2</v>
      </c>
      <c r="E33" s="10">
        <f t="shared" si="2"/>
        <v>658785.44883729517</v>
      </c>
      <c r="F33" s="3"/>
      <c r="G33" s="26">
        <v>3.51</v>
      </c>
      <c r="H33" s="10"/>
      <c r="I33" s="10">
        <f t="shared" si="5"/>
        <v>8943.3533455174111</v>
      </c>
      <c r="J33" s="10">
        <f t="shared" si="3"/>
        <v>360816512965.74084</v>
      </c>
      <c r="K33" s="11">
        <f t="shared" si="4"/>
        <v>5.2282659999999925E-2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39685870.411885165</v>
      </c>
      <c r="D34" s="11">
        <v>1.7300000000000003E-2</v>
      </c>
      <c r="E34" s="10">
        <f t="shared" si="2"/>
        <v>674889.96178670973</v>
      </c>
      <c r="F34" s="3"/>
      <c r="G34" s="26">
        <v>-5.92</v>
      </c>
      <c r="H34" s="10"/>
      <c r="I34" s="10">
        <f t="shared" si="5"/>
        <v>8640.0863158317188</v>
      </c>
      <c r="J34" s="10">
        <f t="shared" ref="J34:J65" si="6">IF(I34="","",I34*C34)</f>
        <v>342889345877.59991</v>
      </c>
      <c r="K34" s="11">
        <f t="shared" ref="K34:K65" si="7">IFERROR(J34/J35-1,"")</f>
        <v>-2.9699259999999894E-2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39010980.450098455</v>
      </c>
      <c r="D35" s="11">
        <v>1.8000000000000002E-2</v>
      </c>
      <c r="E35" s="10">
        <f t="shared" si="2"/>
        <v>689781.57966775447</v>
      </c>
      <c r="F35" s="3"/>
      <c r="G35" s="26">
        <v>-2.75</v>
      </c>
      <c r="H35" s="10"/>
      <c r="I35" s="10">
        <f t="shared" ref="I35:I66" si="8">IF(H35&lt;&gt;"",H35,I34/(1+IF(G34="",0,G34)/100))</f>
        <v>9058.5933275652333</v>
      </c>
      <c r="J35" s="10">
        <f t="shared" si="6"/>
        <v>353384607207.03961</v>
      </c>
      <c r="K35" s="11">
        <f t="shared" si="7"/>
        <v>1.7491000000000145E-2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38321198.8704307</v>
      </c>
      <c r="D36" s="11">
        <v>1.8600000000000002E-2</v>
      </c>
      <c r="E36" s="10">
        <f t="shared" si="2"/>
        <v>699758.78557825089</v>
      </c>
      <c r="F36" s="3"/>
      <c r="G36" s="26">
        <v>4.79</v>
      </c>
      <c r="H36" s="10"/>
      <c r="I36" s="10">
        <f t="shared" si="8"/>
        <v>9063.1248900102382</v>
      </c>
      <c r="J36" s="10">
        <f t="shared" si="6"/>
        <v>347309811297.63269</v>
      </c>
      <c r="K36" s="11">
        <f t="shared" si="7"/>
        <v>0.11628373999999986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37621440.08485245</v>
      </c>
      <c r="D37" s="11">
        <v>1.9300000000000001E-2</v>
      </c>
      <c r="E37" s="10">
        <f t="shared" si="2"/>
        <v>712345.52500505745</v>
      </c>
      <c r="F37" s="3"/>
      <c r="G37" s="26">
        <v>3.46</v>
      </c>
      <c r="H37" s="10"/>
      <c r="I37" s="10">
        <f t="shared" si="8"/>
        <v>8270.0290993797225</v>
      </c>
      <c r="J37" s="10">
        <f t="shared" si="6"/>
        <v>311130404262.30048</v>
      </c>
      <c r="K37" s="11">
        <f t="shared" si="7"/>
        <v>0.10859067999999983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36909094.559847392</v>
      </c>
      <c r="D38" s="11">
        <v>1.9900000000000001E-2</v>
      </c>
      <c r="E38" s="10">
        <f t="shared" si="2"/>
        <v>720159.80168738216</v>
      </c>
      <c r="F38" s="3"/>
      <c r="G38" s="26">
        <v>6</v>
      </c>
      <c r="H38" s="10"/>
      <c r="I38" s="10">
        <f t="shared" si="8"/>
        <v>7603.9252476827169</v>
      </c>
      <c r="J38" s="10">
        <f t="shared" si="6"/>
        <v>280653995992.73242</v>
      </c>
      <c r="K38" s="11">
        <f t="shared" si="7"/>
        <v>0.11883029999999994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36188934.75816001</v>
      </c>
      <c r="D39" s="11">
        <v>2.0500000000000001E-2</v>
      </c>
      <c r="E39" s="10">
        <f t="shared" si="2"/>
        <v>726970.27196695656</v>
      </c>
      <c r="F39" s="3"/>
      <c r="G39" s="26">
        <v>8.9600000000000009</v>
      </c>
      <c r="H39" s="10"/>
      <c r="I39" s="10">
        <f t="shared" si="8"/>
        <v>6931.5635803853393</v>
      </c>
      <c r="J39" s="10">
        <f t="shared" si="6"/>
        <v>250845902182.60306</v>
      </c>
      <c r="K39" s="11">
        <f t="shared" si="7"/>
        <v>0.11193679999999984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35461964.486193053</v>
      </c>
      <c r="D40" s="11">
        <v>2.1100000000000001E-2</v>
      </c>
      <c r="E40" s="10">
        <f t="shared" si="2"/>
        <v>732785.67295923084</v>
      </c>
      <c r="F40" s="3"/>
      <c r="G40" s="26">
        <v>3.39</v>
      </c>
      <c r="H40" s="10"/>
      <c r="I40" s="10">
        <f t="shared" si="8"/>
        <v>6361.5671626150333</v>
      </c>
      <c r="J40" s="10">
        <f t="shared" si="6"/>
        <v>225593668797.18622</v>
      </c>
      <c r="K40" s="11">
        <f t="shared" si="7"/>
        <v>5.5715289999999973E-2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34729178.813233823</v>
      </c>
      <c r="D41" s="11">
        <v>2.1700000000000001E-2</v>
      </c>
      <c r="E41" s="10">
        <f t="shared" si="2"/>
        <v>737616.89365486801</v>
      </c>
      <c r="F41" s="3"/>
      <c r="G41" s="26">
        <v>4.42</v>
      </c>
      <c r="H41" s="10"/>
      <c r="I41" s="10">
        <f t="shared" si="8"/>
        <v>6152.9811032160105</v>
      </c>
      <c r="J41" s="10">
        <f t="shared" si="6"/>
        <v>213687980968.03754</v>
      </c>
      <c r="K41" s="11">
        <f t="shared" si="7"/>
        <v>6.6859140000000261E-2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33991561.919578955</v>
      </c>
      <c r="D42" s="11">
        <v>2.23E-2</v>
      </c>
      <c r="E42" s="10">
        <f t="shared" si="2"/>
        <v>741476.89602524415</v>
      </c>
      <c r="F42" s="3"/>
      <c r="G42" s="26">
        <v>-5.74</v>
      </c>
      <c r="H42" s="10"/>
      <c r="I42" s="10">
        <f t="shared" si="8"/>
        <v>5892.5312231526623</v>
      </c>
      <c r="J42" s="10">
        <f t="shared" si="6"/>
        <v>200296339934.84604</v>
      </c>
      <c r="K42" s="11">
        <f t="shared" si="7"/>
        <v>-3.6380020000000068E-2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33250085.02355371</v>
      </c>
      <c r="D43" s="11">
        <v>2.29E-2</v>
      </c>
      <c r="E43" s="10">
        <f t="shared" si="2"/>
        <v>744380.63059866801</v>
      </c>
      <c r="F43" s="3"/>
      <c r="G43" s="26">
        <v>5.78</v>
      </c>
      <c r="H43" s="10"/>
      <c r="I43" s="10">
        <f t="shared" si="8"/>
        <v>6251.3592437435418</v>
      </c>
      <c r="J43" s="10">
        <f t="shared" si="6"/>
        <v>207858226367.25119</v>
      </c>
      <c r="K43" s="11">
        <f t="shared" si="7"/>
        <v>8.2023619999999964E-2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32505704.392955042</v>
      </c>
      <c r="D44" s="11">
        <v>2.35E-2</v>
      </c>
      <c r="E44" s="10">
        <f t="shared" si="2"/>
        <v>746344.9469804056</v>
      </c>
      <c r="F44" s="3"/>
      <c r="G44" s="26">
        <v>7.86</v>
      </c>
      <c r="H44" s="10"/>
      <c r="I44" s="10">
        <f t="shared" si="8"/>
        <v>5909.7742897934786</v>
      </c>
      <c r="J44" s="10">
        <f t="shared" si="6"/>
        <v>192101376093.11264</v>
      </c>
      <c r="K44" s="11">
        <f t="shared" si="7"/>
        <v>0.10394710000000007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31759359.445974637</v>
      </c>
      <c r="D45" s="11">
        <v>2.4200000000000003E-2</v>
      </c>
      <c r="E45" s="10">
        <f t="shared" si="2"/>
        <v>750416.42119955644</v>
      </c>
      <c r="F45" s="3"/>
      <c r="G45" s="26">
        <v>8.23</v>
      </c>
      <c r="H45" s="10"/>
      <c r="I45" s="10">
        <f t="shared" si="8"/>
        <v>5479.1157887942509</v>
      </c>
      <c r="J45" s="10">
        <f t="shared" si="6"/>
        <v>174013207782.43146</v>
      </c>
      <c r="K45" s="11">
        <f t="shared" si="7"/>
        <v>0.10849165999999988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31008943.02477508</v>
      </c>
      <c r="D46" s="11">
        <v>2.5000000000000001E-2</v>
      </c>
      <c r="E46" s="10">
        <f t="shared" si="2"/>
        <v>756315.68353109807</v>
      </c>
      <c r="F46" s="3"/>
      <c r="G46" s="26">
        <v>3.76</v>
      </c>
      <c r="H46" s="10"/>
      <c r="I46" s="10">
        <f t="shared" si="8"/>
        <v>5062.4741650136293</v>
      </c>
      <c r="J46" s="10">
        <f t="shared" si="6"/>
        <v>156981972947.30344</v>
      </c>
      <c r="K46" s="11">
        <f t="shared" si="7"/>
        <v>6.353999999999993E-2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30252627.341243982</v>
      </c>
      <c r="D47" s="11">
        <v>2.5900000000000003E-2</v>
      </c>
      <c r="E47" s="10">
        <f t="shared" si="2"/>
        <v>763761.62212517858</v>
      </c>
      <c r="F47" s="3"/>
      <c r="G47" s="26">
        <v>6.5</v>
      </c>
      <c r="H47" s="10"/>
      <c r="I47" s="10">
        <f t="shared" si="8"/>
        <v>4879.0229038296347</v>
      </c>
      <c r="J47" s="10">
        <f t="shared" si="6"/>
        <v>147603261698.95203</v>
      </c>
      <c r="K47" s="11">
        <f t="shared" si="7"/>
        <v>9.258349999999993E-2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29488865.719118804</v>
      </c>
      <c r="D48" s="11">
        <v>2.6700000000000002E-2</v>
      </c>
      <c r="E48" s="10">
        <f t="shared" si="2"/>
        <v>766877.09623109922</v>
      </c>
      <c r="F48" s="3"/>
      <c r="G48" s="26">
        <v>3.42</v>
      </c>
      <c r="H48" s="10"/>
      <c r="I48" s="10">
        <f t="shared" si="8"/>
        <v>4581.242163220315</v>
      </c>
      <c r="J48" s="10">
        <f t="shared" si="6"/>
        <v>135095634977.96922</v>
      </c>
      <c r="K48" s="11">
        <f t="shared" si="7"/>
        <v>6.1813140000000155E-2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28721988.622887705</v>
      </c>
      <c r="D49" s="11">
        <v>2.7400000000000001E-2</v>
      </c>
      <c r="E49" s="10">
        <f t="shared" si="2"/>
        <v>765994.24592867866</v>
      </c>
      <c r="F49" s="3"/>
      <c r="G49" s="26">
        <v>9.42</v>
      </c>
      <c r="H49" s="10"/>
      <c r="I49" s="10">
        <f t="shared" si="8"/>
        <v>4429.7448880490374</v>
      </c>
      <c r="J49" s="10">
        <f t="shared" si="6"/>
        <v>127231082276.83942</v>
      </c>
      <c r="K49" s="11">
        <f t="shared" si="7"/>
        <v>0.12418108000000005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27955994.376959026</v>
      </c>
      <c r="D50" s="11">
        <v>2.8000000000000001E-2</v>
      </c>
      <c r="E50" s="10">
        <f t="shared" si="2"/>
        <v>761447.31766036153</v>
      </c>
      <c r="F50" s="3"/>
      <c r="G50" s="26">
        <v>5.85</v>
      </c>
      <c r="H50" s="10"/>
      <c r="I50" s="10">
        <f t="shared" si="8"/>
        <v>4048.3868470563307</v>
      </c>
      <c r="J50" s="10">
        <f t="shared" si="6"/>
        <v>113176679932.06166</v>
      </c>
      <c r="K50" s="11">
        <f t="shared" si="7"/>
        <v>8.813800000000005E-2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27194547.059298664</v>
      </c>
      <c r="D51" s="11">
        <v>2.8300000000000002E-2</v>
      </c>
      <c r="E51" s="10">
        <f t="shared" si="2"/>
        <v>748425.24728012457</v>
      </c>
      <c r="F51" s="3"/>
      <c r="G51" s="26">
        <v>6.1</v>
      </c>
      <c r="H51" s="10"/>
      <c r="I51" s="10">
        <f t="shared" si="8"/>
        <v>3824.6451082251588</v>
      </c>
      <c r="J51" s="10">
        <f t="shared" si="6"/>
        <v>104009491380.74551</v>
      </c>
      <c r="K51" s="11">
        <f t="shared" si="7"/>
        <v>9.1026300000000004E-2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26446121.81201854</v>
      </c>
      <c r="D52" s="11">
        <v>2.8300000000000002E-2</v>
      </c>
      <c r="E52" s="10">
        <f t="shared" si="2"/>
        <v>727827.72272695228</v>
      </c>
      <c r="F52" s="3"/>
      <c r="G52" s="26">
        <v>7.1</v>
      </c>
      <c r="H52" s="10"/>
      <c r="I52" s="10">
        <f t="shared" si="8"/>
        <v>3604.7550501650885</v>
      </c>
      <c r="J52" s="10">
        <f t="shared" si="6"/>
        <v>95331791159.154938</v>
      </c>
      <c r="K52" s="11">
        <f t="shared" si="7"/>
        <v>0.10130930000000005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25718294.089291587</v>
      </c>
      <c r="D53" s="11">
        <v>2.8200000000000003E-2</v>
      </c>
      <c r="E53" s="10">
        <f t="shared" si="2"/>
        <v>705364.61127992719</v>
      </c>
      <c r="F53" s="3"/>
      <c r="G53" s="26">
        <v>11.91</v>
      </c>
      <c r="H53" s="10"/>
      <c r="I53" s="10">
        <f t="shared" si="8"/>
        <v>3365.7843605649755</v>
      </c>
      <c r="J53" s="10">
        <f t="shared" si="6"/>
        <v>86562232026.14827</v>
      </c>
      <c r="K53" s="11">
        <f t="shared" si="7"/>
        <v>0.15065861999999997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25012929.47801166</v>
      </c>
      <c r="D54" s="11">
        <v>2.7900000000000001E-2</v>
      </c>
      <c r="E54" s="10">
        <f t="shared" si="2"/>
        <v>678918.89525880665</v>
      </c>
      <c r="F54" s="3"/>
      <c r="G54" s="26">
        <v>8.11</v>
      </c>
      <c r="H54" s="10"/>
      <c r="I54" s="10">
        <f t="shared" si="8"/>
        <v>3007.5814141408055</v>
      </c>
      <c r="J54" s="10">
        <f t="shared" si="6"/>
        <v>75228421811.282547</v>
      </c>
      <c r="K54" s="11">
        <f t="shared" si="7"/>
        <v>0.11126269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24334010.582752854</v>
      </c>
      <c r="D55" s="11">
        <v>2.76E-2</v>
      </c>
      <c r="E55" s="10">
        <f t="shared" si="2"/>
        <v>653579.88719733432</v>
      </c>
      <c r="F55" s="3"/>
      <c r="G55" s="26">
        <v>4.66</v>
      </c>
      <c r="H55" s="10"/>
      <c r="I55" s="10">
        <f t="shared" si="8"/>
        <v>2781.9641237080805</v>
      </c>
      <c r="J55" s="10">
        <f t="shared" si="6"/>
        <v>67696344427.151199</v>
      </c>
      <c r="K55" s="11">
        <f t="shared" si="7"/>
        <v>7.548616000000008E-2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23680430.695555519</v>
      </c>
      <c r="D56" s="11">
        <v>2.7300000000000001E-2</v>
      </c>
      <c r="E56" s="10">
        <f t="shared" si="2"/>
        <v>629295.97779486701</v>
      </c>
      <c r="F56" s="3"/>
      <c r="G56" s="26">
        <v>5</v>
      </c>
      <c r="H56" s="10"/>
      <c r="I56" s="10">
        <f t="shared" si="8"/>
        <v>2658.0968122569084</v>
      </c>
      <c r="J56" s="10">
        <f t="shared" si="6"/>
        <v>62944877344.726768</v>
      </c>
      <c r="K56" s="11">
        <f t="shared" si="7"/>
        <v>7.8664999999999985E-2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23051134.717760652</v>
      </c>
      <c r="D57" s="11">
        <v>2.7100000000000003E-2</v>
      </c>
      <c r="E57" s="10">
        <f t="shared" si="2"/>
        <v>608203.4376899153</v>
      </c>
      <c r="F57" s="3"/>
      <c r="G57" s="26">
        <v>8.5399999999999991</v>
      </c>
      <c r="H57" s="10"/>
      <c r="I57" s="10">
        <f t="shared" si="8"/>
        <v>2531.5207735780077</v>
      </c>
      <c r="J57" s="10">
        <f t="shared" si="6"/>
        <v>58354426392.55632</v>
      </c>
      <c r="K57" s="11">
        <f t="shared" si="7"/>
        <v>0.11481433999999968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22442931.280070737</v>
      </c>
      <c r="D58" s="11">
        <v>2.7100000000000003E-2</v>
      </c>
      <c r="E58" s="10">
        <f t="shared" si="2"/>
        <v>592156.0098236911</v>
      </c>
      <c r="F58" s="3"/>
      <c r="G58" s="26">
        <v>3.19</v>
      </c>
      <c r="H58" s="10"/>
      <c r="I58" s="10">
        <f t="shared" si="8"/>
        <v>2332.339021170083</v>
      </c>
      <c r="J58" s="10">
        <f t="shared" si="6"/>
        <v>52344524373.947624</v>
      </c>
      <c r="K58" s="11">
        <f t="shared" si="7"/>
        <v>5.9864489999999826E-2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21850775.270247046</v>
      </c>
      <c r="D59" s="11">
        <v>2.7300000000000001E-2</v>
      </c>
      <c r="E59" s="10">
        <f t="shared" si="2"/>
        <v>580673.77093132213</v>
      </c>
      <c r="F59" s="3"/>
      <c r="G59" s="26">
        <v>5.51</v>
      </c>
      <c r="H59" s="10"/>
      <c r="I59" s="10">
        <f t="shared" si="8"/>
        <v>2260.2374466228152</v>
      </c>
      <c r="J59" s="10">
        <f t="shared" si="6"/>
        <v>49387940503.552139</v>
      </c>
      <c r="K59" s="11">
        <f t="shared" si="7"/>
        <v>8.3904229999999913E-2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21270101.499315724</v>
      </c>
      <c r="D60" s="11">
        <v>2.7800000000000002E-2</v>
      </c>
      <c r="E60" s="10">
        <f t="shared" si="2"/>
        <v>575315.06293148175</v>
      </c>
      <c r="F60" s="3"/>
      <c r="G60" s="26">
        <v>7.8</v>
      </c>
      <c r="H60" s="10"/>
      <c r="I60" s="10">
        <f t="shared" si="8"/>
        <v>2142.2021103429206</v>
      </c>
      <c r="J60" s="10">
        <f t="shared" si="6"/>
        <v>45564856319.042267</v>
      </c>
      <c r="K60" s="11">
        <f t="shared" si="7"/>
        <v>0.1079684000000003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20694786.436384242</v>
      </c>
      <c r="D61" s="11">
        <v>2.8400000000000002E-2</v>
      </c>
      <c r="E61" s="10">
        <f t="shared" si="2"/>
        <v>571501.29793204367</v>
      </c>
      <c r="F61" s="3"/>
      <c r="G61" s="26">
        <v>6.97</v>
      </c>
      <c r="H61" s="10"/>
      <c r="I61" s="10">
        <f t="shared" si="8"/>
        <v>1987.2004734164382</v>
      </c>
      <c r="J61" s="10">
        <f t="shared" si="6"/>
        <v>41124689403.63485</v>
      </c>
      <c r="K61" s="11">
        <f t="shared" si="7"/>
        <v>0.10007948000000022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20123285.138452198</v>
      </c>
      <c r="D62" s="11">
        <v>2.9100000000000004E-2</v>
      </c>
      <c r="E62" s="10">
        <f t="shared" si="2"/>
        <v>569028.85776790977</v>
      </c>
      <c r="F62" s="3"/>
      <c r="G62" s="26">
        <v>8.6300000000000008</v>
      </c>
      <c r="H62" s="10"/>
      <c r="I62" s="10">
        <f t="shared" si="8"/>
        <v>1857.7175595180313</v>
      </c>
      <c r="J62" s="10">
        <f t="shared" si="6"/>
        <v>37383380156.890884</v>
      </c>
      <c r="K62" s="11">
        <f t="shared" si="7"/>
        <v>0.11791132999999987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19554256.280684289</v>
      </c>
      <c r="D63" s="11">
        <v>2.9599999999999998E-2</v>
      </c>
      <c r="E63" s="10">
        <f t="shared" si="2"/>
        <v>562165.87597927079</v>
      </c>
      <c r="F63" s="3"/>
      <c r="G63" s="26">
        <v>10.11</v>
      </c>
      <c r="H63" s="10"/>
      <c r="I63" s="10">
        <f t="shared" si="8"/>
        <v>1710.1330751339697</v>
      </c>
      <c r="J63" s="10">
        <f t="shared" si="6"/>
        <v>33440380425.244362</v>
      </c>
      <c r="K63" s="11">
        <f t="shared" si="7"/>
        <v>0.13369256000000007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18992090.404705018</v>
      </c>
      <c r="D64" s="11">
        <v>2.9800000000000004E-2</v>
      </c>
      <c r="E64" s="10">
        <f t="shared" si="2"/>
        <v>549586.61299301684</v>
      </c>
      <c r="F64" s="3"/>
      <c r="G64" s="26">
        <v>0.05</v>
      </c>
      <c r="H64" s="10"/>
      <c r="I64" s="10">
        <f t="shared" si="8"/>
        <v>1553.113318621351</v>
      </c>
      <c r="J64" s="10">
        <f t="shared" si="6"/>
        <v>29496868556.008129</v>
      </c>
      <c r="K64" s="11">
        <f t="shared" si="7"/>
        <v>3.0314900000000033E-2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18442503.791712001</v>
      </c>
      <c r="D65" s="11">
        <v>2.9599999999999998E-2</v>
      </c>
      <c r="E65" s="10">
        <f t="shared" si="2"/>
        <v>530204.07171200216</v>
      </c>
      <c r="F65" s="3"/>
      <c r="G65" s="26">
        <v>3.82</v>
      </c>
      <c r="H65" s="10"/>
      <c r="I65" s="10">
        <f t="shared" si="8"/>
        <v>1552.3371500463279</v>
      </c>
      <c r="J65" s="10">
        <f t="shared" si="6"/>
        <v>28628983775.744804</v>
      </c>
      <c r="K65" s="11">
        <f t="shared" si="7"/>
        <v>6.8930720000000223E-2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17912299.719999999</v>
      </c>
      <c r="D66" s="11">
        <v>2.92E-2</v>
      </c>
      <c r="E66" s="10">
        <f t="shared" si="2"/>
        <v>508199.71999999881</v>
      </c>
      <c r="F66" s="23">
        <f>SUM(F2)</f>
        <v>53637198</v>
      </c>
      <c r="G66" s="26">
        <v>7.62</v>
      </c>
      <c r="H66" s="10"/>
      <c r="I66" s="10">
        <f t="shared" si="8"/>
        <v>1495.2197553904141</v>
      </c>
      <c r="J66" s="10">
        <f t="shared" ref="J66:J67" si="9">IF(I66="","",I66*C66)</f>
        <v>26782824405.81818</v>
      </c>
      <c r="K66" s="11">
        <f t="shared" ref="K66" si="10">IFERROR(J66/J67-1,"")</f>
        <v>0.10762504000000006</v>
      </c>
    </row>
    <row r="67" spans="1:11" ht="22.5" customHeight="1">
      <c r="A67" s="3">
        <f t="shared" si="0"/>
        <v>1950</v>
      </c>
      <c r="B67" s="3">
        <v>1700</v>
      </c>
      <c r="C67" s="10">
        <v>17404100</v>
      </c>
      <c r="D67" s="11">
        <v>2.86E-2</v>
      </c>
      <c r="E67" s="3" t="s">
        <v>72</v>
      </c>
      <c r="F67" s="10">
        <f>SUM(C2)</f>
        <v>53637097.248155266</v>
      </c>
      <c r="G67" s="26">
        <v>14.72</v>
      </c>
      <c r="H67" s="10"/>
      <c r="I67" s="10">
        <f t="shared" ref="I67" si="11">IF(H67&lt;&gt;"",H67,I66/(1+IF(G66="",0,G66)/100))</f>
        <v>1389.351194378753</v>
      </c>
      <c r="J67" s="10">
        <f t="shared" si="9"/>
        <v>24180407122.087254</v>
      </c>
      <c r="K67" s="11"/>
    </row>
  </sheetData>
  <dataValidations count="1">
    <dataValidation type="custom" allowBlank="1" showDropDown="1" sqref="D2:D67" xr:uid="{00000000-0002-0000-5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M67"/>
  <sheetViews>
    <sheetView workbookViewId="0">
      <selection activeCell="M14" sqref="M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12224664.698043607</v>
      </c>
      <c r="D2" s="11">
        <v>2.562E-2</v>
      </c>
      <c r="E2" s="10">
        <f t="shared" ref="E2:E66" si="2">SUM(C2-C3)</f>
        <v>305372.27195635438</v>
      </c>
      <c r="F2" s="14">
        <v>12224862</v>
      </c>
      <c r="G2" s="26">
        <v>2.93</v>
      </c>
      <c r="H2" s="10"/>
      <c r="I2" s="10">
        <f>IF(H2&lt;&gt;"",H2,29400)</f>
        <v>3675</v>
      </c>
      <c r="J2" s="10">
        <f t="shared" ref="J2:J33" si="3">IF(I2="","",I2*C2)</f>
        <v>44925642765.310257</v>
      </c>
      <c r="K2" s="11">
        <f t="shared" ref="K2:K33" si="4">IFERROR(J2/J3-1,"")</f>
        <v>5.5670666000000146E-2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11919292.426087253</v>
      </c>
      <c r="D3" s="11">
        <v>2.5000000000000001E-2</v>
      </c>
      <c r="E3" s="10">
        <f t="shared" si="2"/>
        <v>290714.44941676036</v>
      </c>
      <c r="F3" s="3"/>
      <c r="G3" s="26">
        <v>0.26</v>
      </c>
      <c r="H3" s="10"/>
      <c r="I3" s="10">
        <f t="shared" ref="I3:I34" si="5">IF(H3&lt;&gt;"",H3,I2/(1+IF(G2="",0,G2)/100))</f>
        <v>3570.3876420868546</v>
      </c>
      <c r="J3" s="10">
        <f t="shared" si="3"/>
        <v>42556494380.52137</v>
      </c>
      <c r="K3" s="11">
        <f t="shared" si="4"/>
        <v>2.7664999999999829E-2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11628577.976670492</v>
      </c>
      <c r="D4" s="11">
        <v>2.46E-2</v>
      </c>
      <c r="E4" s="10">
        <f t="shared" si="2"/>
        <v>279194.82551834174</v>
      </c>
      <c r="F4" s="3"/>
      <c r="G4" s="26">
        <v>2.93</v>
      </c>
      <c r="H4" s="10"/>
      <c r="I4" s="10">
        <f t="shared" si="5"/>
        <v>3561.1287074474913</v>
      </c>
      <c r="J4" s="10">
        <f t="shared" si="3"/>
        <v>41410862859.512955</v>
      </c>
      <c r="K4" s="11">
        <f t="shared" si="4"/>
        <v>5.4620780000000035E-2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11349383.151152151</v>
      </c>
      <c r="D5" s="11">
        <v>2.4289999999999999E-2</v>
      </c>
      <c r="E5" s="10">
        <f t="shared" si="2"/>
        <v>269139.12733843364</v>
      </c>
      <c r="F5" s="3"/>
      <c r="G5" s="26">
        <v>2.69</v>
      </c>
      <c r="H5" s="10"/>
      <c r="I5" s="10">
        <f t="shared" si="5"/>
        <v>3459.7578037962603</v>
      </c>
      <c r="J5" s="10">
        <f t="shared" si="3"/>
        <v>39266116925.472443</v>
      </c>
      <c r="K5" s="11">
        <f t="shared" si="4"/>
        <v>5.1843400999999734E-2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11080244.023813717</v>
      </c>
      <c r="D6" s="11">
        <v>2.4799999999999999E-2</v>
      </c>
      <c r="E6" s="10">
        <f t="shared" si="2"/>
        <v>268140.17543967627</v>
      </c>
      <c r="F6" s="3"/>
      <c r="G6" s="26">
        <v>5.85</v>
      </c>
      <c r="H6" s="10"/>
      <c r="I6" s="10">
        <f t="shared" si="5"/>
        <v>3369.1282537698517</v>
      </c>
      <c r="J6" s="10">
        <f t="shared" si="3"/>
        <v>37330763199.295341</v>
      </c>
      <c r="K6" s="11">
        <f t="shared" si="4"/>
        <v>8.4750799999999904E-2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10812103.848374041</v>
      </c>
      <c r="D7" s="11">
        <v>2.4740000000000002E-2</v>
      </c>
      <c r="E7" s="10">
        <f t="shared" si="2"/>
        <v>261033.48089151829</v>
      </c>
      <c r="F7" s="3"/>
      <c r="G7" s="26">
        <v>5.17</v>
      </c>
      <c r="H7" s="10"/>
      <c r="I7" s="10">
        <f t="shared" si="5"/>
        <v>3182.9270229285326</v>
      </c>
      <c r="J7" s="10">
        <f t="shared" si="3"/>
        <v>34414137513.699318</v>
      </c>
      <c r="K7" s="11">
        <f t="shared" si="4"/>
        <v>7.771905800000023E-2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10551070.367482523</v>
      </c>
      <c r="D8" s="11">
        <v>2.444E-2</v>
      </c>
      <c r="E8" s="10">
        <f t="shared" si="2"/>
        <v>251716.21547506191</v>
      </c>
      <c r="F8" s="3"/>
      <c r="G8" s="26">
        <v>3.01</v>
      </c>
      <c r="H8" s="10"/>
      <c r="I8" s="10">
        <f t="shared" si="5"/>
        <v>3026.459088075052</v>
      </c>
      <c r="J8" s="10">
        <f t="shared" si="3"/>
        <v>31932382802.586861</v>
      </c>
      <c r="K8" s="11">
        <f t="shared" si="4"/>
        <v>5.5275644000000179E-2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10299354.152007461</v>
      </c>
      <c r="D9" s="11">
        <v>2.4389999999999998E-2</v>
      </c>
      <c r="E9" s="10">
        <f t="shared" si="2"/>
        <v>245220.32406355068</v>
      </c>
      <c r="F9" s="3"/>
      <c r="G9" s="26">
        <v>4.1399999999999997</v>
      </c>
      <c r="H9" s="10"/>
      <c r="I9" s="10">
        <f t="shared" si="5"/>
        <v>2938.0245491457645</v>
      </c>
      <c r="J9" s="10">
        <f t="shared" si="3"/>
        <v>30259755338.944275</v>
      </c>
      <c r="K9" s="11">
        <f t="shared" si="4"/>
        <v>6.6799745999999827E-2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10054133.82794391</v>
      </c>
      <c r="D10" s="11">
        <v>2.3990000000000001E-2</v>
      </c>
      <c r="E10" s="10">
        <f t="shared" si="2"/>
        <v>235547.87696400657</v>
      </c>
      <c r="F10" s="3"/>
      <c r="G10" s="26">
        <v>5.1100000000000003</v>
      </c>
      <c r="H10" s="10"/>
      <c r="I10" s="10">
        <f t="shared" si="5"/>
        <v>2821.2258009849857</v>
      </c>
      <c r="J10" s="10">
        <f t="shared" si="3"/>
        <v>28364981761.951298</v>
      </c>
      <c r="K10" s="11">
        <f t="shared" si="4"/>
        <v>7.6315888999999748E-2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9818585.9509799033</v>
      </c>
      <c r="D11" s="11">
        <v>2.2290000000000001E-2</v>
      </c>
      <c r="E11" s="10">
        <f t="shared" si="2"/>
        <v>214084.34088892676</v>
      </c>
      <c r="F11" s="3"/>
      <c r="G11" s="26">
        <v>5.79</v>
      </c>
      <c r="H11" s="10"/>
      <c r="I11" s="10">
        <f t="shared" si="5"/>
        <v>2684.0698325420854</v>
      </c>
      <c r="J11" s="10">
        <f t="shared" si="3"/>
        <v>26353770349.2467</v>
      </c>
      <c r="K11" s="11">
        <f t="shared" si="4"/>
        <v>8.1480590999999825E-2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9604501.6100909766</v>
      </c>
      <c r="D12" s="11">
        <v>1.949E-2</v>
      </c>
      <c r="E12" s="10">
        <f t="shared" si="2"/>
        <v>183613.11673549749</v>
      </c>
      <c r="F12" s="3"/>
      <c r="G12" s="26">
        <v>4.5</v>
      </c>
      <c r="H12" s="10"/>
      <c r="I12" s="10">
        <f t="shared" si="5"/>
        <v>2537.1678159959215</v>
      </c>
      <c r="J12" s="10">
        <f t="shared" si="3"/>
        <v>24368232373.803833</v>
      </c>
      <c r="K12" s="11">
        <f t="shared" si="4"/>
        <v>6.5367049999999871E-2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9420888.4933554791</v>
      </c>
      <c r="D13" s="11">
        <v>2.053E-2</v>
      </c>
      <c r="E13" s="10">
        <f t="shared" si="2"/>
        <v>189519.99526578002</v>
      </c>
      <c r="F13" s="3"/>
      <c r="G13" s="26">
        <v>8.5</v>
      </c>
      <c r="H13" s="10"/>
      <c r="I13" s="10">
        <f t="shared" si="5"/>
        <v>2427.9117856420303</v>
      </c>
      <c r="J13" s="10">
        <f t="shared" si="3"/>
        <v>22873086204.237156</v>
      </c>
      <c r="K13" s="11">
        <f t="shared" si="4"/>
        <v>0.10727504999999993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9231368.4980896991</v>
      </c>
      <c r="D14" s="11">
        <v>2.23E-2</v>
      </c>
      <c r="E14" s="10">
        <f t="shared" si="2"/>
        <v>201368.98905155063</v>
      </c>
      <c r="F14" s="3"/>
      <c r="G14" s="26">
        <v>6.3</v>
      </c>
      <c r="H14" s="10"/>
      <c r="I14" s="10">
        <f t="shared" si="5"/>
        <v>2237.7067148774472</v>
      </c>
      <c r="J14" s="10">
        <f t="shared" si="3"/>
        <v>20657095275.683453</v>
      </c>
      <c r="K14" s="11">
        <f t="shared" si="4"/>
        <v>8.6704899999999974E-2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9029999.5090381484</v>
      </c>
      <c r="D15" s="11">
        <v>2.2550000000000001E-2</v>
      </c>
      <c r="E15" s="10">
        <f t="shared" si="2"/>
        <v>199135.97274344601</v>
      </c>
      <c r="F15" s="3"/>
      <c r="G15" s="26">
        <v>2.8</v>
      </c>
      <c r="H15" s="10"/>
      <c r="I15" s="10">
        <f t="shared" si="5"/>
        <v>2105.086279282641</v>
      </c>
      <c r="J15" s="10">
        <f t="shared" si="3"/>
        <v>19008928068.40519</v>
      </c>
      <c r="K15" s="11">
        <f t="shared" si="4"/>
        <v>5.1181399999999933E-2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8830863.5362947024</v>
      </c>
      <c r="D16" s="11">
        <v>8.5000000000000006E-3</v>
      </c>
      <c r="E16" s="10">
        <f t="shared" si="2"/>
        <v>74429.687712945044</v>
      </c>
      <c r="F16" s="3"/>
      <c r="G16" s="26">
        <v>4.2</v>
      </c>
      <c r="H16" s="10"/>
      <c r="I16" s="10">
        <f t="shared" si="5"/>
        <v>2047.7492989130749</v>
      </c>
      <c r="J16" s="10">
        <f t="shared" si="3"/>
        <v>18083394615.244514</v>
      </c>
      <c r="K16" s="11">
        <f t="shared" si="4"/>
        <v>5.085699999999993E-2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8756433.8485817574</v>
      </c>
      <c r="D17" s="11">
        <v>1.7749999999999998E-2</v>
      </c>
      <c r="E17" s="10">
        <f t="shared" si="2"/>
        <v>152715.99195512198</v>
      </c>
      <c r="F17" s="3"/>
      <c r="G17" s="26">
        <v>2.1</v>
      </c>
      <c r="H17" s="10"/>
      <c r="I17" s="10">
        <f t="shared" si="5"/>
        <v>1965.2104596094769</v>
      </c>
      <c r="J17" s="10">
        <f t="shared" si="3"/>
        <v>17208235388.111336</v>
      </c>
      <c r="K17" s="11">
        <f t="shared" si="4"/>
        <v>3.9122749999999762E-2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8603717.8566266354</v>
      </c>
      <c r="D18" s="11">
        <v>2.1510000000000001E-2</v>
      </c>
      <c r="E18" s="10">
        <f t="shared" si="2"/>
        <v>181169.02536053397</v>
      </c>
      <c r="F18" s="3"/>
      <c r="G18" s="26">
        <v>-1.4</v>
      </c>
      <c r="H18" s="10"/>
      <c r="I18" s="10">
        <f t="shared" si="5"/>
        <v>1924.7898722913585</v>
      </c>
      <c r="J18" s="10">
        <f t="shared" si="3"/>
        <v>16560348994.487263</v>
      </c>
      <c r="K18" s="11">
        <f t="shared" si="4"/>
        <v>7.2088599999999836E-3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8422548.8312661014</v>
      </c>
      <c r="D19" s="11">
        <v>2.332E-2</v>
      </c>
      <c r="E19" s="10">
        <f t="shared" si="2"/>
        <v>191937.84812680911</v>
      </c>
      <c r="F19" s="3"/>
      <c r="G19" s="26">
        <v>2.2999999999999998</v>
      </c>
      <c r="H19" s="10"/>
      <c r="I19" s="10">
        <f t="shared" si="5"/>
        <v>1952.1195459344408</v>
      </c>
      <c r="J19" s="10">
        <f t="shared" si="3"/>
        <v>16441822200.101837</v>
      </c>
      <c r="K19" s="11">
        <f t="shared" si="4"/>
        <v>4.6856360000000041E-2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8230610.9831392923</v>
      </c>
      <c r="D20" s="11">
        <v>1.422E-2</v>
      </c>
      <c r="E20" s="10">
        <f t="shared" si="2"/>
        <v>115398.32401277777</v>
      </c>
      <c r="F20" s="3"/>
      <c r="G20" s="26">
        <v>5.7</v>
      </c>
      <c r="H20" s="10"/>
      <c r="I20" s="10">
        <f t="shared" si="5"/>
        <v>1908.2302501802942</v>
      </c>
      <c r="J20" s="10">
        <f t="shared" si="3"/>
        <v>15705900855.492569</v>
      </c>
      <c r="K20" s="11">
        <f t="shared" si="4"/>
        <v>7.2030539999999865E-2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8115212.6591265146</v>
      </c>
      <c r="D21" s="11">
        <v>2.7019999999999999E-2</v>
      </c>
      <c r="E21" s="10">
        <f t="shared" si="2"/>
        <v>213504.16355046537</v>
      </c>
      <c r="F21" s="3"/>
      <c r="G21" s="26">
        <v>1</v>
      </c>
      <c r="H21" s="10"/>
      <c r="I21" s="10">
        <f t="shared" si="5"/>
        <v>1805.3266321478659</v>
      </c>
      <c r="J21" s="10">
        <f t="shared" si="3"/>
        <v>14650609539.064598</v>
      </c>
      <c r="K21" s="11">
        <f t="shared" si="4"/>
        <v>3.729019999999994E-2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7901708.4955760492</v>
      </c>
      <c r="D22" s="11">
        <v>2.9610000000000001E-2</v>
      </c>
      <c r="E22" s="10">
        <f t="shared" si="2"/>
        <v>227240.98304601386</v>
      </c>
      <c r="F22" s="3"/>
      <c r="G22" s="26">
        <v>0</v>
      </c>
      <c r="H22" s="10"/>
      <c r="I22" s="10">
        <f t="shared" si="5"/>
        <v>1787.452111037491</v>
      </c>
      <c r="J22" s="10">
        <f t="shared" si="3"/>
        <v>14123925531.220287</v>
      </c>
      <c r="K22" s="11">
        <f t="shared" si="4"/>
        <v>2.9609999999999914E-2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7674467.5125300353</v>
      </c>
      <c r="D23" s="11">
        <v>2.623E-2</v>
      </c>
      <c r="E23" s="10">
        <f t="shared" si="2"/>
        <v>196156.10813722294</v>
      </c>
      <c r="F23" s="3"/>
      <c r="G23" s="26">
        <v>3.4</v>
      </c>
      <c r="H23" s="10"/>
      <c r="I23" s="10">
        <f t="shared" si="5"/>
        <v>1787.452111037491</v>
      </c>
      <c r="J23" s="10">
        <f t="shared" si="3"/>
        <v>13717743156.360455</v>
      </c>
      <c r="K23" s="11">
        <f t="shared" si="4"/>
        <v>6.1121819999999882E-2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7478311.4043928124</v>
      </c>
      <c r="D24" s="11">
        <v>3.3849999999999998E-2</v>
      </c>
      <c r="E24" s="10">
        <f t="shared" si="2"/>
        <v>244852.5811662199</v>
      </c>
      <c r="F24" s="3"/>
      <c r="G24" s="26">
        <v>-6.7</v>
      </c>
      <c r="H24" s="10"/>
      <c r="I24" s="10">
        <f t="shared" si="5"/>
        <v>1728.6770899782312</v>
      </c>
      <c r="J24" s="10">
        <f t="shared" si="3"/>
        <v>12927585596.496786</v>
      </c>
      <c r="K24" s="11">
        <f t="shared" si="4"/>
        <v>-3.5417950000000031E-2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7233458.8232265925</v>
      </c>
      <c r="D25" s="11">
        <v>2.6960000000000001E-2</v>
      </c>
      <c r="E25" s="10">
        <f t="shared" si="2"/>
        <v>189894.49430765491</v>
      </c>
      <c r="F25" s="3"/>
      <c r="G25" s="26">
        <v>0.4</v>
      </c>
      <c r="H25" s="10"/>
      <c r="I25" s="10">
        <f t="shared" si="5"/>
        <v>1852.8157448855638</v>
      </c>
      <c r="J25" s="10">
        <f t="shared" si="3"/>
        <v>13402266397.655634</v>
      </c>
      <c r="K25" s="11">
        <f t="shared" si="4"/>
        <v>3.106784000000018E-2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7043564.3289189376</v>
      </c>
      <c r="D26" s="11">
        <v>3.7039999999999997E-2</v>
      </c>
      <c r="E26" s="10">
        <f t="shared" si="2"/>
        <v>251575.27457297407</v>
      </c>
      <c r="F26" s="3"/>
      <c r="G26" s="26">
        <v>2.7</v>
      </c>
      <c r="H26" s="10"/>
      <c r="I26" s="10">
        <f t="shared" si="5"/>
        <v>1845.4340088501631</v>
      </c>
      <c r="J26" s="10">
        <f t="shared" si="3"/>
        <v>12998433156.110884</v>
      </c>
      <c r="K26" s="11">
        <f t="shared" si="4"/>
        <v>6.5040079999999945E-2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6791989.0543459635</v>
      </c>
      <c r="D27" s="11">
        <v>4.3150000000000001E-2</v>
      </c>
      <c r="E27" s="10">
        <f t="shared" si="2"/>
        <v>280951.27996455785</v>
      </c>
      <c r="F27" s="3"/>
      <c r="G27" s="26">
        <v>-4.5</v>
      </c>
      <c r="H27" s="10"/>
      <c r="I27" s="10">
        <f t="shared" si="5"/>
        <v>1796.917243281561</v>
      </c>
      <c r="J27" s="10">
        <f t="shared" si="3"/>
        <v>12204642247.933886</v>
      </c>
      <c r="K27" s="11">
        <f t="shared" si="4"/>
        <v>-3.7917499999999826E-3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6511037.7743814057</v>
      </c>
      <c r="D28" s="11">
        <v>2.5669999999999998E-2</v>
      </c>
      <c r="E28" s="10">
        <f t="shared" si="2"/>
        <v>162955.27769006696</v>
      </c>
      <c r="F28" s="3"/>
      <c r="G28" s="26">
        <v>4.2</v>
      </c>
      <c r="H28" s="10"/>
      <c r="I28" s="10">
        <f t="shared" si="5"/>
        <v>1881.5887364204827</v>
      </c>
      <c r="J28" s="10">
        <f t="shared" si="3"/>
        <v>12251095338.684341</v>
      </c>
      <c r="K28" s="11">
        <f t="shared" si="4"/>
        <v>6.8748140000000069E-2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6348082.4966913387</v>
      </c>
      <c r="D29" s="11">
        <v>2.6239999999999999E-2</v>
      </c>
      <c r="E29" s="10">
        <f t="shared" si="2"/>
        <v>162314.55089762714</v>
      </c>
      <c r="F29" s="3"/>
      <c r="G29" s="26">
        <v>7.8</v>
      </c>
      <c r="H29" s="10"/>
      <c r="I29" s="10">
        <f t="shared" si="5"/>
        <v>1805.7473478123634</v>
      </c>
      <c r="J29" s="10">
        <f t="shared" si="3"/>
        <v>11463033132.094471</v>
      </c>
      <c r="K29" s="11">
        <f t="shared" si="4"/>
        <v>0.10628671999999995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6185767.9457937116</v>
      </c>
      <c r="D30" s="11">
        <v>2.6069999999999999E-2</v>
      </c>
      <c r="E30" s="10">
        <f t="shared" si="2"/>
        <v>157165.66155022755</v>
      </c>
      <c r="F30" s="3"/>
      <c r="G30" s="26">
        <v>-6.2</v>
      </c>
      <c r="H30" s="10"/>
      <c r="I30" s="10">
        <f t="shared" si="5"/>
        <v>1675.0903040931014</v>
      </c>
      <c r="J30" s="10">
        <f t="shared" si="3"/>
        <v>10361719909.368948</v>
      </c>
      <c r="K30" s="11">
        <f t="shared" si="4"/>
        <v>-3.7546340000000011E-2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6028602.284243484</v>
      </c>
      <c r="D31" s="11">
        <v>2.5260000000000001E-2</v>
      </c>
      <c r="E31" s="10">
        <f t="shared" si="2"/>
        <v>148530.61047928408</v>
      </c>
      <c r="F31" s="3"/>
      <c r="G31" s="26">
        <v>0.8</v>
      </c>
      <c r="H31" s="10"/>
      <c r="I31" s="10">
        <f t="shared" si="5"/>
        <v>1785.8105587346497</v>
      </c>
      <c r="J31" s="10">
        <f t="shared" si="3"/>
        <v>10765941613.613842</v>
      </c>
      <c r="K31" s="11">
        <f t="shared" si="4"/>
        <v>3.3462080000000061E-2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5880071.6737641999</v>
      </c>
      <c r="D32" s="11">
        <v>2.4129999999999999E-2</v>
      </c>
      <c r="E32" s="10">
        <f t="shared" si="2"/>
        <v>138543.08485048823</v>
      </c>
      <c r="F32" s="3"/>
      <c r="G32" s="26">
        <v>2</v>
      </c>
      <c r="H32" s="10"/>
      <c r="I32" s="10">
        <f t="shared" si="5"/>
        <v>1771.6374590621524</v>
      </c>
      <c r="J32" s="10">
        <f t="shared" si="3"/>
        <v>10417355239.210945</v>
      </c>
      <c r="K32" s="11">
        <f t="shared" si="4"/>
        <v>4.4612600000000224E-2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5741528.5889137117</v>
      </c>
      <c r="D33" s="11">
        <v>2.2849999999999999E-2</v>
      </c>
      <c r="E33" s="10">
        <f t="shared" si="2"/>
        <v>128263.11605482548</v>
      </c>
      <c r="F33" s="3"/>
      <c r="G33" s="26">
        <v>-1.9</v>
      </c>
      <c r="H33" s="10"/>
      <c r="I33" s="10">
        <f t="shared" si="5"/>
        <v>1736.8994696687769</v>
      </c>
      <c r="J33" s="10">
        <f t="shared" si="3"/>
        <v>9972457961.1723461</v>
      </c>
      <c r="K33" s="11">
        <f t="shared" si="4"/>
        <v>3.415849999999887E-3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5613265.4728588862</v>
      </c>
      <c r="D34" s="11">
        <v>2.1530000000000001E-2</v>
      </c>
      <c r="E34" s="10">
        <f t="shared" si="2"/>
        <v>118306.46738779265</v>
      </c>
      <c r="F34" s="3"/>
      <c r="G34" s="26">
        <v>-5.2</v>
      </c>
      <c r="H34" s="10"/>
      <c r="I34" s="10">
        <f t="shared" si="5"/>
        <v>1770.539724433004</v>
      </c>
      <c r="J34" s="10">
        <f t="shared" ref="J34:J65" si="6">IF(I34="","",I34*C34)</f>
        <v>9938509503.484869</v>
      </c>
      <c r="K34" s="11">
        <f t="shared" ref="K34:K65" si="7">IFERROR(J34/J35-1,"")</f>
        <v>-1.8309669999999945E-2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5494959.0054710936</v>
      </c>
      <c r="D35" s="11">
        <v>2.0760000000000001E-2</v>
      </c>
      <c r="E35" s="10">
        <f t="shared" si="2"/>
        <v>111755.30874405429</v>
      </c>
      <c r="F35" s="3"/>
      <c r="G35" s="26">
        <v>-6.9</v>
      </c>
      <c r="H35" s="10"/>
      <c r="I35" s="10">
        <f t="shared" ref="I35:I66" si="8">IF(H35&lt;&gt;"",H35,I34/(1+IF(G34="",0,G34)/100))</f>
        <v>1842.3930535202956</v>
      </c>
      <c r="J35" s="10">
        <f t="shared" si="6"/>
        <v>10123874301.058735</v>
      </c>
      <c r="K35" s="11">
        <f t="shared" si="7"/>
        <v>-2.2111919999999952E-2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5383203.6967270393</v>
      </c>
      <c r="D36" s="11">
        <v>1.941E-2</v>
      </c>
      <c r="E36" s="10">
        <f t="shared" si="2"/>
        <v>102498.48809946049</v>
      </c>
      <c r="F36" s="3"/>
      <c r="G36" s="26">
        <v>2.3</v>
      </c>
      <c r="H36" s="10"/>
      <c r="I36" s="10">
        <f t="shared" si="8"/>
        <v>1923.1660266391395</v>
      </c>
      <c r="J36" s="10">
        <f t="shared" si="6"/>
        <v>10352794464.023668</v>
      </c>
      <c r="K36" s="11">
        <f t="shared" si="7"/>
        <v>9.1788109999999756E-2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5280705.2086275788</v>
      </c>
      <c r="D37" s="11">
        <v>1.821E-2</v>
      </c>
      <c r="E37" s="10">
        <f t="shared" si="2"/>
        <v>94441.855657584034</v>
      </c>
      <c r="F37" s="3"/>
      <c r="G37" s="26">
        <v>-14.1</v>
      </c>
      <c r="H37" s="10"/>
      <c r="I37" s="10">
        <f t="shared" si="8"/>
        <v>1795.6732274875253</v>
      </c>
      <c r="J37" s="10">
        <f t="shared" si="6"/>
        <v>9482420965.3864708</v>
      </c>
      <c r="K37" s="11">
        <f t="shared" si="7"/>
        <v>-7.1392479999999869E-2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5186263.3529699948</v>
      </c>
      <c r="D38" s="11">
        <v>1.702E-2</v>
      </c>
      <c r="E38" s="10">
        <f t="shared" si="2"/>
        <v>86792.985651756637</v>
      </c>
      <c r="F38" s="3"/>
      <c r="G38" s="26">
        <v>-4.3</v>
      </c>
      <c r="H38" s="10"/>
      <c r="I38" s="10">
        <f t="shared" si="8"/>
        <v>1968.9399424205321</v>
      </c>
      <c r="J38" s="10">
        <f t="shared" si="6"/>
        <v>10211441067.574457</v>
      </c>
      <c r="K38" s="11">
        <f t="shared" si="7"/>
        <v>1.0917880000000046E-2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5099470.3673182381</v>
      </c>
      <c r="D39" s="11">
        <v>1.609E-2</v>
      </c>
      <c r="E39" s="10">
        <f t="shared" si="2"/>
        <v>80751.191538298503</v>
      </c>
      <c r="F39" s="3"/>
      <c r="G39" s="26">
        <v>6.6</v>
      </c>
      <c r="H39" s="10"/>
      <c r="I39" s="10">
        <f t="shared" si="8"/>
        <v>1980.8248917711592</v>
      </c>
      <c r="J39" s="10">
        <f t="shared" si="6"/>
        <v>10101157838.433382</v>
      </c>
      <c r="K39" s="11">
        <f t="shared" si="7"/>
        <v>8.3151939999999813E-2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5018719.1757799396</v>
      </c>
      <c r="D40" s="11">
        <v>1.562E-2</v>
      </c>
      <c r="E40" s="10">
        <f t="shared" si="2"/>
        <v>77186.736698452383</v>
      </c>
      <c r="F40" s="3"/>
      <c r="G40" s="26">
        <v>10.199999999999999</v>
      </c>
      <c r="H40" s="10"/>
      <c r="I40" s="10">
        <f t="shared" si="8"/>
        <v>1858.1847014738828</v>
      </c>
      <c r="J40" s="10">
        <f t="shared" si="6"/>
        <v>9325707193.4278984</v>
      </c>
      <c r="K40" s="11">
        <f t="shared" si="7"/>
        <v>0.11921324000000011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4941532.4390814872</v>
      </c>
      <c r="D41" s="11">
        <v>1.549E-2</v>
      </c>
      <c r="E41" s="10">
        <f t="shared" si="2"/>
        <v>75376.751599102281</v>
      </c>
      <c r="F41" s="3"/>
      <c r="G41" s="26">
        <v>8.8000000000000007</v>
      </c>
      <c r="H41" s="10"/>
      <c r="I41" s="10">
        <f t="shared" si="8"/>
        <v>1686.1930140416357</v>
      </c>
      <c r="J41" s="10">
        <f t="shared" si="6"/>
        <v>8332377477.4393282</v>
      </c>
      <c r="K41" s="11">
        <f t="shared" si="7"/>
        <v>0.10485312000000002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4866155.687482385</v>
      </c>
      <c r="D42" s="11">
        <v>1.5699999999999999E-2</v>
      </c>
      <c r="E42" s="10">
        <f t="shared" si="2"/>
        <v>75217.725995346904</v>
      </c>
      <c r="F42" s="3"/>
      <c r="G42" s="26">
        <v>-2.8</v>
      </c>
      <c r="H42" s="10"/>
      <c r="I42" s="10">
        <f t="shared" si="8"/>
        <v>1549.8097555529739</v>
      </c>
      <c r="J42" s="10">
        <f t="shared" si="6"/>
        <v>7541615556.4997883</v>
      </c>
      <c r="K42" s="11">
        <f t="shared" si="7"/>
        <v>-1.2739600000000073E-2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4790937.9614870381</v>
      </c>
      <c r="D43" s="11">
        <v>1.6080000000000001E-2</v>
      </c>
      <c r="E43" s="10">
        <f t="shared" si="2"/>
        <v>75819.111113999039</v>
      </c>
      <c r="F43" s="3"/>
      <c r="G43" s="26">
        <v>0.4</v>
      </c>
      <c r="H43" s="10"/>
      <c r="I43" s="10">
        <f t="shared" si="8"/>
        <v>1594.4544810215782</v>
      </c>
      <c r="J43" s="10">
        <f t="shared" si="6"/>
        <v>7638932500.9893932</v>
      </c>
      <c r="K43" s="11">
        <f t="shared" si="7"/>
        <v>2.0144319999999993E-2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4715118.850373039</v>
      </c>
      <c r="D44" s="11">
        <v>1.6580000000000001E-2</v>
      </c>
      <c r="E44" s="10">
        <f t="shared" si="2"/>
        <v>76901.641325999983</v>
      </c>
      <c r="F44" s="3"/>
      <c r="G44" s="26">
        <v>-1.8</v>
      </c>
      <c r="H44" s="10"/>
      <c r="I44" s="10">
        <f t="shared" si="8"/>
        <v>1588.1020727306557</v>
      </c>
      <c r="J44" s="10">
        <f t="shared" si="6"/>
        <v>7488090019.4488096</v>
      </c>
      <c r="K44" s="11">
        <f t="shared" si="7"/>
        <v>-1.7184400000000988E-3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4638217.209047039</v>
      </c>
      <c r="D45" s="11">
        <v>1.7010000000000001E-2</v>
      </c>
      <c r="E45" s="10">
        <f t="shared" si="2"/>
        <v>77576.498486632481</v>
      </c>
      <c r="F45" s="3"/>
      <c r="G45" s="26">
        <v>-0.6</v>
      </c>
      <c r="H45" s="10"/>
      <c r="I45" s="10">
        <f t="shared" si="8"/>
        <v>1617.2118866910955</v>
      </c>
      <c r="J45" s="10">
        <f t="shared" si="6"/>
        <v>7500980003.5260696</v>
      </c>
      <c r="K45" s="11">
        <f t="shared" si="7"/>
        <v>1.090794000000006E-2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4560640.7105604066</v>
      </c>
      <c r="D46" s="11">
        <v>1.7639999999999999E-2</v>
      </c>
      <c r="E46" s="10">
        <f t="shared" si="2"/>
        <v>79055.16895393841</v>
      </c>
      <c r="F46" s="3"/>
      <c r="G46" s="26">
        <v>3.9</v>
      </c>
      <c r="H46" s="10"/>
      <c r="I46" s="10">
        <f t="shared" si="8"/>
        <v>1626.9737290654884</v>
      </c>
      <c r="J46" s="10">
        <f t="shared" si="6"/>
        <v>7420042623.7883434</v>
      </c>
      <c r="K46" s="11">
        <f t="shared" si="7"/>
        <v>5.7327960000000067E-2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4481585.5416064681</v>
      </c>
      <c r="D47" s="11">
        <v>1.8350000000000002E-2</v>
      </c>
      <c r="E47" s="10">
        <f t="shared" si="2"/>
        <v>80755.236105934717</v>
      </c>
      <c r="F47" s="3"/>
      <c r="G47" s="26">
        <v>2.7</v>
      </c>
      <c r="H47" s="10"/>
      <c r="I47" s="10">
        <f t="shared" si="8"/>
        <v>1565.903492844551</v>
      </c>
      <c r="J47" s="10">
        <f t="shared" si="6"/>
        <v>7017730453.0832071</v>
      </c>
      <c r="K47" s="11">
        <f t="shared" si="7"/>
        <v>4.5845449999999843E-2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4400830.3055005334</v>
      </c>
      <c r="D48" s="11">
        <v>1.9050000000000001E-2</v>
      </c>
      <c r="E48" s="10">
        <f t="shared" si="2"/>
        <v>82268.600480629131</v>
      </c>
      <c r="F48" s="3"/>
      <c r="G48" s="26">
        <v>4.5</v>
      </c>
      <c r="H48" s="10"/>
      <c r="I48" s="10">
        <f t="shared" si="8"/>
        <v>1524.7356308126107</v>
      </c>
      <c r="J48" s="10">
        <f t="shared" si="6"/>
        <v>6710102771.9566097</v>
      </c>
      <c r="K48" s="11">
        <f t="shared" si="7"/>
        <v>6.4907249999999639E-2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4318561.7050199043</v>
      </c>
      <c r="D49" s="11">
        <v>1.9310000000000001E-2</v>
      </c>
      <c r="E49" s="10">
        <f t="shared" si="2"/>
        <v>81811.643684388138</v>
      </c>
      <c r="F49" s="3"/>
      <c r="G49" s="26">
        <v>7.6</v>
      </c>
      <c r="H49" s="10"/>
      <c r="I49" s="10">
        <f t="shared" si="8"/>
        <v>1459.0771586723549</v>
      </c>
      <c r="J49" s="10">
        <f t="shared" si="6"/>
        <v>6301114742.1116829</v>
      </c>
      <c r="K49" s="11">
        <f t="shared" si="7"/>
        <v>9.6777559999999818E-2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4236750.0613355162</v>
      </c>
      <c r="D50" s="11">
        <v>1.9120000000000002E-2</v>
      </c>
      <c r="E50" s="10">
        <f t="shared" si="2"/>
        <v>79486.87217671657</v>
      </c>
      <c r="F50" s="3"/>
      <c r="G50" s="26">
        <v>12.1</v>
      </c>
      <c r="H50" s="10"/>
      <c r="I50" s="10">
        <f t="shared" si="8"/>
        <v>1356.0196641936384</v>
      </c>
      <c r="J50" s="10">
        <f t="shared" si="6"/>
        <v>5745116395.4445639</v>
      </c>
      <c r="K50" s="11">
        <f t="shared" si="7"/>
        <v>0.1424335200000002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4157263.1891587996</v>
      </c>
      <c r="D51" s="11">
        <v>1.8859999999999998E-2</v>
      </c>
      <c r="E51" s="10">
        <f t="shared" si="2"/>
        <v>76954.619621474296</v>
      </c>
      <c r="F51" s="3"/>
      <c r="G51" s="26">
        <v>19.2</v>
      </c>
      <c r="H51" s="10"/>
      <c r="I51" s="10">
        <f t="shared" si="8"/>
        <v>1209.6517967829068</v>
      </c>
      <c r="J51" s="10">
        <f t="shared" si="6"/>
        <v>5028840886.4653788</v>
      </c>
      <c r="K51" s="11">
        <f t="shared" si="7"/>
        <v>0.21448112000000008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4080308.5695373253</v>
      </c>
      <c r="D52" s="11">
        <v>1.8540000000000001E-2</v>
      </c>
      <c r="E52" s="10">
        <f t="shared" si="2"/>
        <v>74271.91949184332</v>
      </c>
      <c r="F52" s="3"/>
      <c r="G52" s="26">
        <v>12</v>
      </c>
      <c r="H52" s="10"/>
      <c r="I52" s="10">
        <f t="shared" si="8"/>
        <v>1014.8085543480762</v>
      </c>
      <c r="J52" s="10">
        <f t="shared" si="6"/>
        <v>4140732040.7462397</v>
      </c>
      <c r="K52" s="11">
        <f t="shared" si="7"/>
        <v>0.14076479999999991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4006036.650045482</v>
      </c>
      <c r="D53" s="11">
        <v>1.8290000000000001E-2</v>
      </c>
      <c r="E53" s="10">
        <f t="shared" si="2"/>
        <v>71954.364993598778</v>
      </c>
      <c r="F53" s="3"/>
      <c r="G53" s="26">
        <v>6.5</v>
      </c>
      <c r="H53" s="10"/>
      <c r="I53" s="10">
        <f t="shared" si="8"/>
        <v>906.07906638221084</v>
      </c>
      <c r="J53" s="10">
        <f t="shared" si="6"/>
        <v>3629785947.76613</v>
      </c>
      <c r="K53" s="11">
        <f t="shared" si="7"/>
        <v>8.4478849999999994E-2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3934082.2850518832</v>
      </c>
      <c r="D54" s="11">
        <v>1.804E-2</v>
      </c>
      <c r="E54" s="10">
        <f t="shared" si="2"/>
        <v>69713.217970154714</v>
      </c>
      <c r="F54" s="3"/>
      <c r="G54" s="26">
        <v>5.6</v>
      </c>
      <c r="H54" s="10"/>
      <c r="I54" s="10">
        <f t="shared" si="8"/>
        <v>850.77846608658297</v>
      </c>
      <c r="J54" s="10">
        <f t="shared" si="6"/>
        <v>3347032491.9348402</v>
      </c>
      <c r="K54" s="11">
        <f t="shared" si="7"/>
        <v>7.5050240000000157E-2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3864369.0670817285</v>
      </c>
      <c r="D55" s="11">
        <v>1.7829999999999999E-2</v>
      </c>
      <c r="E55" s="10">
        <f t="shared" si="2"/>
        <v>67694.703895608429</v>
      </c>
      <c r="F55" s="3"/>
      <c r="G55" s="26">
        <v>3.9</v>
      </c>
      <c r="H55" s="10"/>
      <c r="I55" s="10">
        <f t="shared" si="8"/>
        <v>805.66142621835502</v>
      </c>
      <c r="J55" s="10">
        <f t="shared" si="6"/>
        <v>3113373094.0191593</v>
      </c>
      <c r="K55" s="11">
        <f t="shared" si="7"/>
        <v>5.752537000000002E-2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3796674.3631861201</v>
      </c>
      <c r="D56" s="11">
        <v>1.762E-2</v>
      </c>
      <c r="E56" s="10">
        <f t="shared" si="2"/>
        <v>65739.079695111606</v>
      </c>
      <c r="F56" s="3"/>
      <c r="G56" s="26">
        <v>4.8</v>
      </c>
      <c r="H56" s="10"/>
      <c r="I56" s="10">
        <f t="shared" si="8"/>
        <v>775.4200444834986</v>
      </c>
      <c r="J56" s="10">
        <f t="shared" si="6"/>
        <v>2944017403.5911398</v>
      </c>
      <c r="K56" s="11">
        <f t="shared" si="7"/>
        <v>6.646576000000004E-2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3730935.2834910084</v>
      </c>
      <c r="D57" s="11">
        <v>1.7389999999999999E-2</v>
      </c>
      <c r="E57" s="10">
        <f t="shared" si="2"/>
        <v>63771.970021239482</v>
      </c>
      <c r="F57" s="3"/>
      <c r="G57" s="26">
        <v>8.4</v>
      </c>
      <c r="H57" s="10"/>
      <c r="I57" s="10">
        <f t="shared" si="8"/>
        <v>739.90462259875812</v>
      </c>
      <c r="J57" s="10">
        <f t="shared" si="6"/>
        <v>2760536262.8718052</v>
      </c>
      <c r="K57" s="11">
        <f t="shared" si="7"/>
        <v>0.10285076000000015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3667163.313469769</v>
      </c>
      <c r="D58" s="11">
        <v>1.72E-2</v>
      </c>
      <c r="E58" s="10">
        <f t="shared" si="2"/>
        <v>62008.660039009526</v>
      </c>
      <c r="F58" s="3"/>
      <c r="G58" s="26">
        <v>7.9</v>
      </c>
      <c r="H58" s="10"/>
      <c r="I58" s="10">
        <f t="shared" si="8"/>
        <v>682.56884003575465</v>
      </c>
      <c r="J58" s="10">
        <f t="shared" si="6"/>
        <v>2503091409.0967345</v>
      </c>
      <c r="K58" s="11">
        <f t="shared" si="7"/>
        <v>9.7558800000000057E-2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3605154.6534307594</v>
      </c>
      <c r="D59" s="11">
        <v>1.704E-2</v>
      </c>
      <c r="E59" s="10">
        <f t="shared" si="2"/>
        <v>60402.575409482233</v>
      </c>
      <c r="F59" s="3"/>
      <c r="G59" s="26">
        <v>4.99</v>
      </c>
      <c r="H59" s="10"/>
      <c r="I59" s="10">
        <f t="shared" si="8"/>
        <v>632.59392032970777</v>
      </c>
      <c r="J59" s="10">
        <f t="shared" si="6"/>
        <v>2280598915.6086531</v>
      </c>
      <c r="K59" s="11">
        <f t="shared" si="7"/>
        <v>6.7790296000000083E-2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3544752.0780212772</v>
      </c>
      <c r="D60" s="11">
        <v>1.687E-2</v>
      </c>
      <c r="E60" s="10">
        <f t="shared" si="2"/>
        <v>58807.878643502947</v>
      </c>
      <c r="F60" s="3"/>
      <c r="G60" s="26">
        <v>4.26</v>
      </c>
      <c r="H60" s="10"/>
      <c r="I60" s="10">
        <f t="shared" si="8"/>
        <v>602.52778391247523</v>
      </c>
      <c r="J60" s="10">
        <f t="shared" si="6"/>
        <v>2135811614.0893016</v>
      </c>
      <c r="K60" s="11">
        <f t="shared" si="7"/>
        <v>6.0188662000000059E-2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3485944.1993777743</v>
      </c>
      <c r="D61" s="11">
        <v>1.6650000000000002E-2</v>
      </c>
      <c r="E61" s="10">
        <f t="shared" si="2"/>
        <v>57090.415501539595</v>
      </c>
      <c r="F61" s="3"/>
      <c r="G61" s="26">
        <v>4.57</v>
      </c>
      <c r="H61" s="10"/>
      <c r="I61" s="10">
        <f t="shared" si="8"/>
        <v>577.90886621185041</v>
      </c>
      <c r="J61" s="10">
        <f t="shared" si="6"/>
        <v>2014558059.940186</v>
      </c>
      <c r="K61" s="11">
        <f t="shared" si="7"/>
        <v>6.3110905000000272E-2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3428853.7838762347</v>
      </c>
      <c r="D62" s="11">
        <v>1.651E-2</v>
      </c>
      <c r="E62" s="10">
        <f t="shared" si="2"/>
        <v>55690.918900745455</v>
      </c>
      <c r="F62" s="3"/>
      <c r="G62" s="26">
        <v>2.87</v>
      </c>
      <c r="H62" s="10"/>
      <c r="I62" s="10">
        <f t="shared" si="8"/>
        <v>552.65264053920851</v>
      </c>
      <c r="J62" s="10">
        <f t="shared" si="6"/>
        <v>1894965097.6820576</v>
      </c>
      <c r="K62" s="11">
        <f t="shared" si="7"/>
        <v>4.5683836999999894E-2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3373162.8649754892</v>
      </c>
      <c r="D63" s="11">
        <v>1.6379999999999999E-2</v>
      </c>
      <c r="E63" s="10">
        <f t="shared" si="2"/>
        <v>54361.958842459135</v>
      </c>
      <c r="F63" s="3"/>
      <c r="G63" s="26">
        <v>5.42</v>
      </c>
      <c r="H63" s="10"/>
      <c r="I63" s="10">
        <f t="shared" si="8"/>
        <v>537.23402404900219</v>
      </c>
      <c r="J63" s="10">
        <f t="shared" si="6"/>
        <v>1812177859.723443</v>
      </c>
      <c r="K63" s="11">
        <f t="shared" si="7"/>
        <v>7.1467795999999861E-2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3318800.9061330301</v>
      </c>
      <c r="D64" s="11">
        <v>1.626E-2</v>
      </c>
      <c r="E64" s="10">
        <f t="shared" si="2"/>
        <v>53100.291986030061</v>
      </c>
      <c r="F64" s="3"/>
      <c r="G64" s="26">
        <v>5</v>
      </c>
      <c r="H64" s="10"/>
      <c r="I64" s="10">
        <f t="shared" si="8"/>
        <v>509.61299947733085</v>
      </c>
      <c r="J64" s="10">
        <f t="shared" si="6"/>
        <v>1691304084.4425371</v>
      </c>
      <c r="K64" s="11">
        <f t="shared" si="7"/>
        <v>6.7072999999999938E-2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3265700.614147</v>
      </c>
      <c r="D65" s="11">
        <v>1.6150000000000001E-2</v>
      </c>
      <c r="E65" s="10">
        <f t="shared" si="2"/>
        <v>51902.83414700022</v>
      </c>
      <c r="F65" s="3"/>
      <c r="G65" s="26">
        <v>3.02</v>
      </c>
      <c r="H65" s="10"/>
      <c r="I65" s="10">
        <f t="shared" si="8"/>
        <v>485.34571378793413</v>
      </c>
      <c r="J65" s="10">
        <f t="shared" si="6"/>
        <v>1584993795.5908706</v>
      </c>
      <c r="K65" s="11">
        <f t="shared" si="7"/>
        <v>4.6837730000000022E-2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3213797.78</v>
      </c>
      <c r="D66" s="11">
        <v>1.6060000000000001E-2</v>
      </c>
      <c r="E66" s="10">
        <f t="shared" si="2"/>
        <v>50797.779999999795</v>
      </c>
      <c r="F66" s="23">
        <f>SUM(F2)</f>
        <v>12224862</v>
      </c>
      <c r="G66" s="26">
        <v>5.7</v>
      </c>
      <c r="H66" s="10"/>
      <c r="I66" s="10">
        <f t="shared" si="8"/>
        <v>471.1179516481597</v>
      </c>
      <c r="J66" s="10">
        <f t="shared" ref="J66:J67" si="9">IF(I66="","",I66*C66)</f>
        <v>1514077827.1250029</v>
      </c>
      <c r="K66" s="11">
        <f t="shared" ref="K66" si="10">IFERROR(J66/J67-1,"")</f>
        <v>7.3975419999999792E-2</v>
      </c>
    </row>
    <row r="67" spans="1:11" ht="22.5" customHeight="1">
      <c r="A67" s="3">
        <f t="shared" si="0"/>
        <v>1950</v>
      </c>
      <c r="B67" s="3">
        <v>1700</v>
      </c>
      <c r="C67" s="10">
        <v>3163000</v>
      </c>
      <c r="D67" s="11">
        <v>1.6070000000000001E-2</v>
      </c>
      <c r="E67" s="3" t="s">
        <v>72</v>
      </c>
      <c r="F67" s="10">
        <f>SUM(C2)</f>
        <v>12224664.698043607</v>
      </c>
      <c r="G67" s="26">
        <v>3.9</v>
      </c>
      <c r="H67" s="10"/>
      <c r="I67" s="10">
        <f t="shared" ref="I67" si="11">IF(H67&lt;&gt;"",H67,I66/(1+IF(G66="",0,G66)/100))</f>
        <v>445.71234782228925</v>
      </c>
      <c r="J67" s="10">
        <f t="shared" si="9"/>
        <v>1409788156.161901</v>
      </c>
      <c r="K67" s="11"/>
    </row>
  </sheetData>
  <dataValidations count="1">
    <dataValidation type="custom" allowBlank="1" showDropDown="1" sqref="D2:D67" xr:uid="{00000000-0002-0000-5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M67"/>
  <sheetViews>
    <sheetView topLeftCell="A6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16303297.541242715</v>
      </c>
      <c r="D2" s="11">
        <v>9.75E-3</v>
      </c>
      <c r="E2" s="10">
        <f t="shared" ref="E2:E66" si="2">SUM(C2-C3)</f>
        <v>157422.28376045078</v>
      </c>
      <c r="F2" s="14">
        <v>16302960</v>
      </c>
      <c r="G2" s="26">
        <v>4.5</v>
      </c>
      <c r="H2" s="10"/>
      <c r="I2" s="10">
        <f>IF(H2&lt;&gt;"",H2,26984)</f>
        <v>3373</v>
      </c>
      <c r="J2" s="10">
        <f t="shared" ref="J2:J33" si="3">IF(I2="","",I2*C2)</f>
        <v>54991022606.611679</v>
      </c>
      <c r="K2" s="11">
        <f t="shared" ref="K2:K33" si="4">IFERROR(J2/J3-1,"")</f>
        <v>5.5188749999999898E-2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16145875.257482264</v>
      </c>
      <c r="D3" s="11">
        <v>1.056E-2</v>
      </c>
      <c r="E3" s="10">
        <f t="shared" si="2"/>
        <v>168718.77248160541</v>
      </c>
      <c r="F3" s="3"/>
      <c r="G3" s="26">
        <v>5.6</v>
      </c>
      <c r="H3" s="10"/>
      <c r="I3" s="10">
        <f t="shared" ref="I3:I34" si="5">IF(H3&lt;&gt;"",H3,I2/(1+IF(G2="",0,G2)/100))</f>
        <v>3227.7511961722489</v>
      </c>
      <c r="J3" s="10">
        <f t="shared" si="3"/>
        <v>52114868175.586296</v>
      </c>
      <c r="K3" s="11">
        <f t="shared" si="4"/>
        <v>6.7151359999999993E-2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15977156.485000659</v>
      </c>
      <c r="D4" s="11">
        <v>1.102E-2</v>
      </c>
      <c r="E4" s="10">
        <f t="shared" si="2"/>
        <v>174149.14093164168</v>
      </c>
      <c r="F4" s="3"/>
      <c r="G4" s="26">
        <v>4.7300000000000004</v>
      </c>
      <c r="H4" s="10"/>
      <c r="I4" s="10">
        <f t="shared" si="5"/>
        <v>3056.5825721328115</v>
      </c>
      <c r="J4" s="10">
        <f t="shared" si="3"/>
        <v>48835498064.29174</v>
      </c>
      <c r="K4" s="11">
        <f t="shared" si="4"/>
        <v>5.8841246000000069E-2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15803007.344069017</v>
      </c>
      <c r="D5" s="11">
        <v>1.1140000000000001E-2</v>
      </c>
      <c r="E5" s="10">
        <f t="shared" si="2"/>
        <v>174105.96140289865</v>
      </c>
      <c r="F5" s="3"/>
      <c r="G5" s="26">
        <v>1.41</v>
      </c>
      <c r="H5" s="10"/>
      <c r="I5" s="10">
        <f t="shared" si="5"/>
        <v>2918.5358274924201</v>
      </c>
      <c r="J5" s="10">
        <f t="shared" si="3"/>
        <v>46121643115.79126</v>
      </c>
      <c r="K5" s="11">
        <f t="shared" si="4"/>
        <v>2.5397073999999797E-2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15628901.382666118</v>
      </c>
      <c r="D6" s="11">
        <v>1.1010000000000001E-2</v>
      </c>
      <c r="E6" s="10">
        <f t="shared" si="2"/>
        <v>170200.29893191345</v>
      </c>
      <c r="F6" s="3"/>
      <c r="G6" s="26">
        <v>2.71</v>
      </c>
      <c r="H6" s="10"/>
      <c r="I6" s="10">
        <f t="shared" si="5"/>
        <v>2877.9566388841536</v>
      </c>
      <c r="J6" s="10">
        <f t="shared" si="3"/>
        <v>44979300492.709686</v>
      </c>
      <c r="K6" s="11">
        <f t="shared" si="4"/>
        <v>3.8408371000000052E-2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15458701.083734205</v>
      </c>
      <c r="D7" s="11">
        <v>1.094E-2</v>
      </c>
      <c r="E7" s="10">
        <f t="shared" si="2"/>
        <v>167288.05849610455</v>
      </c>
      <c r="F7" s="3"/>
      <c r="G7" s="26">
        <v>2.95</v>
      </c>
      <c r="H7" s="10"/>
      <c r="I7" s="10">
        <f t="shared" si="5"/>
        <v>2802.0218468349271</v>
      </c>
      <c r="J7" s="10">
        <f t="shared" si="3"/>
        <v>43315618160.314011</v>
      </c>
      <c r="K7" s="11">
        <f t="shared" si="4"/>
        <v>4.0762730000000191E-2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15291413.0252381</v>
      </c>
      <c r="D8" s="11">
        <v>1.0970000000000001E-2</v>
      </c>
      <c r="E8" s="10">
        <f t="shared" si="2"/>
        <v>165926.58623585291</v>
      </c>
      <c r="F8" s="3"/>
      <c r="G8" s="26">
        <v>-1.39</v>
      </c>
      <c r="H8" s="10"/>
      <c r="I8" s="10">
        <f t="shared" si="5"/>
        <v>2721.7307885720516</v>
      </c>
      <c r="J8" s="10">
        <f t="shared" si="3"/>
        <v>41619109631.562233</v>
      </c>
      <c r="K8" s="11">
        <f t="shared" si="4"/>
        <v>-3.0824830000001358E-3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15125486.439002248</v>
      </c>
      <c r="D9" s="11">
        <v>1.116E-2</v>
      </c>
      <c r="E9" s="10">
        <f t="shared" si="2"/>
        <v>166937.40719497018</v>
      </c>
      <c r="F9" s="3"/>
      <c r="G9" s="26">
        <v>1.03</v>
      </c>
      <c r="H9" s="10"/>
      <c r="I9" s="10">
        <f t="shared" si="5"/>
        <v>2760.0961247054574</v>
      </c>
      <c r="J9" s="10">
        <f t="shared" si="3"/>
        <v>41747796504.57505</v>
      </c>
      <c r="K9" s="11">
        <f t="shared" si="4"/>
        <v>2.1574947999999816E-2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14958549.031807277</v>
      </c>
      <c r="D10" s="11">
        <v>1.1429999999999999E-2</v>
      </c>
      <c r="E10" s="10">
        <f t="shared" si="2"/>
        <v>169044.04203311913</v>
      </c>
      <c r="F10" s="3"/>
      <c r="G10" s="26">
        <v>-0.85</v>
      </c>
      <c r="H10" s="10"/>
      <c r="I10" s="10">
        <f t="shared" si="5"/>
        <v>2731.9569679357196</v>
      </c>
      <c r="J10" s="10">
        <f t="shared" si="3"/>
        <v>40866112257.654007</v>
      </c>
      <c r="K10" s="11">
        <f t="shared" si="4"/>
        <v>2.8328450000001393E-3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14789504.989774158</v>
      </c>
      <c r="D11" s="11">
        <v>1.1809999999999999E-2</v>
      </c>
      <c r="E11" s="10">
        <f t="shared" si="2"/>
        <v>172625.34856270812</v>
      </c>
      <c r="F11" s="3"/>
      <c r="G11" s="26">
        <v>1.85</v>
      </c>
      <c r="H11" s="10"/>
      <c r="I11" s="10">
        <f t="shared" si="5"/>
        <v>2755.3776782004229</v>
      </c>
      <c r="J11" s="10">
        <f t="shared" si="3"/>
        <v>40750671920.457489</v>
      </c>
      <c r="K11" s="11">
        <f t="shared" si="4"/>
        <v>3.0528484999999828E-2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14616879.64121145</v>
      </c>
      <c r="D12" s="11">
        <v>1.502E-2</v>
      </c>
      <c r="E12" s="10">
        <f t="shared" si="2"/>
        <v>216296.75495162234</v>
      </c>
      <c r="F12" s="3"/>
      <c r="G12" s="26">
        <v>0.7</v>
      </c>
      <c r="H12" s="10"/>
      <c r="I12" s="10">
        <f t="shared" si="5"/>
        <v>2705.3290900347797</v>
      </c>
      <c r="J12" s="10">
        <f t="shared" si="3"/>
        <v>39543469698.906471</v>
      </c>
      <c r="K12" s="11">
        <f t="shared" si="4"/>
        <v>2.2125139999999988E-2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14400582.886259828</v>
      </c>
      <c r="D13" s="11">
        <v>1.9519999999999999E-2</v>
      </c>
      <c r="E13" s="10">
        <f t="shared" si="2"/>
        <v>275717.37478400767</v>
      </c>
      <c r="F13" s="3"/>
      <c r="G13" s="26">
        <v>5.3</v>
      </c>
      <c r="H13" s="10"/>
      <c r="I13" s="10">
        <f t="shared" si="5"/>
        <v>2686.523426052413</v>
      </c>
      <c r="J13" s="10">
        <f t="shared" si="3"/>
        <v>38687503272.746498</v>
      </c>
      <c r="K13" s="11">
        <f t="shared" si="4"/>
        <v>7.3554559999999825E-2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14124865.51147582</v>
      </c>
      <c r="D14" s="11">
        <v>2.0490000000000001E-2</v>
      </c>
      <c r="E14" s="10">
        <f t="shared" si="2"/>
        <v>283607.37913172878</v>
      </c>
      <c r="F14" s="3"/>
      <c r="G14" s="26">
        <v>1</v>
      </c>
      <c r="H14" s="10"/>
      <c r="I14" s="10">
        <f t="shared" si="5"/>
        <v>2551.3042982454067</v>
      </c>
      <c r="J14" s="10">
        <f t="shared" si="3"/>
        <v>36036830091.566566</v>
      </c>
      <c r="K14" s="11">
        <f t="shared" si="4"/>
        <v>3.0694899999999858E-2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13841258.132344091</v>
      </c>
      <c r="D15" s="11">
        <v>2.154E-2</v>
      </c>
      <c r="E15" s="10">
        <f t="shared" si="2"/>
        <v>291854.1615313068</v>
      </c>
      <c r="F15" s="3"/>
      <c r="G15" s="26">
        <v>3.2</v>
      </c>
      <c r="H15" s="10"/>
      <c r="I15" s="10">
        <f t="shared" si="5"/>
        <v>2526.0438596489175</v>
      </c>
      <c r="J15" s="10">
        <f t="shared" si="3"/>
        <v>34963625115.023438</v>
      </c>
      <c r="K15" s="11">
        <f t="shared" si="4"/>
        <v>5.4229280000000157E-2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13549403.970812785</v>
      </c>
      <c r="D16" s="11">
        <v>2.256E-2</v>
      </c>
      <c r="E16" s="10">
        <f t="shared" si="2"/>
        <v>298930.67749719881</v>
      </c>
      <c r="F16" s="3"/>
      <c r="G16" s="26">
        <v>2</v>
      </c>
      <c r="H16" s="10"/>
      <c r="I16" s="10">
        <f t="shared" si="5"/>
        <v>2447.7169182644548</v>
      </c>
      <c r="J16" s="10">
        <f t="shared" si="3"/>
        <v>33165105331.758034</v>
      </c>
      <c r="K16" s="11">
        <f t="shared" si="4"/>
        <v>4.3011199999999805E-2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13250473.293315586</v>
      </c>
      <c r="D17" s="11">
        <v>2.359E-2</v>
      </c>
      <c r="E17" s="10">
        <f t="shared" si="2"/>
        <v>305374.87176439352</v>
      </c>
      <c r="F17" s="3"/>
      <c r="G17" s="26">
        <v>-1.7</v>
      </c>
      <c r="H17" s="10"/>
      <c r="I17" s="10">
        <f t="shared" si="5"/>
        <v>2399.7224688867204</v>
      </c>
      <c r="J17" s="10">
        <f t="shared" si="3"/>
        <v>31797458485.352829</v>
      </c>
      <c r="K17" s="11">
        <f t="shared" si="4"/>
        <v>6.1889699999999603E-3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12945098.421551192</v>
      </c>
      <c r="D18" s="11">
        <v>2.487E-2</v>
      </c>
      <c r="E18" s="10">
        <f t="shared" si="2"/>
        <v>314132.13163033128</v>
      </c>
      <c r="F18" s="3"/>
      <c r="G18" s="26">
        <v>8.8000000000000007</v>
      </c>
      <c r="H18" s="10"/>
      <c r="I18" s="10">
        <f t="shared" si="5"/>
        <v>2441.2232643812008</v>
      </c>
      <c r="J18" s="10">
        <f t="shared" si="3"/>
        <v>31601875426.39513</v>
      </c>
      <c r="K18" s="11">
        <f t="shared" si="4"/>
        <v>0.11505856000000003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12630966.289920861</v>
      </c>
      <c r="D19" s="11">
        <v>2.0729999999999998E-2</v>
      </c>
      <c r="E19" s="10">
        <f t="shared" si="2"/>
        <v>256522.22545634769</v>
      </c>
      <c r="F19" s="3"/>
      <c r="G19" s="26">
        <v>1.3</v>
      </c>
      <c r="H19" s="10"/>
      <c r="I19" s="10">
        <f t="shared" si="5"/>
        <v>2243.7713827033094</v>
      </c>
      <c r="J19" s="10">
        <f t="shared" si="3"/>
        <v>28341000697.214619</v>
      </c>
      <c r="K19" s="11">
        <f t="shared" si="4"/>
        <v>3.3999489999999577E-2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12374444.064464513</v>
      </c>
      <c r="D20" s="11">
        <v>1.7319999999999999E-2</v>
      </c>
      <c r="E20" s="10">
        <f t="shared" si="2"/>
        <v>210676.45499599539</v>
      </c>
      <c r="F20" s="3"/>
      <c r="G20" s="26">
        <v>-2.2000000000000002</v>
      </c>
      <c r="H20" s="10"/>
      <c r="I20" s="10">
        <f t="shared" si="5"/>
        <v>2214.976685788065</v>
      </c>
      <c r="J20" s="10">
        <f t="shared" si="3"/>
        <v>27409105102.377399</v>
      </c>
      <c r="K20" s="11">
        <f t="shared" si="4"/>
        <v>-5.0610399999999611E-3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12163767.609468518</v>
      </c>
      <c r="D21" s="11">
        <v>1.8499999999999999E-2</v>
      </c>
      <c r="E21" s="10">
        <f t="shared" si="2"/>
        <v>220942.26880232431</v>
      </c>
      <c r="F21" s="3"/>
      <c r="G21" s="26">
        <v>4.8</v>
      </c>
      <c r="H21" s="10"/>
      <c r="I21" s="10">
        <f t="shared" si="5"/>
        <v>2264.8023372066104</v>
      </c>
      <c r="J21" s="10">
        <f t="shared" si="3"/>
        <v>27548529311.162365</v>
      </c>
      <c r="K21" s="11">
        <f t="shared" si="4"/>
        <v>6.7388000000000003E-2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11942825.340666194</v>
      </c>
      <c r="D22" s="11">
        <v>-1.562E-2</v>
      </c>
      <c r="E22" s="10">
        <f t="shared" si="2"/>
        <v>-189507.03165566735</v>
      </c>
      <c r="F22" s="3"/>
      <c r="G22" s="26">
        <v>-0.5</v>
      </c>
      <c r="H22" s="10"/>
      <c r="I22" s="10">
        <f t="shared" si="5"/>
        <v>2161.0709324490558</v>
      </c>
      <c r="J22" s="10">
        <f t="shared" si="3"/>
        <v>25809292695.029705</v>
      </c>
      <c r="K22" s="11">
        <f t="shared" si="4"/>
        <v>-2.0541900000000002E-2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12132332.372321861</v>
      </c>
      <c r="D23" s="11">
        <v>-8.0300000000000007E-3</v>
      </c>
      <c r="E23" s="10">
        <f t="shared" si="2"/>
        <v>-98211.265410995111</v>
      </c>
      <c r="F23" s="3"/>
      <c r="G23" s="26">
        <v>1.1000000000000001</v>
      </c>
      <c r="H23" s="10"/>
      <c r="I23" s="10">
        <f t="shared" si="5"/>
        <v>2171.9305853759356</v>
      </c>
      <c r="J23" s="10">
        <f t="shared" si="3"/>
        <v>26350583751.392433</v>
      </c>
      <c r="K23" s="11">
        <f t="shared" si="4"/>
        <v>2.8816699999998363E-3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12230543.637732856</v>
      </c>
      <c r="D24" s="11">
        <v>7.4000000000000003E-3</v>
      </c>
      <c r="E24" s="10">
        <f t="shared" si="2"/>
        <v>89841.198053626344</v>
      </c>
      <c r="F24" s="3"/>
      <c r="G24" s="26">
        <v>2.13</v>
      </c>
      <c r="H24" s="10"/>
      <c r="I24" s="10">
        <f t="shared" si="5"/>
        <v>2148.2992931512717</v>
      </c>
      <c r="J24" s="10">
        <f t="shared" si="3"/>
        <v>26274868251.797279</v>
      </c>
      <c r="K24" s="11">
        <f t="shared" si="4"/>
        <v>2.8857619999999917E-2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12140702.43967923</v>
      </c>
      <c r="D25" s="11">
        <v>-1.7129999999999999E-2</v>
      </c>
      <c r="E25" s="10">
        <f t="shared" si="2"/>
        <v>-211594.85261703469</v>
      </c>
      <c r="F25" s="3"/>
      <c r="G25" s="26">
        <v>1.1000000000000001</v>
      </c>
      <c r="H25" s="10"/>
      <c r="I25" s="10">
        <f t="shared" si="5"/>
        <v>2103.4948527869105</v>
      </c>
      <c r="J25" s="10">
        <f t="shared" si="3"/>
        <v>25537905091.082748</v>
      </c>
      <c r="K25" s="11">
        <f t="shared" si="4"/>
        <v>-6.318430000000097E-3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12352297.292296264</v>
      </c>
      <c r="D26" s="11">
        <v>1.0489999999999999E-2</v>
      </c>
      <c r="E26" s="10">
        <f t="shared" si="2"/>
        <v>128230.4610596709</v>
      </c>
      <c r="F26" s="3"/>
      <c r="G26" s="26">
        <v>-2.7</v>
      </c>
      <c r="H26" s="10"/>
      <c r="I26" s="10">
        <f t="shared" si="5"/>
        <v>2080.6081629939772</v>
      </c>
      <c r="J26" s="10">
        <f t="shared" si="3"/>
        <v>25700290578.080009</v>
      </c>
      <c r="K26" s="11">
        <f t="shared" si="4"/>
        <v>-1.6793230000000103E-2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12224066.831236593</v>
      </c>
      <c r="D27" s="11">
        <v>2.495E-2</v>
      </c>
      <c r="E27" s="10">
        <f t="shared" si="2"/>
        <v>297566.19097453915</v>
      </c>
      <c r="F27" s="3"/>
      <c r="G27" s="26">
        <v>-5.8</v>
      </c>
      <c r="H27" s="10"/>
      <c r="I27" s="10">
        <f t="shared" si="5"/>
        <v>2138.3434357594833</v>
      </c>
      <c r="J27" s="10">
        <f t="shared" si="3"/>
        <v>26139253066.859997</v>
      </c>
      <c r="K27" s="11">
        <f t="shared" si="4"/>
        <v>-3.4497099999999947E-2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11926500.640262054</v>
      </c>
      <c r="D28" s="11">
        <v>2.911E-2</v>
      </c>
      <c r="E28" s="10">
        <f t="shared" si="2"/>
        <v>337359.88731819578</v>
      </c>
      <c r="F28" s="3"/>
      <c r="G28" s="26">
        <v>7.44</v>
      </c>
      <c r="H28" s="10"/>
      <c r="I28" s="10">
        <f t="shared" si="5"/>
        <v>2270.0036473030609</v>
      </c>
      <c r="J28" s="10">
        <f t="shared" si="3"/>
        <v>27073199952.957153</v>
      </c>
      <c r="K28" s="11">
        <f t="shared" si="4"/>
        <v>0.10567578399999999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11589140.752943859</v>
      </c>
      <c r="D29" s="11">
        <v>2.963E-2</v>
      </c>
      <c r="E29" s="10">
        <f t="shared" si="2"/>
        <v>333504.5021121446</v>
      </c>
      <c r="F29" s="3"/>
      <c r="G29" s="26">
        <v>0.96</v>
      </c>
      <c r="H29" s="10"/>
      <c r="I29" s="10">
        <f t="shared" si="5"/>
        <v>2112.8105429105185</v>
      </c>
      <c r="J29" s="10">
        <f t="shared" si="3"/>
        <v>24485658766.093727</v>
      </c>
      <c r="K29" s="11">
        <f t="shared" si="4"/>
        <v>3.9514448000000035E-2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11255636.250831714</v>
      </c>
      <c r="D30" s="11">
        <v>3.0259999999999999E-2</v>
      </c>
      <c r="E30" s="10">
        <f t="shared" si="2"/>
        <v>330591.84375804849</v>
      </c>
      <c r="F30" s="3"/>
      <c r="G30" s="26">
        <v>-6.62</v>
      </c>
      <c r="H30" s="10"/>
      <c r="I30" s="10">
        <f t="shared" si="5"/>
        <v>2092.7204268131127</v>
      </c>
      <c r="J30" s="10">
        <f t="shared" si="3"/>
        <v>23554899898.893688</v>
      </c>
      <c r="K30" s="11">
        <f t="shared" si="4"/>
        <v>-3.7943212000000059E-2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10925044.407073665</v>
      </c>
      <c r="D31" s="11">
        <v>3.073E-2</v>
      </c>
      <c r="E31" s="10">
        <f t="shared" si="2"/>
        <v>325717.32134445757</v>
      </c>
      <c r="F31" s="3"/>
      <c r="G31" s="26">
        <v>7.75</v>
      </c>
      <c r="H31" s="10"/>
      <c r="I31" s="10">
        <f t="shared" si="5"/>
        <v>2241.0799173410933</v>
      </c>
      <c r="J31" s="10">
        <f t="shared" si="3"/>
        <v>24483897616.752422</v>
      </c>
      <c r="K31" s="11">
        <f t="shared" si="4"/>
        <v>0.11061157499999985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10599327.085729208</v>
      </c>
      <c r="D32" s="11">
        <v>3.099E-2</v>
      </c>
      <c r="E32" s="10">
        <f t="shared" si="2"/>
        <v>318599.74043079838</v>
      </c>
      <c r="F32" s="3"/>
      <c r="G32" s="26">
        <v>-4.6100000000000003</v>
      </c>
      <c r="H32" s="10"/>
      <c r="I32" s="10">
        <f t="shared" si="5"/>
        <v>2079.8885543768847</v>
      </c>
      <c r="J32" s="10">
        <f t="shared" si="3"/>
        <v>22045419089.705082</v>
      </c>
      <c r="K32" s="11">
        <f t="shared" si="4"/>
        <v>-1.6538638999999966E-2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10280727.345298409</v>
      </c>
      <c r="D33" s="11">
        <v>3.1379999999999998E-2</v>
      </c>
      <c r="E33" s="10">
        <f t="shared" si="2"/>
        <v>312793.75603120402</v>
      </c>
      <c r="F33" s="3"/>
      <c r="G33" s="26">
        <v>8.39</v>
      </c>
      <c r="H33" s="10"/>
      <c r="I33" s="10">
        <f t="shared" si="5"/>
        <v>2180.4052357447163</v>
      </c>
      <c r="J33" s="10">
        <f t="shared" si="3"/>
        <v>22416151730.95253</v>
      </c>
      <c r="K33" s="11">
        <f t="shared" si="4"/>
        <v>0.1179127820000001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9967933.5892672054</v>
      </c>
      <c r="D34" s="11">
        <v>3.1809999999999998E-2</v>
      </c>
      <c r="E34" s="10">
        <f t="shared" si="2"/>
        <v>307304.60789737292</v>
      </c>
      <c r="F34" s="3"/>
      <c r="G34" s="26">
        <v>-5.26</v>
      </c>
      <c r="H34" s="10"/>
      <c r="I34" s="10">
        <f t="shared" si="5"/>
        <v>2011.6295190928279</v>
      </c>
      <c r="J34" s="10">
        <f t="shared" ref="J34:J65" si="6">IF(I34="","",I34*C34)</f>
        <v>20051789452.526833</v>
      </c>
      <c r="K34" s="11">
        <f t="shared" ref="K34:K65" si="7">IFERROR(J34/J35-1,"")</f>
        <v>-9.049676000000062E-3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9660628.9813698325</v>
      </c>
      <c r="D35" s="11">
        <v>3.1919999999999997E-2</v>
      </c>
      <c r="E35" s="10">
        <f t="shared" si="2"/>
        <v>298828.66606454365</v>
      </c>
      <c r="F35" s="3"/>
      <c r="G35" s="26">
        <v>-8.68</v>
      </c>
      <c r="H35" s="10"/>
      <c r="I35" s="10">
        <f t="shared" ref="I35:I66" si="8">IF(H35&lt;&gt;"",H35,I34/(1+IF(G34="",0,G34)/100))</f>
        <v>2094.5746762732483</v>
      </c>
      <c r="J35" s="10">
        <f t="shared" si="6"/>
        <v>20234908821.248676</v>
      </c>
      <c r="K35" s="11">
        <f t="shared" si="7"/>
        <v>-2.9788816000000162E-2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9361800.3153052889</v>
      </c>
      <c r="D36" s="11">
        <v>3.2460000000000003E-2</v>
      </c>
      <c r="E36" s="10">
        <f t="shared" si="2"/>
        <v>294330.08371734433</v>
      </c>
      <c r="F36" s="3"/>
      <c r="G36" s="26">
        <v>1.53</v>
      </c>
      <c r="H36" s="10"/>
      <c r="I36" s="10">
        <f t="shared" si="8"/>
        <v>2227.7969328581667</v>
      </c>
      <c r="J36" s="10">
        <f t="shared" si="6"/>
        <v>20856190028.467739</v>
      </c>
      <c r="K36" s="11">
        <f t="shared" si="7"/>
        <v>9.7814717999999967E-2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9067470.2315879446</v>
      </c>
      <c r="D37" s="11">
        <v>3.3059999999999999E-2</v>
      </c>
      <c r="E37" s="10">
        <f t="shared" si="2"/>
        <v>290177.30418010429</v>
      </c>
      <c r="F37" s="3"/>
      <c r="G37" s="26">
        <v>-6.9</v>
      </c>
      <c r="H37" s="10"/>
      <c r="I37" s="10">
        <f t="shared" si="8"/>
        <v>2095.1725127980503</v>
      </c>
      <c r="J37" s="10">
        <f t="shared" si="6"/>
        <v>18997914389.837631</v>
      </c>
      <c r="K37" s="11">
        <f t="shared" si="7"/>
        <v>1.6531040000000052E-2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8777292.9274078403</v>
      </c>
      <c r="D38" s="11">
        <v>3.3599999999999998E-2</v>
      </c>
      <c r="E38" s="10">
        <f t="shared" si="2"/>
        <v>285329.95584452711</v>
      </c>
      <c r="F38" s="3"/>
      <c r="G38" s="26">
        <v>8.52</v>
      </c>
      <c r="H38" s="10"/>
      <c r="I38" s="10">
        <f t="shared" si="8"/>
        <v>2129.2403585346042</v>
      </c>
      <c r="J38" s="10">
        <f t="shared" si="6"/>
        <v>18688966339.717113</v>
      </c>
      <c r="K38" s="11">
        <f t="shared" si="7"/>
        <v>0.15990591999999992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8491962.9715633132</v>
      </c>
      <c r="D39" s="11">
        <v>3.4130000000000001E-2</v>
      </c>
      <c r="E39" s="10">
        <f t="shared" si="2"/>
        <v>280265.24346015975</v>
      </c>
      <c r="F39" s="3"/>
      <c r="G39" s="26">
        <v>1.86</v>
      </c>
      <c r="H39" s="10"/>
      <c r="I39" s="10">
        <f t="shared" si="8"/>
        <v>1897.3804656341151</v>
      </c>
      <c r="J39" s="10">
        <f t="shared" si="6"/>
        <v>16112484657.132463</v>
      </c>
      <c r="K39" s="11">
        <f t="shared" si="7"/>
        <v>5.3364817999999925E-2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8211697.7281031534</v>
      </c>
      <c r="D40" s="11">
        <v>3.4160000000000003E-2</v>
      </c>
      <c r="E40" s="10">
        <f t="shared" si="2"/>
        <v>271245.83661329374</v>
      </c>
      <c r="F40" s="3"/>
      <c r="G40" s="26">
        <v>5.9</v>
      </c>
      <c r="H40" s="10"/>
      <c r="I40" s="10">
        <f t="shared" si="8"/>
        <v>1862.7336202965985</v>
      </c>
      <c r="J40" s="10">
        <f t="shared" si="6"/>
        <v>15296205437.850939</v>
      </c>
      <c r="K40" s="11">
        <f t="shared" si="7"/>
        <v>9.517544E-2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7940451.8914898597</v>
      </c>
      <c r="D41" s="11">
        <v>3.4139999999999997E-2</v>
      </c>
      <c r="E41" s="10">
        <f t="shared" si="2"/>
        <v>262137.64826374035</v>
      </c>
      <c r="F41" s="3"/>
      <c r="G41" s="26">
        <v>2.74</v>
      </c>
      <c r="H41" s="10"/>
      <c r="I41" s="10">
        <f t="shared" si="8"/>
        <v>1758.9552599590165</v>
      </c>
      <c r="J41" s="10">
        <f t="shared" si="6"/>
        <v>13966899620.98761</v>
      </c>
      <c r="K41" s="11">
        <f t="shared" si="7"/>
        <v>6.2475436000000162E-2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7678314.2432261193</v>
      </c>
      <c r="D42" s="11">
        <v>3.4119999999999998E-2</v>
      </c>
      <c r="E42" s="10">
        <f t="shared" si="2"/>
        <v>253340.11718067061</v>
      </c>
      <c r="F42" s="3"/>
      <c r="G42" s="26">
        <v>-5.3</v>
      </c>
      <c r="H42" s="10"/>
      <c r="I42" s="10">
        <f t="shared" si="8"/>
        <v>1712.0452209061868</v>
      </c>
      <c r="J42" s="10">
        <f t="shared" si="6"/>
        <v>13145621204.731182</v>
      </c>
      <c r="K42" s="11">
        <f t="shared" si="7"/>
        <v>-2.0688360000000072E-2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7424974.1260454487</v>
      </c>
      <c r="D43" s="11">
        <v>3.4020000000000002E-2</v>
      </c>
      <c r="E43" s="10">
        <f t="shared" si="2"/>
        <v>244286.97681675944</v>
      </c>
      <c r="F43" s="3"/>
      <c r="G43" s="26">
        <v>2.6</v>
      </c>
      <c r="H43" s="10"/>
      <c r="I43" s="10">
        <f t="shared" si="8"/>
        <v>1807.861901696079</v>
      </c>
      <c r="J43" s="10">
        <f t="shared" si="6"/>
        <v>13423327843.556707</v>
      </c>
      <c r="K43" s="11">
        <f t="shared" si="7"/>
        <v>6.0904520000000018E-2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7180687.1492286893</v>
      </c>
      <c r="D44" s="11">
        <v>3.406E-2</v>
      </c>
      <c r="E44" s="10">
        <f t="shared" si="2"/>
        <v>236518.38800720405</v>
      </c>
      <c r="F44" s="3"/>
      <c r="G44" s="26">
        <v>11.61</v>
      </c>
      <c r="H44" s="10"/>
      <c r="I44" s="10">
        <f t="shared" si="8"/>
        <v>1762.0486371306813</v>
      </c>
      <c r="J44" s="10">
        <f t="shared" si="6"/>
        <v>12652720004.960209</v>
      </c>
      <c r="K44" s="11">
        <f t="shared" si="7"/>
        <v>0.15411436600000017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6944168.7612214852</v>
      </c>
      <c r="D45" s="11">
        <v>3.4049999999999997E-2</v>
      </c>
      <c r="E45" s="10">
        <f t="shared" si="2"/>
        <v>228662.97211894114</v>
      </c>
      <c r="F45" s="3"/>
      <c r="G45" s="26">
        <v>7.49</v>
      </c>
      <c r="H45" s="10"/>
      <c r="I45" s="10">
        <f t="shared" si="8"/>
        <v>1578.7551627369241</v>
      </c>
      <c r="J45" s="10">
        <f t="shared" si="6"/>
        <v>10963142282.694891</v>
      </c>
      <c r="K45" s="11">
        <f t="shared" si="7"/>
        <v>0.11150034500000006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6715505.7891025441</v>
      </c>
      <c r="D46" s="11">
        <v>3.4029999999999998E-2</v>
      </c>
      <c r="E46" s="10">
        <f t="shared" si="2"/>
        <v>221007.76766937133</v>
      </c>
      <c r="F46" s="3"/>
      <c r="G46" s="26">
        <v>6.89</v>
      </c>
      <c r="H46" s="10"/>
      <c r="I46" s="10">
        <f t="shared" si="8"/>
        <v>1468.7460812512086</v>
      </c>
      <c r="J46" s="10">
        <f t="shared" si="6"/>
        <v>9863372811.3641663</v>
      </c>
      <c r="K46" s="11">
        <f t="shared" si="7"/>
        <v>0.10527466699999999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6494498.0214331727</v>
      </c>
      <c r="D47" s="11">
        <v>3.4040000000000001E-2</v>
      </c>
      <c r="E47" s="10">
        <f t="shared" si="2"/>
        <v>213795.12654209323</v>
      </c>
      <c r="F47" s="3"/>
      <c r="G47" s="26">
        <v>12.7</v>
      </c>
      <c r="H47" s="10"/>
      <c r="I47" s="10">
        <f t="shared" si="8"/>
        <v>1374.0724869035537</v>
      </c>
      <c r="J47" s="10">
        <f t="shared" si="6"/>
        <v>8923911047.5008888</v>
      </c>
      <c r="K47" s="11">
        <f t="shared" si="7"/>
        <v>0.16536308000000033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6280702.8948910795</v>
      </c>
      <c r="D48" s="11">
        <v>3.3959999999999997E-2</v>
      </c>
      <c r="E48" s="10">
        <f t="shared" si="2"/>
        <v>206287.15841086768</v>
      </c>
      <c r="F48" s="3"/>
      <c r="G48" s="26">
        <v>2.6</v>
      </c>
      <c r="H48" s="10"/>
      <c r="I48" s="10">
        <f t="shared" si="8"/>
        <v>1219.2302456996927</v>
      </c>
      <c r="J48" s="10">
        <f t="shared" si="6"/>
        <v>7657622933.7048216</v>
      </c>
      <c r="K48" s="11">
        <f t="shared" si="7"/>
        <v>6.0842960000000001E-2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6074415.7364802118</v>
      </c>
      <c r="D49" s="11">
        <v>3.3579999999999999E-2</v>
      </c>
      <c r="E49" s="10">
        <f t="shared" si="2"/>
        <v>197351.80676000379</v>
      </c>
      <c r="F49" s="3"/>
      <c r="G49" s="26">
        <v>7.92</v>
      </c>
      <c r="H49" s="10"/>
      <c r="I49" s="10">
        <f t="shared" si="8"/>
        <v>1188.3335728067179</v>
      </c>
      <c r="J49" s="10">
        <f t="shared" si="6"/>
        <v>7218432154.8448811</v>
      </c>
      <c r="K49" s="11">
        <f t="shared" si="7"/>
        <v>0.11543953599999979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5877063.929720208</v>
      </c>
      <c r="D50" s="11">
        <v>3.313E-2</v>
      </c>
      <c r="E50" s="10">
        <f t="shared" si="2"/>
        <v>188463.33761639986</v>
      </c>
      <c r="F50" s="3"/>
      <c r="G50" s="26">
        <v>13.35</v>
      </c>
      <c r="H50" s="10"/>
      <c r="I50" s="10">
        <f t="shared" si="8"/>
        <v>1101.1245114962176</v>
      </c>
      <c r="J50" s="10">
        <f t="shared" si="6"/>
        <v>6471379148.6452045</v>
      </c>
      <c r="K50" s="11">
        <f t="shared" si="7"/>
        <v>0.17105285499999989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5688600.5921038082</v>
      </c>
      <c r="D51" s="11">
        <v>3.2710000000000003E-2</v>
      </c>
      <c r="E51" s="10">
        <f t="shared" si="2"/>
        <v>180180.42370822001</v>
      </c>
      <c r="F51" s="3"/>
      <c r="G51" s="26">
        <v>0</v>
      </c>
      <c r="H51" s="10"/>
      <c r="I51" s="10">
        <f t="shared" si="8"/>
        <v>971.43759285065516</v>
      </c>
      <c r="J51" s="10">
        <f t="shared" si="6"/>
        <v>5526120465.8821354</v>
      </c>
      <c r="K51" s="11">
        <f t="shared" si="7"/>
        <v>3.2710000000000239E-2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5508420.1683955882</v>
      </c>
      <c r="D52" s="11">
        <v>3.2210000000000003E-2</v>
      </c>
      <c r="E52" s="10">
        <f t="shared" si="2"/>
        <v>171889.64806000981</v>
      </c>
      <c r="F52" s="3"/>
      <c r="G52" s="26">
        <v>-2.7</v>
      </c>
      <c r="H52" s="10"/>
      <c r="I52" s="10">
        <f t="shared" si="8"/>
        <v>971.43759285065516</v>
      </c>
      <c r="J52" s="10">
        <f t="shared" si="6"/>
        <v>5351086428.7962103</v>
      </c>
      <c r="K52" s="11">
        <f t="shared" si="7"/>
        <v>4.3403300000000034E-3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5336530.5203355784</v>
      </c>
      <c r="D53" s="11">
        <v>3.168E-2</v>
      </c>
      <c r="E53" s="10">
        <f t="shared" si="2"/>
        <v>163869.88880683016</v>
      </c>
      <c r="F53" s="3"/>
      <c r="G53" s="26">
        <v>4.88</v>
      </c>
      <c r="H53" s="10"/>
      <c r="I53" s="10">
        <f t="shared" si="8"/>
        <v>998.39423725658298</v>
      </c>
      <c r="J53" s="10">
        <f t="shared" si="6"/>
        <v>5327961318.4469156</v>
      </c>
      <c r="K53" s="11">
        <f t="shared" si="7"/>
        <v>8.2025983999999719E-2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5172660.6315287482</v>
      </c>
      <c r="D54" s="11">
        <v>3.1199999999999999E-2</v>
      </c>
      <c r="E54" s="10">
        <f t="shared" si="2"/>
        <v>156504.0842743367</v>
      </c>
      <c r="F54" s="3"/>
      <c r="G54" s="26">
        <v>6.36</v>
      </c>
      <c r="H54" s="10"/>
      <c r="I54" s="10">
        <f t="shared" si="8"/>
        <v>951.93958548491901</v>
      </c>
      <c r="J54" s="10">
        <f t="shared" si="6"/>
        <v>4924060417.4316359</v>
      </c>
      <c r="K54" s="11">
        <f t="shared" si="7"/>
        <v>9.6784319999999813E-2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5016156.5472544115</v>
      </c>
      <c r="D55" s="11">
        <v>3.1109999999999999E-2</v>
      </c>
      <c r="E55" s="10">
        <f t="shared" si="2"/>
        <v>151344.30874017812</v>
      </c>
      <c r="F55" s="3"/>
      <c r="G55" s="26">
        <v>3.61</v>
      </c>
      <c r="H55" s="10"/>
      <c r="I55" s="10">
        <f t="shared" si="8"/>
        <v>895.01653392715207</v>
      </c>
      <c r="J55" s="10">
        <f t="shared" si="6"/>
        <v>4489543046.5596342</v>
      </c>
      <c r="K55" s="11">
        <f t="shared" si="7"/>
        <v>6.8333071000000301E-2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4864812.2385142334</v>
      </c>
      <c r="D56" s="11">
        <v>2.894E-2</v>
      </c>
      <c r="E56" s="10">
        <f t="shared" si="2"/>
        <v>136827.86769160628</v>
      </c>
      <c r="F56" s="3"/>
      <c r="G56" s="26">
        <v>3.52</v>
      </c>
      <c r="H56" s="10"/>
      <c r="I56" s="10">
        <f t="shared" si="8"/>
        <v>863.83219180306151</v>
      </c>
      <c r="J56" s="10">
        <f t="shared" si="6"/>
        <v>4202381418.7061081</v>
      </c>
      <c r="K56" s="11">
        <f t="shared" si="7"/>
        <v>6.5158687999999687E-2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4727984.3708226271</v>
      </c>
      <c r="D57" s="11">
        <v>2.8400000000000002E-2</v>
      </c>
      <c r="E57" s="10">
        <f t="shared" si="2"/>
        <v>130566.66290486418</v>
      </c>
      <c r="F57" s="3"/>
      <c r="G57" s="26">
        <v>-8.1999999999999993</v>
      </c>
      <c r="H57" s="10"/>
      <c r="I57" s="10">
        <f t="shared" si="8"/>
        <v>834.45922701223105</v>
      </c>
      <c r="J57" s="10">
        <f t="shared" si="6"/>
        <v>3945310183.4025588</v>
      </c>
      <c r="K57" s="11">
        <f t="shared" si="7"/>
        <v>-5.5928800000000112E-2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4597417.7079177629</v>
      </c>
      <c r="D58" s="11">
        <v>2.835E-2</v>
      </c>
      <c r="E58" s="10">
        <f t="shared" si="2"/>
        <v>126743.6106573334</v>
      </c>
      <c r="F58" s="3"/>
      <c r="G58" s="26">
        <v>0.6</v>
      </c>
      <c r="H58" s="10"/>
      <c r="I58" s="10">
        <f t="shared" si="8"/>
        <v>908.99697931615583</v>
      </c>
      <c r="J58" s="10">
        <f t="shared" si="6"/>
        <v>4179038809.1518512</v>
      </c>
      <c r="K58" s="11">
        <f t="shared" si="7"/>
        <v>3.4520099999999942E-2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4470674.0972604295</v>
      </c>
      <c r="D59" s="11">
        <v>2.8060000000000002E-2</v>
      </c>
      <c r="E59" s="10">
        <f t="shared" si="2"/>
        <v>122023.14570076391</v>
      </c>
      <c r="F59" s="3"/>
      <c r="G59" s="26">
        <v>-6.59</v>
      </c>
      <c r="H59" s="10"/>
      <c r="I59" s="10">
        <f t="shared" si="8"/>
        <v>903.57552615920065</v>
      </c>
      <c r="J59" s="10">
        <f t="shared" si="6"/>
        <v>4039591699.7184019</v>
      </c>
      <c r="K59" s="11">
        <f t="shared" si="7"/>
        <v>-3.968915400000006E-2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4348650.9515596656</v>
      </c>
      <c r="D60" s="11">
        <v>2.8029999999999999E-2</v>
      </c>
      <c r="E60" s="10">
        <f t="shared" si="2"/>
        <v>118569.19172807969</v>
      </c>
      <c r="F60" s="3"/>
      <c r="G60" s="26">
        <v>1.22</v>
      </c>
      <c r="H60" s="10"/>
      <c r="I60" s="10">
        <f t="shared" si="8"/>
        <v>967.32204920158506</v>
      </c>
      <c r="J60" s="10">
        <f t="shared" si="6"/>
        <v>4206545949.7251186</v>
      </c>
      <c r="K60" s="11">
        <f t="shared" si="7"/>
        <v>4.0571966000000126E-2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4230081.7598315859</v>
      </c>
      <c r="D61" s="11">
        <v>2.7810000000000001E-2</v>
      </c>
      <c r="E61" s="10">
        <f t="shared" si="2"/>
        <v>114455.56449238397</v>
      </c>
      <c r="F61" s="3"/>
      <c r="G61" s="26">
        <v>4.01</v>
      </c>
      <c r="H61" s="10"/>
      <c r="I61" s="10">
        <f t="shared" si="8"/>
        <v>955.66296107645235</v>
      </c>
      <c r="J61" s="10">
        <f t="shared" si="6"/>
        <v>4042532460.1961441</v>
      </c>
      <c r="K61" s="11">
        <f t="shared" si="7"/>
        <v>6.9025181000000213E-2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4115626.1953392019</v>
      </c>
      <c r="D62" s="11">
        <v>2.7310000000000001E-2</v>
      </c>
      <c r="E62" s="10">
        <f t="shared" si="2"/>
        <v>109409.77056070045</v>
      </c>
      <c r="F62" s="3"/>
      <c r="G62" s="26">
        <v>3.5</v>
      </c>
      <c r="H62" s="10"/>
      <c r="I62" s="10">
        <f t="shared" si="8"/>
        <v>918.81834542491333</v>
      </c>
      <c r="J62" s="10">
        <f t="shared" si="6"/>
        <v>3781512851.1889968</v>
      </c>
      <c r="K62" s="11">
        <f t="shared" si="7"/>
        <v>6.3265849999999846E-2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4006216.4247785015</v>
      </c>
      <c r="D63" s="11">
        <v>2.7490000000000001E-2</v>
      </c>
      <c r="E63" s="10">
        <f t="shared" si="2"/>
        <v>107184.39061904373</v>
      </c>
      <c r="F63" s="3"/>
      <c r="G63" s="26">
        <v>3.49</v>
      </c>
      <c r="H63" s="10"/>
      <c r="I63" s="10">
        <f t="shared" si="8"/>
        <v>887.74719364725934</v>
      </c>
      <c r="J63" s="10">
        <f t="shared" si="6"/>
        <v>3556507388.2406712</v>
      </c>
      <c r="K63" s="11">
        <f t="shared" si="7"/>
        <v>6.3349400999999972E-2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3899032.0341594578</v>
      </c>
      <c r="D64" s="11">
        <v>2.6970000000000001E-2</v>
      </c>
      <c r="E64" s="10">
        <f t="shared" si="2"/>
        <v>102395.29291145829</v>
      </c>
      <c r="F64" s="3"/>
      <c r="G64" s="26">
        <v>3.29</v>
      </c>
      <c r="H64" s="10"/>
      <c r="I64" s="10">
        <f t="shared" si="8"/>
        <v>857.80963730530425</v>
      </c>
      <c r="J64" s="10">
        <f t="shared" si="6"/>
        <v>3344627255.0640869</v>
      </c>
      <c r="K64" s="11">
        <f t="shared" si="7"/>
        <v>6.0757312999999868E-2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3796636.7412479995</v>
      </c>
      <c r="D65" s="11">
        <v>2.7050000000000001E-2</v>
      </c>
      <c r="E65" s="10">
        <f t="shared" si="2"/>
        <v>99994.181247999892</v>
      </c>
      <c r="F65" s="3"/>
      <c r="G65" s="26">
        <v>-0.4</v>
      </c>
      <c r="H65" s="10"/>
      <c r="I65" s="10">
        <f t="shared" si="8"/>
        <v>830.48662726818111</v>
      </c>
      <c r="J65" s="10">
        <f t="shared" si="6"/>
        <v>3153056042.201509</v>
      </c>
      <c r="K65" s="11">
        <f t="shared" si="7"/>
        <v>2.2941799999999901E-2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3696642.5599999996</v>
      </c>
      <c r="D66" s="11">
        <v>2.656E-2</v>
      </c>
      <c r="E66" s="10">
        <f t="shared" si="2"/>
        <v>95642.55999999959</v>
      </c>
      <c r="F66" s="23">
        <f>SUM(F2)</f>
        <v>16302960</v>
      </c>
      <c r="G66" s="26">
        <v>-6.29</v>
      </c>
      <c r="H66" s="10"/>
      <c r="I66" s="10">
        <f t="shared" si="8"/>
        <v>833.82191492789264</v>
      </c>
      <c r="J66" s="10">
        <f t="shared" ref="J66:J67" si="9">IF(I66="","",I66*C66)</f>
        <v>3082341578.183147</v>
      </c>
      <c r="K66" s="11">
        <f t="shared" ref="K66" si="10">IFERROR(J66/J67-1,"")</f>
        <v>-3.8010623999999993E-2</v>
      </c>
    </row>
    <row r="67" spans="1:11" ht="22.5" customHeight="1">
      <c r="A67" s="3">
        <f t="shared" si="0"/>
        <v>1950</v>
      </c>
      <c r="B67" s="3">
        <v>1700</v>
      </c>
      <c r="C67" s="10">
        <v>3601000</v>
      </c>
      <c r="D67" s="11">
        <v>0.01</v>
      </c>
      <c r="E67" s="3" t="s">
        <v>72</v>
      </c>
      <c r="F67" s="10">
        <f>SUM(C2)</f>
        <v>16303297.541242715</v>
      </c>
      <c r="G67" s="26">
        <v>-14.81</v>
      </c>
      <c r="H67" s="10"/>
      <c r="I67" s="10">
        <f t="shared" ref="I67" si="11">IF(H67&lt;&gt;"",H67,I66/(1+IF(G66="",0,G66)/100))</f>
        <v>889.78968618919282</v>
      </c>
      <c r="J67" s="10">
        <f t="shared" si="9"/>
        <v>3204132659.9672832</v>
      </c>
      <c r="K67" s="11"/>
    </row>
  </sheetData>
  <dataValidations count="1">
    <dataValidation type="custom" allowBlank="1" showDropDown="1" sqref="D2:D67" xr:uid="{00000000-0002-0000-5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M67"/>
  <sheetViews>
    <sheetView topLeftCell="A15" workbookViewId="0">
      <selection activeCell="K43" sqref="K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189630.93342655883</v>
      </c>
      <c r="D2" s="11">
        <v>2.5000000000000001E-2</v>
      </c>
      <c r="E2" s="10">
        <f t="shared" ref="E2:E66" si="2">SUM(C2-C3)</f>
        <v>4625.1447177209193</v>
      </c>
      <c r="F2" s="14">
        <v>189681</v>
      </c>
      <c r="G2" s="26">
        <v>6.66</v>
      </c>
      <c r="H2" s="10"/>
      <c r="I2" s="10">
        <f>IF(H2&lt;&gt;"",H2,86032)</f>
        <v>10754</v>
      </c>
      <c r="J2" s="10">
        <f t="shared" ref="J2:J33" si="3">IF(I2="","",I2*C2)</f>
        <v>2039291058.0692136</v>
      </c>
      <c r="K2" s="11">
        <f t="shared" ref="K2:K33" si="4">IFERROR(J2/J3-1,"")</f>
        <v>9.3264999999999931E-2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185005.78870883791</v>
      </c>
      <c r="D3" s="11">
        <v>4.4510000000000001E-2</v>
      </c>
      <c r="E3" s="10">
        <f t="shared" si="2"/>
        <v>7883.7039907998696</v>
      </c>
      <c r="F3" s="3"/>
      <c r="G3" s="26">
        <v>5.88</v>
      </c>
      <c r="H3" s="10"/>
      <c r="I3" s="10">
        <f t="shared" ref="I3:I34" si="5">IF(H3&lt;&gt;"",H3,I2/(1+IF(G2="",0,G2)/100))</f>
        <v>10082.505156572286</v>
      </c>
      <c r="J3" s="10">
        <f t="shared" si="3"/>
        <v>1865321818.652581</v>
      </c>
      <c r="K3" s="11">
        <f t="shared" si="4"/>
        <v>0.10592718799999989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177122.08471803804</v>
      </c>
      <c r="D4" s="11">
        <v>2.581E-2</v>
      </c>
      <c r="E4" s="10">
        <f t="shared" si="2"/>
        <v>4456.4987732353329</v>
      </c>
      <c r="F4" s="3"/>
      <c r="G4" s="26">
        <v>1.74</v>
      </c>
      <c r="H4" s="10"/>
      <c r="I4" s="10">
        <f t="shared" si="5"/>
        <v>9522.5775940425829</v>
      </c>
      <c r="J4" s="10">
        <f t="shared" si="3"/>
        <v>1686658795.3461013</v>
      </c>
      <c r="K4" s="11">
        <f t="shared" si="4"/>
        <v>4.3659093999999898E-2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172665.5859448027</v>
      </c>
      <c r="D5" s="11">
        <v>-4.4549999999999999E-2</v>
      </c>
      <c r="E5" s="10">
        <f t="shared" si="2"/>
        <v>-8050.9203556868015</v>
      </c>
      <c r="F5" s="3"/>
      <c r="G5" s="26">
        <v>5.16</v>
      </c>
      <c r="H5" s="10"/>
      <c r="I5" s="10">
        <f t="shared" si="5"/>
        <v>9359.7184922769629</v>
      </c>
      <c r="J5" s="10">
        <f t="shared" si="3"/>
        <v>1616101277.7474072</v>
      </c>
      <c r="K5" s="11">
        <f t="shared" si="4"/>
        <v>4.751220000000167E-3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180716.50630048951</v>
      </c>
      <c r="D6" s="11">
        <v>1.584E-2</v>
      </c>
      <c r="E6" s="10">
        <f t="shared" si="2"/>
        <v>2817.913706685853</v>
      </c>
      <c r="F6" s="3"/>
      <c r="G6" s="26">
        <v>8.49</v>
      </c>
      <c r="H6" s="10"/>
      <c r="I6" s="10">
        <f t="shared" si="5"/>
        <v>8900.4550135764184</v>
      </c>
      <c r="J6" s="10">
        <f t="shared" si="3"/>
        <v>1608459134.5382063</v>
      </c>
      <c r="K6" s="11">
        <f t="shared" si="4"/>
        <v>0.10208481600000008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177898.59259380365</v>
      </c>
      <c r="D7" s="11">
        <v>1.7610000000000001E-2</v>
      </c>
      <c r="E7" s="10">
        <f t="shared" si="2"/>
        <v>3078.5804144779104</v>
      </c>
      <c r="F7" s="3"/>
      <c r="G7" s="26">
        <v>11.93</v>
      </c>
      <c r="H7" s="10"/>
      <c r="I7" s="10">
        <f t="shared" si="5"/>
        <v>8203.9404678554874</v>
      </c>
      <c r="J7" s="10">
        <f t="shared" si="3"/>
        <v>1459469462.9548423</v>
      </c>
      <c r="K7" s="11">
        <f t="shared" si="4"/>
        <v>0.13901087299999992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174820.01217932574</v>
      </c>
      <c r="D8" s="11">
        <v>1.7309999999999999E-2</v>
      </c>
      <c r="E8" s="10">
        <f t="shared" si="2"/>
        <v>2974.643334700464</v>
      </c>
      <c r="F8" s="3"/>
      <c r="G8" s="26">
        <v>7.67</v>
      </c>
      <c r="H8" s="10"/>
      <c r="I8" s="10">
        <f t="shared" si="5"/>
        <v>7329.5278011752771</v>
      </c>
      <c r="J8" s="10">
        <f t="shared" si="3"/>
        <v>1281348139.4701686</v>
      </c>
      <c r="K8" s="11">
        <f t="shared" si="4"/>
        <v>9.5337676999999843E-2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171845.36884462528</v>
      </c>
      <c r="D9" s="11">
        <v>1.7149999999999999E-2</v>
      </c>
      <c r="E9" s="10">
        <f t="shared" si="2"/>
        <v>2897.4566933936148</v>
      </c>
      <c r="F9" s="3"/>
      <c r="G9" s="26">
        <v>4.53</v>
      </c>
      <c r="H9" s="10"/>
      <c r="I9" s="10">
        <f t="shared" si="5"/>
        <v>6807.4002054195944</v>
      </c>
      <c r="J9" s="10">
        <f t="shared" si="3"/>
        <v>1169820199.1733081</v>
      </c>
      <c r="K9" s="11">
        <f t="shared" si="4"/>
        <v>6.3226894999999894E-2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168947.91215123166</v>
      </c>
      <c r="D10" s="11">
        <v>1.6250000000000001E-2</v>
      </c>
      <c r="E10" s="10">
        <f t="shared" si="2"/>
        <v>2701.5041303395119</v>
      </c>
      <c r="F10" s="3"/>
      <c r="G10" s="26">
        <v>16.100000000000001</v>
      </c>
      <c r="H10" s="10"/>
      <c r="I10" s="10">
        <f t="shared" si="5"/>
        <v>6512.3889844251362</v>
      </c>
      <c r="J10" s="10">
        <f t="shared" si="3"/>
        <v>1100254522.0353067</v>
      </c>
      <c r="K10" s="11">
        <f t="shared" si="4"/>
        <v>0.17986625000000012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166246.40802089215</v>
      </c>
      <c r="D11" s="11">
        <v>1.66E-2</v>
      </c>
      <c r="E11" s="10">
        <f t="shared" si="2"/>
        <v>2714.6275557218178</v>
      </c>
      <c r="F11" s="3"/>
      <c r="G11" s="26">
        <v>5.64</v>
      </c>
      <c r="H11" s="10"/>
      <c r="I11" s="10">
        <f t="shared" si="5"/>
        <v>5609.2928375754836</v>
      </c>
      <c r="J11" s="10">
        <f t="shared" si="3"/>
        <v>932524785.7842418</v>
      </c>
      <c r="K11" s="11">
        <f t="shared" si="4"/>
        <v>7.3936240000000097E-2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163531.78046517033</v>
      </c>
      <c r="D12" s="11">
        <v>1.6219999999999998E-2</v>
      </c>
      <c r="E12" s="10">
        <f t="shared" si="2"/>
        <v>2610.1488645618665</v>
      </c>
      <c r="F12" s="3"/>
      <c r="G12" s="26">
        <v>6.94</v>
      </c>
      <c r="H12" s="10"/>
      <c r="I12" s="10">
        <f t="shared" si="5"/>
        <v>5309.8190435209044</v>
      </c>
      <c r="J12" s="10">
        <f t="shared" si="3"/>
        <v>868324162.1348412</v>
      </c>
      <c r="K12" s="11">
        <f t="shared" si="4"/>
        <v>8.6745667999999831E-2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160921.63160060847</v>
      </c>
      <c r="D13" s="11">
        <v>1.6490000000000001E-2</v>
      </c>
      <c r="E13" s="10">
        <f t="shared" si="2"/>
        <v>2610.5497398833395</v>
      </c>
      <c r="F13" s="3"/>
      <c r="G13" s="26">
        <v>5.16</v>
      </c>
      <c r="H13" s="10"/>
      <c r="I13" s="10">
        <f t="shared" si="5"/>
        <v>4965.2319464381007</v>
      </c>
      <c r="J13" s="10">
        <f t="shared" si="3"/>
        <v>799013226.09628415</v>
      </c>
      <c r="K13" s="11">
        <f t="shared" si="4"/>
        <v>6.8940883999999869E-2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158311.08186072513</v>
      </c>
      <c r="D14" s="11">
        <v>1.575E-2</v>
      </c>
      <c r="E14" s="10">
        <f t="shared" si="2"/>
        <v>2454.737424864783</v>
      </c>
      <c r="F14" s="3"/>
      <c r="G14" s="26">
        <v>7.79</v>
      </c>
      <c r="H14" s="10"/>
      <c r="I14" s="10">
        <f t="shared" si="5"/>
        <v>4721.5975146805822</v>
      </c>
      <c r="J14" s="10">
        <f t="shared" si="3"/>
        <v>747481210.65999401</v>
      </c>
      <c r="K14" s="11">
        <f t="shared" si="4"/>
        <v>9.4876925000000112E-2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155856.34443586034</v>
      </c>
      <c r="D15" s="11">
        <v>1.617E-2</v>
      </c>
      <c r="E15" s="10">
        <f t="shared" si="2"/>
        <v>2480.0939700324379</v>
      </c>
      <c r="F15" s="3"/>
      <c r="G15" s="26">
        <v>10.44</v>
      </c>
      <c r="H15" s="10"/>
      <c r="I15" s="10">
        <f t="shared" si="5"/>
        <v>4380.3669307733389</v>
      </c>
      <c r="J15" s="10">
        <f t="shared" si="3"/>
        <v>682707977.1180619</v>
      </c>
      <c r="K15" s="11">
        <f t="shared" si="4"/>
        <v>0.12225814800000001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153376.25046582791</v>
      </c>
      <c r="D16" s="11">
        <v>2.1010000000000001E-2</v>
      </c>
      <c r="E16" s="10">
        <f t="shared" si="2"/>
        <v>3156.1248394110007</v>
      </c>
      <c r="F16" s="3"/>
      <c r="G16" s="26">
        <v>7.33</v>
      </c>
      <c r="H16" s="10"/>
      <c r="I16" s="10">
        <f t="shared" si="5"/>
        <v>3966.2866088132369</v>
      </c>
      <c r="J16" s="10">
        <f t="shared" si="3"/>
        <v>608334168.33259821</v>
      </c>
      <c r="K16" s="11">
        <f t="shared" si="4"/>
        <v>9.5850032999999613E-2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150220.12562641691</v>
      </c>
      <c r="D17" s="11">
        <v>3.1230000000000001E-2</v>
      </c>
      <c r="E17" s="10">
        <f t="shared" si="2"/>
        <v>4549.299887816509</v>
      </c>
      <c r="F17" s="3"/>
      <c r="G17" s="26">
        <v>3.36</v>
      </c>
      <c r="H17" s="10"/>
      <c r="I17" s="10">
        <f t="shared" si="5"/>
        <v>3695.4128471193862</v>
      </c>
      <c r="J17" s="10">
        <f t="shared" si="3"/>
        <v>555125382.13574922</v>
      </c>
      <c r="K17" s="11">
        <f t="shared" si="4"/>
        <v>6.5879328000000292E-2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145670.8257386004</v>
      </c>
      <c r="D18" s="11">
        <v>2.9700000000000001E-2</v>
      </c>
      <c r="E18" s="10">
        <f t="shared" si="2"/>
        <v>4201.6349659478001</v>
      </c>
      <c r="F18" s="3"/>
      <c r="G18" s="26">
        <v>7.98</v>
      </c>
      <c r="H18" s="10"/>
      <c r="I18" s="10">
        <f t="shared" si="5"/>
        <v>3575.2833273213873</v>
      </c>
      <c r="J18" s="10">
        <f t="shared" si="3"/>
        <v>520814474.54035723</v>
      </c>
      <c r="K18" s="11">
        <f t="shared" si="4"/>
        <v>0.11187006000000022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141469.1907726526</v>
      </c>
      <c r="D19" s="11">
        <v>2.724E-2</v>
      </c>
      <c r="E19" s="10">
        <f t="shared" si="2"/>
        <v>3751.4317556238675</v>
      </c>
      <c r="F19" s="3"/>
      <c r="G19" s="26">
        <v>5.91</v>
      </c>
      <c r="H19" s="10"/>
      <c r="I19" s="10">
        <f t="shared" si="5"/>
        <v>3311.0606846836331</v>
      </c>
      <c r="J19" s="10">
        <f t="shared" si="3"/>
        <v>468413075.66133863</v>
      </c>
      <c r="K19" s="11">
        <f t="shared" si="4"/>
        <v>8.7949883999999923E-2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137717.75901702873</v>
      </c>
      <c r="D20" s="11">
        <v>2.7210000000000002E-2</v>
      </c>
      <c r="E20" s="10">
        <f t="shared" si="2"/>
        <v>3648.0371324786101</v>
      </c>
      <c r="F20" s="3"/>
      <c r="G20" s="26">
        <v>5.37</v>
      </c>
      <c r="H20" s="10"/>
      <c r="I20" s="10">
        <f t="shared" si="5"/>
        <v>3126.2965580999276</v>
      </c>
      <c r="J20" s="10">
        <f t="shared" si="3"/>
        <v>430546556.00417221</v>
      </c>
      <c r="K20" s="11">
        <f t="shared" si="4"/>
        <v>8.2371177000000184E-2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134069.72188455012</v>
      </c>
      <c r="D21" s="11">
        <v>2.7359999999999999E-2</v>
      </c>
      <c r="E21" s="10">
        <f t="shared" si="2"/>
        <v>3570.4598103501048</v>
      </c>
      <c r="F21" s="3"/>
      <c r="G21" s="26">
        <v>5.57</v>
      </c>
      <c r="H21" s="10"/>
      <c r="I21" s="10">
        <f t="shared" si="5"/>
        <v>2966.9702553857146</v>
      </c>
      <c r="J21" s="10">
        <f t="shared" si="3"/>
        <v>397780876.97929537</v>
      </c>
      <c r="K21" s="11">
        <f t="shared" si="4"/>
        <v>8.4583951999999796E-2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130499.26207420001</v>
      </c>
      <c r="D22" s="11">
        <v>2.615E-2</v>
      </c>
      <c r="E22" s="10">
        <f t="shared" si="2"/>
        <v>3325.5914858844335</v>
      </c>
      <c r="F22" s="3"/>
      <c r="G22" s="26">
        <v>7.07</v>
      </c>
      <c r="H22" s="10"/>
      <c r="I22" s="10">
        <f t="shared" si="5"/>
        <v>2810.4293410871596</v>
      </c>
      <c r="J22" s="10">
        <f t="shared" si="3"/>
        <v>366758955.12355453</v>
      </c>
      <c r="K22" s="11">
        <f t="shared" si="4"/>
        <v>9.8698804999999945E-2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127173.67058831558</v>
      </c>
      <c r="D23" s="11">
        <v>2.5350000000000001E-2</v>
      </c>
      <c r="E23" s="10">
        <f t="shared" si="2"/>
        <v>3144.1483877834835</v>
      </c>
      <c r="F23" s="3"/>
      <c r="G23" s="26">
        <v>4.95</v>
      </c>
      <c r="H23" s="10"/>
      <c r="I23" s="10">
        <f t="shared" si="5"/>
        <v>2624.8522845681887</v>
      </c>
      <c r="J23" s="10">
        <f t="shared" si="3"/>
        <v>333812099.78066242</v>
      </c>
      <c r="K23" s="11">
        <f t="shared" si="4"/>
        <v>7.6104825000000043E-2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124029.5222005321</v>
      </c>
      <c r="D24" s="11">
        <v>2.579E-2</v>
      </c>
      <c r="E24" s="10">
        <f t="shared" si="2"/>
        <v>3118.300409978372</v>
      </c>
      <c r="F24" s="3"/>
      <c r="G24" s="26">
        <v>1.99</v>
      </c>
      <c r="H24" s="10"/>
      <c r="I24" s="10">
        <f t="shared" si="5"/>
        <v>2501.0502949673069</v>
      </c>
      <c r="J24" s="10">
        <f t="shared" si="3"/>
        <v>310204073.08429492</v>
      </c>
      <c r="K24" s="11">
        <f t="shared" si="4"/>
        <v>4.620322099999985E-2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120911.22179055373</v>
      </c>
      <c r="D25" s="11">
        <v>2.828E-2</v>
      </c>
      <c r="E25" s="10">
        <f t="shared" si="2"/>
        <v>3325.329046793544</v>
      </c>
      <c r="F25" s="3"/>
      <c r="G25" s="26">
        <v>4.5999999999999996</v>
      </c>
      <c r="H25" s="10"/>
      <c r="I25" s="10">
        <f t="shared" si="5"/>
        <v>2452.2505098218521</v>
      </c>
      <c r="J25" s="10">
        <f t="shared" si="3"/>
        <v>296504605.27906841</v>
      </c>
      <c r="K25" s="11">
        <f t="shared" si="4"/>
        <v>7.5580879999999961E-2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117585.89274376018</v>
      </c>
      <c r="D26" s="11">
        <v>3.5049999999999998E-2</v>
      </c>
      <c r="E26" s="10">
        <f t="shared" si="2"/>
        <v>3981.8226565564983</v>
      </c>
      <c r="F26" s="3"/>
      <c r="G26" s="26">
        <v>-0.41</v>
      </c>
      <c r="H26" s="10"/>
      <c r="I26" s="10">
        <f t="shared" si="5"/>
        <v>2344.4077531757666</v>
      </c>
      <c r="J26" s="10">
        <f t="shared" si="3"/>
        <v>275669278.61256552</v>
      </c>
      <c r="K26" s="11">
        <f t="shared" si="4"/>
        <v>3.0806295000000095E-2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113604.07008720368</v>
      </c>
      <c r="D27" s="11">
        <v>3.5959999999999999E-2</v>
      </c>
      <c r="E27" s="10">
        <f t="shared" si="2"/>
        <v>3943.3977763000876</v>
      </c>
      <c r="F27" s="3"/>
      <c r="G27" s="26">
        <v>-10.38</v>
      </c>
      <c r="H27" s="10"/>
      <c r="I27" s="10">
        <f t="shared" si="5"/>
        <v>2354.059396702246</v>
      </c>
      <c r="J27" s="10">
        <f t="shared" si="3"/>
        <v>267430728.69240236</v>
      </c>
      <c r="K27" s="11">
        <f t="shared" si="4"/>
        <v>-7.1572648000000183E-2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109660.6723109036</v>
      </c>
      <c r="D28" s="11">
        <v>3.9070000000000001E-2</v>
      </c>
      <c r="E28" s="10">
        <f t="shared" si="2"/>
        <v>4123.3434390243201</v>
      </c>
      <c r="F28" s="3"/>
      <c r="G28" s="26">
        <v>7.36</v>
      </c>
      <c r="H28" s="10"/>
      <c r="I28" s="10">
        <f t="shared" si="5"/>
        <v>2626.7121141511338</v>
      </c>
      <c r="J28" s="10">
        <f t="shared" si="3"/>
        <v>288047016.40500832</v>
      </c>
      <c r="K28" s="11">
        <f t="shared" si="4"/>
        <v>0.11554555199999994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105537.32887187928</v>
      </c>
      <c r="D29" s="11">
        <v>3.8420000000000003E-2</v>
      </c>
      <c r="E29" s="10">
        <f t="shared" si="2"/>
        <v>3904.7246540490305</v>
      </c>
      <c r="F29" s="3"/>
      <c r="G29" s="26">
        <v>4.7699999999999996</v>
      </c>
      <c r="H29" s="10"/>
      <c r="I29" s="10">
        <f t="shared" si="5"/>
        <v>2446.639450587867</v>
      </c>
      <c r="J29" s="10">
        <f t="shared" si="3"/>
        <v>258211792.32760575</v>
      </c>
      <c r="K29" s="11">
        <f t="shared" si="4"/>
        <v>8.7952634000000085E-2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101632.60421783025</v>
      </c>
      <c r="D30" s="11">
        <v>3.669E-2</v>
      </c>
      <c r="E30" s="10">
        <f t="shared" si="2"/>
        <v>3596.9289264410763</v>
      </c>
      <c r="F30" s="3"/>
      <c r="G30" s="26">
        <v>29.05</v>
      </c>
      <c r="H30" s="10"/>
      <c r="I30" s="10">
        <f t="shared" si="5"/>
        <v>2335.248115479495</v>
      </c>
      <c r="J30" s="10">
        <f t="shared" si="3"/>
        <v>237337347.47096145</v>
      </c>
      <c r="K30" s="11">
        <f t="shared" si="4"/>
        <v>0.33784844500000011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98035.675291389169</v>
      </c>
      <c r="D31" s="11">
        <v>3.8510000000000003E-2</v>
      </c>
      <c r="E31" s="10">
        <f t="shared" si="2"/>
        <v>3635.356284938418</v>
      </c>
      <c r="F31" s="3"/>
      <c r="G31" s="26">
        <v>11.39</v>
      </c>
      <c r="H31" s="10"/>
      <c r="I31" s="10">
        <f t="shared" si="5"/>
        <v>1809.5684738314569</v>
      </c>
      <c r="J31" s="10">
        <f t="shared" si="3"/>
        <v>177402267.31807536</v>
      </c>
      <c r="K31" s="11">
        <f t="shared" si="4"/>
        <v>0.15679628900000009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94400.319006450751</v>
      </c>
      <c r="D32" s="11">
        <v>3.61E-2</v>
      </c>
      <c r="E32" s="10">
        <f t="shared" si="2"/>
        <v>3289.1144832862337</v>
      </c>
      <c r="F32" s="3"/>
      <c r="G32" s="26">
        <v>4.03</v>
      </c>
      <c r="H32" s="10"/>
      <c r="I32" s="10">
        <f t="shared" si="5"/>
        <v>1624.5340459928689</v>
      </c>
      <c r="J32" s="10">
        <f t="shared" si="3"/>
        <v>153356532.17856696</v>
      </c>
      <c r="K32" s="11">
        <f t="shared" si="4"/>
        <v>7.785482999999993E-2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91111.204523164517</v>
      </c>
      <c r="D33" s="11">
        <v>2.581E-2</v>
      </c>
      <c r="E33" s="10">
        <f t="shared" si="2"/>
        <v>2292.4130089810642</v>
      </c>
      <c r="F33" s="3"/>
      <c r="G33" s="26">
        <v>4.5599999999999996</v>
      </c>
      <c r="H33" s="10"/>
      <c r="I33" s="10">
        <f t="shared" si="5"/>
        <v>1561.6015053281446</v>
      </c>
      <c r="J33" s="10">
        <f t="shared" si="3"/>
        <v>142279394.13563418</v>
      </c>
      <c r="K33" s="11">
        <f t="shared" si="4"/>
        <v>7.2586935999999991E-2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88818.791514183453</v>
      </c>
      <c r="D34" s="11">
        <v>2.4099999999999998E-3</v>
      </c>
      <c r="E34" s="10">
        <f t="shared" si="2"/>
        <v>213.53865938007948</v>
      </c>
      <c r="F34" s="3"/>
      <c r="G34" s="26">
        <v>9.13</v>
      </c>
      <c r="H34" s="10"/>
      <c r="I34" s="10">
        <f t="shared" si="5"/>
        <v>1493.4979966795568</v>
      </c>
      <c r="J34" s="10">
        <f t="shared" ref="J34:J65" si="6">IF(I34="","",I34*C34)</f>
        <v>132650687.19393221</v>
      </c>
      <c r="K34" s="11">
        <f t="shared" ref="K34:K65" si="7">IFERROR(J34/J35-1,"")</f>
        <v>0.10696136300000036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88605.252854803373</v>
      </c>
      <c r="D35" s="11">
        <v>3.47E-3</v>
      </c>
      <c r="E35" s="10">
        <f t="shared" si="2"/>
        <v>306.3970297130727</v>
      </c>
      <c r="F35" s="3"/>
      <c r="G35" s="26">
        <v>0.74</v>
      </c>
      <c r="H35" s="10"/>
      <c r="I35" s="10">
        <f t="shared" ref="I35:I66" si="8">IF(H35&lt;&gt;"",H35,I34/(1+IF(G34="",0,G34)/100))</f>
        <v>1352.4386459110356</v>
      </c>
      <c r="J35" s="10">
        <f t="shared" si="6"/>
        <v>119833168.19155519</v>
      </c>
      <c r="K35" s="11">
        <f t="shared" si="7"/>
        <v>3.7989367999999857E-2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88298.855825090301</v>
      </c>
      <c r="D36" s="11">
        <v>3.63E-3</v>
      </c>
      <c r="E36" s="10">
        <f t="shared" si="2"/>
        <v>319.36554969966528</v>
      </c>
      <c r="F36" s="3"/>
      <c r="G36" s="26">
        <v>10.32</v>
      </c>
      <c r="H36" s="10"/>
      <c r="I36" s="10">
        <f t="shared" si="8"/>
        <v>1307.4619546703748</v>
      </c>
      <c r="J36" s="10">
        <f t="shared" si="6"/>
        <v>115447394.63223018</v>
      </c>
      <c r="K36" s="11">
        <f t="shared" si="7"/>
        <v>0.15537885600000001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87979.490275390635</v>
      </c>
      <c r="D37" s="11">
        <v>1.2099999999999999E-3</v>
      </c>
      <c r="E37" s="10">
        <f t="shared" si="2"/>
        <v>106.32652813417371</v>
      </c>
      <c r="F37" s="3"/>
      <c r="G37" s="26">
        <v>-0.29</v>
      </c>
      <c r="H37" s="10"/>
      <c r="I37" s="10">
        <f t="shared" si="8"/>
        <v>1135.7383205962255</v>
      </c>
      <c r="J37" s="10">
        <f t="shared" si="6"/>
        <v>99921678.532284111</v>
      </c>
      <c r="K37" s="11">
        <f t="shared" si="7"/>
        <v>5.1370621000000005E-2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87873.163747256462</v>
      </c>
      <c r="D38" s="11">
        <v>2.2799999999999999E-3</v>
      </c>
      <c r="E38" s="10">
        <f t="shared" si="2"/>
        <v>199.89505262377497</v>
      </c>
      <c r="F38" s="3"/>
      <c r="G38" s="26">
        <v>1.09</v>
      </c>
      <c r="H38" s="10"/>
      <c r="I38" s="10">
        <f t="shared" si="8"/>
        <v>1081.5525384213174</v>
      </c>
      <c r="J38" s="10">
        <f t="shared" si="6"/>
        <v>95039443.309957311</v>
      </c>
      <c r="K38" s="11">
        <f t="shared" si="7"/>
        <v>5.028921200000025E-2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87673.268694632687</v>
      </c>
      <c r="D39" s="11">
        <v>2.4399999999999999E-3</v>
      </c>
      <c r="E39" s="10">
        <f t="shared" si="2"/>
        <v>213.40207455299969</v>
      </c>
      <c r="F39" s="3"/>
      <c r="G39" s="26">
        <v>7.13</v>
      </c>
      <c r="H39" s="10"/>
      <c r="I39" s="10">
        <f t="shared" si="8"/>
        <v>1032.1142651219748</v>
      </c>
      <c r="J39" s="10">
        <f t="shared" si="6"/>
        <v>90488831.28960225</v>
      </c>
      <c r="K39" s="11">
        <f t="shared" si="7"/>
        <v>7.3913971999999939E-2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87459.866620079687</v>
      </c>
      <c r="D40" s="11">
        <v>3.2100000000000002E-3</v>
      </c>
      <c r="E40" s="10">
        <f t="shared" si="2"/>
        <v>279.84786021914624</v>
      </c>
      <c r="F40" s="3"/>
      <c r="G40" s="26">
        <v>7.9</v>
      </c>
      <c r="H40" s="10"/>
      <c r="I40" s="10">
        <f t="shared" si="8"/>
        <v>963.42225811815069</v>
      </c>
      <c r="J40" s="10">
        <f t="shared" si="6"/>
        <v>84260782.193829447</v>
      </c>
      <c r="K40" s="11">
        <f t="shared" si="7"/>
        <v>8.246358999999992E-2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87180.018759860541</v>
      </c>
      <c r="D41" s="11">
        <v>3.5300000000000002E-3</v>
      </c>
      <c r="E41" s="10">
        <f t="shared" si="2"/>
        <v>306.66294602284324</v>
      </c>
      <c r="F41" s="3"/>
      <c r="G41" s="26">
        <v>8.9499999999999993</v>
      </c>
      <c r="H41" s="10"/>
      <c r="I41" s="10">
        <f t="shared" si="8"/>
        <v>892.8843912123732</v>
      </c>
      <c r="J41" s="10">
        <f t="shared" si="6"/>
        <v>77841677.97628136</v>
      </c>
      <c r="K41" s="11">
        <f t="shared" si="7"/>
        <v>9.334593499999988E-2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86873.355813837697</v>
      </c>
      <c r="D42" s="11">
        <v>3.0799999999999998E-3</v>
      </c>
      <c r="E42" s="10">
        <f t="shared" si="2"/>
        <v>266.74835098558106</v>
      </c>
      <c r="F42" s="3"/>
      <c r="G42" s="26">
        <v>-3.31</v>
      </c>
      <c r="H42" s="10"/>
      <c r="I42" s="10">
        <f t="shared" si="8"/>
        <v>819.53592584889702</v>
      </c>
      <c r="J42" s="10">
        <f t="shared" si="6"/>
        <v>71195836.088494137</v>
      </c>
      <c r="K42" s="11">
        <f t="shared" si="7"/>
        <v>-3.0121948000000121E-2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86606.607462852116</v>
      </c>
      <c r="D43" s="11">
        <v>3.2399999999999998E-3</v>
      </c>
      <c r="E43" s="10">
        <f t="shared" si="2"/>
        <v>279.69918282727303</v>
      </c>
      <c r="F43" s="3"/>
      <c r="G43" s="26">
        <v>5.16</v>
      </c>
      <c r="H43" s="10"/>
      <c r="I43" s="10">
        <f t="shared" si="8"/>
        <v>847.59119438297341</v>
      </c>
      <c r="J43" s="10">
        <f t="shared" si="6"/>
        <v>73406997.86089617</v>
      </c>
      <c r="K43" s="11">
        <f t="shared" si="7"/>
        <v>5.5007184000000153E-2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86326.908280024843</v>
      </c>
      <c r="D44" s="11">
        <v>6.5100000000000002E-3</v>
      </c>
      <c r="E44" s="10">
        <f t="shared" si="2"/>
        <v>558.35329296575219</v>
      </c>
      <c r="F44" s="3"/>
      <c r="G44" s="26">
        <v>1.47</v>
      </c>
      <c r="H44" s="10"/>
      <c r="I44" s="10">
        <f t="shared" si="8"/>
        <v>806.00151614965137</v>
      </c>
      <c r="J44" s="10">
        <f t="shared" si="6"/>
        <v>69579618.958211914</v>
      </c>
      <c r="K44" s="11">
        <f t="shared" si="7"/>
        <v>2.1305696999999846E-2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85768.554987059091</v>
      </c>
      <c r="D45" s="11">
        <v>7.1799999999999998E-3</v>
      </c>
      <c r="E45" s="10">
        <f t="shared" si="2"/>
        <v>611.42817054258194</v>
      </c>
      <c r="F45" s="3"/>
      <c r="G45" s="26">
        <v>1.1599999999999999</v>
      </c>
      <c r="H45" s="10"/>
      <c r="I45" s="10">
        <f t="shared" si="8"/>
        <v>794.32493953843641</v>
      </c>
      <c r="J45" s="10">
        <f t="shared" si="6"/>
        <v>68128102.25439477</v>
      </c>
      <c r="K45" s="11">
        <f t="shared" si="7"/>
        <v>1.8863287999999923E-2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85157.126816516509</v>
      </c>
      <c r="D46" s="11">
        <v>7.8700000000000003E-3</v>
      </c>
      <c r="E46" s="10">
        <f t="shared" si="2"/>
        <v>664.9534047506022</v>
      </c>
      <c r="F46" s="3"/>
      <c r="G46" s="26">
        <v>2.68</v>
      </c>
      <c r="H46" s="10"/>
      <c r="I46" s="10">
        <f t="shared" si="8"/>
        <v>785.2164289624717</v>
      </c>
      <c r="J46" s="10">
        <f t="shared" si="6"/>
        <v>66866775.019569427</v>
      </c>
      <c r="K46" s="11">
        <f t="shared" si="7"/>
        <v>3.4880915999999873E-2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84492.173411765907</v>
      </c>
      <c r="D47" s="11">
        <v>0.01</v>
      </c>
      <c r="E47" s="10">
        <f t="shared" si="2"/>
        <v>836.55617239372805</v>
      </c>
      <c r="F47" s="3"/>
      <c r="G47" s="26"/>
      <c r="H47" s="10"/>
      <c r="I47" s="10">
        <f t="shared" si="8"/>
        <v>764.72188251117234</v>
      </c>
      <c r="J47" s="10">
        <f t="shared" si="6"/>
        <v>64613013.90890605</v>
      </c>
      <c r="K47" s="11">
        <f t="shared" si="7"/>
        <v>1.0000000000000231E-2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83655.617239372179</v>
      </c>
      <c r="D48" s="11">
        <v>9.2999999999999992E-3</v>
      </c>
      <c r="E48" s="10">
        <f t="shared" si="2"/>
        <v>770.82853495112795</v>
      </c>
      <c r="F48" s="3"/>
      <c r="G48" s="26"/>
      <c r="H48" s="10"/>
      <c r="I48" s="10">
        <f t="shared" si="8"/>
        <v>764.72188251117234</v>
      </c>
      <c r="J48" s="10">
        <f t="shared" si="6"/>
        <v>63973281.097926773</v>
      </c>
      <c r="K48" s="11">
        <f t="shared" si="7"/>
        <v>9.300000000000086E-3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82884.788704421051</v>
      </c>
      <c r="D49" s="11">
        <v>8.4100000000000008E-3</v>
      </c>
      <c r="E49" s="10">
        <f t="shared" si="2"/>
        <v>691.24768001525081</v>
      </c>
      <c r="F49" s="3"/>
      <c r="G49" s="26"/>
      <c r="H49" s="10"/>
      <c r="I49" s="10">
        <f t="shared" si="8"/>
        <v>764.72188251117234</v>
      </c>
      <c r="J49" s="10">
        <f t="shared" si="6"/>
        <v>63383811.64958562</v>
      </c>
      <c r="K49" s="11">
        <f t="shared" si="7"/>
        <v>8.4100000000000286E-3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82193.5410244058</v>
      </c>
      <c r="D50" s="11">
        <v>8.8100000000000001E-3</v>
      </c>
      <c r="E50" s="10">
        <f t="shared" si="2"/>
        <v>717.80126726045273</v>
      </c>
      <c r="F50" s="3"/>
      <c r="G50" s="26"/>
      <c r="H50" s="10"/>
      <c r="I50" s="10">
        <f t="shared" si="8"/>
        <v>764.72188251117234</v>
      </c>
      <c r="J50" s="10">
        <f t="shared" si="6"/>
        <v>62855199.422442876</v>
      </c>
      <c r="K50" s="11">
        <f t="shared" si="7"/>
        <v>8.8099999999999845E-3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81475.739757145348</v>
      </c>
      <c r="D51" s="11">
        <v>1.038E-2</v>
      </c>
      <c r="E51" s="10">
        <f t="shared" si="2"/>
        <v>837.02980925906741</v>
      </c>
      <c r="F51" s="3"/>
      <c r="G51" s="26"/>
      <c r="H51" s="10"/>
      <c r="I51" s="10">
        <f t="shared" si="8"/>
        <v>764.72188251117234</v>
      </c>
      <c r="J51" s="10">
        <f t="shared" si="6"/>
        <v>62306281.086074561</v>
      </c>
      <c r="K51" s="11">
        <f t="shared" si="7"/>
        <v>1.0380000000000278E-2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80638.70994788628</v>
      </c>
      <c r="D52" s="11">
        <v>7.4799999999999997E-3</v>
      </c>
      <c r="E52" s="10">
        <f t="shared" si="2"/>
        <v>598.6992797973071</v>
      </c>
      <c r="F52" s="3"/>
      <c r="G52" s="26"/>
      <c r="H52" s="10"/>
      <c r="I52" s="10">
        <f t="shared" si="8"/>
        <v>764.72188251117234</v>
      </c>
      <c r="J52" s="10">
        <f t="shared" si="6"/>
        <v>61666186.074619994</v>
      </c>
      <c r="K52" s="11">
        <f t="shared" si="7"/>
        <v>7.4799999999999311E-3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80040.010668088973</v>
      </c>
      <c r="D53" s="11">
        <v>8.5400000000000007E-3</v>
      </c>
      <c r="E53" s="10">
        <f t="shared" si="2"/>
        <v>677.75367472333892</v>
      </c>
      <c r="F53" s="3"/>
      <c r="G53" s="26"/>
      <c r="H53" s="10"/>
      <c r="I53" s="10">
        <f t="shared" si="8"/>
        <v>764.72188251117234</v>
      </c>
      <c r="J53" s="10">
        <f t="shared" si="6"/>
        <v>61208347.634315319</v>
      </c>
      <c r="K53" s="11">
        <f t="shared" si="7"/>
        <v>8.539999999999992E-3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79362.256993365634</v>
      </c>
      <c r="D54" s="11">
        <v>6.9199999999999999E-3</v>
      </c>
      <c r="E54" s="10">
        <f t="shared" si="2"/>
        <v>545.4125634549855</v>
      </c>
      <c r="F54" s="3"/>
      <c r="G54" s="26"/>
      <c r="H54" s="10"/>
      <c r="I54" s="10">
        <f t="shared" si="8"/>
        <v>764.72188251117234</v>
      </c>
      <c r="J54" s="10">
        <f t="shared" si="6"/>
        <v>60690054.56830202</v>
      </c>
      <c r="K54" s="11">
        <f t="shared" si="7"/>
        <v>6.9200000000000372E-3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78816.844429910649</v>
      </c>
      <c r="D55" s="11">
        <v>9.5300000000000003E-3</v>
      </c>
      <c r="E55" s="10">
        <f t="shared" si="2"/>
        <v>744.0338844977814</v>
      </c>
      <c r="F55" s="3"/>
      <c r="G55" s="26"/>
      <c r="H55" s="10"/>
      <c r="I55" s="10">
        <f t="shared" si="8"/>
        <v>764.72188251117234</v>
      </c>
      <c r="J55" s="10">
        <f t="shared" si="6"/>
        <v>60272965.646031477</v>
      </c>
      <c r="K55" s="11">
        <f t="shared" si="7"/>
        <v>9.5300000000000384E-3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78072.810545412867</v>
      </c>
      <c r="D56" s="11">
        <v>8.4200000000000004E-3</v>
      </c>
      <c r="E56" s="10">
        <f t="shared" si="2"/>
        <v>651.88419982981577</v>
      </c>
      <c r="F56" s="3"/>
      <c r="G56" s="26"/>
      <c r="H56" s="10"/>
      <c r="I56" s="10">
        <f t="shared" si="8"/>
        <v>764.72188251117234</v>
      </c>
      <c r="J56" s="10">
        <f t="shared" si="6"/>
        <v>59703986.653226234</v>
      </c>
      <c r="K56" s="11">
        <f t="shared" si="7"/>
        <v>8.4200000000000941E-3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77420.926345583051</v>
      </c>
      <c r="D57" s="11">
        <v>5.7099999999999998E-3</v>
      </c>
      <c r="E57" s="10">
        <f t="shared" si="2"/>
        <v>439.56358138358337</v>
      </c>
      <c r="F57" s="3"/>
      <c r="G57" s="26"/>
      <c r="H57" s="10"/>
      <c r="I57" s="10">
        <f t="shared" si="8"/>
        <v>764.72188251117234</v>
      </c>
      <c r="J57" s="10">
        <f t="shared" si="6"/>
        <v>59205476.540753089</v>
      </c>
      <c r="K57" s="11">
        <f t="shared" si="7"/>
        <v>5.7100000000001039E-3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76981.362764199468</v>
      </c>
      <c r="D58" s="11">
        <v>-4.15E-3</v>
      </c>
      <c r="E58" s="10">
        <f t="shared" si="2"/>
        <v>-320.80399203838897</v>
      </c>
      <c r="F58" s="3"/>
      <c r="G58" s="26"/>
      <c r="H58" s="10"/>
      <c r="I58" s="10">
        <f t="shared" si="8"/>
        <v>764.72188251117234</v>
      </c>
      <c r="J58" s="10">
        <f t="shared" si="6"/>
        <v>58869332.65131408</v>
      </c>
      <c r="K58" s="11">
        <f t="shared" si="7"/>
        <v>-4.1500000000000981E-3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77302.166756237857</v>
      </c>
      <c r="D59" s="11">
        <v>-1.9E-3</v>
      </c>
      <c r="E59" s="10">
        <f t="shared" si="2"/>
        <v>-147.15370888373582</v>
      </c>
      <c r="F59" s="3"/>
      <c r="G59" s="26"/>
      <c r="H59" s="10"/>
      <c r="I59" s="10">
        <f t="shared" si="8"/>
        <v>764.72188251117234</v>
      </c>
      <c r="J59" s="10">
        <f t="shared" si="6"/>
        <v>59114658.484022781</v>
      </c>
      <c r="K59" s="11">
        <f t="shared" si="7"/>
        <v>-1.9000000000001238E-3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77449.320465121593</v>
      </c>
      <c r="D60" s="11">
        <v>1.3799999999999999E-3</v>
      </c>
      <c r="E60" s="10">
        <f t="shared" si="2"/>
        <v>106.73277101786516</v>
      </c>
      <c r="F60" s="3"/>
      <c r="G60" s="26"/>
      <c r="H60" s="10"/>
      <c r="I60" s="10">
        <f t="shared" si="8"/>
        <v>764.72188251117234</v>
      </c>
      <c r="J60" s="10">
        <f t="shared" si="6"/>
        <v>59227190.145298854</v>
      </c>
      <c r="K60" s="11">
        <f t="shared" si="7"/>
        <v>1.3799999999999368E-3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77342.587694103728</v>
      </c>
      <c r="D61" s="11">
        <v>3.98E-3</v>
      </c>
      <c r="E61" s="10">
        <f t="shared" si="2"/>
        <v>306.60321821404796</v>
      </c>
      <c r="F61" s="3"/>
      <c r="G61" s="26"/>
      <c r="H61" s="10"/>
      <c r="I61" s="10">
        <f t="shared" si="8"/>
        <v>764.72188251117234</v>
      </c>
      <c r="J61" s="10">
        <f t="shared" si="6"/>
        <v>59145569.259720437</v>
      </c>
      <c r="K61" s="11">
        <f t="shared" si="7"/>
        <v>3.9800000000000946E-3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77035.98447588968</v>
      </c>
      <c r="D62" s="11">
        <v>9.75E-3</v>
      </c>
      <c r="E62" s="10">
        <f t="shared" si="2"/>
        <v>743.84832744731102</v>
      </c>
      <c r="F62" s="3"/>
      <c r="G62" s="26"/>
      <c r="H62" s="10"/>
      <c r="I62" s="10">
        <f t="shared" si="8"/>
        <v>764.72188251117234</v>
      </c>
      <c r="J62" s="10">
        <f t="shared" si="6"/>
        <v>58911103.069503807</v>
      </c>
      <c r="K62" s="11">
        <f t="shared" si="7"/>
        <v>9.7499999999999254E-3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76292.136148442369</v>
      </c>
      <c r="D63" s="11">
        <v>2.445E-2</v>
      </c>
      <c r="E63" s="10">
        <f t="shared" si="2"/>
        <v>1820.8235920049046</v>
      </c>
      <c r="F63" s="3"/>
      <c r="G63" s="26"/>
      <c r="H63" s="10"/>
      <c r="I63" s="10">
        <f t="shared" si="8"/>
        <v>764.72188251117234</v>
      </c>
      <c r="J63" s="10">
        <f t="shared" si="6"/>
        <v>58342265.976235509</v>
      </c>
      <c r="K63" s="11">
        <f t="shared" si="7"/>
        <v>2.4450000000000083E-2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74471.312556437464</v>
      </c>
      <c r="D64" s="11">
        <v>2.6169999999999999E-2</v>
      </c>
      <c r="E64" s="10">
        <f t="shared" si="2"/>
        <v>1899.2118748374778</v>
      </c>
      <c r="F64" s="3"/>
      <c r="G64" s="26"/>
      <c r="H64" s="10"/>
      <c r="I64" s="10">
        <f t="shared" si="8"/>
        <v>764.72188251117234</v>
      </c>
      <c r="J64" s="10">
        <f t="shared" si="6"/>
        <v>56949842.331236765</v>
      </c>
      <c r="K64" s="11">
        <f t="shared" si="7"/>
        <v>2.6170000000000027E-2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72572.100681599986</v>
      </c>
      <c r="D65" s="11">
        <v>2.3099999999999999E-2</v>
      </c>
      <c r="E65" s="10">
        <f t="shared" si="2"/>
        <v>1638.5646815999935</v>
      </c>
      <c r="F65" s="3"/>
      <c r="G65" s="26"/>
      <c r="H65" s="10"/>
      <c r="I65" s="10">
        <f t="shared" si="8"/>
        <v>764.72188251117234</v>
      </c>
      <c r="J65" s="10">
        <f t="shared" si="6"/>
        <v>55497473.451023474</v>
      </c>
      <c r="K65" s="11">
        <f t="shared" si="7"/>
        <v>2.3099999999999898E-2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70933.535999999993</v>
      </c>
      <c r="D66" s="11">
        <v>3.7039999999999997E-2</v>
      </c>
      <c r="E66" s="10">
        <f t="shared" si="2"/>
        <v>2533.5359999999928</v>
      </c>
      <c r="F66" s="23">
        <f>SUM(F2)</f>
        <v>189681</v>
      </c>
      <c r="G66" s="26"/>
      <c r="H66" s="10"/>
      <c r="I66" s="10">
        <f t="shared" si="8"/>
        <v>764.72188251117234</v>
      </c>
      <c r="J66" s="10">
        <f t="shared" ref="J66:J67" si="9">IF(I66="","",I66*C66)</f>
        <v>54244427.18309401</v>
      </c>
      <c r="K66" s="11">
        <f t="shared" ref="K66" si="10">IFERROR(J66/J67-1,"")</f>
        <v>3.7039999999999962E-2</v>
      </c>
    </row>
    <row r="67" spans="1:11" ht="22.5" customHeight="1">
      <c r="A67" s="3">
        <f t="shared" si="0"/>
        <v>1950</v>
      </c>
      <c r="B67" s="3">
        <v>1700</v>
      </c>
      <c r="C67" s="10">
        <v>68400</v>
      </c>
      <c r="D67" s="11">
        <v>4.4790000000000003E-2</v>
      </c>
      <c r="E67" s="3" t="s">
        <v>72</v>
      </c>
      <c r="F67" s="10">
        <f>SUM(C2)</f>
        <v>189630.93342655883</v>
      </c>
      <c r="G67" s="26"/>
      <c r="H67" s="10"/>
      <c r="I67" s="10">
        <f t="shared" ref="I67" si="11">IF(H67&lt;&gt;"",H67,I66/(1+IF(G66="",0,G66)/100))</f>
        <v>764.72188251117234</v>
      </c>
      <c r="J67" s="10">
        <f t="shared" si="9"/>
        <v>52306976.763764188</v>
      </c>
      <c r="K67" s="11"/>
    </row>
  </sheetData>
  <dataValidations count="1">
    <dataValidation type="custom" allowBlank="1" showDropDown="1" sqref="D2:D67" xr:uid="{00000000-0002-0000-5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outlinePr summaryBelow="0" summaryRight="0"/>
  </sheetPr>
  <dimension ref="A1:M69"/>
  <sheetViews>
    <sheetView topLeftCell="A27" workbookViewId="0">
      <selection activeCell="H18" sqref="H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220397.80165261147</v>
      </c>
      <c r="D2" s="11">
        <v>-6.7299999999999999E-3</v>
      </c>
      <c r="E2" s="10">
        <f t="shared" ref="E2:E66" si="2">SUM(C2-C3)</f>
        <v>-1493.327297836513</v>
      </c>
      <c r="F2" s="14">
        <v>220218</v>
      </c>
      <c r="G2" s="26">
        <v>3.61</v>
      </c>
      <c r="H2" s="10"/>
      <c r="I2" s="10">
        <f>IF(H2&lt;&gt;"",H2,27616)</f>
        <v>3452</v>
      </c>
      <c r="J2" s="10">
        <f t="shared" ref="J2:J33" si="3">IF(I2="","",I2*C2)</f>
        <v>760813211.30481482</v>
      </c>
      <c r="K2" s="11">
        <f t="shared" ref="K2:K33" si="4">IFERROR(J2/J3-1,"")</f>
        <v>2.9127047000000017E-2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221891.12895044798</v>
      </c>
      <c r="D3" s="11">
        <v>-6.0299999999999998E-3</v>
      </c>
      <c r="E3" s="10">
        <f t="shared" si="2"/>
        <v>-1346.1206148789206</v>
      </c>
      <c r="F3" s="3"/>
      <c r="G3" s="26">
        <v>1.43</v>
      </c>
      <c r="H3" s="10"/>
      <c r="I3" s="10">
        <f t="shared" ref="I3:I34" si="5">IF(H3&lt;&gt;"",H3,I2/(1+IF(G2="",0,G2)/100))</f>
        <v>3331.7247369944985</v>
      </c>
      <c r="J3" s="10">
        <f t="shared" si="3"/>
        <v>739280163.24384367</v>
      </c>
      <c r="K3" s="11">
        <f t="shared" si="4"/>
        <v>8.1837710000001174E-3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223237.2495653269</v>
      </c>
      <c r="D4" s="11">
        <v>-5.3400000000000001E-3</v>
      </c>
      <c r="E4" s="10">
        <f t="shared" si="2"/>
        <v>-1198.4868323636765</v>
      </c>
      <c r="F4" s="3"/>
      <c r="G4" s="26">
        <v>6.43</v>
      </c>
      <c r="H4" s="10"/>
      <c r="I4" s="10">
        <f t="shared" si="5"/>
        <v>3284.7527723498952</v>
      </c>
      <c r="J4" s="10">
        <f t="shared" si="3"/>
        <v>733279174.40147293</v>
      </c>
      <c r="K4" s="11">
        <f t="shared" si="4"/>
        <v>5.8616637999999943E-2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224435.73639769058</v>
      </c>
      <c r="D5" s="11">
        <v>-9.0299999999999998E-3</v>
      </c>
      <c r="E5" s="10">
        <f t="shared" si="2"/>
        <v>-2045.1221527101006</v>
      </c>
      <c r="F5" s="3"/>
      <c r="G5" s="26">
        <v>-1.04</v>
      </c>
      <c r="H5" s="10"/>
      <c r="I5" s="10">
        <f t="shared" si="5"/>
        <v>3086.3034598796344</v>
      </c>
      <c r="J5" s="10">
        <f t="shared" si="3"/>
        <v>692676789.76482606</v>
      </c>
      <c r="K5" s="11">
        <f t="shared" si="4"/>
        <v>-1.9336087999999862E-2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226480.85855040068</v>
      </c>
      <c r="D6" s="11">
        <v>-8.1300000000000001E-3</v>
      </c>
      <c r="E6" s="10">
        <f t="shared" si="2"/>
        <v>-1856.3817637540633</v>
      </c>
      <c r="F6" s="3"/>
      <c r="G6" s="26">
        <v>3.37</v>
      </c>
      <c r="H6" s="10"/>
      <c r="I6" s="10">
        <f t="shared" si="5"/>
        <v>3118.7383386010856</v>
      </c>
      <c r="J6" s="10">
        <f t="shared" si="3"/>
        <v>706334536.52042413</v>
      </c>
      <c r="K6" s="11">
        <f t="shared" si="4"/>
        <v>2.5296019000000225E-2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228337.24031415474</v>
      </c>
      <c r="D7" s="11">
        <v>-7.4200000000000004E-3</v>
      </c>
      <c r="E7" s="10">
        <f t="shared" si="2"/>
        <v>-1706.9277268643491</v>
      </c>
      <c r="F7" s="3"/>
      <c r="G7" s="26">
        <v>-2.73</v>
      </c>
      <c r="H7" s="10"/>
      <c r="I7" s="10">
        <f t="shared" si="5"/>
        <v>3017.0633052153289</v>
      </c>
      <c r="J7" s="10">
        <f t="shared" si="3"/>
        <v>688907908.96597052</v>
      </c>
      <c r="K7" s="11">
        <f t="shared" si="4"/>
        <v>-3.4517433999999958E-2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230044.16804101909</v>
      </c>
      <c r="D8" s="11">
        <v>-6.1000000000000004E-3</v>
      </c>
      <c r="E8" s="10">
        <f t="shared" si="2"/>
        <v>-1411.8819046686986</v>
      </c>
      <c r="F8" s="3"/>
      <c r="G8" s="26">
        <v>-11.68</v>
      </c>
      <c r="H8" s="10"/>
      <c r="I8" s="10">
        <f t="shared" si="5"/>
        <v>3101.7408298708019</v>
      </c>
      <c r="J8" s="10">
        <f t="shared" si="3"/>
        <v>713537388.68648875</v>
      </c>
      <c r="K8" s="11">
        <f t="shared" si="4"/>
        <v>-0.12218751999999999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231456.04994568779</v>
      </c>
      <c r="D9" s="11">
        <v>-6.5700000000000003E-3</v>
      </c>
      <c r="E9" s="10">
        <f t="shared" si="2"/>
        <v>-1530.7230989029631</v>
      </c>
      <c r="F9" s="3"/>
      <c r="G9" s="26">
        <v>1.84</v>
      </c>
      <c r="H9" s="10"/>
      <c r="I9" s="10">
        <f t="shared" si="5"/>
        <v>3511.934816429803</v>
      </c>
      <c r="J9" s="10">
        <f t="shared" si="3"/>
        <v>812858560.27757633</v>
      </c>
      <c r="K9" s="11">
        <f t="shared" si="4"/>
        <v>1.170911199999991E-2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232986.77304459075</v>
      </c>
      <c r="D10" s="11">
        <v>-7.0000000000000001E-3</v>
      </c>
      <c r="E10" s="10">
        <f t="shared" si="2"/>
        <v>-1642.404240999138</v>
      </c>
      <c r="F10" s="3"/>
      <c r="G10" s="26">
        <v>3.09</v>
      </c>
      <c r="H10" s="10"/>
      <c r="I10" s="10">
        <f t="shared" si="5"/>
        <v>3448.4827341219593</v>
      </c>
      <c r="J10" s="10">
        <f t="shared" si="3"/>
        <v>803450864.12306273</v>
      </c>
      <c r="K10" s="11">
        <f t="shared" si="4"/>
        <v>2.3683699999999863E-2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234629.17728558989</v>
      </c>
      <c r="D11" s="11">
        <v>-7.0299999999999998E-3</v>
      </c>
      <c r="E11" s="10">
        <f t="shared" si="2"/>
        <v>-1661.1207955101272</v>
      </c>
      <c r="F11" s="3"/>
      <c r="G11" s="26">
        <v>1.1299999999999999</v>
      </c>
      <c r="H11" s="10"/>
      <c r="I11" s="10">
        <f t="shared" si="5"/>
        <v>3345.1185702996991</v>
      </c>
      <c r="J11" s="10">
        <f t="shared" si="3"/>
        <v>784862418.07216704</v>
      </c>
      <c r="K11" s="11">
        <f t="shared" si="4"/>
        <v>4.190560999999926E-3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236290.29808110002</v>
      </c>
      <c r="D12" s="11">
        <v>-7.2500000000000004E-3</v>
      </c>
      <c r="E12" s="10">
        <f t="shared" si="2"/>
        <v>-1725.6153725388867</v>
      </c>
      <c r="F12" s="3"/>
      <c r="G12" s="26">
        <v>-0.38</v>
      </c>
      <c r="H12" s="10"/>
      <c r="I12" s="10">
        <f t="shared" si="5"/>
        <v>3307.7410959158497</v>
      </c>
      <c r="J12" s="10">
        <f t="shared" si="3"/>
        <v>781587129.5290606</v>
      </c>
      <c r="K12" s="11">
        <f t="shared" si="4"/>
        <v>-1.1022450000000017E-2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238015.9134536389</v>
      </c>
      <c r="D13" s="11">
        <v>-6.8399999999999997E-3</v>
      </c>
      <c r="E13" s="10">
        <f t="shared" si="2"/>
        <v>-1639.2412582291581</v>
      </c>
      <c r="F13" s="3"/>
      <c r="G13" s="26">
        <v>7.29</v>
      </c>
      <c r="H13" s="10"/>
      <c r="I13" s="10">
        <f t="shared" si="5"/>
        <v>3320.3584580564643</v>
      </c>
      <c r="J13" s="10">
        <f t="shared" si="3"/>
        <v>790298151.38782537</v>
      </c>
      <c r="K13" s="11">
        <f t="shared" si="4"/>
        <v>6.5561364000000122E-2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239655.15471186806</v>
      </c>
      <c r="D14" s="11">
        <v>-7.3000000000000001E-3</v>
      </c>
      <c r="E14" s="10">
        <f t="shared" si="2"/>
        <v>-1762.3477681037912</v>
      </c>
      <c r="F14" s="3"/>
      <c r="G14" s="26">
        <v>1.1100000000000001</v>
      </c>
      <c r="H14" s="10"/>
      <c r="I14" s="10">
        <f t="shared" si="5"/>
        <v>3094.7511026716975</v>
      </c>
      <c r="J14" s="10">
        <f t="shared" si="3"/>
        <v>741673054.30550992</v>
      </c>
      <c r="K14" s="11">
        <f t="shared" si="4"/>
        <v>3.7189699999999881E-3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241417.50247997185</v>
      </c>
      <c r="D15" s="11">
        <v>-7.3899999999999999E-3</v>
      </c>
      <c r="E15" s="10">
        <f t="shared" si="2"/>
        <v>-1797.3578175990551</v>
      </c>
      <c r="F15" s="3"/>
      <c r="G15" s="26">
        <v>-0.94</v>
      </c>
      <c r="H15" s="10"/>
      <c r="I15" s="10">
        <f t="shared" si="5"/>
        <v>3060.7764837025984</v>
      </c>
      <c r="J15" s="10">
        <f t="shared" si="3"/>
        <v>738925014.34491158</v>
      </c>
      <c r="K15" s="11">
        <f t="shared" si="4"/>
        <v>-1.6720533999999954E-2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243214.86029757091</v>
      </c>
      <c r="D16" s="11">
        <v>-9.4500000000000001E-3</v>
      </c>
      <c r="E16" s="10">
        <f t="shared" si="2"/>
        <v>-2320.307334119454</v>
      </c>
      <c r="F16" s="3"/>
      <c r="G16" s="26">
        <v>4.18</v>
      </c>
      <c r="H16" s="10"/>
      <c r="I16" s="10">
        <f t="shared" si="5"/>
        <v>3089.8207992152215</v>
      </c>
      <c r="J16" s="10">
        <f t="shared" si="3"/>
        <v>751490334.02565897</v>
      </c>
      <c r="K16" s="11">
        <f t="shared" si="4"/>
        <v>3.1954990000000016E-2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245535.16763169036</v>
      </c>
      <c r="D17" s="11">
        <v>-8.6499999999999997E-3</v>
      </c>
      <c r="E17" s="10">
        <f t="shared" si="2"/>
        <v>-2142.4110556454689</v>
      </c>
      <c r="F17" s="3"/>
      <c r="G17" s="26">
        <v>7.62</v>
      </c>
      <c r="H17" s="10"/>
      <c r="I17" s="10">
        <f t="shared" si="5"/>
        <v>2965.8483386592643</v>
      </c>
      <c r="J17" s="10">
        <f t="shared" si="3"/>
        <v>728220069.00287282</v>
      </c>
      <c r="K17" s="11">
        <f t="shared" si="4"/>
        <v>6.6890869999999936E-2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247677.57868733583</v>
      </c>
      <c r="D18" s="11">
        <v>-8.0199999999999994E-3</v>
      </c>
      <c r="E18" s="10">
        <f t="shared" si="2"/>
        <v>-2002.4336993411707</v>
      </c>
      <c r="F18" s="3"/>
      <c r="G18" s="26">
        <v>1.24</v>
      </c>
      <c r="H18" s="10"/>
      <c r="I18" s="10">
        <f t="shared" si="5"/>
        <v>2755.8523867861591</v>
      </c>
      <c r="J18" s="10">
        <f t="shared" si="3"/>
        <v>682562846.37891114</v>
      </c>
      <c r="K18" s="11">
        <f t="shared" si="4"/>
        <v>4.280551999999771E-3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249680.012386677</v>
      </c>
      <c r="D19" s="11">
        <v>-9.4299999999999991E-3</v>
      </c>
      <c r="E19" s="10">
        <f t="shared" si="2"/>
        <v>-2376.8966522369592</v>
      </c>
      <c r="F19" s="3"/>
      <c r="G19" s="26">
        <v>1.99</v>
      </c>
      <c r="H19" s="10"/>
      <c r="I19" s="10">
        <f t="shared" si="5"/>
        <v>2722.098367034926</v>
      </c>
      <c r="J19" s="10">
        <f t="shared" si="3"/>
        <v>679653553.99903357</v>
      </c>
      <c r="K19" s="11">
        <f t="shared" si="4"/>
        <v>1.0282343000000083E-2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252056.90903891396</v>
      </c>
      <c r="D20" s="11">
        <v>-9.8600000000000007E-3</v>
      </c>
      <c r="E20" s="10">
        <f t="shared" si="2"/>
        <v>-2510.0300191121351</v>
      </c>
      <c r="F20" s="3"/>
      <c r="G20" s="26">
        <v>7.05</v>
      </c>
      <c r="H20" s="10"/>
      <c r="I20" s="10">
        <f t="shared" si="5"/>
        <v>2668.9855545003684</v>
      </c>
      <c r="J20" s="10">
        <f t="shared" si="3"/>
        <v>672736249.13687468</v>
      </c>
      <c r="K20" s="11">
        <f t="shared" si="4"/>
        <v>5.9944870000000039E-2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254566.9390580261</v>
      </c>
      <c r="D21" s="11">
        <v>-8.1499999999999993E-3</v>
      </c>
      <c r="E21" s="10">
        <f t="shared" si="2"/>
        <v>-2091.7684663234395</v>
      </c>
      <c r="F21" s="3"/>
      <c r="G21" s="26">
        <v>1.19</v>
      </c>
      <c r="H21" s="10"/>
      <c r="I21" s="10">
        <f t="shared" si="5"/>
        <v>2493.2139696406989</v>
      </c>
      <c r="J21" s="10">
        <f t="shared" si="3"/>
        <v>634689848.66814315</v>
      </c>
      <c r="K21" s="11">
        <f t="shared" si="4"/>
        <v>3.6530150000000372E-3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256658.70752434953</v>
      </c>
      <c r="D22" s="11">
        <v>-7.7499999999999999E-3</v>
      </c>
      <c r="E22" s="10">
        <f t="shared" si="2"/>
        <v>-2004.6409506814962</v>
      </c>
      <c r="F22" s="3"/>
      <c r="G22" s="26">
        <v>2.5499999999999998</v>
      </c>
      <c r="H22" s="10"/>
      <c r="I22" s="10">
        <f t="shared" si="5"/>
        <v>2463.8936353796807</v>
      </c>
      <c r="J22" s="10">
        <f t="shared" si="3"/>
        <v>632379755.9340198</v>
      </c>
      <c r="K22" s="11">
        <f t="shared" si="4"/>
        <v>1.7552375000000175E-2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258663.34847503103</v>
      </c>
      <c r="D23" s="11">
        <v>-6.4000000000000003E-3</v>
      </c>
      <c r="E23" s="10">
        <f t="shared" si="2"/>
        <v>-1666.1085247989104</v>
      </c>
      <c r="F23" s="3"/>
      <c r="G23" s="26">
        <v>8.1999999999999993</v>
      </c>
      <c r="H23" s="10"/>
      <c r="I23" s="10">
        <f t="shared" si="5"/>
        <v>2402.6266556603418</v>
      </c>
      <c r="J23" s="10">
        <f t="shared" si="3"/>
        <v>621471455.88846934</v>
      </c>
      <c r="K23" s="11">
        <f t="shared" si="4"/>
        <v>7.5075199999999898E-2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260329.45699982994</v>
      </c>
      <c r="D24" s="11">
        <v>-5.3499999999999997E-3</v>
      </c>
      <c r="E24" s="10">
        <f t="shared" si="2"/>
        <v>-1400.2539536008553</v>
      </c>
      <c r="F24" s="3"/>
      <c r="G24" s="26">
        <v>7.31</v>
      </c>
      <c r="H24" s="10"/>
      <c r="I24" s="10">
        <f t="shared" si="5"/>
        <v>2220.5421956195396</v>
      </c>
      <c r="J24" s="10">
        <f t="shared" si="3"/>
        <v>578072544.03084493</v>
      </c>
      <c r="K24" s="11">
        <f t="shared" si="4"/>
        <v>6.7358914999999797E-2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261729.7109534308</v>
      </c>
      <c r="D25" s="11">
        <v>-1.6330000000000001E-2</v>
      </c>
      <c r="E25" s="10">
        <f t="shared" si="2"/>
        <v>-4345.0000303653651</v>
      </c>
      <c r="F25" s="3"/>
      <c r="G25" s="26">
        <v>5.88</v>
      </c>
      <c r="H25" s="10"/>
      <c r="I25" s="10">
        <f t="shared" si="5"/>
        <v>2069.2779756029631</v>
      </c>
      <c r="J25" s="10">
        <f t="shared" si="3"/>
        <v>541591526.43686402</v>
      </c>
      <c r="K25" s="11">
        <f t="shared" si="4"/>
        <v>4.1509796000000154E-2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266074.71098379616</v>
      </c>
      <c r="D26" s="11">
        <v>-1.536E-2</v>
      </c>
      <c r="E26" s="10">
        <f t="shared" si="2"/>
        <v>-4150.6617248040857</v>
      </c>
      <c r="F26" s="3"/>
      <c r="G26" s="26">
        <v>7.96</v>
      </c>
      <c r="H26" s="10"/>
      <c r="I26" s="10">
        <f t="shared" si="5"/>
        <v>1954.3615183254281</v>
      </c>
      <c r="J26" s="10">
        <f t="shared" si="3"/>
        <v>520006176.14629132</v>
      </c>
      <c r="K26" s="11">
        <f t="shared" si="4"/>
        <v>6.3017344000000142E-2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270225.37270860025</v>
      </c>
      <c r="D27" s="11">
        <v>-1.355E-2</v>
      </c>
      <c r="E27" s="10">
        <f t="shared" si="2"/>
        <v>-3711.849359016167</v>
      </c>
      <c r="F27" s="3"/>
      <c r="G27" s="26">
        <v>-3.96</v>
      </c>
      <c r="H27" s="10"/>
      <c r="I27" s="10">
        <f t="shared" si="5"/>
        <v>1810.2644667704963</v>
      </c>
      <c r="J27" s="10">
        <f t="shared" si="3"/>
        <v>489179390.23419285</v>
      </c>
      <c r="K27" s="11">
        <f t="shared" si="4"/>
        <v>-5.26134199999998E-2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273937.22206761641</v>
      </c>
      <c r="D28" s="11">
        <v>-1.214E-2</v>
      </c>
      <c r="E28" s="10">
        <f t="shared" si="2"/>
        <v>-3366.466782642121</v>
      </c>
      <c r="F28" s="3"/>
      <c r="G28" s="26">
        <v>12.13</v>
      </c>
      <c r="H28" s="10"/>
      <c r="I28" s="10">
        <f t="shared" si="5"/>
        <v>1884.9067750629906</v>
      </c>
      <c r="J28" s="10">
        <f t="shared" si="3"/>
        <v>516346125.81718516</v>
      </c>
      <c r="K28" s="11">
        <f t="shared" si="4"/>
        <v>0.10768741799999981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277303.68885025854</v>
      </c>
      <c r="D29" s="11">
        <v>1.09E-3</v>
      </c>
      <c r="E29" s="10">
        <f t="shared" si="2"/>
        <v>301.93191505939467</v>
      </c>
      <c r="F29" s="3"/>
      <c r="G29" s="26">
        <v>18.649999999999999</v>
      </c>
      <c r="H29" s="10"/>
      <c r="I29" s="10">
        <f t="shared" si="5"/>
        <v>1681.0013154936153</v>
      </c>
      <c r="J29" s="10">
        <f t="shared" si="3"/>
        <v>466147865.7485168</v>
      </c>
      <c r="K29" s="11">
        <f t="shared" si="4"/>
        <v>0.18779328500000014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277001.75693519914</v>
      </c>
      <c r="D30" s="11">
        <v>1.0200000000000001E-3</v>
      </c>
      <c r="E30" s="10">
        <f t="shared" si="2"/>
        <v>282.25389310292667</v>
      </c>
      <c r="F30" s="3"/>
      <c r="G30" s="26">
        <v>16.079999999999998</v>
      </c>
      <c r="H30" s="10"/>
      <c r="I30" s="10">
        <f t="shared" si="5"/>
        <v>1416.7731272596841</v>
      </c>
      <c r="J30" s="10">
        <f t="shared" si="3"/>
        <v>392448645.42950898</v>
      </c>
      <c r="K30" s="11">
        <f t="shared" si="4"/>
        <v>0.16198401600000012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276719.50304209621</v>
      </c>
      <c r="D31" s="11">
        <v>1.82E-3</v>
      </c>
      <c r="E31" s="10">
        <f t="shared" si="2"/>
        <v>502.71455504640471</v>
      </c>
      <c r="F31" s="3"/>
      <c r="G31" s="26">
        <v>0.94</v>
      </c>
      <c r="H31" s="10"/>
      <c r="I31" s="10">
        <f t="shared" si="5"/>
        <v>1220.5144101134424</v>
      </c>
      <c r="J31" s="10">
        <f t="shared" si="3"/>
        <v>337740141.02230901</v>
      </c>
      <c r="K31" s="11">
        <f t="shared" si="4"/>
        <v>1.1237107999999996E-2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276216.78848704981</v>
      </c>
      <c r="D32" s="11">
        <v>-7.9000000000000001E-4</v>
      </c>
      <c r="E32" s="10">
        <f t="shared" si="2"/>
        <v>-218.38378609577194</v>
      </c>
      <c r="F32" s="3"/>
      <c r="G32" s="26">
        <v>0.7</v>
      </c>
      <c r="H32" s="10"/>
      <c r="I32" s="10">
        <f t="shared" si="5"/>
        <v>1209.1484150123265</v>
      </c>
      <c r="J32" s="10">
        <f t="shared" si="3"/>
        <v>333987091.99891132</v>
      </c>
      <c r="K32" s="11">
        <f t="shared" si="4"/>
        <v>6.2044699999999064E-3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276435.17227314558</v>
      </c>
      <c r="D33" s="11">
        <v>2.1800000000000001E-3</v>
      </c>
      <c r="E33" s="10">
        <f t="shared" si="2"/>
        <v>601.31780274549965</v>
      </c>
      <c r="F33" s="3"/>
      <c r="G33" s="26">
        <v>0.63</v>
      </c>
      <c r="H33" s="10"/>
      <c r="I33" s="10">
        <f t="shared" si="5"/>
        <v>1200.7432125246542</v>
      </c>
      <c r="J33" s="10">
        <f t="shared" si="3"/>
        <v>331927656.810063</v>
      </c>
      <c r="K33" s="11">
        <f t="shared" si="4"/>
        <v>8.493733999999975E-3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275833.85447040008</v>
      </c>
      <c r="D34" s="11">
        <v>2.1299999999999999E-3</v>
      </c>
      <c r="E34" s="10">
        <f t="shared" si="2"/>
        <v>586.27733928925591</v>
      </c>
      <c r="F34" s="3"/>
      <c r="G34" s="26">
        <v>-0.22</v>
      </c>
      <c r="H34" s="10"/>
      <c r="I34" s="10">
        <f t="shared" si="5"/>
        <v>1193.2258894213001</v>
      </c>
      <c r="J34" s="10">
        <f t="shared" ref="J34:J65" si="6">IF(I34="","",I34*C34)</f>
        <v>329132096.33294857</v>
      </c>
      <c r="K34" s="11">
        <f t="shared" ref="K34:K65" si="7">IFERROR(J34/J35-1,"")</f>
        <v>1.2953004000000101E-2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275247.57713111083</v>
      </c>
      <c r="D35" s="11">
        <v>2.49E-3</v>
      </c>
      <c r="E35" s="10">
        <f t="shared" si="2"/>
        <v>683.66414333955618</v>
      </c>
      <c r="F35" s="3"/>
      <c r="G35" s="26">
        <v>1.22</v>
      </c>
      <c r="H35" s="10"/>
      <c r="I35" s="10">
        <f t="shared" ref="I35:I66" si="8">IF(H35&lt;&gt;"",H35,I34/(1+IF(G34="",0,G34)/100))</f>
        <v>1180.4767406225762</v>
      </c>
      <c r="J35" s="10">
        <f t="shared" si="6"/>
        <v>324923362.71599483</v>
      </c>
      <c r="K35" s="11">
        <f t="shared" si="7"/>
        <v>4.1787607999999699E-2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274563.91298777127</v>
      </c>
      <c r="D36" s="11">
        <v>3.1199999999999999E-3</v>
      </c>
      <c r="E36" s="10">
        <f t="shared" si="2"/>
        <v>853.97500650153961</v>
      </c>
      <c r="F36" s="3"/>
      <c r="G36" s="26">
        <v>-2.96</v>
      </c>
      <c r="H36" s="10"/>
      <c r="I36" s="10">
        <f t="shared" si="8"/>
        <v>1135.9475949024022</v>
      </c>
      <c r="J36" s="10">
        <f t="shared" si="6"/>
        <v>311890216.60545123</v>
      </c>
      <c r="K36" s="11">
        <f t="shared" si="7"/>
        <v>2.1577407999999965E-2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273709.93798126973</v>
      </c>
      <c r="D37" s="11">
        <v>3.2599999999999999E-3</v>
      </c>
      <c r="E37" s="10">
        <f t="shared" si="2"/>
        <v>889.39497021603165</v>
      </c>
      <c r="F37" s="3"/>
      <c r="G37" s="26">
        <v>-6.8</v>
      </c>
      <c r="H37" s="10"/>
      <c r="I37" s="10">
        <f t="shared" si="8"/>
        <v>1115.4237970369229</v>
      </c>
      <c r="J37" s="10">
        <f t="shared" si="6"/>
        <v>305302578.30980855</v>
      </c>
      <c r="K37" s="11">
        <f t="shared" si="7"/>
        <v>-1.1788900000000102E-2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272820.5430110537</v>
      </c>
      <c r="D38" s="11">
        <v>4.5599999999999998E-3</v>
      </c>
      <c r="E38" s="10">
        <f t="shared" si="2"/>
        <v>1238.4145059831208</v>
      </c>
      <c r="F38" s="3"/>
      <c r="G38" s="26">
        <v>3.34</v>
      </c>
      <c r="H38" s="10"/>
      <c r="I38" s="10">
        <f t="shared" si="8"/>
        <v>1132.4099462303786</v>
      </c>
      <c r="J38" s="10">
        <f t="shared" si="6"/>
        <v>308944696.44169003</v>
      </c>
      <c r="K38" s="11">
        <f t="shared" si="7"/>
        <v>7.5281024000000141E-2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271582.12850507058</v>
      </c>
      <c r="D39" s="11">
        <v>-2.0100000000000001E-3</v>
      </c>
      <c r="E39" s="10">
        <f t="shared" si="2"/>
        <v>-546.97950710443547</v>
      </c>
      <c r="F39" s="3"/>
      <c r="G39" s="26">
        <v>15.17</v>
      </c>
      <c r="H39" s="10"/>
      <c r="I39" s="10">
        <f t="shared" si="8"/>
        <v>1057.931564116572</v>
      </c>
      <c r="J39" s="10">
        <f t="shared" si="6"/>
        <v>287315305.99547714</v>
      </c>
      <c r="K39" s="11">
        <f t="shared" si="7"/>
        <v>0.14938508300000009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272129.10801217501</v>
      </c>
      <c r="D40" s="11">
        <v>4.0800000000000003E-3</v>
      </c>
      <c r="E40" s="10">
        <f t="shared" si="2"/>
        <v>1105.7751978823217</v>
      </c>
      <c r="F40" s="3"/>
      <c r="G40" s="26">
        <v>7.98</v>
      </c>
      <c r="H40" s="10"/>
      <c r="I40" s="10">
        <f t="shared" si="8"/>
        <v>918.58258584403234</v>
      </c>
      <c r="J40" s="10">
        <f t="shared" si="6"/>
        <v>249973059.72125369</v>
      </c>
      <c r="K40" s="11">
        <f t="shared" si="7"/>
        <v>8.4205584E-2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271023.33281429269</v>
      </c>
      <c r="D41" s="11">
        <v>6.2399999999999999E-3</v>
      </c>
      <c r="E41" s="10">
        <f t="shared" si="2"/>
        <v>1680.6980409854441</v>
      </c>
      <c r="F41" s="3"/>
      <c r="G41" s="26">
        <v>6.91</v>
      </c>
      <c r="H41" s="10"/>
      <c r="I41" s="10">
        <f t="shared" si="8"/>
        <v>850.69696781258779</v>
      </c>
      <c r="J41" s="10">
        <f t="shared" si="6"/>
        <v>230558727.4315806</v>
      </c>
      <c r="K41" s="11">
        <f t="shared" si="7"/>
        <v>7.5771183999999936E-2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269342.63477330725</v>
      </c>
      <c r="D42" s="11">
        <v>2.0600000000000002E-3</v>
      </c>
      <c r="E42" s="10">
        <f t="shared" si="2"/>
        <v>553.7051949314191</v>
      </c>
      <c r="F42" s="3"/>
      <c r="G42" s="26">
        <v>-5.2</v>
      </c>
      <c r="H42" s="10"/>
      <c r="I42" s="10">
        <f t="shared" si="8"/>
        <v>795.71318661733028</v>
      </c>
      <c r="J42" s="10">
        <f t="shared" si="6"/>
        <v>214319486.20737606</v>
      </c>
      <c r="K42" s="11">
        <f t="shared" si="7"/>
        <v>-5.0047120000000223E-2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268788.92957837583</v>
      </c>
      <c r="D43" s="11">
        <v>7.2399999999999999E-3</v>
      </c>
      <c r="E43" s="10">
        <f t="shared" si="2"/>
        <v>1932.0438526542275</v>
      </c>
      <c r="F43" s="3"/>
      <c r="G43" s="26">
        <v>4.18</v>
      </c>
      <c r="H43" s="10"/>
      <c r="I43" s="10">
        <f t="shared" si="8"/>
        <v>839.35990149507415</v>
      </c>
      <c r="J43" s="10">
        <f t="shared" si="6"/>
        <v>225610649.45387197</v>
      </c>
      <c r="K43" s="11">
        <f t="shared" si="7"/>
        <v>4.9342631999999886E-2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266856.8857257216</v>
      </c>
      <c r="D44" s="11">
        <v>6.1500000000000001E-3</v>
      </c>
      <c r="E44" s="10">
        <f t="shared" si="2"/>
        <v>1631.1383463829407</v>
      </c>
      <c r="F44" s="3"/>
      <c r="G44" s="26">
        <v>5.25</v>
      </c>
      <c r="H44" s="10"/>
      <c r="I44" s="10">
        <f t="shared" si="8"/>
        <v>805.68237809087555</v>
      </c>
      <c r="J44" s="10">
        <f t="shared" si="6"/>
        <v>215001890.30142441</v>
      </c>
      <c r="K44" s="11">
        <f t="shared" si="7"/>
        <v>5.8972875000000036E-2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265225.74737933866</v>
      </c>
      <c r="D45" s="11">
        <v>4.28E-3</v>
      </c>
      <c r="E45" s="10">
        <f t="shared" si="2"/>
        <v>1130.3283932604245</v>
      </c>
      <c r="F45" s="3"/>
      <c r="G45" s="26">
        <v>2.23</v>
      </c>
      <c r="H45" s="10"/>
      <c r="I45" s="10">
        <f t="shared" si="8"/>
        <v>765.49394592957299</v>
      </c>
      <c r="J45" s="10">
        <f t="shared" si="6"/>
        <v>203028703.92353004</v>
      </c>
      <c r="K45" s="11">
        <f t="shared" si="7"/>
        <v>2.6675444000000104E-2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264095.41898607824</v>
      </c>
      <c r="D46" s="11">
        <v>5.3099999999999996E-3</v>
      </c>
      <c r="E46" s="10">
        <f t="shared" si="2"/>
        <v>1394.9395458276849</v>
      </c>
      <c r="F46" s="3"/>
      <c r="G46" s="26">
        <v>14.28</v>
      </c>
      <c r="H46" s="10"/>
      <c r="I46" s="10">
        <f t="shared" si="8"/>
        <v>748.79579959852583</v>
      </c>
      <c r="J46" s="10">
        <f t="shared" si="6"/>
        <v>197753540.42998815</v>
      </c>
      <c r="K46" s="11">
        <f t="shared" si="7"/>
        <v>0.14886826799999975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262700.47944025055</v>
      </c>
      <c r="D47" s="11">
        <v>5.9800000000000001E-3</v>
      </c>
      <c r="E47" s="10">
        <f t="shared" si="2"/>
        <v>1561.6104366416112</v>
      </c>
      <c r="F47" s="3"/>
      <c r="G47" s="26">
        <v>11.22</v>
      </c>
      <c r="H47" s="10"/>
      <c r="I47" s="10">
        <f t="shared" si="8"/>
        <v>655.22908610301522</v>
      </c>
      <c r="J47" s="10">
        <f t="shared" si="6"/>
        <v>172128995.06245932</v>
      </c>
      <c r="K47" s="11">
        <f t="shared" si="7"/>
        <v>0.1188509560000004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261138.86900360894</v>
      </c>
      <c r="D48" s="11">
        <v>7.1500000000000001E-3</v>
      </c>
      <c r="E48" s="10">
        <f t="shared" si="2"/>
        <v>1853.8876169148716</v>
      </c>
      <c r="F48" s="3"/>
      <c r="G48" s="26">
        <v>12.52</v>
      </c>
      <c r="H48" s="10"/>
      <c r="I48" s="10">
        <f t="shared" si="8"/>
        <v>589.12883123810036</v>
      </c>
      <c r="J48" s="10">
        <f t="shared" si="6"/>
        <v>153844436.68693551</v>
      </c>
      <c r="K48" s="11">
        <f t="shared" si="7"/>
        <v>0.13324517999999985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259284.98138669407</v>
      </c>
      <c r="D49" s="11">
        <v>8.2400000000000008E-3</v>
      </c>
      <c r="E49" s="10">
        <f t="shared" si="2"/>
        <v>2119.0472968999238</v>
      </c>
      <c r="F49" s="3"/>
      <c r="G49" s="26">
        <v>11.12</v>
      </c>
      <c r="H49" s="10"/>
      <c r="I49" s="10">
        <f t="shared" si="8"/>
        <v>523.57699185753677</v>
      </c>
      <c r="J49" s="10">
        <f t="shared" si="6"/>
        <v>135755650.5882827</v>
      </c>
      <c r="K49" s="11">
        <f t="shared" si="7"/>
        <v>0.1203562880000002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257165.93408979414</v>
      </c>
      <c r="D50" s="11">
        <v>6.0200000000000002E-3</v>
      </c>
      <c r="E50" s="10">
        <f t="shared" si="2"/>
        <v>1538.8748963445541</v>
      </c>
      <c r="F50" s="3"/>
      <c r="G50" s="26">
        <v>11.35</v>
      </c>
      <c r="H50" s="10"/>
      <c r="I50" s="10">
        <f t="shared" si="8"/>
        <v>471.18159814393158</v>
      </c>
      <c r="J50" s="10">
        <f t="shared" si="6"/>
        <v>121171855.81260619</v>
      </c>
      <c r="K50" s="11">
        <f t="shared" si="7"/>
        <v>0.12020326999999997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255627.05919344959</v>
      </c>
      <c r="D51" s="11">
        <v>6.62E-3</v>
      </c>
      <c r="E51" s="10">
        <f t="shared" si="2"/>
        <v>1681.1221035352501</v>
      </c>
      <c r="F51" s="3"/>
      <c r="G51" s="26">
        <v>14.21</v>
      </c>
      <c r="H51" s="10"/>
      <c r="I51" s="10">
        <f t="shared" si="8"/>
        <v>423.15365796491386</v>
      </c>
      <c r="J51" s="10">
        <f t="shared" si="6"/>
        <v>108169525.17252176</v>
      </c>
      <c r="K51" s="11">
        <f t="shared" si="7"/>
        <v>0.14966070200000026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253945.93708991434</v>
      </c>
      <c r="D52" s="11">
        <v>7.0800000000000004E-3</v>
      </c>
      <c r="E52" s="10">
        <f t="shared" si="2"/>
        <v>1785.2973295036936</v>
      </c>
      <c r="F52" s="3"/>
      <c r="G52" s="26">
        <v>19.18</v>
      </c>
      <c r="H52" s="10"/>
      <c r="I52" s="10">
        <f t="shared" si="8"/>
        <v>370.50491022232188</v>
      </c>
      <c r="J52" s="10">
        <f t="shared" si="6"/>
        <v>94088216.622822106</v>
      </c>
      <c r="K52" s="11">
        <f t="shared" si="7"/>
        <v>0.20023794399999995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252160.63976041065</v>
      </c>
      <c r="D53" s="11">
        <v>8.1799999999999998E-3</v>
      </c>
      <c r="E53" s="10">
        <f t="shared" si="2"/>
        <v>2045.9382582873804</v>
      </c>
      <c r="F53" s="3"/>
      <c r="G53" s="26">
        <v>8.7100000000000009</v>
      </c>
      <c r="H53" s="10"/>
      <c r="I53" s="10">
        <f t="shared" si="8"/>
        <v>310.87842777506449</v>
      </c>
      <c r="J53" s="10">
        <f t="shared" si="6"/>
        <v>78391303.235470876</v>
      </c>
      <c r="K53" s="11">
        <f t="shared" si="7"/>
        <v>9.5992477999999881E-2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250114.70150212327</v>
      </c>
      <c r="D54" s="11">
        <v>8.1899999999999994E-3</v>
      </c>
      <c r="E54" s="10">
        <f t="shared" si="2"/>
        <v>2031.7989717239398</v>
      </c>
      <c r="F54" s="3"/>
      <c r="G54" s="26">
        <v>10.94</v>
      </c>
      <c r="H54" s="10"/>
      <c r="I54" s="10">
        <f t="shared" si="8"/>
        <v>285.97040545953871</v>
      </c>
      <c r="J54" s="10">
        <f t="shared" si="6"/>
        <v>71525402.599953681</v>
      </c>
      <c r="K54" s="11">
        <f t="shared" si="7"/>
        <v>0.1184859859999996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248082.90253039933</v>
      </c>
      <c r="D55" s="11">
        <v>8.0800000000000004E-3</v>
      </c>
      <c r="E55" s="10">
        <f t="shared" si="2"/>
        <v>1988.4432311380515</v>
      </c>
      <c r="F55" s="3"/>
      <c r="G55" s="26">
        <v>1.4</v>
      </c>
      <c r="H55" s="10"/>
      <c r="I55" s="10">
        <f t="shared" si="8"/>
        <v>257.7703312236693</v>
      </c>
      <c r="J55" s="10">
        <f t="shared" si="6"/>
        <v>63948411.956190303</v>
      </c>
      <c r="K55" s="11">
        <f t="shared" si="7"/>
        <v>2.2193120000000066E-2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246094.45929926127</v>
      </c>
      <c r="D56" s="11">
        <v>9.4999999999999998E-3</v>
      </c>
      <c r="E56" s="10">
        <f t="shared" si="2"/>
        <v>2315.896348036651</v>
      </c>
      <c r="F56" s="3"/>
      <c r="G56" s="26">
        <v>0.69</v>
      </c>
      <c r="H56" s="10"/>
      <c r="I56" s="10">
        <f t="shared" si="8"/>
        <v>254.21137201545295</v>
      </c>
      <c r="J56" s="10">
        <f t="shared" si="6"/>
        <v>62560010.143866256</v>
      </c>
      <c r="K56" s="11">
        <f t="shared" si="7"/>
        <v>1.646554999999994E-2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243778.56295122462</v>
      </c>
      <c r="D57" s="11">
        <v>9.5899999999999996E-3</v>
      </c>
      <c r="E57" s="10">
        <f t="shared" si="2"/>
        <v>2315.6295314952149</v>
      </c>
      <c r="F57" s="3"/>
      <c r="G57" s="26">
        <v>5.7</v>
      </c>
      <c r="H57" s="10"/>
      <c r="I57" s="10">
        <f t="shared" si="8"/>
        <v>252.46933361351969</v>
      </c>
      <c r="J57" s="10">
        <f t="shared" si="6"/>
        <v>61546611.337557144</v>
      </c>
      <c r="K57" s="11">
        <f t="shared" si="7"/>
        <v>6.713663000000003E-2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241462.93341972941</v>
      </c>
      <c r="D58" s="11">
        <v>7.9699999999999997E-3</v>
      </c>
      <c r="E58" s="10">
        <f t="shared" si="2"/>
        <v>1909.2429133359692</v>
      </c>
      <c r="F58" s="3"/>
      <c r="G58" s="26">
        <v>6</v>
      </c>
      <c r="H58" s="10"/>
      <c r="I58" s="10">
        <f t="shared" si="8"/>
        <v>238.85462025876984</v>
      </c>
      <c r="J58" s="10">
        <f t="shared" si="6"/>
        <v>57674537.268538095</v>
      </c>
      <c r="K58" s="11">
        <f t="shared" si="7"/>
        <v>6.8448200000000181E-2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239553.69050639344</v>
      </c>
      <c r="D59" s="11">
        <v>9.8899999999999995E-3</v>
      </c>
      <c r="E59" s="10">
        <f t="shared" si="2"/>
        <v>2345.9842152197089</v>
      </c>
      <c r="F59" s="3"/>
      <c r="G59" s="26">
        <v>4.3099999999999996</v>
      </c>
      <c r="H59" s="10"/>
      <c r="I59" s="10">
        <f t="shared" si="8"/>
        <v>225.33454741393379</v>
      </c>
      <c r="J59" s="10">
        <f t="shared" si="6"/>
        <v>53979722.431595735</v>
      </c>
      <c r="K59" s="11">
        <f t="shared" si="7"/>
        <v>5.3416259000000021E-2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237207.70629117373</v>
      </c>
      <c r="D60" s="11">
        <v>9.7099999999999999E-3</v>
      </c>
      <c r="E60" s="10">
        <f t="shared" si="2"/>
        <v>2281.1369879344711</v>
      </c>
      <c r="F60" s="3"/>
      <c r="G60" s="26">
        <v>2.87</v>
      </c>
      <c r="H60" s="10"/>
      <c r="I60" s="10">
        <f t="shared" si="8"/>
        <v>216.02391660812367</v>
      </c>
      <c r="J60" s="10">
        <f t="shared" si="6"/>
        <v>51242537.762648806</v>
      </c>
      <c r="K60" s="11">
        <f t="shared" si="7"/>
        <v>3.8688677000000116E-2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234926.56930323926</v>
      </c>
      <c r="D61" s="11">
        <v>6.6499999999999997E-3</v>
      </c>
      <c r="E61" s="10">
        <f t="shared" si="2"/>
        <v>1551.9412763786386</v>
      </c>
      <c r="F61" s="3"/>
      <c r="G61" s="26">
        <v>8.64</v>
      </c>
      <c r="H61" s="10"/>
      <c r="I61" s="10">
        <f t="shared" si="8"/>
        <v>209.99700263256895</v>
      </c>
      <c r="J61" s="10">
        <f t="shared" si="6"/>
        <v>49333875.392432727</v>
      </c>
      <c r="K61" s="11">
        <f t="shared" si="7"/>
        <v>9.3624560000000079E-2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233374.62802686062</v>
      </c>
      <c r="D62" s="11">
        <v>7.5100000000000002E-3</v>
      </c>
      <c r="E62" s="10">
        <f t="shared" si="2"/>
        <v>1739.5792165652965</v>
      </c>
      <c r="F62" s="3"/>
      <c r="G62" s="26">
        <v>3.78</v>
      </c>
      <c r="H62" s="10"/>
      <c r="I62" s="10">
        <f t="shared" si="8"/>
        <v>193.29621008152517</v>
      </c>
      <c r="J62" s="10">
        <f t="shared" si="6"/>
        <v>45110431.126777843</v>
      </c>
      <c r="K62" s="11">
        <f t="shared" si="7"/>
        <v>4.559387799999981E-2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231635.04881029532</v>
      </c>
      <c r="D63" s="11">
        <v>7.79E-3</v>
      </c>
      <c r="E63" s="10">
        <f t="shared" si="2"/>
        <v>1790.4891199874983</v>
      </c>
      <c r="F63" s="3"/>
      <c r="G63" s="26">
        <v>9.52</v>
      </c>
      <c r="H63" s="10"/>
      <c r="I63" s="10">
        <f t="shared" si="8"/>
        <v>186.25574299626629</v>
      </c>
      <c r="J63" s="10">
        <f t="shared" si="6"/>
        <v>43143358.120137967</v>
      </c>
      <c r="K63" s="11">
        <f t="shared" si="7"/>
        <v>0.10373160799999992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229844.55969030783</v>
      </c>
      <c r="D64" s="11">
        <v>8.4200000000000004E-3</v>
      </c>
      <c r="E64" s="10">
        <f t="shared" si="2"/>
        <v>1919.1321003078192</v>
      </c>
      <c r="F64" s="3"/>
      <c r="G64" s="26">
        <v>2.83</v>
      </c>
      <c r="H64" s="10"/>
      <c r="I64" s="10">
        <f t="shared" si="8"/>
        <v>170.06550675334762</v>
      </c>
      <c r="J64" s="10">
        <f t="shared" si="6"/>
        <v>39088631.518232256</v>
      </c>
      <c r="K64" s="11">
        <f t="shared" si="7"/>
        <v>3.6958285999999951E-2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227925.42759000001</v>
      </c>
      <c r="D65" s="11">
        <v>6.1799999999999997E-3</v>
      </c>
      <c r="E65" s="10">
        <f t="shared" si="2"/>
        <v>1399.9275900000066</v>
      </c>
      <c r="F65" s="3"/>
      <c r="G65" s="26">
        <v>8.4499999999999993</v>
      </c>
      <c r="H65" s="10"/>
      <c r="I65" s="10">
        <f t="shared" si="8"/>
        <v>165.38510819152739</v>
      </c>
      <c r="J65" s="10">
        <f t="shared" si="6"/>
        <v>37695471.501572296</v>
      </c>
      <c r="K65" s="11">
        <f t="shared" si="7"/>
        <v>9.1202210000000283E-2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226525.5</v>
      </c>
      <c r="D66" s="11">
        <v>6.7799999999999996E-3</v>
      </c>
      <c r="E66" s="10">
        <f t="shared" si="2"/>
        <v>1525.5</v>
      </c>
      <c r="F66" s="23">
        <f>SUM(F2)</f>
        <v>220218</v>
      </c>
      <c r="G66" s="29">
        <v>4.99</v>
      </c>
      <c r="H66" s="10"/>
      <c r="I66" s="10">
        <f t="shared" si="8"/>
        <v>152.49894715677951</v>
      </c>
      <c r="J66" s="10">
        <f t="shared" ref="J66:J67" si="9">IF(I66="","",I66*C66)</f>
        <v>34544900.254163057</v>
      </c>
      <c r="K66" s="11">
        <f t="shared" ref="K66" si="10">IFERROR(J66/J67-1,"")</f>
        <v>5.701832200000001E-2</v>
      </c>
    </row>
    <row r="67" spans="1:11" ht="22.5" customHeight="1">
      <c r="A67" s="3">
        <f t="shared" si="0"/>
        <v>1950</v>
      </c>
      <c r="B67" s="3">
        <v>1700</v>
      </c>
      <c r="C67" s="10">
        <v>225000</v>
      </c>
      <c r="D67" s="11">
        <v>1.1350000000000001E-2</v>
      </c>
      <c r="E67" s="3" t="s">
        <v>72</v>
      </c>
      <c r="F67" s="10">
        <f>SUM(C2)</f>
        <v>220397.80165261147</v>
      </c>
      <c r="G67" s="29">
        <v>12.24</v>
      </c>
      <c r="H67" s="10"/>
      <c r="I67" s="10">
        <f t="shared" ref="I67" si="11">IF(H67&lt;&gt;"",H67,I66/(1+IF(G66="",0,G66)/100))</f>
        <v>145.2509259517854</v>
      </c>
      <c r="J67" s="10">
        <f t="shared" si="9"/>
        <v>32681458.339151718</v>
      </c>
      <c r="K67" s="11"/>
    </row>
    <row r="68" spans="1:11" ht="15.75" customHeight="1">
      <c r="G68" s="10"/>
    </row>
    <row r="69" spans="1:11" ht="15.75" customHeight="1">
      <c r="G69" s="10"/>
    </row>
  </sheetData>
  <dataValidations count="1">
    <dataValidation type="custom" allowBlank="1" showDropDown="1" sqref="D2:D67" xr:uid="{00000000-0002-0000-5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outlinePr summaryBelow="0" summaryRight="0"/>
  </sheetPr>
  <dimension ref="A1:M67"/>
  <sheetViews>
    <sheetView workbookViewId="0">
      <selection activeCell="N12" sqref="N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10967541.219928285</v>
      </c>
      <c r="D2" s="11">
        <v>1.7479999999999999E-2</v>
      </c>
      <c r="E2" s="10">
        <f t="shared" ref="E2:E66" si="2">SUM(C2-C3)</f>
        <v>188419.05543533526</v>
      </c>
      <c r="F2" s="14">
        <v>10967500</v>
      </c>
      <c r="G2" s="29">
        <v>10.39</v>
      </c>
      <c r="H2" s="10"/>
      <c r="I2" s="10">
        <f>IF(H2&lt;&gt;"",H2,84128)</f>
        <v>10516</v>
      </c>
      <c r="J2" s="10">
        <f t="shared" ref="J2:J33" si="3">IF(I2="","",I2*C2)</f>
        <v>115334663468.76584</v>
      </c>
      <c r="K2" s="11">
        <f t="shared" ref="K2:K33" si="4">IFERROR(J2/J3-1,"")</f>
        <v>0.12319617199999988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10779122.16449295</v>
      </c>
      <c r="D3" s="11">
        <v>1.7180000000000001E-2</v>
      </c>
      <c r="E3" s="10">
        <f t="shared" si="2"/>
        <v>182057.56973789074</v>
      </c>
      <c r="F3" s="3"/>
      <c r="G3" s="29">
        <v>10.26</v>
      </c>
      <c r="H3" s="10"/>
      <c r="I3" s="10">
        <f t="shared" ref="I3:I34" si="5">IF(H3&lt;&gt;"",H3,I2/(1+IF(G2="",0,G2)/100))</f>
        <v>9526.2252015581107</v>
      </c>
      <c r="J3" s="10">
        <f t="shared" si="3"/>
        <v>102684345214.06635</v>
      </c>
      <c r="K3" s="11">
        <f t="shared" si="4"/>
        <v>0.12154266799999958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10597064.594755059</v>
      </c>
      <c r="D4" s="11">
        <v>1.711E-2</v>
      </c>
      <c r="E4" s="10">
        <f t="shared" si="2"/>
        <v>178265.6499456875</v>
      </c>
      <c r="F4" s="3"/>
      <c r="G4" s="29">
        <v>10.58</v>
      </c>
      <c r="H4" s="10"/>
      <c r="I4" s="10">
        <f t="shared" si="5"/>
        <v>8639.7834224180224</v>
      </c>
      <c r="J4" s="10">
        <f t="shared" si="3"/>
        <v>91556343012.057724</v>
      </c>
      <c r="K4" s="11">
        <f t="shared" si="4"/>
        <v>0.12472023799999987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10418798.944809372</v>
      </c>
      <c r="D5" s="11">
        <v>1.7080000000000001E-2</v>
      </c>
      <c r="E5" s="10">
        <f t="shared" si="2"/>
        <v>174964.68908772618</v>
      </c>
      <c r="F5" s="3"/>
      <c r="G5" s="29">
        <v>8.65</v>
      </c>
      <c r="H5" s="10"/>
      <c r="I5" s="10">
        <f t="shared" si="5"/>
        <v>7813.1519464803969</v>
      </c>
      <c r="J5" s="10">
        <f t="shared" si="3"/>
        <v>81403659255.625244</v>
      </c>
      <c r="K5" s="11">
        <f t="shared" si="4"/>
        <v>0.10505742000000007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10243834.255721645</v>
      </c>
      <c r="D6" s="11">
        <v>1.6979999999999999E-2</v>
      </c>
      <c r="E6" s="10">
        <f t="shared" si="2"/>
        <v>171036.11247237213</v>
      </c>
      <c r="F6" s="3"/>
      <c r="G6" s="29">
        <v>11.18</v>
      </c>
      <c r="H6" s="10"/>
      <c r="I6" s="10">
        <f t="shared" si="5"/>
        <v>7191.1200611876639</v>
      </c>
      <c r="J6" s="10">
        <f t="shared" si="3"/>
        <v>73664642019.801331</v>
      </c>
      <c r="K6" s="11">
        <f t="shared" si="4"/>
        <v>0.13067836399999999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10072798.143249273</v>
      </c>
      <c r="D7" s="11">
        <v>1.806E-2</v>
      </c>
      <c r="E7" s="10">
        <f t="shared" si="2"/>
        <v>178687.63576516323</v>
      </c>
      <c r="F7" s="3"/>
      <c r="G7" s="29">
        <v>12.55</v>
      </c>
      <c r="H7" s="10"/>
      <c r="I7" s="10">
        <f t="shared" si="5"/>
        <v>6467.9978963731464</v>
      </c>
      <c r="J7" s="10">
        <f t="shared" si="3"/>
        <v>65150837201.127632</v>
      </c>
      <c r="K7" s="11">
        <f t="shared" si="4"/>
        <v>0.14582653000000012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9894110.5074841101</v>
      </c>
      <c r="D8" s="11">
        <v>1.9359999999999999E-2</v>
      </c>
      <c r="E8" s="10">
        <f t="shared" si="2"/>
        <v>187912.00304592401</v>
      </c>
      <c r="F8" s="3"/>
      <c r="G8" s="29">
        <v>8.8000000000000007</v>
      </c>
      <c r="H8" s="10"/>
      <c r="I8" s="10">
        <f t="shared" si="5"/>
        <v>5746.7773401804943</v>
      </c>
      <c r="J8" s="10">
        <f t="shared" si="3"/>
        <v>56859250065.651413</v>
      </c>
      <c r="K8" s="11">
        <f t="shared" si="4"/>
        <v>0.10906368000000022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9706198.5044381861</v>
      </c>
      <c r="D9" s="11">
        <v>2.0490000000000001E-2</v>
      </c>
      <c r="E9" s="10">
        <f t="shared" si="2"/>
        <v>194886.77728928067</v>
      </c>
      <c r="F9" s="3"/>
      <c r="G9" s="29">
        <v>10.79</v>
      </c>
      <c r="H9" s="10"/>
      <c r="I9" s="10">
        <f t="shared" si="5"/>
        <v>5281.9644670776597</v>
      </c>
      <c r="J9" s="10">
        <f t="shared" si="3"/>
        <v>51267795610.844818</v>
      </c>
      <c r="K9" s="11">
        <f t="shared" si="4"/>
        <v>0.13060087099999973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9511311.7271489054</v>
      </c>
      <c r="D10" s="11">
        <v>2.1430000000000001E-2</v>
      </c>
      <c r="E10" s="10">
        <f t="shared" si="2"/>
        <v>199551.03170339763</v>
      </c>
      <c r="F10" s="3"/>
      <c r="G10" s="29">
        <v>11.46</v>
      </c>
      <c r="H10" s="10"/>
      <c r="I10" s="10">
        <f t="shared" si="5"/>
        <v>4767.5462289716224</v>
      </c>
      <c r="J10" s="10">
        <f t="shared" si="3"/>
        <v>45345618357.342331</v>
      </c>
      <c r="K10" s="11">
        <f t="shared" si="4"/>
        <v>0.13848587799999978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9311760.6954455078</v>
      </c>
      <c r="D11" s="11">
        <v>2.205E-2</v>
      </c>
      <c r="E11" s="10">
        <f t="shared" si="2"/>
        <v>200894.59746056795</v>
      </c>
      <c r="F11" s="3"/>
      <c r="G11" s="29">
        <v>10.83</v>
      </c>
      <c r="H11" s="10"/>
      <c r="I11" s="10">
        <f t="shared" si="5"/>
        <v>4277.3606934968802</v>
      </c>
      <c r="J11" s="10">
        <f t="shared" si="3"/>
        <v>39829759185.947792</v>
      </c>
      <c r="K11" s="11">
        <f t="shared" si="4"/>
        <v>0.13273801500000015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9110866.0979849398</v>
      </c>
      <c r="D12" s="11">
        <v>2.2499999999999999E-2</v>
      </c>
      <c r="E12" s="10">
        <f t="shared" si="2"/>
        <v>200483.60606812872</v>
      </c>
      <c r="F12" s="3"/>
      <c r="G12" s="29">
        <v>11.82</v>
      </c>
      <c r="H12" s="10"/>
      <c r="I12" s="10">
        <f t="shared" si="5"/>
        <v>3859.3888780085535</v>
      </c>
      <c r="J12" s="10">
        <f t="shared" si="3"/>
        <v>35162375287.588264</v>
      </c>
      <c r="K12" s="11">
        <f t="shared" si="4"/>
        <v>0.14335950000000008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8910382.4919168111</v>
      </c>
      <c r="D13" s="11">
        <v>2.2859999999999998E-2</v>
      </c>
      <c r="E13" s="10">
        <f t="shared" si="2"/>
        <v>199139.02563910931</v>
      </c>
      <c r="F13" s="3"/>
      <c r="G13" s="29">
        <v>13.57</v>
      </c>
      <c r="H13" s="10"/>
      <c r="I13" s="10">
        <f t="shared" si="5"/>
        <v>3451.4298676520775</v>
      </c>
      <c r="J13" s="10">
        <f t="shared" si="3"/>
        <v>30753560264.805828</v>
      </c>
      <c r="K13" s="11">
        <f t="shared" si="4"/>
        <v>0.1616621020000002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8711243.4662777018</v>
      </c>
      <c r="D14" s="11">
        <v>2.3380000000000001E-2</v>
      </c>
      <c r="E14" s="10">
        <f t="shared" si="2"/>
        <v>199015.88094507717</v>
      </c>
      <c r="F14" s="3"/>
      <c r="G14" s="29">
        <v>-2.16</v>
      </c>
      <c r="H14" s="10"/>
      <c r="I14" s="10">
        <f t="shared" si="5"/>
        <v>3039.0330788518777</v>
      </c>
      <c r="J14" s="10">
        <f t="shared" si="3"/>
        <v>26473757051.950226</v>
      </c>
      <c r="K14" s="11">
        <f t="shared" si="4"/>
        <v>1.2749919999999193E-3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8512227.5853326246</v>
      </c>
      <c r="D15" s="11">
        <v>2.3949999999999999E-2</v>
      </c>
      <c r="E15" s="10">
        <f t="shared" si="2"/>
        <v>199099.41957001388</v>
      </c>
      <c r="F15" s="3"/>
      <c r="G15" s="29">
        <v>1.51</v>
      </c>
      <c r="H15" s="10"/>
      <c r="I15" s="10">
        <f t="shared" si="5"/>
        <v>3106.1253872157376</v>
      </c>
      <c r="J15" s="10">
        <f t="shared" si="3"/>
        <v>26440046204.559784</v>
      </c>
      <c r="K15" s="11">
        <f t="shared" si="4"/>
        <v>3.9411644999999718E-2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8313128.1657626107</v>
      </c>
      <c r="D16" s="11">
        <v>2.4420000000000001E-2</v>
      </c>
      <c r="E16" s="10">
        <f t="shared" si="2"/>
        <v>198167.34328490682</v>
      </c>
      <c r="F16" s="3"/>
      <c r="G16" s="29">
        <v>8.3000000000000007</v>
      </c>
      <c r="H16" s="10"/>
      <c r="I16" s="10">
        <f t="shared" si="5"/>
        <v>3059.9205863616767</v>
      </c>
      <c r="J16" s="10">
        <f t="shared" si="3"/>
        <v>25437512011.480099</v>
      </c>
      <c r="K16" s="11">
        <f t="shared" si="4"/>
        <v>0.10944686000000026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8114960.8224777039</v>
      </c>
      <c r="D17" s="11">
        <v>2.3640000000000001E-2</v>
      </c>
      <c r="E17" s="10">
        <f t="shared" si="2"/>
        <v>187407.36376399267</v>
      </c>
      <c r="F17" s="3"/>
      <c r="G17" s="29">
        <v>6.07</v>
      </c>
      <c r="H17" s="10"/>
      <c r="I17" s="10">
        <f t="shared" si="5"/>
        <v>2825.4114370837274</v>
      </c>
      <c r="J17" s="10">
        <f t="shared" si="3"/>
        <v>22928103119.314877</v>
      </c>
      <c r="K17" s="11">
        <f t="shared" si="4"/>
        <v>8.5774948000000073E-2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7927553.4587137112</v>
      </c>
      <c r="D18" s="11">
        <v>2.325E-2</v>
      </c>
      <c r="E18" s="10">
        <f t="shared" si="2"/>
        <v>180127.65005139913</v>
      </c>
      <c r="F18" s="3"/>
      <c r="G18" s="29">
        <v>5.16</v>
      </c>
      <c r="H18" s="10"/>
      <c r="I18" s="10">
        <f t="shared" si="5"/>
        <v>2663.7234251755704</v>
      </c>
      <c r="J18" s="10">
        <f t="shared" si="3"/>
        <v>21116809852.307327</v>
      </c>
      <c r="K18" s="11">
        <f t="shared" si="4"/>
        <v>7.604970000000022E-2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7747425.8086623121</v>
      </c>
      <c r="D19" s="11">
        <v>2.4469999999999999E-2</v>
      </c>
      <c r="E19" s="10">
        <f t="shared" si="2"/>
        <v>185051.30412600376</v>
      </c>
      <c r="F19" s="3"/>
      <c r="G19" s="29">
        <v>-3.46</v>
      </c>
      <c r="H19" s="10"/>
      <c r="I19" s="10">
        <f t="shared" si="5"/>
        <v>2533.0196131376665</v>
      </c>
      <c r="J19" s="10">
        <f t="shared" si="3"/>
        <v>19624381524.670582</v>
      </c>
      <c r="K19" s="11">
        <f t="shared" si="4"/>
        <v>-1.0976662000000026E-2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7562374.5045363083</v>
      </c>
      <c r="D20" s="11">
        <v>2.4660000000000001E-2</v>
      </c>
      <c r="E20" s="10">
        <f t="shared" si="2"/>
        <v>182000.03443275299</v>
      </c>
      <c r="F20" s="3"/>
      <c r="G20" s="29">
        <v>3.13</v>
      </c>
      <c r="H20" s="10"/>
      <c r="I20" s="10">
        <f t="shared" si="5"/>
        <v>2623.8032039959253</v>
      </c>
      <c r="J20" s="10">
        <f t="shared" si="3"/>
        <v>19842182454.819466</v>
      </c>
      <c r="K20" s="11">
        <f t="shared" si="4"/>
        <v>5.6731858000000024E-2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7380374.4701035554</v>
      </c>
      <c r="D21" s="11">
        <v>2.5100000000000001E-2</v>
      </c>
      <c r="E21" s="10">
        <f t="shared" si="2"/>
        <v>180711.53955672495</v>
      </c>
      <c r="F21" s="3"/>
      <c r="G21" s="29">
        <v>12.43</v>
      </c>
      <c r="H21" s="10"/>
      <c r="I21" s="10">
        <f t="shared" si="5"/>
        <v>2544.170662266969</v>
      </c>
      <c r="J21" s="10">
        <f t="shared" si="3"/>
        <v>18776932203.381592</v>
      </c>
      <c r="K21" s="11">
        <f t="shared" si="4"/>
        <v>0.15251992999999997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7199662.9305468304</v>
      </c>
      <c r="D22" s="11">
        <v>2.537E-2</v>
      </c>
      <c r="E22" s="10">
        <f t="shared" si="2"/>
        <v>178136.13480789587</v>
      </c>
      <c r="F22" s="3"/>
      <c r="G22" s="29">
        <v>6.13</v>
      </c>
      <c r="H22" s="10"/>
      <c r="I22" s="10">
        <f t="shared" si="5"/>
        <v>2262.8930554718213</v>
      </c>
      <c r="J22" s="10">
        <f t="shared" si="3"/>
        <v>16292067247.272324</v>
      </c>
      <c r="K22" s="11">
        <f t="shared" si="4"/>
        <v>8.8225180999999653E-2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7021526.7957389345</v>
      </c>
      <c r="D23" s="11">
        <v>2.546E-2</v>
      </c>
      <c r="E23" s="10">
        <f t="shared" si="2"/>
        <v>174329.63959541451</v>
      </c>
      <c r="F23" s="3"/>
      <c r="G23" s="29">
        <v>3.19</v>
      </c>
      <c r="H23" s="10"/>
      <c r="I23" s="10">
        <f t="shared" si="5"/>
        <v>2132.1898195343651</v>
      </c>
      <c r="J23" s="10">
        <f t="shared" si="3"/>
        <v>14971227951.462309</v>
      </c>
      <c r="K23" s="11">
        <f t="shared" si="4"/>
        <v>5.8172174000000076E-2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6847197.15614352</v>
      </c>
      <c r="D24" s="11">
        <v>2.5409999999999999E-2</v>
      </c>
      <c r="E24" s="10">
        <f t="shared" si="2"/>
        <v>169675.81722199544</v>
      </c>
      <c r="F24" s="3"/>
      <c r="G24" s="29">
        <v>13.14</v>
      </c>
      <c r="H24" s="10"/>
      <c r="I24" s="10">
        <f t="shared" si="5"/>
        <v>2066.2756270320428</v>
      </c>
      <c r="J24" s="10">
        <f t="shared" si="3"/>
        <v>14148196597.222473</v>
      </c>
      <c r="K24" s="11">
        <f t="shared" si="4"/>
        <v>0.16014887399999989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6677521.3389215246</v>
      </c>
      <c r="D25" s="11">
        <v>2.5760000000000002E-2</v>
      </c>
      <c r="E25" s="10">
        <f t="shared" si="2"/>
        <v>167693.17354022246</v>
      </c>
      <c r="F25" s="3"/>
      <c r="G25" s="29">
        <v>-8.67</v>
      </c>
      <c r="H25" s="10"/>
      <c r="I25" s="10">
        <f t="shared" si="5"/>
        <v>1826.2998294432057</v>
      </c>
      <c r="J25" s="10">
        <f t="shared" si="3"/>
        <v>12195156082.375748</v>
      </c>
      <c r="K25" s="11">
        <f t="shared" si="4"/>
        <v>-6.3173391999999939E-2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6509828.1653813021</v>
      </c>
      <c r="D26" s="11">
        <v>2.7210000000000002E-2</v>
      </c>
      <c r="E26" s="10">
        <f t="shared" si="2"/>
        <v>172440.32318613026</v>
      </c>
      <c r="F26" s="3"/>
      <c r="G26" s="29">
        <v>-7.14</v>
      </c>
      <c r="H26" s="10"/>
      <c r="I26" s="10">
        <f t="shared" si="5"/>
        <v>1999.6713341105942</v>
      </c>
      <c r="J26" s="10">
        <f t="shared" si="3"/>
        <v>13017516772.29875</v>
      </c>
      <c r="K26" s="11">
        <f t="shared" si="4"/>
        <v>-4.6132794000000032E-2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6337387.8421951719</v>
      </c>
      <c r="D27" s="11">
        <v>2.9139999999999999E-2</v>
      </c>
      <c r="E27" s="10">
        <f t="shared" si="2"/>
        <v>179442.52649937477</v>
      </c>
      <c r="F27" s="3"/>
      <c r="G27" s="29">
        <v>-2.73</v>
      </c>
      <c r="H27" s="10"/>
      <c r="I27" s="10">
        <f t="shared" si="5"/>
        <v>2153.4259467053566</v>
      </c>
      <c r="J27" s="10">
        <f t="shared" si="3"/>
        <v>13647095413.718155</v>
      </c>
      <c r="K27" s="11">
        <f t="shared" si="4"/>
        <v>1.0444779999998488E-3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6157945.3156957971</v>
      </c>
      <c r="D28" s="11">
        <v>2.9850000000000002E-2</v>
      </c>
      <c r="E28" s="10">
        <f t="shared" si="2"/>
        <v>178486.83562996425</v>
      </c>
      <c r="F28" s="3"/>
      <c r="G28" s="29">
        <v>-0.36</v>
      </c>
      <c r="H28" s="10"/>
      <c r="I28" s="10">
        <f t="shared" si="5"/>
        <v>2213.8644460834344</v>
      </c>
      <c r="J28" s="10">
        <f t="shared" si="3"/>
        <v>13632856195.344955</v>
      </c>
      <c r="K28" s="11">
        <f t="shared" si="4"/>
        <v>2.6142539999999936E-2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5979458.4800658328</v>
      </c>
      <c r="D29" s="11">
        <v>3.0960000000000001E-2</v>
      </c>
      <c r="E29" s="10">
        <f t="shared" si="2"/>
        <v>179564.71108756773</v>
      </c>
      <c r="F29" s="3"/>
      <c r="G29" s="29">
        <v>0.5</v>
      </c>
      <c r="H29" s="10"/>
      <c r="I29" s="10">
        <f t="shared" si="5"/>
        <v>2221.8631534358033</v>
      </c>
      <c r="J29" s="10">
        <f t="shared" si="3"/>
        <v>13285538474.357527</v>
      </c>
      <c r="K29" s="11">
        <f t="shared" si="4"/>
        <v>3.6114800000000002E-2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5799893.7689782651</v>
      </c>
      <c r="D30" s="11">
        <v>3.1940000000000003E-2</v>
      </c>
      <c r="E30" s="10">
        <f t="shared" si="2"/>
        <v>179514.90104188863</v>
      </c>
      <c r="F30" s="3"/>
      <c r="G30" s="29">
        <v>13.86</v>
      </c>
      <c r="H30" s="10"/>
      <c r="I30" s="10">
        <f t="shared" si="5"/>
        <v>2210.8091078963221</v>
      </c>
      <c r="J30" s="10">
        <f t="shared" si="3"/>
        <v>12822457969.288275</v>
      </c>
      <c r="K30" s="11">
        <f t="shared" si="4"/>
        <v>0.17496688400000004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5620378.8679363765</v>
      </c>
      <c r="D31" s="11">
        <v>3.2539999999999999E-2</v>
      </c>
      <c r="E31" s="10">
        <f t="shared" si="2"/>
        <v>177123.52873753011</v>
      </c>
      <c r="F31" s="3"/>
      <c r="G31" s="29">
        <v>9.66</v>
      </c>
      <c r="H31" s="10"/>
      <c r="I31" s="10">
        <f t="shared" si="5"/>
        <v>1941.6907675182874</v>
      </c>
      <c r="J31" s="10">
        <f t="shared" si="3"/>
        <v>10913037757.826946</v>
      </c>
      <c r="K31" s="11">
        <f t="shared" si="4"/>
        <v>0.13228336400000007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5443255.3391988464</v>
      </c>
      <c r="D32" s="11">
        <v>3.3009999999999998E-2</v>
      </c>
      <c r="E32" s="10">
        <f t="shared" si="2"/>
        <v>173940.09617230576</v>
      </c>
      <c r="F32" s="3"/>
      <c r="G32" s="29">
        <v>-11.14</v>
      </c>
      <c r="H32" s="10"/>
      <c r="I32" s="10">
        <f t="shared" si="5"/>
        <v>1770.6463318605574</v>
      </c>
      <c r="J32" s="10">
        <f t="shared" si="3"/>
        <v>9638080099.732832</v>
      </c>
      <c r="K32" s="11">
        <f t="shared" si="4"/>
        <v>-8.2067313999999891E-2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5269315.2430265406</v>
      </c>
      <c r="D33" s="11">
        <v>3.2730000000000002E-2</v>
      </c>
      <c r="E33" s="10">
        <f t="shared" si="2"/>
        <v>166998.81663576979</v>
      </c>
      <c r="F33" s="3"/>
      <c r="G33" s="29">
        <v>-2.85</v>
      </c>
      <c r="H33" s="10"/>
      <c r="I33" s="10">
        <f t="shared" si="5"/>
        <v>1992.6247263792002</v>
      </c>
      <c r="J33" s="10">
        <f t="shared" si="3"/>
        <v>10499767844.341509</v>
      </c>
      <c r="K33" s="11">
        <f t="shared" si="4"/>
        <v>3.2971950000000305E-3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5102316.4263907708</v>
      </c>
      <c r="D34" s="11">
        <v>3.2419999999999997E-2</v>
      </c>
      <c r="E34" s="10">
        <f t="shared" si="2"/>
        <v>160222.67928128876</v>
      </c>
      <c r="F34" s="3"/>
      <c r="G34" s="29">
        <v>6.94</v>
      </c>
      <c r="H34" s="10"/>
      <c r="I34" s="10">
        <f t="shared" si="5"/>
        <v>2051.0805212343798</v>
      </c>
      <c r="J34" s="10">
        <f t="shared" ref="J34:J65" si="6">IF(I34="","",I34*C34)</f>
        <v>10465261835.34432</v>
      </c>
      <c r="K34" s="11">
        <f t="shared" ref="K34:K65" si="7">IFERROR(J34/J35-1,"")</f>
        <v>0.1174914079999998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4942093.7471094821</v>
      </c>
      <c r="D35" s="11">
        <v>3.2030000000000003E-2</v>
      </c>
      <c r="E35" s="10">
        <f t="shared" si="2"/>
        <v>153382.42368915305</v>
      </c>
      <c r="F35" s="3"/>
      <c r="G35" s="29">
        <v>-1.78</v>
      </c>
      <c r="H35" s="10"/>
      <c r="I35" s="10">
        <f t="shared" ref="I35:I66" si="8">IF(H35&lt;&gt;"",H35,I34/(1+IF(G34="",0,G34)/100))</f>
        <v>1894.9376581987988</v>
      </c>
      <c r="J35" s="10">
        <f t="shared" si="6"/>
        <v>9364959551.7465687</v>
      </c>
      <c r="K35" s="11">
        <f t="shared" si="7"/>
        <v>4.1524676000000094E-2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4788711.323420329</v>
      </c>
      <c r="D36" s="11">
        <v>3.1660000000000001E-2</v>
      </c>
      <c r="E36" s="10">
        <f t="shared" si="2"/>
        <v>146957.91297470871</v>
      </c>
      <c r="F36" s="3"/>
      <c r="G36" s="29">
        <v>-0.42</v>
      </c>
      <c r="H36" s="10"/>
      <c r="I36" s="10">
        <f t="shared" si="8"/>
        <v>1877.6631571529911</v>
      </c>
      <c r="J36" s="10">
        <f t="shared" si="6"/>
        <v>8991586822.2276936</v>
      </c>
      <c r="K36" s="11">
        <f t="shared" si="7"/>
        <v>7.6846708000000152E-2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4641753.4104456203</v>
      </c>
      <c r="D37" s="11">
        <v>3.1390000000000001E-2</v>
      </c>
      <c r="E37" s="10">
        <f t="shared" si="2"/>
        <v>141270.1689505307</v>
      </c>
      <c r="F37" s="3"/>
      <c r="G37" s="29">
        <v>1.12</v>
      </c>
      <c r="H37" s="10"/>
      <c r="I37" s="10">
        <f t="shared" si="8"/>
        <v>1798.8725399051457</v>
      </c>
      <c r="J37" s="10">
        <f t="shared" si="6"/>
        <v>8349922747.0616856</v>
      </c>
      <c r="K37" s="11">
        <f t="shared" si="7"/>
        <v>9.7605238000000094E-2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4500483.2414950896</v>
      </c>
      <c r="D38" s="11">
        <v>2.4029999999999999E-2</v>
      </c>
      <c r="E38" s="10">
        <f t="shared" si="2"/>
        <v>105608.83205875475</v>
      </c>
      <c r="F38" s="3"/>
      <c r="G38" s="29">
        <v>-7.8</v>
      </c>
      <c r="H38" s="10"/>
      <c r="I38" s="10">
        <f t="shared" si="8"/>
        <v>1690.351945033965</v>
      </c>
      <c r="J38" s="10">
        <f t="shared" si="6"/>
        <v>7607400600.8539886</v>
      </c>
      <c r="K38" s="11">
        <f t="shared" si="7"/>
        <v>-1.79552300000001E-2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4394874.4094363349</v>
      </c>
      <c r="D39" s="11">
        <v>2.401E-2</v>
      </c>
      <c r="E39" s="10">
        <f t="shared" si="2"/>
        <v>103046.78135034535</v>
      </c>
      <c r="F39" s="3"/>
      <c r="G39" s="29">
        <v>2.74</v>
      </c>
      <c r="H39" s="10"/>
      <c r="I39" s="10">
        <f t="shared" si="8"/>
        <v>1762.6193378873463</v>
      </c>
      <c r="J39" s="10">
        <f t="shared" si="6"/>
        <v>7746490621.6587143</v>
      </c>
      <c r="K39" s="11">
        <f t="shared" si="7"/>
        <v>5.2067874000000236E-2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4291827.6280859895</v>
      </c>
      <c r="D40" s="11">
        <v>2.401E-2</v>
      </c>
      <c r="E40" s="10">
        <f t="shared" si="2"/>
        <v>100630.63969135517</v>
      </c>
      <c r="F40" s="3"/>
      <c r="G40" s="29">
        <v>2.73</v>
      </c>
      <c r="H40" s="10"/>
      <c r="I40" s="10">
        <f t="shared" si="8"/>
        <v>1715.6115805794686</v>
      </c>
      <c r="J40" s="10">
        <f t="shared" si="6"/>
        <v>7363109180.5952368</v>
      </c>
      <c r="K40" s="11">
        <f t="shared" si="7"/>
        <v>5.1965473000000095E-2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4191196.9883946343</v>
      </c>
      <c r="D41" s="11">
        <v>2.4029999999999999E-2</v>
      </c>
      <c r="E41" s="10">
        <f t="shared" si="2"/>
        <v>98351.087010266259</v>
      </c>
      <c r="F41" s="3"/>
      <c r="G41" s="29">
        <v>0.15</v>
      </c>
      <c r="H41" s="10"/>
      <c r="I41" s="10">
        <f t="shared" si="8"/>
        <v>1670.0200336605358</v>
      </c>
      <c r="J41" s="10">
        <f t="shared" si="6"/>
        <v>6999382935.6367435</v>
      </c>
      <c r="K41" s="11">
        <f t="shared" si="7"/>
        <v>2.5566044999999926E-2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4092845.9013843681</v>
      </c>
      <c r="D42" s="11">
        <v>2.3890000000000002E-2</v>
      </c>
      <c r="E42" s="10">
        <f t="shared" si="2"/>
        <v>95496.673064560164</v>
      </c>
      <c r="F42" s="3"/>
      <c r="G42" s="29">
        <v>-1.25</v>
      </c>
      <c r="H42" s="10"/>
      <c r="I42" s="10">
        <f t="shared" si="8"/>
        <v>1667.5187555272448</v>
      </c>
      <c r="J42" s="10">
        <f t="shared" si="6"/>
        <v>6824897304.0412464</v>
      </c>
      <c r="K42" s="11">
        <f t="shared" si="7"/>
        <v>1.1091375000000125E-2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3997349.2283198079</v>
      </c>
      <c r="D43" s="11">
        <v>2.392E-2</v>
      </c>
      <c r="E43" s="10">
        <f t="shared" si="2"/>
        <v>93382.875167405233</v>
      </c>
      <c r="F43" s="3"/>
      <c r="G43" s="29">
        <v>3.27</v>
      </c>
      <c r="H43" s="10"/>
      <c r="I43" s="10">
        <f t="shared" si="8"/>
        <v>1688.6265878756908</v>
      </c>
      <c r="J43" s="10">
        <f t="shared" si="6"/>
        <v>6750030187.9652033</v>
      </c>
      <c r="K43" s="11">
        <f t="shared" si="7"/>
        <v>5.7402183999999856E-2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3903966.3531524027</v>
      </c>
      <c r="D44" s="11">
        <v>2.402E-2</v>
      </c>
      <c r="E44" s="10">
        <f t="shared" si="2"/>
        <v>91573.672196559142</v>
      </c>
      <c r="F44" s="3"/>
      <c r="G44" s="29">
        <v>5.1100000000000003</v>
      </c>
      <c r="H44" s="10"/>
      <c r="I44" s="10">
        <f t="shared" si="8"/>
        <v>1635.1569554330308</v>
      </c>
      <c r="J44" s="10">
        <f t="shared" si="6"/>
        <v>6383597736.1336756</v>
      </c>
      <c r="K44" s="11">
        <f t="shared" si="7"/>
        <v>7.6347421999999998E-2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3812392.6809558435</v>
      </c>
      <c r="D45" s="11">
        <v>2.3879999999999998E-2</v>
      </c>
      <c r="E45" s="10">
        <f t="shared" si="2"/>
        <v>88916.608607674018</v>
      </c>
      <c r="F45" s="3"/>
      <c r="G45" s="29">
        <v>4.2300000000000004</v>
      </c>
      <c r="H45" s="10"/>
      <c r="I45" s="10">
        <f t="shared" si="8"/>
        <v>1555.6625967396355</v>
      </c>
      <c r="J45" s="10">
        <f t="shared" si="6"/>
        <v>5930796697.8469486</v>
      </c>
      <c r="K45" s="11">
        <f t="shared" si="7"/>
        <v>6.7190124000000129E-2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3723476.0723481695</v>
      </c>
      <c r="D46" s="11">
        <v>2.4160000000000001E-2</v>
      </c>
      <c r="E46" s="10">
        <f t="shared" si="2"/>
        <v>87837.03904461395</v>
      </c>
      <c r="F46" s="3"/>
      <c r="G46" s="29">
        <v>6.53</v>
      </c>
      <c r="H46" s="10"/>
      <c r="I46" s="10">
        <f t="shared" si="8"/>
        <v>1492.5286354596906</v>
      </c>
      <c r="J46" s="10">
        <f t="shared" si="6"/>
        <v>5557394661.4286213</v>
      </c>
      <c r="K46" s="11">
        <f t="shared" si="7"/>
        <v>9.1037647999999916E-2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3635639.0333035556</v>
      </c>
      <c r="D47" s="11">
        <v>2.333E-2</v>
      </c>
      <c r="E47" s="10">
        <f t="shared" si="2"/>
        <v>82885.734461974353</v>
      </c>
      <c r="F47" s="3"/>
      <c r="G47" s="29">
        <v>3.48</v>
      </c>
      <c r="H47" s="10"/>
      <c r="I47" s="10">
        <f t="shared" si="8"/>
        <v>1401.0406791135742</v>
      </c>
      <c r="J47" s="10">
        <f t="shared" si="6"/>
        <v>5093678180.231432</v>
      </c>
      <c r="K47" s="11">
        <f t="shared" si="7"/>
        <v>5.8941884E-2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3552753.2988415812</v>
      </c>
      <c r="D48" s="11">
        <v>2.2610000000000002E-2</v>
      </c>
      <c r="E48" s="10">
        <f t="shared" si="2"/>
        <v>78551.698190716095</v>
      </c>
      <c r="F48" s="3"/>
      <c r="G48" s="29">
        <v>1.39</v>
      </c>
      <c r="H48" s="10"/>
      <c r="I48" s="10">
        <f t="shared" si="8"/>
        <v>1353.9241197463996</v>
      </c>
      <c r="J48" s="10">
        <f t="shared" si="6"/>
        <v>4810158382.8102055</v>
      </c>
      <c r="K48" s="11">
        <f t="shared" si="7"/>
        <v>3.6824279000000182E-2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3474201.6006508651</v>
      </c>
      <c r="D49" s="11">
        <v>2.2589999999999999E-2</v>
      </c>
      <c r="E49" s="10">
        <f t="shared" si="2"/>
        <v>76748.466304876376</v>
      </c>
      <c r="F49" s="3"/>
      <c r="G49" s="29">
        <v>4.1399999999999997</v>
      </c>
      <c r="H49" s="10"/>
      <c r="I49" s="10">
        <f t="shared" si="8"/>
        <v>1335.3625798859844</v>
      </c>
      <c r="J49" s="10">
        <f t="shared" si="6"/>
        <v>4639318812.4891558</v>
      </c>
      <c r="K49" s="11">
        <f t="shared" si="7"/>
        <v>6.4925226000000391E-2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3397453.1343459887</v>
      </c>
      <c r="D50" s="11">
        <v>2.2790000000000001E-2</v>
      </c>
      <c r="E50" s="10">
        <f t="shared" si="2"/>
        <v>75702.692568117753</v>
      </c>
      <c r="F50" s="3"/>
      <c r="G50" s="29">
        <v>4.0599999999999996</v>
      </c>
      <c r="H50" s="10"/>
      <c r="I50" s="10">
        <f t="shared" si="8"/>
        <v>1282.2763394334397</v>
      </c>
      <c r="J50" s="10">
        <f t="shared" si="6"/>
        <v>4356473768.5058403</v>
      </c>
      <c r="K50" s="11">
        <f t="shared" si="7"/>
        <v>6.4315273999999922E-2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3321750.441777871</v>
      </c>
      <c r="D51" s="11">
        <v>2.4580000000000001E-2</v>
      </c>
      <c r="E51" s="10">
        <f t="shared" si="2"/>
        <v>79689.849361592438</v>
      </c>
      <c r="F51" s="3"/>
      <c r="G51" s="29">
        <v>7.26</v>
      </c>
      <c r="H51" s="10"/>
      <c r="I51" s="10">
        <f t="shared" si="8"/>
        <v>1232.2471068935611</v>
      </c>
      <c r="J51" s="10">
        <f t="shared" si="6"/>
        <v>4093217371.7031898</v>
      </c>
      <c r="K51" s="11">
        <f t="shared" si="7"/>
        <v>9.8964508000000118E-2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3242060.5924162786</v>
      </c>
      <c r="D52" s="11">
        <v>2.5219999999999999E-2</v>
      </c>
      <c r="E52" s="10">
        <f t="shared" si="2"/>
        <v>79753.387702872045</v>
      </c>
      <c r="F52" s="3"/>
      <c r="G52" s="29">
        <v>5.77</v>
      </c>
      <c r="H52" s="10"/>
      <c r="I52" s="10">
        <f t="shared" si="8"/>
        <v>1148.8412333521919</v>
      </c>
      <c r="J52" s="10">
        <f t="shared" si="6"/>
        <v>3724612889.5940557</v>
      </c>
      <c r="K52" s="11">
        <f t="shared" si="7"/>
        <v>8.4375194000000153E-2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3162307.2047134065</v>
      </c>
      <c r="D53" s="11">
        <v>2.5780000000000001E-2</v>
      </c>
      <c r="E53" s="10">
        <f t="shared" si="2"/>
        <v>79475.403826855123</v>
      </c>
      <c r="F53" s="3"/>
      <c r="G53" s="29">
        <v>4.09</v>
      </c>
      <c r="H53" s="10"/>
      <c r="I53" s="10">
        <f t="shared" si="8"/>
        <v>1086.1692666655874</v>
      </c>
      <c r="J53" s="10">
        <f t="shared" si="6"/>
        <v>3434800897.5148644</v>
      </c>
      <c r="K53" s="11">
        <f t="shared" si="7"/>
        <v>6.7734401999999916E-2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3082831.8008865514</v>
      </c>
      <c r="D54" s="11">
        <v>2.614E-2</v>
      </c>
      <c r="E54" s="10">
        <f t="shared" si="2"/>
        <v>78532.386687172111</v>
      </c>
      <c r="F54" s="3"/>
      <c r="G54" s="29">
        <v>4.5199999999999996</v>
      </c>
      <c r="H54" s="10"/>
      <c r="I54" s="10">
        <f t="shared" si="8"/>
        <v>1043.4905050106518</v>
      </c>
      <c r="J54" s="10">
        <f t="shared" si="6"/>
        <v>3216905712.7700047</v>
      </c>
      <c r="K54" s="11">
        <f t="shared" si="7"/>
        <v>7.2521528000000002E-2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3004299.4141993793</v>
      </c>
      <c r="D55" s="11">
        <v>2.615E-2</v>
      </c>
      <c r="E55" s="10">
        <f t="shared" si="2"/>
        <v>76560.375852763653</v>
      </c>
      <c r="F55" s="3"/>
      <c r="G55" s="29">
        <v>4.33</v>
      </c>
      <c r="H55" s="10"/>
      <c r="I55" s="10">
        <f t="shared" si="8"/>
        <v>998.36443265466119</v>
      </c>
      <c r="J55" s="10">
        <f t="shared" si="6"/>
        <v>2999385680.1818943</v>
      </c>
      <c r="K55" s="11">
        <f t="shared" si="7"/>
        <v>7.0582294999999906E-2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2927739.0383466156</v>
      </c>
      <c r="D56" s="11">
        <v>2.6009999999999998E-2</v>
      </c>
      <c r="E56" s="10">
        <f t="shared" si="2"/>
        <v>74220.029422126245</v>
      </c>
      <c r="F56" s="3"/>
      <c r="G56" s="30">
        <v>2.97</v>
      </c>
      <c r="H56" s="10"/>
      <c r="I56" s="10">
        <f t="shared" si="8"/>
        <v>956.92939006485312</v>
      </c>
      <c r="J56" s="10">
        <f t="shared" si="6"/>
        <v>2801639532.2340865</v>
      </c>
      <c r="K56" s="11">
        <f t="shared" si="7"/>
        <v>5.6482497000000187E-2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2853519.0089244894</v>
      </c>
      <c r="D57" s="11">
        <v>2.5659999999999999E-2</v>
      </c>
      <c r="E57" s="10">
        <f t="shared" si="2"/>
        <v>71389.444620051887</v>
      </c>
      <c r="F57" s="3"/>
      <c r="G57" s="30">
        <v>4.9400000000000004</v>
      </c>
      <c r="H57" s="10"/>
      <c r="I57" s="10">
        <f t="shared" si="8"/>
        <v>929.32833841395848</v>
      </c>
      <c r="J57" s="10">
        <f t="shared" si="6"/>
        <v>2651856079.1964412</v>
      </c>
      <c r="K57" s="11">
        <f t="shared" si="7"/>
        <v>7.6327604000000271E-2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2782129.5643044375</v>
      </c>
      <c r="D58" s="11">
        <v>2.5360000000000001E-2</v>
      </c>
      <c r="E58" s="10">
        <f t="shared" si="2"/>
        <v>68809.789489311632</v>
      </c>
      <c r="F58" s="3"/>
      <c r="G58" s="30">
        <v>2.97</v>
      </c>
      <c r="H58" s="10"/>
      <c r="I58" s="10">
        <f t="shared" si="8"/>
        <v>885.58065410135157</v>
      </c>
      <c r="J58" s="10">
        <f t="shared" si="6"/>
        <v>2463800119.3514318</v>
      </c>
      <c r="K58" s="11">
        <f t="shared" si="7"/>
        <v>5.5813192000000011E-2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2713319.7748151259</v>
      </c>
      <c r="D59" s="11">
        <v>2.5010000000000001E-2</v>
      </c>
      <c r="E59" s="10">
        <f t="shared" si="2"/>
        <v>66204.356609326787</v>
      </c>
      <c r="F59" s="3"/>
      <c r="G59" s="30">
        <v>3.26</v>
      </c>
      <c r="H59" s="10"/>
      <c r="I59" s="10">
        <f t="shared" si="8"/>
        <v>860.03753918748328</v>
      </c>
      <c r="J59" s="10">
        <f t="shared" si="6"/>
        <v>2333556862.160737</v>
      </c>
      <c r="K59" s="11">
        <f t="shared" si="7"/>
        <v>5.8425325999999611E-2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2647115.4182057991</v>
      </c>
      <c r="D60" s="11">
        <v>2.8660000000000001E-2</v>
      </c>
      <c r="E60" s="10">
        <f t="shared" si="2"/>
        <v>73752.578972428106</v>
      </c>
      <c r="F60" s="3"/>
      <c r="G60" s="30">
        <v>-0.69</v>
      </c>
      <c r="H60" s="10"/>
      <c r="I60" s="10">
        <f t="shared" si="8"/>
        <v>832.88547277501777</v>
      </c>
      <c r="J60" s="10">
        <f t="shared" si="6"/>
        <v>2204743976.582376</v>
      </c>
      <c r="K60" s="11">
        <f t="shared" si="7"/>
        <v>2.1562246000000007E-2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2573362.839233371</v>
      </c>
      <c r="D61" s="11">
        <v>2.8150000000000001E-2</v>
      </c>
      <c r="E61" s="10">
        <f t="shared" si="2"/>
        <v>70456.804867401719</v>
      </c>
      <c r="F61" s="3"/>
      <c r="G61" s="30">
        <v>3.18</v>
      </c>
      <c r="H61" s="10"/>
      <c r="I61" s="10">
        <f t="shared" si="8"/>
        <v>838.67231172592665</v>
      </c>
      <c r="J61" s="10">
        <f t="shared" si="6"/>
        <v>2158208161.2894454</v>
      </c>
      <c r="K61" s="11">
        <f t="shared" si="7"/>
        <v>6.0845169999999893E-2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2502906.0343659692</v>
      </c>
      <c r="D62" s="11">
        <v>2.758E-2</v>
      </c>
      <c r="E62" s="10">
        <f t="shared" si="2"/>
        <v>67177.39585026307</v>
      </c>
      <c r="F62" s="3"/>
      <c r="G62" s="30">
        <v>5.38</v>
      </c>
      <c r="H62" s="10"/>
      <c r="I62" s="10">
        <f t="shared" si="8"/>
        <v>812.82449285319501</v>
      </c>
      <c r="J62" s="10">
        <f t="shared" si="6"/>
        <v>2034423328.0427203</v>
      </c>
      <c r="K62" s="11">
        <f t="shared" si="7"/>
        <v>8.2863804000000041E-2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2435728.6385157062</v>
      </c>
      <c r="D63" s="11">
        <v>2.7060000000000001E-2</v>
      </c>
      <c r="E63" s="10">
        <f t="shared" si="2"/>
        <v>64174.261443572119</v>
      </c>
      <c r="F63" s="3"/>
      <c r="G63" s="30">
        <v>-0.1</v>
      </c>
      <c r="H63" s="10"/>
      <c r="I63" s="10">
        <f t="shared" si="8"/>
        <v>771.32709513493546</v>
      </c>
      <c r="J63" s="10">
        <f t="shared" si="6"/>
        <v>1878743495.2832909</v>
      </c>
      <c r="K63" s="11">
        <f t="shared" si="7"/>
        <v>2.6032940000000115E-2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2371554.3770721341</v>
      </c>
      <c r="D64" s="11">
        <v>2.6329999999999999E-2</v>
      </c>
      <c r="E64" s="10">
        <f t="shared" si="2"/>
        <v>60841.081083383877</v>
      </c>
      <c r="F64" s="3"/>
      <c r="G64" s="30">
        <v>5.87</v>
      </c>
      <c r="H64" s="10"/>
      <c r="I64" s="10">
        <f t="shared" si="8"/>
        <v>772.09919432926472</v>
      </c>
      <c r="J64" s="10">
        <f t="shared" si="6"/>
        <v>1831075223.8454359</v>
      </c>
      <c r="K64" s="11">
        <f t="shared" si="7"/>
        <v>8.6575570999999796E-2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2310713.2959887502</v>
      </c>
      <c r="D65" s="11">
        <v>2.6249999999999999E-2</v>
      </c>
      <c r="E65" s="10">
        <f t="shared" si="2"/>
        <v>59104.724988750182</v>
      </c>
      <c r="F65" s="3"/>
      <c r="G65" s="30">
        <v>2.65</v>
      </c>
      <c r="H65" s="10"/>
      <c r="I65" s="10">
        <f t="shared" si="8"/>
        <v>729.28987846345967</v>
      </c>
      <c r="J65" s="10">
        <f t="shared" si="6"/>
        <v>1685179818.795536</v>
      </c>
      <c r="K65" s="11">
        <f t="shared" si="7"/>
        <v>5.3445625000000163E-2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2251608.571</v>
      </c>
      <c r="D66" s="11">
        <v>2.5930000000000002E-2</v>
      </c>
      <c r="E66" s="10">
        <f t="shared" si="2"/>
        <v>56908.570999999996</v>
      </c>
      <c r="F66" s="23">
        <f>SUM(F2)</f>
        <v>10967500</v>
      </c>
      <c r="G66" s="30">
        <v>2.95</v>
      </c>
      <c r="H66" s="10"/>
      <c r="I66" s="10">
        <f t="shared" si="8"/>
        <v>710.46261905841175</v>
      </c>
      <c r="J66" s="10">
        <f t="shared" ref="J66:J67" si="9">IF(I66="","",I66*C66)</f>
        <v>1599683722.4470279</v>
      </c>
      <c r="K66" s="11">
        <f t="shared" ref="K66" si="10">IFERROR(J66/J67-1,"")</f>
        <v>5.6194935000000168E-2</v>
      </c>
    </row>
    <row r="67" spans="1:11" ht="22.5" customHeight="1">
      <c r="A67" s="3">
        <f t="shared" si="0"/>
        <v>1950</v>
      </c>
      <c r="B67" s="3">
        <v>1700</v>
      </c>
      <c r="C67" s="10">
        <v>2194700</v>
      </c>
      <c r="D67" s="11">
        <v>2.5579999999999999E-2</v>
      </c>
      <c r="E67" s="3" t="s">
        <v>72</v>
      </c>
      <c r="F67" s="10">
        <f>SUM(C2)</f>
        <v>10967541.219928285</v>
      </c>
      <c r="G67" s="30">
        <v>2.97</v>
      </c>
      <c r="H67" s="10"/>
      <c r="I67" s="10">
        <f t="shared" ref="I67" si="11">IF(H67&lt;&gt;"",H67,I66/(1+IF(G66="",0,G66)/100))</f>
        <v>690.10453526800552</v>
      </c>
      <c r="J67" s="10">
        <f t="shared" si="9"/>
        <v>1514572423.5526917</v>
      </c>
      <c r="K67" s="11"/>
    </row>
  </sheetData>
  <dataValidations count="1">
    <dataValidation type="custom" allowBlank="1" showDropDown="1" sqref="D2:D67" xr:uid="{00000000-0002-0000-5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outlinePr summaryBelow="0" summaryRight="0"/>
  </sheetPr>
  <dimension ref="A1:M67"/>
  <sheetViews>
    <sheetView workbookViewId="0">
      <selection activeCell="M25" sqref="M25:N2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88913059.385321379</v>
      </c>
      <c r="D2" s="11">
        <v>1.37E-2</v>
      </c>
      <c r="E2" s="10">
        <f t="shared" ref="E2:E66" si="2">SUM(C2-C3)</f>
        <v>1201646.3584678918</v>
      </c>
      <c r="F2" s="14">
        <v>88913943</v>
      </c>
      <c r="G2" s="26">
        <v>-1.7</v>
      </c>
      <c r="H2" s="10"/>
      <c r="I2" s="10">
        <f>IF(H2&lt;&gt;"",H2,3904)</f>
        <v>488</v>
      </c>
      <c r="J2" s="10">
        <f t="shared" ref="J2:J33" si="3">IF(I2="","",I2*C2)</f>
        <v>43389572980.036835</v>
      </c>
      <c r="K2" s="11">
        <f t="shared" ref="K2:K33" si="4">IFERROR(J2/J3-1,"")</f>
        <v>-3.532900000000061E-3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87711413.026853487</v>
      </c>
      <c r="D3" s="11">
        <v>1.353E-2</v>
      </c>
      <c r="E3" s="10">
        <f t="shared" si="2"/>
        <v>1170893.2328133732</v>
      </c>
      <c r="F3" s="3"/>
      <c r="G3" s="26">
        <v>-1.47</v>
      </c>
      <c r="H3" s="10"/>
      <c r="I3" s="10">
        <f t="shared" ref="I3:I34" si="5">IF(H3&lt;&gt;"",H3,I2/(1+IF(G2="",0,G2)/100))</f>
        <v>496.43947100712109</v>
      </c>
      <c r="J3" s="10">
        <f t="shared" si="3"/>
        <v>43543407484.338257</v>
      </c>
      <c r="K3" s="11">
        <f t="shared" si="4"/>
        <v>-1.3688909999997056E-3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86540519.794040114</v>
      </c>
      <c r="D4" s="11">
        <v>1.333E-2</v>
      </c>
      <c r="E4" s="10">
        <f t="shared" si="2"/>
        <v>1138410.1219292432</v>
      </c>
      <c r="F4" s="3"/>
      <c r="G4" s="26">
        <v>3.3</v>
      </c>
      <c r="H4" s="10"/>
      <c r="I4" s="10">
        <f t="shared" si="5"/>
        <v>503.84600731464639</v>
      </c>
      <c r="J4" s="10">
        <f t="shared" si="3"/>
        <v>43603095369.161232</v>
      </c>
      <c r="K4" s="11">
        <f t="shared" si="4"/>
        <v>4.6769889999999759E-2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85402109.67211087</v>
      </c>
      <c r="D5" s="11">
        <v>1.2800000000000001E-2</v>
      </c>
      <c r="E5" s="10">
        <f t="shared" si="2"/>
        <v>1079331.5598371029</v>
      </c>
      <c r="F5" s="3"/>
      <c r="G5" s="26">
        <v>12.72</v>
      </c>
      <c r="H5" s="10"/>
      <c r="I5" s="10">
        <f t="shared" si="5"/>
        <v>487.75024909452702</v>
      </c>
      <c r="J5" s="10">
        <f t="shared" si="3"/>
        <v>41654900265.770195</v>
      </c>
      <c r="K5" s="11">
        <f t="shared" si="4"/>
        <v>0.14162816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84322778.112273768</v>
      </c>
      <c r="D6" s="11">
        <v>1.222E-2</v>
      </c>
      <c r="E6" s="10">
        <f t="shared" si="2"/>
        <v>1017984.5770010203</v>
      </c>
      <c r="F6" s="3"/>
      <c r="G6" s="26">
        <v>13.59</v>
      </c>
      <c r="H6" s="10"/>
      <c r="I6" s="10">
        <f t="shared" si="5"/>
        <v>432.70958933155345</v>
      </c>
      <c r="J6" s="10">
        <f t="shared" si="3"/>
        <v>36487274688.257683</v>
      </c>
      <c r="K6" s="11">
        <f t="shared" si="4"/>
        <v>0.1497806979999996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83304793.535272747</v>
      </c>
      <c r="D7" s="11">
        <v>1.2500000000000001E-2</v>
      </c>
      <c r="E7" s="10">
        <f t="shared" si="2"/>
        <v>1028454.2411762029</v>
      </c>
      <c r="F7" s="3"/>
      <c r="G7" s="26">
        <v>6.13</v>
      </c>
      <c r="H7" s="10"/>
      <c r="I7" s="10">
        <f t="shared" si="5"/>
        <v>380.93986207549386</v>
      </c>
      <c r="J7" s="10">
        <f t="shared" si="3"/>
        <v>31734116559.554295</v>
      </c>
      <c r="K7" s="11">
        <f t="shared" si="4"/>
        <v>7.4566249999999723E-2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82276339.294096544</v>
      </c>
      <c r="D8" s="11">
        <v>1.2540000000000001E-2</v>
      </c>
      <c r="E8" s="10">
        <f t="shared" si="2"/>
        <v>1018967.4430125952</v>
      </c>
      <c r="F8" s="3"/>
      <c r="G8" s="26">
        <v>-6.08</v>
      </c>
      <c r="H8" s="10"/>
      <c r="I8" s="10">
        <f t="shared" si="5"/>
        <v>358.93702259068493</v>
      </c>
      <c r="J8" s="10">
        <f t="shared" si="3"/>
        <v>29532024255.883991</v>
      </c>
      <c r="K8" s="11">
        <f t="shared" si="4"/>
        <v>-4.9022431999999894E-2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81257371.851083949</v>
      </c>
      <c r="D9" s="11">
        <v>1.23E-2</v>
      </c>
      <c r="E9" s="10">
        <f t="shared" si="2"/>
        <v>987321.61786854267</v>
      </c>
      <c r="F9" s="3"/>
      <c r="G9" s="26">
        <v>-0.17</v>
      </c>
      <c r="H9" s="10"/>
      <c r="I9" s="10">
        <f t="shared" si="5"/>
        <v>382.17315011785018</v>
      </c>
      <c r="J9" s="10">
        <f t="shared" si="3"/>
        <v>31054385770.626282</v>
      </c>
      <c r="K9" s="11">
        <f t="shared" si="4"/>
        <v>1.0579090000000013E-2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80270050.233215407</v>
      </c>
      <c r="D10" s="11">
        <v>1.1990000000000001E-2</v>
      </c>
      <c r="E10" s="10">
        <f t="shared" si="2"/>
        <v>951034.99273337424</v>
      </c>
      <c r="F10" s="3"/>
      <c r="G10" s="26">
        <v>-21.6</v>
      </c>
      <c r="H10" s="10"/>
      <c r="I10" s="10">
        <f t="shared" si="5"/>
        <v>382.82395083426843</v>
      </c>
      <c r="J10" s="10">
        <f t="shared" si="3"/>
        <v>30729297763.944714</v>
      </c>
      <c r="K10" s="11">
        <f t="shared" si="4"/>
        <v>-0.20659983999999998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79319015.240482032</v>
      </c>
      <c r="D11" s="11">
        <v>2.0789999999999999E-2</v>
      </c>
      <c r="E11" s="10">
        <f t="shared" si="2"/>
        <v>1615456.9763121009</v>
      </c>
      <c r="F11" s="3"/>
      <c r="G11" s="26">
        <v>-12.02</v>
      </c>
      <c r="H11" s="10"/>
      <c r="I11" s="10">
        <f t="shared" si="5"/>
        <v>488.2958556559546</v>
      </c>
      <c r="J11" s="10">
        <f t="shared" si="3"/>
        <v>38731146416.638878</v>
      </c>
      <c r="K11" s="11">
        <f t="shared" si="4"/>
        <v>-0.10190895799999988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77703558.264169931</v>
      </c>
      <c r="D12" s="11">
        <v>2.232E-2</v>
      </c>
      <c r="E12" s="10">
        <f t="shared" si="2"/>
        <v>1696478.0308086127</v>
      </c>
      <c r="F12" s="3"/>
      <c r="G12" s="26">
        <v>-12.84</v>
      </c>
      <c r="H12" s="10"/>
      <c r="I12" s="10">
        <f t="shared" si="5"/>
        <v>555.00779228910505</v>
      </c>
      <c r="J12" s="10">
        <f t="shared" si="3"/>
        <v>43126080325.204796</v>
      </c>
      <c r="K12" s="11">
        <f t="shared" si="4"/>
        <v>-0.10894588800000005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76007080.233361319</v>
      </c>
      <c r="D13" s="11">
        <v>2.1940000000000001E-2</v>
      </c>
      <c r="E13" s="10">
        <f t="shared" si="2"/>
        <v>1631793.7846839875</v>
      </c>
      <c r="F13" s="3"/>
      <c r="G13" s="26">
        <v>-2.77</v>
      </c>
      <c r="H13" s="10"/>
      <c r="I13" s="10">
        <f t="shared" si="5"/>
        <v>636.76892185532927</v>
      </c>
      <c r="J13" s="10">
        <f t="shared" si="3"/>
        <v>48398946533.568993</v>
      </c>
      <c r="K13" s="11">
        <f t="shared" si="4"/>
        <v>-6.3677380000000117E-3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74375286.448677331</v>
      </c>
      <c r="D14" s="11">
        <v>2.0840000000000001E-2</v>
      </c>
      <c r="E14" s="10">
        <f t="shared" si="2"/>
        <v>1518338.7892230302</v>
      </c>
      <c r="F14" s="3"/>
      <c r="G14" s="29">
        <v>-8.1999999999999993</v>
      </c>
      <c r="H14" s="10"/>
      <c r="I14" s="10">
        <f t="shared" si="5"/>
        <v>654.90992682847809</v>
      </c>
      <c r="J14" s="10">
        <f t="shared" si="3"/>
        <v>48709113405.950371</v>
      </c>
      <c r="K14" s="11">
        <f t="shared" si="4"/>
        <v>-6.2868879999999905E-2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72856947.659454301</v>
      </c>
      <c r="D15" s="11">
        <v>2.1219999999999999E-2</v>
      </c>
      <c r="E15" s="10">
        <f t="shared" si="2"/>
        <v>1513899.4823188186</v>
      </c>
      <c r="F15" s="3"/>
      <c r="G15" s="29">
        <v>-12.6</v>
      </c>
      <c r="H15" s="10"/>
      <c r="I15" s="10">
        <f t="shared" si="5"/>
        <v>713.40950634910462</v>
      </c>
      <c r="J15" s="10">
        <f t="shared" si="3"/>
        <v>51976839063.833847</v>
      </c>
      <c r="K15" s="11">
        <f t="shared" si="4"/>
        <v>-0.10745371999999986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71343048.177135482</v>
      </c>
      <c r="D16" s="11">
        <v>1.5350000000000001E-2</v>
      </c>
      <c r="E16" s="10">
        <f t="shared" si="2"/>
        <v>1078559.8951288015</v>
      </c>
      <c r="F16" s="3"/>
      <c r="G16" s="29">
        <v>-9.1999999999999993</v>
      </c>
      <c r="H16" s="10"/>
      <c r="I16" s="10">
        <f t="shared" si="5"/>
        <v>816.25801641773978</v>
      </c>
      <c r="J16" s="10">
        <f t="shared" si="3"/>
        <v>58234334990.263855</v>
      </c>
      <c r="K16" s="11">
        <f t="shared" si="4"/>
        <v>-7.8062200000000082E-2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70264488.282006681</v>
      </c>
      <c r="D17" s="11">
        <v>1.553E-2</v>
      </c>
      <c r="E17" s="10">
        <f t="shared" si="2"/>
        <v>1074520.2042476088</v>
      </c>
      <c r="F17" s="3"/>
      <c r="G17" s="26">
        <v>-14.81</v>
      </c>
      <c r="H17" s="10"/>
      <c r="I17" s="10">
        <f t="shared" si="5"/>
        <v>898.96257314729053</v>
      </c>
      <c r="J17" s="10">
        <f t="shared" si="3"/>
        <v>63165145186.870369</v>
      </c>
      <c r="K17" s="11">
        <f t="shared" si="4"/>
        <v>-0.1348699929999998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69189968.077759072</v>
      </c>
      <c r="D18" s="11">
        <v>1.3979999999999999E-2</v>
      </c>
      <c r="E18" s="10">
        <f t="shared" si="2"/>
        <v>953939.67704203725</v>
      </c>
      <c r="F18" s="3"/>
      <c r="G18" s="29">
        <v>-11</v>
      </c>
      <c r="H18" s="10"/>
      <c r="I18" s="10">
        <f t="shared" si="5"/>
        <v>1055.2442459763945</v>
      </c>
      <c r="J18" s="10">
        <f t="shared" si="3"/>
        <v>73012315693.345673</v>
      </c>
      <c r="K18" s="11">
        <f t="shared" si="4"/>
        <v>-9.7557799999999806E-2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68236028.400717035</v>
      </c>
      <c r="D19" s="11">
        <v>1.451E-2</v>
      </c>
      <c r="E19" s="10">
        <f t="shared" si="2"/>
        <v>975943.82716228068</v>
      </c>
      <c r="F19" s="3"/>
      <c r="G19" s="26">
        <v>-0.43</v>
      </c>
      <c r="H19" s="10"/>
      <c r="I19" s="10">
        <f t="shared" si="5"/>
        <v>1185.6676921083083</v>
      </c>
      <c r="J19" s="10">
        <f t="shared" si="3"/>
        <v>80905254312.515152</v>
      </c>
      <c r="K19" s="11">
        <f t="shared" si="4"/>
        <v>1.0147607000000169E-2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67260084.573554754</v>
      </c>
      <c r="D20" s="11">
        <v>1.2959999999999999E-2</v>
      </c>
      <c r="E20" s="10">
        <f t="shared" si="2"/>
        <v>860538.12201200426</v>
      </c>
      <c r="F20" s="3"/>
      <c r="G20" s="26">
        <v>-1.77</v>
      </c>
      <c r="H20" s="10"/>
      <c r="I20" s="10">
        <f t="shared" si="5"/>
        <v>1190.7880808559889</v>
      </c>
      <c r="J20" s="10">
        <f t="shared" si="3"/>
        <v>80092507027.554779</v>
      </c>
      <c r="K20" s="11">
        <f t="shared" si="4"/>
        <v>-4.9693919999997949E-3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66399546.45154275</v>
      </c>
      <c r="D21" s="11">
        <v>1.1010000000000001E-2</v>
      </c>
      <c r="E21" s="10">
        <f t="shared" si="2"/>
        <v>723097.70074626803</v>
      </c>
      <c r="F21" s="3"/>
      <c r="G21" s="26">
        <v>-6.29</v>
      </c>
      <c r="H21" s="10"/>
      <c r="I21" s="10">
        <f t="shared" si="5"/>
        <v>1212.2448140649385</v>
      </c>
      <c r="J21" s="10">
        <f t="shared" si="3"/>
        <v>80492505842.146683</v>
      </c>
      <c r="K21" s="11">
        <f t="shared" si="4"/>
        <v>-5.2582528999999933E-2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65676448.750796482</v>
      </c>
      <c r="D22" s="11">
        <v>1.06E-2</v>
      </c>
      <c r="E22" s="10">
        <f t="shared" si="2"/>
        <v>688868.35222485662</v>
      </c>
      <c r="F22" s="3"/>
      <c r="G22" s="26">
        <v>-4.8099999999999996</v>
      </c>
      <c r="H22" s="10"/>
      <c r="I22" s="10">
        <f t="shared" si="5"/>
        <v>1293.6130765819426</v>
      </c>
      <c r="J22" s="10">
        <f t="shared" si="3"/>
        <v>84959912927.49411</v>
      </c>
      <c r="K22" s="11">
        <f t="shared" si="4"/>
        <v>-3.8009860000000173E-2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64987580.398571625</v>
      </c>
      <c r="D23" s="11">
        <v>1.155E-2</v>
      </c>
      <c r="E23" s="10">
        <f t="shared" si="2"/>
        <v>742036.0373718515</v>
      </c>
      <c r="F23" s="3"/>
      <c r="G23" s="26">
        <v>-8.1999999999999993</v>
      </c>
      <c r="H23" s="10"/>
      <c r="I23" s="10">
        <f t="shared" si="5"/>
        <v>1358.9800153187757</v>
      </c>
      <c r="J23" s="10">
        <f t="shared" si="3"/>
        <v>88316823005.581039</v>
      </c>
      <c r="K23" s="11">
        <f t="shared" si="4"/>
        <v>-7.1397099999999991E-2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64245544.361199774</v>
      </c>
      <c r="D24" s="11">
        <v>1.7760000000000001E-2</v>
      </c>
      <c r="E24" s="10">
        <f t="shared" si="2"/>
        <v>1121090.3040548936</v>
      </c>
      <c r="F24" s="3"/>
      <c r="G24" s="26">
        <v>0.6</v>
      </c>
      <c r="H24" s="10"/>
      <c r="I24" s="10">
        <f t="shared" si="5"/>
        <v>1480.3703870574898</v>
      </c>
      <c r="J24" s="10">
        <f t="shared" si="3"/>
        <v>95107201372.708435</v>
      </c>
      <c r="K24" s="11">
        <f t="shared" si="4"/>
        <v>2.386655999999987E-2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63124454.05714488</v>
      </c>
      <c r="D25" s="11">
        <v>1.4930000000000001E-2</v>
      </c>
      <c r="E25" s="10">
        <f t="shared" si="2"/>
        <v>928584.33495233953</v>
      </c>
      <c r="F25" s="3"/>
      <c r="G25" s="26">
        <v>-6.59</v>
      </c>
      <c r="H25" s="10"/>
      <c r="I25" s="10">
        <f t="shared" si="5"/>
        <v>1471.5411402161926</v>
      </c>
      <c r="J25" s="10">
        <f t="shared" si="3"/>
        <v>92890231098.77565</v>
      </c>
      <c r="K25" s="11">
        <f t="shared" si="4"/>
        <v>-5.1953886999999699E-2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62195869.722192541</v>
      </c>
      <c r="D26" s="11">
        <v>2.4719999999999999E-2</v>
      </c>
      <c r="E26" s="10">
        <f t="shared" si="2"/>
        <v>1500392.2042436972</v>
      </c>
      <c r="F26" s="3"/>
      <c r="G26" s="26">
        <v>1.22</v>
      </c>
      <c r="H26" s="10"/>
      <c r="I26" s="10">
        <f t="shared" si="5"/>
        <v>1575.3571782637753</v>
      </c>
      <c r="J26" s="10">
        <f t="shared" si="3"/>
        <v>97980709825.214615</v>
      </c>
      <c r="K26" s="11">
        <f t="shared" si="4"/>
        <v>3.7221584000000085E-2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60695477.517948844</v>
      </c>
      <c r="D27" s="11">
        <v>2.9659999999999999E-2</v>
      </c>
      <c r="E27" s="10">
        <f t="shared" si="2"/>
        <v>1748371.1741568744</v>
      </c>
      <c r="F27" s="3"/>
      <c r="G27" s="26">
        <v>-6.01</v>
      </c>
      <c r="H27" s="10"/>
      <c r="I27" s="10">
        <f t="shared" si="5"/>
        <v>1556.3694707209793</v>
      </c>
      <c r="J27" s="10">
        <f t="shared" si="3"/>
        <v>94464588219.767136</v>
      </c>
      <c r="K27" s="11">
        <f t="shared" si="4"/>
        <v>-3.2222566000000064E-2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58947106.343791969</v>
      </c>
      <c r="D28" s="11">
        <v>2.8559999999999999E-2</v>
      </c>
      <c r="E28" s="10">
        <f t="shared" si="2"/>
        <v>1636782.8392886147</v>
      </c>
      <c r="F28" s="3"/>
      <c r="G28" s="26">
        <v>3.5</v>
      </c>
      <c r="H28" s="10"/>
      <c r="I28" s="10">
        <f t="shared" si="5"/>
        <v>1655.8883612309601</v>
      </c>
      <c r="J28" s="10">
        <f t="shared" si="3"/>
        <v>97609827322.928818</v>
      </c>
      <c r="K28" s="11">
        <f t="shared" si="4"/>
        <v>6.4559599999999939E-2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57310323.504503354</v>
      </c>
      <c r="D29" s="11">
        <v>2.988E-2</v>
      </c>
      <c r="E29" s="10">
        <f t="shared" si="2"/>
        <v>1662749.5109280273</v>
      </c>
      <c r="F29" s="3"/>
      <c r="G29" s="26">
        <v>-32</v>
      </c>
      <c r="H29" s="10"/>
      <c r="I29" s="10">
        <f t="shared" si="5"/>
        <v>1599.892136455034</v>
      </c>
      <c r="J29" s="10">
        <f t="shared" si="3"/>
        <v>91690335912.549026</v>
      </c>
      <c r="K29" s="11">
        <f t="shared" si="4"/>
        <v>-0.29968159999999999</v>
      </c>
      <c r="L29" t="s">
        <v>131</v>
      </c>
      <c r="M29" t="s">
        <v>132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55647573.993575327</v>
      </c>
      <c r="D30" s="11">
        <v>3.4759999999999999E-2</v>
      </c>
      <c r="E30" s="10">
        <f t="shared" si="2"/>
        <v>1869331.702053301</v>
      </c>
      <c r="F30" s="3"/>
      <c r="G30" s="26">
        <v>3.29</v>
      </c>
      <c r="H30" s="10"/>
      <c r="I30" s="10">
        <f t="shared" si="5"/>
        <v>2352.7825536103442</v>
      </c>
      <c r="J30" s="10">
        <f t="shared" si="3"/>
        <v>130926641242.82474</v>
      </c>
      <c r="K30" s="11">
        <f t="shared" si="4"/>
        <v>6.8803603999999741E-2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53778242.291522026</v>
      </c>
      <c r="D31" s="11">
        <v>3.6970000000000003E-2</v>
      </c>
      <c r="E31" s="10">
        <f t="shared" si="2"/>
        <v>1917299.0708675906</v>
      </c>
      <c r="F31" s="3"/>
      <c r="G31" s="26">
        <v>-0.4</v>
      </c>
      <c r="H31" s="10"/>
      <c r="I31" s="10">
        <f t="shared" si="5"/>
        <v>2277.8415660861115</v>
      </c>
      <c r="J31" s="10">
        <f t="shared" si="3"/>
        <v>122498315642.67888</v>
      </c>
      <c r="K31" s="11">
        <f t="shared" si="4"/>
        <v>3.2822119999999844E-2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51860943.220654435</v>
      </c>
      <c r="D32" s="11">
        <v>3.6830000000000002E-2</v>
      </c>
      <c r="E32" s="10">
        <f t="shared" si="2"/>
        <v>1842190.656922251</v>
      </c>
      <c r="F32" s="3"/>
      <c r="G32" s="26">
        <v>8.4</v>
      </c>
      <c r="H32" s="10"/>
      <c r="I32" s="10">
        <f t="shared" si="5"/>
        <v>2286.9895241828431</v>
      </c>
      <c r="J32" s="10">
        <f t="shared" si="3"/>
        <v>118605433859.87793</v>
      </c>
      <c r="K32" s="11">
        <f t="shared" si="4"/>
        <v>0.12392371999999985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50018752.563732184</v>
      </c>
      <c r="D33" s="11">
        <v>3.6639999999999999E-2</v>
      </c>
      <c r="E33" s="10">
        <f t="shared" si="2"/>
        <v>1767910.8407307714</v>
      </c>
      <c r="F33" s="3"/>
      <c r="G33" s="26">
        <v>7.86</v>
      </c>
      <c r="H33" s="10"/>
      <c r="I33" s="10">
        <f t="shared" si="5"/>
        <v>2109.7689337480101</v>
      </c>
      <c r="J33" s="10">
        <f t="shared" si="3"/>
        <v>105528010263.7908</v>
      </c>
      <c r="K33" s="11">
        <f t="shared" si="4"/>
        <v>0.11811990399999983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48250841.723001413</v>
      </c>
      <c r="D34" s="11">
        <v>3.8640000000000001E-2</v>
      </c>
      <c r="E34" s="10">
        <f t="shared" si="2"/>
        <v>1795051.7255033255</v>
      </c>
      <c r="F34" s="3"/>
      <c r="G34" s="26">
        <v>11.69</v>
      </c>
      <c r="H34" s="10"/>
      <c r="I34" s="10">
        <f t="shared" si="5"/>
        <v>1956.025341876516</v>
      </c>
      <c r="J34" s="10">
        <f t="shared" ref="J34:J65" si="6">IF(I34="","",I34*C34)</f>
        <v>94379869177.063507</v>
      </c>
      <c r="K34" s="11">
        <f t="shared" ref="K34:K65" si="7">IFERROR(J34/J35-1,"")</f>
        <v>0.17355933600000006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46455789.997498088</v>
      </c>
      <c r="D35" s="11">
        <v>3.9230000000000001E-2</v>
      </c>
      <c r="E35" s="10">
        <f t="shared" si="2"/>
        <v>1753664.3876734227</v>
      </c>
      <c r="F35" s="3"/>
      <c r="G35" s="26">
        <v>5.05</v>
      </c>
      <c r="H35" s="10"/>
      <c r="I35" s="10">
        <f t="shared" ref="I35:I66" si="8">IF(H35&lt;&gt;"",H35,I34/(1+IF(G34="",0,G34)/100))</f>
        <v>1731.1490768001734</v>
      </c>
      <c r="J35" s="10">
        <f t="shared" si="6"/>
        <v>80421897966.191544</v>
      </c>
      <c r="K35" s="11">
        <f t="shared" si="7"/>
        <v>0.11977032499999996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44702125.609824665</v>
      </c>
      <c r="D36" s="11">
        <v>3.7400000000000003E-2</v>
      </c>
      <c r="E36" s="10">
        <f t="shared" si="2"/>
        <v>1611586.1748674065</v>
      </c>
      <c r="F36" s="3"/>
      <c r="G36" s="26">
        <v>0.76</v>
      </c>
      <c r="H36" s="10"/>
      <c r="I36" s="10">
        <f t="shared" si="8"/>
        <v>1606.6348740604858</v>
      </c>
      <c r="J36" s="10">
        <f t="shared" si="6"/>
        <v>71819993949.376663</v>
      </c>
      <c r="K36" s="11">
        <f t="shared" si="7"/>
        <v>9.5079440000000126E-2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43090539.434957258</v>
      </c>
      <c r="D37" s="11">
        <v>3.6769999999999997E-2</v>
      </c>
      <c r="E37" s="10">
        <f t="shared" si="2"/>
        <v>1528245.5462864265</v>
      </c>
      <c r="F37" s="3"/>
      <c r="G37" s="26">
        <v>1.37</v>
      </c>
      <c r="H37" s="10"/>
      <c r="I37" s="10">
        <f t="shared" si="8"/>
        <v>1522.0110591706002</v>
      </c>
      <c r="J37" s="10">
        <f t="shared" si="6"/>
        <v>65584277565.631813</v>
      </c>
      <c r="K37" s="11">
        <f t="shared" si="7"/>
        <v>0.10592255899999992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41562293.888670832</v>
      </c>
      <c r="D38" s="11">
        <v>3.5650000000000001E-2</v>
      </c>
      <c r="E38" s="10">
        <f t="shared" si="2"/>
        <v>1430691.6208478883</v>
      </c>
      <c r="F38" s="3"/>
      <c r="G38" s="26">
        <v>-2.26</v>
      </c>
      <c r="H38" s="10"/>
      <c r="I38" s="10">
        <f t="shared" si="8"/>
        <v>1426.8407791980878</v>
      </c>
      <c r="J38" s="10">
        <f t="shared" si="6"/>
        <v>59302775797.371017</v>
      </c>
      <c r="K38" s="11">
        <f t="shared" si="7"/>
        <v>5.0563360000000168E-2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40131602.267822944</v>
      </c>
      <c r="D39" s="11">
        <v>3.3050000000000003E-2</v>
      </c>
      <c r="E39" s="10">
        <f t="shared" si="2"/>
        <v>1283916.0301549286</v>
      </c>
      <c r="F39" s="3"/>
      <c r="G39" s="26">
        <v>16.95</v>
      </c>
      <c r="H39" s="10"/>
      <c r="I39" s="10">
        <f t="shared" si="8"/>
        <v>1406.5859416384935</v>
      </c>
      <c r="J39" s="10">
        <f t="shared" si="6"/>
        <v>56448547565.347237</v>
      </c>
      <c r="K39" s="11">
        <f t="shared" si="7"/>
        <v>0.20815197500000004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38847686.237668015</v>
      </c>
      <c r="D40" s="11">
        <v>3.2280000000000003E-2</v>
      </c>
      <c r="E40" s="10">
        <f t="shared" si="2"/>
        <v>1214789.8939744309</v>
      </c>
      <c r="F40" s="3"/>
      <c r="G40" s="26">
        <v>9.33</v>
      </c>
      <c r="H40" s="10"/>
      <c r="I40" s="10">
        <f t="shared" si="8"/>
        <v>1202.7241912257321</v>
      </c>
      <c r="J40" s="10">
        <f t="shared" si="6"/>
        <v>46723052011.190262</v>
      </c>
      <c r="K40" s="11">
        <f t="shared" si="7"/>
        <v>0.12859172400000007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37632896.343693584</v>
      </c>
      <c r="D41" s="11">
        <v>2.963E-2</v>
      </c>
      <c r="E41" s="10">
        <f t="shared" si="2"/>
        <v>1082974.1933156997</v>
      </c>
      <c r="F41" s="3"/>
      <c r="G41" s="26">
        <v>8.73</v>
      </c>
      <c r="H41" s="10"/>
      <c r="I41" s="10">
        <f t="shared" si="8"/>
        <v>1100.0861531379603</v>
      </c>
      <c r="J41" s="10">
        <f t="shared" si="6"/>
        <v>41399428170.173485</v>
      </c>
      <c r="K41" s="11">
        <f t="shared" si="7"/>
        <v>0.11951669900000006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36549922.150377885</v>
      </c>
      <c r="D42" s="11">
        <v>3.066E-2</v>
      </c>
      <c r="E42" s="10">
        <f t="shared" si="2"/>
        <v>1087284.4712422937</v>
      </c>
      <c r="F42" s="3"/>
      <c r="G42" s="26">
        <v>-8.3000000000000007</v>
      </c>
      <c r="H42" s="10"/>
      <c r="I42" s="10">
        <f t="shared" si="8"/>
        <v>1011.7595448707444</v>
      </c>
      <c r="J42" s="10">
        <f t="shared" si="6"/>
        <v>36979732599.927467</v>
      </c>
      <c r="K42" s="11">
        <f t="shared" si="7"/>
        <v>-5.4884779999999966E-2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35462637.679135591</v>
      </c>
      <c r="D43" s="11">
        <v>2.9780000000000001E-2</v>
      </c>
      <c r="E43" s="10">
        <f t="shared" si="2"/>
        <v>1025536.8623246253</v>
      </c>
      <c r="F43" s="3"/>
      <c r="G43" s="26">
        <v>9.36</v>
      </c>
      <c r="H43" s="10"/>
      <c r="I43" s="10">
        <f t="shared" si="8"/>
        <v>1103.3364720509753</v>
      </c>
      <c r="J43" s="10">
        <f t="shared" si="6"/>
        <v>39127221546.519447</v>
      </c>
      <c r="K43" s="11">
        <f t="shared" si="7"/>
        <v>0.1261674079999997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34437100.816810966</v>
      </c>
      <c r="D44" s="11">
        <v>2.9420000000000002E-2</v>
      </c>
      <c r="E44" s="10">
        <f t="shared" si="2"/>
        <v>984184.78952281922</v>
      </c>
      <c r="F44" s="3"/>
      <c r="G44" s="26">
        <v>15.42</v>
      </c>
      <c r="H44" s="10"/>
      <c r="I44" s="10">
        <f t="shared" si="8"/>
        <v>1008.9031383055737</v>
      </c>
      <c r="J44" s="10">
        <f t="shared" si="6"/>
        <v>34743699088.226021</v>
      </c>
      <c r="K44" s="11">
        <f t="shared" si="7"/>
        <v>0.18815656400000003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33452916.027288146</v>
      </c>
      <c r="D45" s="11">
        <v>2.913E-2</v>
      </c>
      <c r="E45" s="10">
        <f t="shared" si="2"/>
        <v>946900.23988699913</v>
      </c>
      <c r="F45" s="3"/>
      <c r="G45" s="26">
        <v>26.96</v>
      </c>
      <c r="H45" s="10"/>
      <c r="I45" s="10">
        <f t="shared" si="8"/>
        <v>874.11465803636622</v>
      </c>
      <c r="J45" s="10">
        <f t="shared" si="6"/>
        <v>29241684253.512253</v>
      </c>
      <c r="K45" s="11">
        <f t="shared" si="7"/>
        <v>0.30658344800000026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32506015.787401147</v>
      </c>
      <c r="D46" s="11">
        <v>2.9430000000000001E-2</v>
      </c>
      <c r="E46" s="10">
        <f t="shared" si="2"/>
        <v>929302.66712959483</v>
      </c>
      <c r="F46" s="3"/>
      <c r="G46" s="26">
        <v>16.260000000000002</v>
      </c>
      <c r="H46" s="10"/>
      <c r="I46" s="10">
        <f t="shared" si="8"/>
        <v>688.49610746405654</v>
      </c>
      <c r="J46" s="10">
        <f t="shared" si="6"/>
        <v>22380265338.790859</v>
      </c>
      <c r="K46" s="11">
        <f t="shared" si="7"/>
        <v>0.19681531800000007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31576713.120271552</v>
      </c>
      <c r="D47" s="11">
        <v>3.0349999999999999E-2</v>
      </c>
      <c r="E47" s="10">
        <f t="shared" si="2"/>
        <v>930123.98039525002</v>
      </c>
      <c r="F47" s="3"/>
      <c r="G47" s="26">
        <v>-3.01</v>
      </c>
      <c r="H47" s="10"/>
      <c r="I47" s="10">
        <f t="shared" si="8"/>
        <v>592.20377383799803</v>
      </c>
      <c r="J47" s="10">
        <f t="shared" si="6"/>
        <v>18699848675.22464</v>
      </c>
      <c r="K47" s="11">
        <f t="shared" si="7"/>
        <v>-6.6353499999982635E-4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30646589.139876302</v>
      </c>
      <c r="D48" s="11">
        <v>3.0380000000000001E-2</v>
      </c>
      <c r="E48" s="10">
        <f t="shared" si="2"/>
        <v>903592.24564669654</v>
      </c>
      <c r="F48" s="3"/>
      <c r="G48" s="26">
        <v>11.76</v>
      </c>
      <c r="H48" s="10"/>
      <c r="I48" s="10">
        <f t="shared" si="8"/>
        <v>610.58230110114243</v>
      </c>
      <c r="J48" s="10">
        <f t="shared" si="6"/>
        <v>18712264917.926952</v>
      </c>
      <c r="K48" s="11">
        <f t="shared" si="7"/>
        <v>0.15155268799999999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29742996.894229606</v>
      </c>
      <c r="D49" s="11">
        <v>2.9649999999999999E-2</v>
      </c>
      <c r="E49" s="10">
        <f t="shared" si="2"/>
        <v>856485.07542748004</v>
      </c>
      <c r="F49" s="3"/>
      <c r="G49" s="26">
        <v>18.57</v>
      </c>
      <c r="H49" s="10"/>
      <c r="I49" s="10">
        <f t="shared" si="8"/>
        <v>546.33348344769365</v>
      </c>
      <c r="J49" s="10">
        <f t="shared" si="6"/>
        <v>16249595101.398394</v>
      </c>
      <c r="K49" s="11">
        <f t="shared" si="7"/>
        <v>0.22085600499999991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28886511.818802126</v>
      </c>
      <c r="D50" s="11">
        <v>3.022E-2</v>
      </c>
      <c r="E50" s="10">
        <f t="shared" si="2"/>
        <v>847343.66170740128</v>
      </c>
      <c r="F50" s="3"/>
      <c r="G50" s="26">
        <v>10.66</v>
      </c>
      <c r="H50" s="10"/>
      <c r="I50" s="10">
        <f t="shared" si="8"/>
        <v>460.76873024179275</v>
      </c>
      <c r="J50" s="10">
        <f t="shared" si="6"/>
        <v>13310001371.863995</v>
      </c>
      <c r="K50" s="11">
        <f t="shared" si="7"/>
        <v>0.14004145199999996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28039168.157094724</v>
      </c>
      <c r="D51" s="11">
        <v>3.073E-2</v>
      </c>
      <c r="E51" s="10">
        <f t="shared" si="2"/>
        <v>835954.7480596453</v>
      </c>
      <c r="F51" s="3"/>
      <c r="G51" s="26">
        <v>14.68</v>
      </c>
      <c r="H51" s="10"/>
      <c r="I51" s="10">
        <f t="shared" si="8"/>
        <v>416.38236963834515</v>
      </c>
      <c r="J51" s="10">
        <f t="shared" si="6"/>
        <v>11675015279.939133</v>
      </c>
      <c r="K51" s="11">
        <f t="shared" si="7"/>
        <v>0.18204116400000014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27203213.409035079</v>
      </c>
      <c r="D52" s="11">
        <v>3.159E-2</v>
      </c>
      <c r="E52" s="10">
        <f t="shared" si="2"/>
        <v>833033.96852569282</v>
      </c>
      <c r="F52" s="3"/>
      <c r="G52" s="26">
        <v>11.25</v>
      </c>
      <c r="H52" s="10"/>
      <c r="I52" s="10">
        <f t="shared" si="8"/>
        <v>363.08194073800587</v>
      </c>
      <c r="J52" s="10">
        <f t="shared" si="6"/>
        <v>9876995518.8626003</v>
      </c>
      <c r="K52" s="11">
        <f t="shared" si="7"/>
        <v>0.14764387499999998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26370179.440509386</v>
      </c>
      <c r="D53" s="11">
        <v>3.1220000000000001E-2</v>
      </c>
      <c r="E53" s="10">
        <f t="shared" si="2"/>
        <v>798352.43898751214</v>
      </c>
      <c r="F53" s="3"/>
      <c r="G53" s="26">
        <v>0.6</v>
      </c>
      <c r="H53" s="10"/>
      <c r="I53" s="10">
        <f t="shared" si="8"/>
        <v>326.36578942742102</v>
      </c>
      <c r="J53" s="10">
        <f t="shared" si="6"/>
        <v>8606324430.4445934</v>
      </c>
      <c r="K53" s="11">
        <f t="shared" si="7"/>
        <v>3.7407320000000022E-2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25571827.001521874</v>
      </c>
      <c r="D54" s="11">
        <v>3.1050000000000001E-2</v>
      </c>
      <c r="E54" s="10">
        <f t="shared" si="2"/>
        <v>770093.81542820856</v>
      </c>
      <c r="F54" s="3"/>
      <c r="G54" s="26">
        <v>-7.99</v>
      </c>
      <c r="H54" s="10"/>
      <c r="I54" s="10">
        <f t="shared" si="8"/>
        <v>324.41927378471274</v>
      </c>
      <c r="J54" s="10">
        <f t="shared" si="6"/>
        <v>8295993545.1820345</v>
      </c>
      <c r="K54" s="11">
        <f t="shared" si="7"/>
        <v>-5.1330894999999988E-2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24801733.186093666</v>
      </c>
      <c r="D55" s="11">
        <v>3.0339999999999999E-2</v>
      </c>
      <c r="E55" s="10">
        <f t="shared" si="2"/>
        <v>730326.47947869822</v>
      </c>
      <c r="F55" s="3"/>
      <c r="G55" s="26">
        <v>5.73</v>
      </c>
      <c r="H55" s="10"/>
      <c r="I55" s="10">
        <f t="shared" si="8"/>
        <v>352.5913202746579</v>
      </c>
      <c r="J55" s="10">
        <f t="shared" si="6"/>
        <v>8744875849.1845627</v>
      </c>
      <c r="K55" s="11">
        <f t="shared" si="7"/>
        <v>8.9378481999999648E-2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24071406.706614967</v>
      </c>
      <c r="D56" s="11">
        <v>3.04E-2</v>
      </c>
      <c r="E56" s="10">
        <f t="shared" si="2"/>
        <v>710181.25376658887</v>
      </c>
      <c r="F56" s="3"/>
      <c r="G56" s="26">
        <v>1.58</v>
      </c>
      <c r="H56" s="10"/>
      <c r="I56" s="10">
        <f t="shared" si="8"/>
        <v>333.48275822818306</v>
      </c>
      <c r="J56" s="10">
        <f t="shared" si="6"/>
        <v>8027399102.9543438</v>
      </c>
      <c r="K56" s="11">
        <f t="shared" si="7"/>
        <v>4.6680320000000108E-2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23361225.452848379</v>
      </c>
      <c r="D57" s="11">
        <v>2.972E-2</v>
      </c>
      <c r="E57" s="10">
        <f t="shared" si="2"/>
        <v>674256.71100750938</v>
      </c>
      <c r="F57" s="3"/>
      <c r="G57" s="26">
        <v>2.7</v>
      </c>
      <c r="H57" s="10"/>
      <c r="I57" s="10">
        <f t="shared" si="8"/>
        <v>328.29568638332648</v>
      </c>
      <c r="J57" s="10">
        <f t="shared" si="6"/>
        <v>7669389544.7984953</v>
      </c>
      <c r="K57" s="11">
        <f t="shared" si="7"/>
        <v>5.7522439999999841E-2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22686968.741840869</v>
      </c>
      <c r="D58" s="11">
        <v>2.9229999999999999E-2</v>
      </c>
      <c r="E58" s="10">
        <f t="shared" si="2"/>
        <v>644307.00263693184</v>
      </c>
      <c r="F58" s="3"/>
      <c r="G58" s="26">
        <v>4.5</v>
      </c>
      <c r="H58" s="10"/>
      <c r="I58" s="10">
        <f t="shared" si="8"/>
        <v>319.66473844530333</v>
      </c>
      <c r="J58" s="10">
        <f t="shared" si="6"/>
        <v>7252223928.977334</v>
      </c>
      <c r="K58" s="11">
        <f t="shared" si="7"/>
        <v>7.5545350000000067E-2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22042661.739203937</v>
      </c>
      <c r="D59" s="11">
        <v>2.7210000000000002E-2</v>
      </c>
      <c r="E59" s="10">
        <f t="shared" si="2"/>
        <v>583893.0948138535</v>
      </c>
      <c r="F59" s="3"/>
      <c r="G59" s="26">
        <v>7.6</v>
      </c>
      <c r="H59" s="10"/>
      <c r="I59" s="10">
        <f t="shared" si="8"/>
        <v>305.89927123952475</v>
      </c>
      <c r="J59" s="10">
        <f t="shared" si="6"/>
        <v>6742834162.2018394</v>
      </c>
      <c r="K59" s="11">
        <f t="shared" si="7"/>
        <v>0.10527796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21458768.644390084</v>
      </c>
      <c r="D60" s="11">
        <v>2.6769999999999999E-2</v>
      </c>
      <c r="E60" s="10">
        <f t="shared" si="2"/>
        <v>559474.11456345767</v>
      </c>
      <c r="F60" s="3"/>
      <c r="G60" s="26">
        <v>12.1</v>
      </c>
      <c r="H60" s="10"/>
      <c r="I60" s="10">
        <f t="shared" si="8"/>
        <v>284.29300301071072</v>
      </c>
      <c r="J60" s="10">
        <f t="shared" si="6"/>
        <v>6100577778.8257351</v>
      </c>
      <c r="K60" s="11">
        <f t="shared" si="7"/>
        <v>0.15100917000000003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20899294.529826626</v>
      </c>
      <c r="D61" s="11">
        <v>2.6919999999999999E-2</v>
      </c>
      <c r="E61" s="10">
        <f t="shared" si="2"/>
        <v>547860.60135447234</v>
      </c>
      <c r="F61" s="3"/>
      <c r="G61" s="26">
        <v>19.2</v>
      </c>
      <c r="H61" s="10"/>
      <c r="I61" s="10">
        <f t="shared" si="8"/>
        <v>253.60660393462152</v>
      </c>
      <c r="J61" s="10">
        <f t="shared" si="6"/>
        <v>5300199110.3387432</v>
      </c>
      <c r="K61" s="11">
        <f t="shared" si="7"/>
        <v>0.22408863999999995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20351433.928472154</v>
      </c>
      <c r="D62" s="11">
        <v>2.622E-2</v>
      </c>
      <c r="E62" s="10">
        <f t="shared" si="2"/>
        <v>519980.70355726779</v>
      </c>
      <c r="F62" s="3"/>
      <c r="G62" s="26">
        <v>12</v>
      </c>
      <c r="H62" s="10"/>
      <c r="I62" s="10">
        <f t="shared" si="8"/>
        <v>212.75721806595766</v>
      </c>
      <c r="J62" s="10">
        <f t="shared" si="6"/>
        <v>4329914466.2748795</v>
      </c>
      <c r="K62" s="11">
        <f t="shared" si="7"/>
        <v>0.1493663999999999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19831453.224914886</v>
      </c>
      <c r="D63" s="11">
        <v>2.5180000000000001E-2</v>
      </c>
      <c r="E63" s="10">
        <f t="shared" si="2"/>
        <v>487091.03982067108</v>
      </c>
      <c r="F63" s="3"/>
      <c r="G63" s="26">
        <v>6.5</v>
      </c>
      <c r="H63" s="10"/>
      <c r="I63" s="10">
        <f t="shared" si="8"/>
        <v>189.96180184460505</v>
      </c>
      <c r="J63" s="10">
        <f t="shared" si="6"/>
        <v>3767218587.8018355</v>
      </c>
      <c r="K63" s="11">
        <f t="shared" si="7"/>
        <v>9.1816699999999862E-2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19344362.185094215</v>
      </c>
      <c r="D64" s="11">
        <v>2.46E-2</v>
      </c>
      <c r="E64" s="10">
        <f t="shared" si="2"/>
        <v>464445.93963821605</v>
      </c>
      <c r="F64" s="3"/>
      <c r="G64" s="29">
        <v>3.3</v>
      </c>
      <c r="H64" s="10"/>
      <c r="I64" s="10">
        <f t="shared" si="8"/>
        <v>178.3678890559672</v>
      </c>
      <c r="J64" s="10">
        <f t="shared" si="6"/>
        <v>3450413048.0893321</v>
      </c>
      <c r="K64" s="11">
        <f t="shared" si="7"/>
        <v>5.8411800000000014E-2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18879916.245455999</v>
      </c>
      <c r="D65" s="11">
        <v>2.4799999999999999E-2</v>
      </c>
      <c r="E65" s="10">
        <f t="shared" si="2"/>
        <v>456891.02545600012</v>
      </c>
      <c r="F65" s="3"/>
      <c r="G65" s="29">
        <v>0.54</v>
      </c>
      <c r="H65" s="10"/>
      <c r="I65" s="10">
        <f t="shared" si="8"/>
        <v>172.66978611419864</v>
      </c>
      <c r="J65" s="10">
        <f t="shared" si="6"/>
        <v>3259991099.9568715</v>
      </c>
      <c r="K65" s="11">
        <f t="shared" si="7"/>
        <v>3.0333920000000125E-2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18423025.219999999</v>
      </c>
      <c r="D66" s="11">
        <v>2.46E-2</v>
      </c>
      <c r="E66" s="10">
        <f t="shared" si="2"/>
        <v>442325.21999999881</v>
      </c>
      <c r="F66" s="23">
        <f>SUM(F2)</f>
        <v>88913943</v>
      </c>
      <c r="G66" s="29">
        <v>5.62</v>
      </c>
      <c r="H66" s="10"/>
      <c r="I66" s="10">
        <f t="shared" si="8"/>
        <v>171.74237727690334</v>
      </c>
      <c r="J66" s="10">
        <f t="shared" ref="J66:J67" si="9">IF(I66="","",I66*C66)</f>
        <v>3164014147.9151449</v>
      </c>
      <c r="K66" s="11">
        <f t="shared" ref="K66" si="10">IFERROR(J66/J67-1,"")</f>
        <v>8.2182519999999926E-2</v>
      </c>
    </row>
    <row r="67" spans="1:11" ht="22.5" customHeight="1">
      <c r="A67" s="3">
        <f t="shared" si="0"/>
        <v>1950</v>
      </c>
      <c r="B67" s="3">
        <v>1700</v>
      </c>
      <c r="C67" s="10">
        <v>17980700</v>
      </c>
      <c r="D67" s="11">
        <v>2.4549999999999999E-2</v>
      </c>
      <c r="E67" s="3" t="s">
        <v>72</v>
      </c>
      <c r="F67" s="10">
        <f>SUM(C2)</f>
        <v>88913059.385321379</v>
      </c>
      <c r="G67" s="29">
        <v>7.79</v>
      </c>
      <c r="H67" s="10"/>
      <c r="I67" s="10">
        <f t="shared" ref="I67" si="11">IF(H67&lt;&gt;"",H67,I66/(1+IF(G66="",0,G66)/100))</f>
        <v>162.60403074881967</v>
      </c>
      <c r="J67" s="10">
        <f t="shared" si="9"/>
        <v>2923734295.6853018</v>
      </c>
      <c r="K67" s="11"/>
    </row>
  </sheetData>
  <dataValidations count="1">
    <dataValidation type="custom" allowBlank="1" showDropDown="1" sqref="D2:D67" xr:uid="{00000000-0002-0000-6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outlinePr summaryBelow="0" summaryRight="0"/>
  </sheetPr>
  <dimension ref="A1:M67"/>
  <sheetViews>
    <sheetView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33245957.230227757</v>
      </c>
      <c r="D2" s="11">
        <v>1.7309999999999999E-2</v>
      </c>
      <c r="E2" s="10">
        <f t="shared" ref="E2:E66" si="2">SUM(C2-C3)</f>
        <v>565695.33343350515</v>
      </c>
      <c r="F2" s="14">
        <v>33245174</v>
      </c>
      <c r="G2" s="26">
        <v>2.96</v>
      </c>
      <c r="H2" s="10"/>
      <c r="I2" s="10">
        <f>IF(H2&lt;&gt;"",H2,70160)</f>
        <v>8770</v>
      </c>
      <c r="J2" s="10">
        <f t="shared" ref="J2:J33" si="3">IF(I2="","",I2*C2)</f>
        <v>291567044909.09741</v>
      </c>
      <c r="K2" s="11">
        <f t="shared" ref="K2:K33" si="4">IFERROR(J2/J3-1,"")</f>
        <v>4.7422376000000099E-2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32680261.896794252</v>
      </c>
      <c r="D3" s="11">
        <v>1.7299999999999999E-2</v>
      </c>
      <c r="E3" s="10">
        <f t="shared" si="2"/>
        <v>555753.98684217408</v>
      </c>
      <c r="F3" s="3"/>
      <c r="G3" s="26">
        <v>4.5</v>
      </c>
      <c r="H3" s="10"/>
      <c r="I3" s="10">
        <f t="shared" ref="I3:I34" si="5">IF(H3&lt;&gt;"",H3,I2/(1+IF(G2="",0,G2)/100))</f>
        <v>8517.8710178710171</v>
      </c>
      <c r="J3" s="10">
        <f t="shared" si="3"/>
        <v>278366255667.13824</v>
      </c>
      <c r="K3" s="11">
        <f t="shared" si="4"/>
        <v>6.3078499999999815E-2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32124507.909952078</v>
      </c>
      <c r="D4" s="11">
        <v>1.7309999999999999E-2</v>
      </c>
      <c r="E4" s="10">
        <f t="shared" si="2"/>
        <v>546613.35475053638</v>
      </c>
      <c r="F4" s="3"/>
      <c r="G4" s="26">
        <v>5.13</v>
      </c>
      <c r="H4" s="10"/>
      <c r="I4" s="10">
        <f t="shared" si="5"/>
        <v>8151.0727443741798</v>
      </c>
      <c r="J4" s="10">
        <f t="shared" si="3"/>
        <v>261849200851.24313</v>
      </c>
      <c r="K4" s="11">
        <f t="shared" si="4"/>
        <v>6.9498002999999864E-2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31577894.555201542</v>
      </c>
      <c r="D5" s="11">
        <v>1.754E-2</v>
      </c>
      <c r="E5" s="10">
        <f t="shared" si="2"/>
        <v>544328.74432281032</v>
      </c>
      <c r="F5" s="3"/>
      <c r="G5" s="26">
        <v>3.91</v>
      </c>
      <c r="H5" s="10"/>
      <c r="I5" s="10">
        <f t="shared" si="5"/>
        <v>7753.3270658938272</v>
      </c>
      <c r="J5" s="10">
        <f t="shared" si="3"/>
        <v>244833744538.78543</v>
      </c>
      <c r="K5" s="11">
        <f t="shared" si="4"/>
        <v>5.7325813999999919E-2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31033565.810878731</v>
      </c>
      <c r="D6" s="11">
        <v>1.7749999999999998E-2</v>
      </c>
      <c r="E6" s="10">
        <f t="shared" si="2"/>
        <v>541238.80436560512</v>
      </c>
      <c r="F6" s="3"/>
      <c r="G6" s="26">
        <v>6.95</v>
      </c>
      <c r="H6" s="10"/>
      <c r="I6" s="10">
        <f t="shared" si="5"/>
        <v>7461.5793146894694</v>
      </c>
      <c r="J6" s="10">
        <f t="shared" si="3"/>
        <v>231559412715.50708</v>
      </c>
      <c r="K6" s="11">
        <f t="shared" si="4"/>
        <v>8.8483625000000066E-2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30492327.006513126</v>
      </c>
      <c r="D7" s="11">
        <v>1.7739999999999999E-2</v>
      </c>
      <c r="E7" s="10">
        <f t="shared" si="2"/>
        <v>531504.98270240426</v>
      </c>
      <c r="F7" s="3"/>
      <c r="G7" s="26">
        <v>4.49</v>
      </c>
      <c r="H7" s="10"/>
      <c r="I7" s="10">
        <f t="shared" si="5"/>
        <v>6976.6987514628036</v>
      </c>
      <c r="J7" s="10">
        <f t="shared" si="3"/>
        <v>212735779755.53564</v>
      </c>
      <c r="K7" s="11">
        <f t="shared" si="4"/>
        <v>6.3436526000000049E-2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29960822.023810722</v>
      </c>
      <c r="D8" s="11">
        <v>1.7940000000000001E-2</v>
      </c>
      <c r="E8" s="10">
        <f t="shared" si="2"/>
        <v>528024.38955848664</v>
      </c>
      <c r="F8" s="3"/>
      <c r="G8" s="26">
        <v>1.1399999999999999</v>
      </c>
      <c r="H8" s="10"/>
      <c r="I8" s="10">
        <f t="shared" si="5"/>
        <v>6676.9056861544686</v>
      </c>
      <c r="J8" s="10">
        <f t="shared" si="3"/>
        <v>200045582932.64383</v>
      </c>
      <c r="K8" s="11">
        <f t="shared" si="4"/>
        <v>2.9544516000000076E-2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29432797.634252235</v>
      </c>
      <c r="D9" s="11">
        <v>1.8149999999999999E-2</v>
      </c>
      <c r="E9" s="10">
        <f t="shared" si="2"/>
        <v>524682.29343581572</v>
      </c>
      <c r="F9" s="3"/>
      <c r="G9" s="26">
        <v>3.28</v>
      </c>
      <c r="H9" s="10"/>
      <c r="I9" s="10">
        <f t="shared" si="5"/>
        <v>6601.6469113649082</v>
      </c>
      <c r="J9" s="10">
        <f t="shared" si="3"/>
        <v>194304937594.98965</v>
      </c>
      <c r="K9" s="11">
        <f t="shared" si="4"/>
        <v>5.1545319999999784E-2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28908115.34081642</v>
      </c>
      <c r="D10" s="11">
        <v>1.8270000000000002E-2</v>
      </c>
      <c r="E10" s="10">
        <f t="shared" si="2"/>
        <v>518675.07368057221</v>
      </c>
      <c r="F10" s="3"/>
      <c r="G10" s="26">
        <v>6.74</v>
      </c>
      <c r="H10" s="10"/>
      <c r="I10" s="10">
        <f t="shared" si="5"/>
        <v>6391.9896508180755</v>
      </c>
      <c r="J10" s="10">
        <f t="shared" si="3"/>
        <v>184780374083.15381</v>
      </c>
      <c r="K10" s="11">
        <f t="shared" si="4"/>
        <v>8.6901397999999963E-2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28389440.267135847</v>
      </c>
      <c r="D11" s="11">
        <v>1.8409999999999999E-2</v>
      </c>
      <c r="E11" s="10">
        <f t="shared" si="2"/>
        <v>513201.55469601974</v>
      </c>
      <c r="F11" s="3"/>
      <c r="G11" s="26">
        <v>6.72</v>
      </c>
      <c r="H11" s="10"/>
      <c r="I11" s="10">
        <f t="shared" si="5"/>
        <v>5988.3732910043809</v>
      </c>
      <c r="J11" s="10">
        <f t="shared" si="3"/>
        <v>170006565842.28058</v>
      </c>
      <c r="K11" s="11">
        <f t="shared" si="4"/>
        <v>8.6847151999999816E-2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27876238.712439828</v>
      </c>
      <c r="D12" s="11">
        <v>1.8669999999999999E-2</v>
      </c>
      <c r="E12" s="10">
        <f t="shared" si="2"/>
        <v>510910.67446891591</v>
      </c>
      <c r="F12" s="3"/>
      <c r="G12" s="26">
        <v>1.83</v>
      </c>
      <c r="H12" s="10"/>
      <c r="I12" s="10">
        <f t="shared" si="5"/>
        <v>5611.2943131600277</v>
      </c>
      <c r="J12" s="10">
        <f t="shared" si="3"/>
        <v>156421779759.40503</v>
      </c>
      <c r="K12" s="11">
        <f t="shared" si="4"/>
        <v>3.731166099999994E-2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27365328.037970912</v>
      </c>
      <c r="D13" s="11">
        <v>1.9029999999999998E-2</v>
      </c>
      <c r="E13" s="10">
        <f t="shared" si="2"/>
        <v>511037.15549354628</v>
      </c>
      <c r="F13" s="3"/>
      <c r="G13" s="26">
        <v>-2.33</v>
      </c>
      <c r="H13" s="10"/>
      <c r="I13" s="10">
        <f t="shared" si="5"/>
        <v>5510.453022842019</v>
      </c>
      <c r="J13" s="10">
        <f t="shared" si="3"/>
        <v>150795354607.90027</v>
      </c>
      <c r="K13" s="11">
        <f t="shared" si="4"/>
        <v>-4.713398999999896E-3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26854290.882477365</v>
      </c>
      <c r="D14" s="11">
        <v>1.907E-2</v>
      </c>
      <c r="E14" s="10">
        <f t="shared" si="2"/>
        <v>502528.11595753208</v>
      </c>
      <c r="F14" s="3"/>
      <c r="G14" s="26">
        <v>3.92</v>
      </c>
      <c r="H14" s="10"/>
      <c r="I14" s="10">
        <f t="shared" si="5"/>
        <v>5641.9095145305819</v>
      </c>
      <c r="J14" s="10">
        <f t="shared" si="3"/>
        <v>151509479235.82089</v>
      </c>
      <c r="K14" s="11">
        <f t="shared" si="4"/>
        <v>5.9017543999999811E-2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26351762.766519833</v>
      </c>
      <c r="D15" s="11">
        <v>1.9210000000000001E-2</v>
      </c>
      <c r="E15" s="10">
        <f t="shared" si="2"/>
        <v>496676.21269889921</v>
      </c>
      <c r="F15" s="3"/>
      <c r="G15" s="26">
        <v>2.5</v>
      </c>
      <c r="H15" s="10"/>
      <c r="I15" s="10">
        <f t="shared" si="5"/>
        <v>5429.0892172157255</v>
      </c>
      <c r="J15" s="10">
        <f t="shared" si="3"/>
        <v>143066071090.33966</v>
      </c>
      <c r="K15" s="11">
        <f t="shared" si="4"/>
        <v>4.4690249999999709E-2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25855086.553820934</v>
      </c>
      <c r="D16" s="11">
        <v>1.9390000000000001E-2</v>
      </c>
      <c r="E16" s="10">
        <f t="shared" si="2"/>
        <v>491794.23800369725</v>
      </c>
      <c r="F16" s="3"/>
      <c r="G16" s="26">
        <v>1.68</v>
      </c>
      <c r="H16" s="10"/>
      <c r="I16" s="10">
        <f t="shared" si="5"/>
        <v>5296.6724070397331</v>
      </c>
      <c r="J16" s="10">
        <f t="shared" si="3"/>
        <v>136945923531.24736</v>
      </c>
      <c r="K16" s="11">
        <f t="shared" si="4"/>
        <v>3.6515751999999901E-2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25363292.315817237</v>
      </c>
      <c r="D17" s="11">
        <v>1.9539999999999998E-2</v>
      </c>
      <c r="E17" s="10">
        <f t="shared" si="2"/>
        <v>486100.33137597889</v>
      </c>
      <c r="F17" s="3"/>
      <c r="G17" s="26">
        <v>2.92</v>
      </c>
      <c r="H17" s="10"/>
      <c r="I17" s="10">
        <f t="shared" si="5"/>
        <v>5209.1585435087864</v>
      </c>
      <c r="J17" s="10">
        <f t="shared" si="3"/>
        <v>132121410858.4501</v>
      </c>
      <c r="K17" s="11">
        <f t="shared" si="4"/>
        <v>4.9310567999999666E-2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24877191.984441258</v>
      </c>
      <c r="D18" s="11">
        <v>1.9740000000000001E-2</v>
      </c>
      <c r="E18" s="10">
        <f t="shared" si="2"/>
        <v>481569.58614242077</v>
      </c>
      <c r="F18" s="3"/>
      <c r="G18" s="26">
        <v>4.2</v>
      </c>
      <c r="H18" s="10"/>
      <c r="I18" s="10">
        <f t="shared" si="5"/>
        <v>5061.3666376882893</v>
      </c>
      <c r="J18" s="10">
        <f t="shared" si="3"/>
        <v>125912589549.41751</v>
      </c>
      <c r="K18" s="11">
        <f t="shared" si="4"/>
        <v>6.2569080000000055E-2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24395622.398298837</v>
      </c>
      <c r="D19" s="11">
        <v>1.9890000000000001E-2</v>
      </c>
      <c r="E19" s="10">
        <f t="shared" si="2"/>
        <v>475765.94485891983</v>
      </c>
      <c r="F19" s="3"/>
      <c r="G19" s="26">
        <v>0.56999999999999995</v>
      </c>
      <c r="H19" s="10"/>
      <c r="I19" s="10">
        <f t="shared" si="5"/>
        <v>4857.3576177430796</v>
      </c>
      <c r="J19" s="10">
        <f t="shared" si="3"/>
        <v>118498262295.96056</v>
      </c>
      <c r="K19" s="11">
        <f t="shared" si="4"/>
        <v>2.5703373000000029E-2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23919856.453439917</v>
      </c>
      <c r="D20" s="11">
        <v>2.0049999999999998E-2</v>
      </c>
      <c r="E20" s="10">
        <f t="shared" si="2"/>
        <v>470166.2878206633</v>
      </c>
      <c r="F20" s="3"/>
      <c r="G20" s="26">
        <v>3.43</v>
      </c>
      <c r="H20" s="10"/>
      <c r="I20" s="10">
        <f t="shared" si="5"/>
        <v>4829.8276004206818</v>
      </c>
      <c r="J20" s="10">
        <f t="shared" si="3"/>
        <v>115528782896.92488</v>
      </c>
      <c r="K20" s="11">
        <f t="shared" si="4"/>
        <v>5.5037714999999876E-2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23449690.165619254</v>
      </c>
      <c r="D21" s="11">
        <v>2.0160000000000001E-2</v>
      </c>
      <c r="E21" s="10">
        <f t="shared" si="2"/>
        <v>463403.53840464726</v>
      </c>
      <c r="F21" s="3"/>
      <c r="G21" s="26">
        <v>2.06</v>
      </c>
      <c r="H21" s="10"/>
      <c r="I21" s="10">
        <f t="shared" si="5"/>
        <v>4669.6583200432005</v>
      </c>
      <c r="J21" s="10">
        <f t="shared" si="3"/>
        <v>109502040784.31917</v>
      </c>
      <c r="K21" s="11">
        <f t="shared" si="4"/>
        <v>4.1175296000000028E-2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22986286.627214607</v>
      </c>
      <c r="D22" s="11">
        <v>2.0289999999999999E-2</v>
      </c>
      <c r="E22" s="10">
        <f t="shared" si="2"/>
        <v>457116.85468463227</v>
      </c>
      <c r="F22" s="3"/>
      <c r="G22" s="26">
        <v>5.2</v>
      </c>
      <c r="H22" s="10"/>
      <c r="I22" s="10">
        <f t="shared" si="5"/>
        <v>4575.404977506566</v>
      </c>
      <c r="J22" s="10">
        <f t="shared" si="3"/>
        <v>105171570248.55032</v>
      </c>
      <c r="K22" s="11">
        <f t="shared" si="4"/>
        <v>7.3345079999999951E-2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22529169.772529975</v>
      </c>
      <c r="D23" s="11">
        <v>2.051E-2</v>
      </c>
      <c r="E23" s="10">
        <f t="shared" si="2"/>
        <v>452786.61848937348</v>
      </c>
      <c r="F23" s="3"/>
      <c r="G23" s="26">
        <v>5.81</v>
      </c>
      <c r="H23" s="10"/>
      <c r="I23" s="10">
        <f t="shared" si="5"/>
        <v>4349.2442751963554</v>
      </c>
      <c r="J23" s="10">
        <f t="shared" si="3"/>
        <v>97984862658.102768</v>
      </c>
      <c r="K23" s="11">
        <f t="shared" si="4"/>
        <v>7.980163100000004E-2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22076383.154040601</v>
      </c>
      <c r="D24" s="11">
        <v>2.0709999999999999E-2</v>
      </c>
      <c r="E24" s="10">
        <f t="shared" si="2"/>
        <v>447925.36089602485</v>
      </c>
      <c r="F24" s="3"/>
      <c r="G24" s="26">
        <v>5.39</v>
      </c>
      <c r="H24" s="10"/>
      <c r="I24" s="10">
        <f t="shared" si="5"/>
        <v>4110.428385971416</v>
      </c>
      <c r="J24" s="10">
        <f t="shared" si="3"/>
        <v>90743391975.949661</v>
      </c>
      <c r="K24" s="11">
        <f t="shared" si="4"/>
        <v>7.5726269000000235E-2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21628457.793144576</v>
      </c>
      <c r="D25" s="11">
        <v>2.0840000000000001E-2</v>
      </c>
      <c r="E25" s="10">
        <f t="shared" si="2"/>
        <v>441535.46139368787</v>
      </c>
      <c r="F25" s="3"/>
      <c r="G25" s="26">
        <v>4.04</v>
      </c>
      <c r="H25" s="10"/>
      <c r="I25" s="10">
        <f t="shared" si="5"/>
        <v>3900.2072169763883</v>
      </c>
      <c r="J25" s="10">
        <f t="shared" si="3"/>
        <v>84355467176.891678</v>
      </c>
      <c r="K25" s="11">
        <f t="shared" si="4"/>
        <v>6.2081935999999782E-2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21186922.331750888</v>
      </c>
      <c r="D26" s="11">
        <v>2.104E-2</v>
      </c>
      <c r="E26" s="10">
        <f t="shared" si="2"/>
        <v>436587.05423885211</v>
      </c>
      <c r="F26" s="3"/>
      <c r="G26" s="26">
        <v>2</v>
      </c>
      <c r="H26" s="10"/>
      <c r="I26" s="10">
        <f t="shared" si="5"/>
        <v>3748.75741731679</v>
      </c>
      <c r="J26" s="10">
        <f t="shared" si="3"/>
        <v>79424632241.265884</v>
      </c>
      <c r="K26" s="11">
        <f t="shared" si="4"/>
        <v>4.1460800000000075E-2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20750335.277512036</v>
      </c>
      <c r="D27" s="11">
        <v>2.1420000000000002E-2</v>
      </c>
      <c r="E27" s="10">
        <f t="shared" si="2"/>
        <v>435151.24203981459</v>
      </c>
      <c r="F27" s="3"/>
      <c r="G27" s="26">
        <v>-0.28000000000000003</v>
      </c>
      <c r="H27" s="10"/>
      <c r="I27" s="10">
        <f t="shared" si="5"/>
        <v>3675.2523699184217</v>
      </c>
      <c r="J27" s="10">
        <f t="shared" si="3"/>
        <v>76262718905.277939</v>
      </c>
      <c r="K27" s="11">
        <f t="shared" si="4"/>
        <v>1.8560023999999897E-2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20315184.035472222</v>
      </c>
      <c r="D28" s="11">
        <v>2.1190000000000001E-2</v>
      </c>
      <c r="E28" s="10">
        <f t="shared" si="2"/>
        <v>421546.18602968752</v>
      </c>
      <c r="F28" s="3"/>
      <c r="G28" s="26">
        <v>3.41</v>
      </c>
      <c r="H28" s="10"/>
      <c r="I28" s="10">
        <f t="shared" si="5"/>
        <v>3685.5719714384495</v>
      </c>
      <c r="J28" s="10">
        <f t="shared" si="3"/>
        <v>74873072875.750275</v>
      </c>
      <c r="K28" s="11">
        <f t="shared" si="4"/>
        <v>5.6012579000000118E-2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19893637.849442534</v>
      </c>
      <c r="D29" s="11">
        <v>2.1680000000000001E-2</v>
      </c>
      <c r="E29" s="10">
        <f t="shared" si="2"/>
        <v>422142.02937897667</v>
      </c>
      <c r="F29" s="3"/>
      <c r="G29" s="26">
        <v>4.0599999999999996</v>
      </c>
      <c r="H29" s="10"/>
      <c r="I29" s="10">
        <f t="shared" si="5"/>
        <v>3564.0382665491243</v>
      </c>
      <c r="J29" s="10">
        <f t="shared" si="3"/>
        <v>70901686556.283218</v>
      </c>
      <c r="K29" s="11">
        <f t="shared" si="4"/>
        <v>6.3160207999999995E-2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19471495.820063557</v>
      </c>
      <c r="D30" s="11">
        <v>2.2040000000000001E-2</v>
      </c>
      <c r="E30" s="10">
        <f t="shared" si="2"/>
        <v>419897.23286192492</v>
      </c>
      <c r="F30" s="3"/>
      <c r="G30" s="26">
        <v>5.37</v>
      </c>
      <c r="H30" s="10"/>
      <c r="I30" s="10">
        <f t="shared" si="5"/>
        <v>3424.9839194206461</v>
      </c>
      <c r="J30" s="10">
        <f t="shared" si="3"/>
        <v>66689560070.784012</v>
      </c>
      <c r="K30" s="11">
        <f t="shared" si="4"/>
        <v>7.6923548000000119E-2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19051598.587201633</v>
      </c>
      <c r="D31" s="11">
        <v>2.2450000000000001E-2</v>
      </c>
      <c r="E31" s="10">
        <f t="shared" si="2"/>
        <v>418317.16786412895</v>
      </c>
      <c r="F31" s="3"/>
      <c r="G31" s="26">
        <v>5.82</v>
      </c>
      <c r="H31" s="10"/>
      <c r="I31" s="10">
        <f t="shared" si="5"/>
        <v>3250.4355313852575</v>
      </c>
      <c r="J31" s="10">
        <f t="shared" si="3"/>
        <v>61925992977.529358</v>
      </c>
      <c r="K31" s="11">
        <f t="shared" si="4"/>
        <v>8.1956590000000107E-2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18633281.419337504</v>
      </c>
      <c r="D32" s="11">
        <v>2.2839999999999999E-2</v>
      </c>
      <c r="E32" s="10">
        <f t="shared" si="2"/>
        <v>416080.86075795814</v>
      </c>
      <c r="F32" s="3"/>
      <c r="G32" s="26">
        <v>3.11</v>
      </c>
      <c r="H32" s="10"/>
      <c r="I32" s="10">
        <f t="shared" si="5"/>
        <v>3071.664648823717</v>
      </c>
      <c r="J32" s="10">
        <f t="shared" si="3"/>
        <v>57235191827.362823</v>
      </c>
      <c r="K32" s="11">
        <f t="shared" si="4"/>
        <v>5.4650324000000028E-2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18217200.558579545</v>
      </c>
      <c r="D33" s="11">
        <v>2.325E-2</v>
      </c>
      <c r="E33" s="10">
        <f t="shared" si="2"/>
        <v>413926.13045392185</v>
      </c>
      <c r="F33" s="3"/>
      <c r="G33" s="26">
        <v>3.35</v>
      </c>
      <c r="H33" s="10"/>
      <c r="I33" s="10">
        <f t="shared" si="5"/>
        <v>2979.0172134843538</v>
      </c>
      <c r="J33" s="10">
        <f t="shared" si="3"/>
        <v>54269354045.505249</v>
      </c>
      <c r="K33" s="11">
        <f t="shared" si="4"/>
        <v>5.7528875000000035E-2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17803274.428125624</v>
      </c>
      <c r="D34" s="11">
        <v>2.349E-2</v>
      </c>
      <c r="E34" s="10">
        <f t="shared" si="2"/>
        <v>408600.88160770759</v>
      </c>
      <c r="F34" s="3"/>
      <c r="G34" s="26">
        <v>0.27</v>
      </c>
      <c r="H34" s="10"/>
      <c r="I34" s="10">
        <f t="shared" si="5"/>
        <v>2882.4549719248703</v>
      </c>
      <c r="J34" s="10">
        <f t="shared" ref="J34:J65" si="6">IF(I34="","",I34*C34)</f>
        <v>51317136891.893608</v>
      </c>
      <c r="K34" s="11">
        <f t="shared" ref="K34:K65" si="7">IFERROR(J34/J35-1,"")</f>
        <v>3.9558793000000092E-2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17394673.546517916</v>
      </c>
      <c r="D35" s="11">
        <v>2.3539999999999998E-2</v>
      </c>
      <c r="E35" s="10">
        <f t="shared" si="2"/>
        <v>400053.35920924321</v>
      </c>
      <c r="F35" s="3"/>
      <c r="G35" s="26">
        <v>-1.75</v>
      </c>
      <c r="H35" s="10"/>
      <c r="I35" s="10">
        <f t="shared" ref="I35:I66" si="8">IF(H35&lt;&gt;"",H35,I34/(1+IF(G34="",0,G34)/100))</f>
        <v>2837.8999428225561</v>
      </c>
      <c r="J35" s="10">
        <f t="shared" si="6"/>
        <v>49364343063.080223</v>
      </c>
      <c r="K35" s="11">
        <f t="shared" si="7"/>
        <v>3.3263629999999766E-2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16994620.187308673</v>
      </c>
      <c r="D36" s="11">
        <v>2.3640000000000001E-2</v>
      </c>
      <c r="E36" s="10">
        <f t="shared" si="2"/>
        <v>392474.71887380257</v>
      </c>
      <c r="F36" s="3"/>
      <c r="G36" s="26">
        <v>-2.52</v>
      </c>
      <c r="H36" s="10"/>
      <c r="I36" s="10">
        <f t="shared" si="8"/>
        <v>2811.1936035884655</v>
      </c>
      <c r="J36" s="10">
        <f t="shared" si="6"/>
        <v>47775167565.977554</v>
      </c>
      <c r="K36" s="11">
        <f t="shared" si="7"/>
        <v>4.6978991999999886E-2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16602145.46843487</v>
      </c>
      <c r="D37" s="11">
        <v>2.3689999999999999E-2</v>
      </c>
      <c r="E37" s="10">
        <f t="shared" si="2"/>
        <v>384203.0557563547</v>
      </c>
      <c r="F37" s="3"/>
      <c r="G37" s="26">
        <v>-4.21</v>
      </c>
      <c r="H37" s="10"/>
      <c r="I37" s="10">
        <f t="shared" si="8"/>
        <v>2748.5271837978744</v>
      </c>
      <c r="J37" s="10">
        <f t="shared" si="6"/>
        <v>45631448129.35994</v>
      </c>
      <c r="K37" s="11">
        <f t="shared" si="7"/>
        <v>3.4848221000000068E-2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16217942.412678516</v>
      </c>
      <c r="D38" s="11">
        <v>2.385E-2</v>
      </c>
      <c r="E38" s="10">
        <f t="shared" si="2"/>
        <v>377787.69013271667</v>
      </c>
      <c r="F38" s="3"/>
      <c r="G38" s="26">
        <v>-1.32</v>
      </c>
      <c r="H38" s="10"/>
      <c r="I38" s="10">
        <f t="shared" si="8"/>
        <v>2718.8912689661438</v>
      </c>
      <c r="J38" s="10">
        <f t="shared" si="6"/>
        <v>44094822026.42733</v>
      </c>
      <c r="K38" s="11">
        <f t="shared" si="7"/>
        <v>4.82176299999999E-2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15840154.722545799</v>
      </c>
      <c r="D39" s="11">
        <v>2.4060000000000002E-2</v>
      </c>
      <c r="E39" s="10">
        <f t="shared" si="2"/>
        <v>372159.95412812941</v>
      </c>
      <c r="F39" s="3"/>
      <c r="G39" s="26">
        <v>8.4700000000000006</v>
      </c>
      <c r="H39" s="10"/>
      <c r="I39" s="10">
        <f t="shared" si="8"/>
        <v>2655.6859435105916</v>
      </c>
      <c r="J39" s="10">
        <f t="shared" si="6"/>
        <v>42066476239.697792</v>
      </c>
      <c r="K39" s="11">
        <f t="shared" si="7"/>
        <v>0.11079788199999996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15467994.768417669</v>
      </c>
      <c r="D40" s="11">
        <v>2.4510000000000001E-2</v>
      </c>
      <c r="E40" s="10">
        <f t="shared" si="2"/>
        <v>370050.61129117012</v>
      </c>
      <c r="F40" s="3"/>
      <c r="G40" s="26">
        <v>4.16</v>
      </c>
      <c r="H40" s="10"/>
      <c r="I40" s="10">
        <f t="shared" si="8"/>
        <v>2448.3137674108893</v>
      </c>
      <c r="J40" s="10">
        <f t="shared" si="6"/>
        <v>37870504545.756592</v>
      </c>
      <c r="K40" s="11">
        <f t="shared" si="7"/>
        <v>6.7129616000000114E-2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15097944.157126499</v>
      </c>
      <c r="D41" s="11">
        <v>2.5080000000000002E-2</v>
      </c>
      <c r="E41" s="10">
        <f t="shared" si="2"/>
        <v>369392.08594522625</v>
      </c>
      <c r="F41" s="3"/>
      <c r="G41" s="26">
        <v>4.7300000000000004</v>
      </c>
      <c r="H41" s="10"/>
      <c r="I41" s="10">
        <f t="shared" si="8"/>
        <v>2350.5316507401008</v>
      </c>
      <c r="J41" s="10">
        <f t="shared" si="6"/>
        <v>35488195602.432411</v>
      </c>
      <c r="K41" s="11">
        <f t="shared" si="7"/>
        <v>7.3566283999999982E-2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14728552.071181273</v>
      </c>
      <c r="D42" s="11">
        <v>2.5700000000000001E-2</v>
      </c>
      <c r="E42" s="10">
        <f t="shared" si="2"/>
        <v>369039.47375388443</v>
      </c>
      <c r="F42" s="3"/>
      <c r="G42" s="26">
        <v>-2.3199999999999998</v>
      </c>
      <c r="H42" s="10"/>
      <c r="I42" s="10">
        <f t="shared" si="8"/>
        <v>2244.3728165187636</v>
      </c>
      <c r="J42" s="10">
        <f t="shared" si="6"/>
        <v>33056361895.240383</v>
      </c>
      <c r="K42" s="11">
        <f t="shared" si="7"/>
        <v>1.9037600000002541E-3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14359512.597427389</v>
      </c>
      <c r="D43" s="11">
        <v>2.631E-2</v>
      </c>
      <c r="E43" s="10">
        <f t="shared" si="2"/>
        <v>368113.70486336015</v>
      </c>
      <c r="F43" s="3"/>
      <c r="G43" s="26">
        <v>5.75</v>
      </c>
      <c r="H43" s="10"/>
      <c r="I43" s="10">
        <f>IF(H43&lt;&gt;"",H43,I42/(1+IF(G42="",0,G42)/100))</f>
        <v>2297.6789685900526</v>
      </c>
      <c r="J43" s="10">
        <f t="shared" si="6"/>
        <v>32993550094.312828</v>
      </c>
      <c r="K43" s="11">
        <f t="shared" si="7"/>
        <v>8.5322824999999991E-2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13991398.892564029</v>
      </c>
      <c r="D44" s="11">
        <v>2.681E-2</v>
      </c>
      <c r="E44" s="10">
        <f t="shared" si="2"/>
        <v>365315.30108748563</v>
      </c>
      <c r="F44" s="3"/>
      <c r="G44" s="26">
        <v>6.72</v>
      </c>
      <c r="H44" s="10"/>
      <c r="I44" s="10">
        <f t="shared" si="8"/>
        <v>2172.7460695887021</v>
      </c>
      <c r="J44" s="10">
        <f t="shared" si="6"/>
        <v>30399756951.866211</v>
      </c>
      <c r="K44" s="11">
        <f t="shared" si="7"/>
        <v>9.581163199999998E-2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13626083.591476543</v>
      </c>
      <c r="D45" s="11">
        <v>2.742E-2</v>
      </c>
      <c r="E45" s="10">
        <f t="shared" si="2"/>
        <v>363655.77084180526</v>
      </c>
      <c r="F45" s="3"/>
      <c r="G45" s="26">
        <v>7.67</v>
      </c>
      <c r="H45" s="10"/>
      <c r="I45" s="10">
        <f t="shared" si="8"/>
        <v>2035.9314745021572</v>
      </c>
      <c r="J45" s="10">
        <f t="shared" si="6"/>
        <v>27741772458.084488</v>
      </c>
      <c r="K45" s="11">
        <f t="shared" si="7"/>
        <v>0.10622311400000006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13262427.820634738</v>
      </c>
      <c r="D46" s="11">
        <v>2.7910000000000001E-2</v>
      </c>
      <c r="E46" s="10">
        <f t="shared" si="2"/>
        <v>360103.86169403605</v>
      </c>
      <c r="F46" s="3"/>
      <c r="G46" s="26">
        <v>5.96</v>
      </c>
      <c r="H46" s="10"/>
      <c r="I46" s="10">
        <f t="shared" si="8"/>
        <v>1890.8994840737041</v>
      </c>
      <c r="J46" s="10">
        <f t="shared" si="6"/>
        <v>25077917923.602966</v>
      </c>
      <c r="K46" s="11">
        <f t="shared" si="7"/>
        <v>8.9173436000000272E-2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12902323.958940702</v>
      </c>
      <c r="D47" s="11">
        <v>2.8160000000000001E-2</v>
      </c>
      <c r="E47" s="10">
        <f t="shared" si="2"/>
        <v>353378.30948857218</v>
      </c>
      <c r="F47" s="3"/>
      <c r="G47" s="26">
        <v>6.21</v>
      </c>
      <c r="H47" s="10"/>
      <c r="I47" s="10">
        <f t="shared" si="8"/>
        <v>1784.5408494466817</v>
      </c>
      <c r="J47" s="10">
        <f t="shared" si="6"/>
        <v>23024724157.524311</v>
      </c>
      <c r="K47" s="11">
        <f t="shared" si="7"/>
        <v>9.2008735999999924E-2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12548945.649452129</v>
      </c>
      <c r="D48" s="11">
        <v>2.8400000000000002E-2</v>
      </c>
      <c r="E48" s="10">
        <f t="shared" si="2"/>
        <v>346548.09066942893</v>
      </c>
      <c r="F48" s="3"/>
      <c r="G48" s="26">
        <v>6.1</v>
      </c>
      <c r="H48" s="10"/>
      <c r="I48" s="10">
        <f t="shared" si="8"/>
        <v>1680.2004043373333</v>
      </c>
      <c r="J48" s="10">
        <f t="shared" si="6"/>
        <v>21084743554.216686</v>
      </c>
      <c r="K48" s="11">
        <f t="shared" si="7"/>
        <v>9.113239999999978E-2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12202397.5587827</v>
      </c>
      <c r="D49" s="11">
        <v>2.8760000000000001E-2</v>
      </c>
      <c r="E49" s="10">
        <f t="shared" si="2"/>
        <v>341130.05345327221</v>
      </c>
      <c r="F49" s="3"/>
      <c r="G49" s="26">
        <v>5.93</v>
      </c>
      <c r="H49" s="10"/>
      <c r="I49" s="10">
        <f t="shared" si="8"/>
        <v>1583.6007580936225</v>
      </c>
      <c r="J49" s="10">
        <f t="shared" si="6"/>
        <v>19323726024.648052</v>
      </c>
      <c r="K49" s="11">
        <f t="shared" si="7"/>
        <v>8.9765467999999515E-2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11861267.505329428</v>
      </c>
      <c r="D50" s="11">
        <v>2.9190000000000001E-2</v>
      </c>
      <c r="E50" s="10">
        <f t="shared" si="2"/>
        <v>336410.57383045554</v>
      </c>
      <c r="F50" s="3"/>
      <c r="G50" s="26">
        <v>4.13</v>
      </c>
      <c r="H50" s="10"/>
      <c r="I50" s="10">
        <f t="shared" si="8"/>
        <v>1494.9502106047603</v>
      </c>
      <c r="J50" s="10">
        <f t="shared" si="6"/>
        <v>17732004355.13163</v>
      </c>
      <c r="K50" s="11">
        <f t="shared" si="7"/>
        <v>7.1695547000000026E-2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11524856.931498973</v>
      </c>
      <c r="D51" s="11">
        <v>2.963E-2</v>
      </c>
      <c r="E51" s="10">
        <f t="shared" si="2"/>
        <v>331654.58551160619</v>
      </c>
      <c r="F51" s="3"/>
      <c r="G51" s="26">
        <v>5.24</v>
      </c>
      <c r="H51" s="10"/>
      <c r="I51" s="10">
        <f t="shared" si="8"/>
        <v>1435.6575536394512</v>
      </c>
      <c r="J51" s="10">
        <f t="shared" si="6"/>
        <v>16545747908.320488</v>
      </c>
      <c r="K51" s="11">
        <f t="shared" si="7"/>
        <v>8.3582612000000056E-2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11193202.345987367</v>
      </c>
      <c r="D52" s="11">
        <v>2.9909999999999999E-2</v>
      </c>
      <c r="E52" s="10">
        <f t="shared" si="2"/>
        <v>325065.95932506956</v>
      </c>
      <c r="F52" s="3"/>
      <c r="G52" s="26">
        <v>3.6</v>
      </c>
      <c r="H52" s="10"/>
      <c r="I52" s="10">
        <f t="shared" si="8"/>
        <v>1364.1747944122494</v>
      </c>
      <c r="J52" s="10">
        <f t="shared" si="6"/>
        <v>15269484509.152023</v>
      </c>
      <c r="K52" s="11">
        <f t="shared" si="7"/>
        <v>6.6986760000000034E-2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10868136.386662297</v>
      </c>
      <c r="D53" s="11">
        <v>3.023E-2</v>
      </c>
      <c r="E53" s="10">
        <f t="shared" si="2"/>
        <v>318903.31573415734</v>
      </c>
      <c r="F53" s="3"/>
      <c r="G53" s="26">
        <v>6.17</v>
      </c>
      <c r="H53" s="10"/>
      <c r="I53" s="10">
        <f t="shared" si="8"/>
        <v>1316.7710370774607</v>
      </c>
      <c r="J53" s="10">
        <f t="shared" si="6"/>
        <v>14310847220.9646</v>
      </c>
      <c r="K53" s="11">
        <f t="shared" si="7"/>
        <v>9.3795191000000111E-2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10549233.07092814</v>
      </c>
      <c r="D54" s="11">
        <v>3.0429999999999999E-2</v>
      </c>
      <c r="E54" s="10">
        <f t="shared" si="2"/>
        <v>311533.20686348714</v>
      </c>
      <c r="F54" s="3"/>
      <c r="G54" s="26">
        <v>3.29</v>
      </c>
      <c r="H54" s="10"/>
      <c r="I54" s="10">
        <f t="shared" si="8"/>
        <v>1240.2477508500147</v>
      </c>
      <c r="J54" s="10">
        <f t="shared" si="6"/>
        <v>13083662589.411219</v>
      </c>
      <c r="K54" s="11">
        <f t="shared" si="7"/>
        <v>6.4331146999999866E-2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10237699.864064652</v>
      </c>
      <c r="D55" s="11">
        <v>3.0249999999999999E-2</v>
      </c>
      <c r="E55" s="10">
        <f t="shared" si="2"/>
        <v>300597.35101961344</v>
      </c>
      <c r="F55" s="3"/>
      <c r="G55" s="26">
        <v>5.41</v>
      </c>
      <c r="H55" s="10"/>
      <c r="I55" s="10">
        <f t="shared" si="8"/>
        <v>1200.7432963985041</v>
      </c>
      <c r="J55" s="10">
        <f t="shared" si="6"/>
        <v>12292849482.315508</v>
      </c>
      <c r="K55" s="11">
        <f t="shared" si="7"/>
        <v>8.5986525000000036E-2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9937102.513045039</v>
      </c>
      <c r="D56" s="11">
        <v>2.9929999999999998E-2</v>
      </c>
      <c r="E56" s="10">
        <f t="shared" si="2"/>
        <v>288774.45866751857</v>
      </c>
      <c r="F56" s="3"/>
      <c r="G56" s="26">
        <v>5.09</v>
      </c>
      <c r="H56" s="10"/>
      <c r="I56" s="10">
        <f t="shared" si="8"/>
        <v>1139.1170632753099</v>
      </c>
      <c r="J56" s="10">
        <f t="shared" si="6"/>
        <v>11319523032.125566</v>
      </c>
      <c r="K56" s="11">
        <f t="shared" si="7"/>
        <v>8.2353436999999863E-2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9648328.0543775205</v>
      </c>
      <c r="D57" s="11">
        <v>2.9329999999999998E-2</v>
      </c>
      <c r="E57" s="10">
        <f t="shared" si="2"/>
        <v>274921.99958700687</v>
      </c>
      <c r="F57" s="3"/>
      <c r="G57" s="26">
        <v>4.2699999999999996</v>
      </c>
      <c r="H57" s="10"/>
      <c r="I57" s="10">
        <f t="shared" si="8"/>
        <v>1083.9442984825482</v>
      </c>
      <c r="J57" s="10">
        <f t="shared" si="6"/>
        <v>10458250184.43173</v>
      </c>
      <c r="K57" s="11">
        <f t="shared" si="7"/>
        <v>7.3282391000000224E-2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9373406.0547905136</v>
      </c>
      <c r="D58" s="11">
        <v>2.87E-2</v>
      </c>
      <c r="E58" s="10">
        <f t="shared" si="2"/>
        <v>261511.3772455398</v>
      </c>
      <c r="F58" s="3"/>
      <c r="G58" s="26">
        <v>7.18</v>
      </c>
      <c r="H58" s="10"/>
      <c r="I58" s="10">
        <f t="shared" si="8"/>
        <v>1039.55528769785</v>
      </c>
      <c r="J58" s="10">
        <f t="shared" si="6"/>
        <v>9744173827.996521</v>
      </c>
      <c r="K58" s="11">
        <f t="shared" si="7"/>
        <v>0.10256065999999997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9111894.6775449738</v>
      </c>
      <c r="D59" s="11">
        <v>2.8119999999999999E-2</v>
      </c>
      <c r="E59" s="10">
        <f t="shared" si="2"/>
        <v>249218.45536762662</v>
      </c>
      <c r="F59" s="3"/>
      <c r="G59" s="26">
        <v>2.5</v>
      </c>
      <c r="H59" s="10"/>
      <c r="I59" s="10">
        <f t="shared" si="8"/>
        <v>969.91536452495791</v>
      </c>
      <c r="J59" s="10">
        <f t="shared" si="6"/>
        <v>8837766647.6840572</v>
      </c>
      <c r="K59" s="11">
        <f t="shared" si="7"/>
        <v>5.3822999999999732E-2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8862676.2221773472</v>
      </c>
      <c r="D60" s="11">
        <v>2.768E-2</v>
      </c>
      <c r="E60" s="10">
        <f t="shared" si="2"/>
        <v>238711.34772484377</v>
      </c>
      <c r="F60" s="3"/>
      <c r="G60" s="26">
        <v>3.66</v>
      </c>
      <c r="H60" s="10"/>
      <c r="I60" s="10">
        <f t="shared" si="8"/>
        <v>946.25889221947125</v>
      </c>
      <c r="J60" s="10">
        <f t="shared" si="6"/>
        <v>8386386184.0973854</v>
      </c>
      <c r="K60" s="11">
        <f t="shared" si="7"/>
        <v>6.5293087999999777E-2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8623964.8744525034</v>
      </c>
      <c r="D61" s="11">
        <v>2.7300000000000001E-2</v>
      </c>
      <c r="E61" s="10">
        <f t="shared" si="2"/>
        <v>229177.69013195112</v>
      </c>
      <c r="F61" s="3"/>
      <c r="G61" s="26">
        <v>4.01</v>
      </c>
      <c r="H61" s="10"/>
      <c r="I61" s="10">
        <f t="shared" si="8"/>
        <v>912.84863227809308</v>
      </c>
      <c r="J61" s="10">
        <f t="shared" si="6"/>
        <v>7872374540.4582844</v>
      </c>
      <c r="K61" s="11">
        <f t="shared" si="7"/>
        <v>6.8494730000000059E-2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8394787.1843205523</v>
      </c>
      <c r="D62" s="11">
        <v>2.6929999999999999E-2</v>
      </c>
      <c r="E62" s="10">
        <f t="shared" si="2"/>
        <v>220143.16348120198</v>
      </c>
      <c r="F62" s="3"/>
      <c r="G62" s="26">
        <v>3.9</v>
      </c>
      <c r="H62" s="10"/>
      <c r="I62" s="10">
        <f t="shared" si="8"/>
        <v>877.65467962512548</v>
      </c>
      <c r="J62" s="10">
        <f t="shared" si="6"/>
        <v>7367724256.7759638</v>
      </c>
      <c r="K62" s="11">
        <f t="shared" si="7"/>
        <v>6.6980269999999731E-2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8174644.0208393503</v>
      </c>
      <c r="D63" s="11">
        <v>2.664E-2</v>
      </c>
      <c r="E63" s="10">
        <f t="shared" si="2"/>
        <v>212121.59736145101</v>
      </c>
      <c r="F63" s="3"/>
      <c r="G63" s="26">
        <v>6.93</v>
      </c>
      <c r="H63" s="10"/>
      <c r="I63" s="10">
        <f t="shared" si="8"/>
        <v>844.7109524784654</v>
      </c>
      <c r="J63" s="10">
        <f t="shared" si="6"/>
        <v>6905211337.0156002</v>
      </c>
      <c r="K63" s="11">
        <f t="shared" si="7"/>
        <v>9.7786151999999849E-2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7962522.4234778993</v>
      </c>
      <c r="D64" s="11">
        <v>2.6280000000000001E-2</v>
      </c>
      <c r="E64" s="10">
        <f t="shared" si="2"/>
        <v>203896.68442237936</v>
      </c>
      <c r="F64" s="3"/>
      <c r="G64" s="26">
        <v>6.15</v>
      </c>
      <c r="H64" s="10"/>
      <c r="I64" s="10">
        <f t="shared" si="8"/>
        <v>789.96628867339894</v>
      </c>
      <c r="J64" s="10">
        <f t="shared" si="6"/>
        <v>6290124287.3535547</v>
      </c>
      <c r="K64" s="11">
        <f t="shared" si="7"/>
        <v>8.9396220000000248E-2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7758625.7390555199</v>
      </c>
      <c r="D65" s="11">
        <v>2.554E-2</v>
      </c>
      <c r="E65" s="10">
        <f t="shared" si="2"/>
        <v>193220.45105551928</v>
      </c>
      <c r="F65" s="3"/>
      <c r="G65" s="26">
        <v>6.3</v>
      </c>
      <c r="H65" s="10"/>
      <c r="I65" s="10">
        <f t="shared" si="8"/>
        <v>744.19810520339036</v>
      </c>
      <c r="J65" s="10">
        <f t="shared" si="6"/>
        <v>5773954573.9873724</v>
      </c>
      <c r="K65" s="11">
        <f t="shared" si="7"/>
        <v>9.0149020000000135E-2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7565405.2880000006</v>
      </c>
      <c r="D66" s="11">
        <v>2.4719999999999999E-2</v>
      </c>
      <c r="E66" s="10">
        <f t="shared" si="2"/>
        <v>182505.28800000064</v>
      </c>
      <c r="F66" s="23">
        <f>SUM(F2)</f>
        <v>33245174</v>
      </c>
      <c r="G66" s="26">
        <v>3.07</v>
      </c>
      <c r="H66" s="10"/>
      <c r="I66" s="10">
        <f t="shared" si="8"/>
        <v>700.09229087807182</v>
      </c>
      <c r="J66" s="10">
        <f t="shared" ref="J66:J67" si="9">IF(I66="","",I66*C66)</f>
        <v>5296481919.4969988</v>
      </c>
      <c r="K66" s="11">
        <f t="shared" ref="K66" si="10">IFERROR(J66/J67-1,"")</f>
        <v>5.6178904000000029E-2</v>
      </c>
    </row>
    <row r="67" spans="1:11" ht="22.5" customHeight="1">
      <c r="A67" s="3">
        <f t="shared" si="0"/>
        <v>1950</v>
      </c>
      <c r="B67" s="3">
        <v>1700</v>
      </c>
      <c r="C67" s="10">
        <v>7382900</v>
      </c>
      <c r="D67" s="11">
        <v>2.3810000000000001E-2</v>
      </c>
      <c r="E67" s="3" t="s">
        <v>72</v>
      </c>
      <c r="F67" s="10">
        <f>SUM(C2)</f>
        <v>33245957.230227757</v>
      </c>
      <c r="G67" s="26">
        <v>1.79</v>
      </c>
      <c r="H67" s="10"/>
      <c r="I67" s="10">
        <f t="shared" ref="I67" si="11">IF(H67&lt;&gt;"",H67,I66/(1+IF(G66="",0,G66)/100))</f>
        <v>679.23963411086822</v>
      </c>
      <c r="J67" s="10">
        <f t="shared" si="9"/>
        <v>5014758294.6771288</v>
      </c>
      <c r="K67" s="11"/>
    </row>
  </sheetData>
  <dataValidations count="1">
    <dataValidation type="custom" allowBlank="1" showDropDown="1" sqref="D2:D67" xr:uid="{00000000-0002-0000-6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M67"/>
  <sheetViews>
    <sheetView workbookViewId="0">
      <selection activeCell="K21" sqref="K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10232177.744382663</v>
      </c>
      <c r="D2" s="11">
        <v>7.8600000000000007E-3</v>
      </c>
      <c r="E2" s="10">
        <f t="shared" ref="E2:E66" si="2">SUM(C2-C3)</f>
        <v>79797.707093095407</v>
      </c>
      <c r="F2" s="14">
        <v>10233103</v>
      </c>
      <c r="G2" s="26">
        <v>4.34</v>
      </c>
      <c r="H2" s="10"/>
      <c r="I2" s="10">
        <f>IF(H2&lt;&gt;"",H2,29080)</f>
        <v>3635</v>
      </c>
      <c r="J2" s="10">
        <f t="shared" ref="J2:J33" si="3">IF(I2="","",I2*C2)</f>
        <v>37193966100.830978</v>
      </c>
      <c r="K2" s="11">
        <f t="shared" ref="K2:K33" si="4">IFERROR(J2/J3-1,"")</f>
        <v>5.1601124000000054E-2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10152380.037289567</v>
      </c>
      <c r="D3" s="11">
        <v>8.1499999999999993E-3</v>
      </c>
      <c r="E3" s="10">
        <f t="shared" si="2"/>
        <v>82073.002334881574</v>
      </c>
      <c r="F3" s="3"/>
      <c r="G3" s="26">
        <v>2.72</v>
      </c>
      <c r="H3" s="10"/>
      <c r="I3" s="10">
        <f t="shared" ref="I3:I34" si="5">IF(H3&lt;&gt;"",H3,I2/(1+IF(G2="",0,G2)/100))</f>
        <v>3483.802951888058</v>
      </c>
      <c r="J3" s="10">
        <f t="shared" si="3"/>
        <v>35368891542.598785</v>
      </c>
      <c r="K3" s="11">
        <f t="shared" si="4"/>
        <v>3.5571680000000105E-2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10070307.034954686</v>
      </c>
      <c r="D4" s="11">
        <v>8.4499999999999992E-3</v>
      </c>
      <c r="E4" s="10">
        <f t="shared" si="2"/>
        <v>84381.074366966262</v>
      </c>
      <c r="F4" s="3"/>
      <c r="G4" s="26">
        <v>4.12</v>
      </c>
      <c r="H4" s="10"/>
      <c r="I4" s="10">
        <f t="shared" si="5"/>
        <v>3391.5527179595579</v>
      </c>
      <c r="J4" s="10">
        <f t="shared" si="3"/>
        <v>34153977195.087822</v>
      </c>
      <c r="K4" s="11">
        <f t="shared" si="4"/>
        <v>4.9998140000000024E-2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9985925.9605877195</v>
      </c>
      <c r="D5" s="11">
        <v>8.5400000000000007E-3</v>
      </c>
      <c r="E5" s="10">
        <f t="shared" si="2"/>
        <v>84557.685072897002</v>
      </c>
      <c r="F5" s="3"/>
      <c r="G5" s="26">
        <v>3.06</v>
      </c>
      <c r="H5" s="10"/>
      <c r="I5" s="10">
        <f t="shared" si="5"/>
        <v>3257.3499019972705</v>
      </c>
      <c r="J5" s="10">
        <f t="shared" si="3"/>
        <v>32527654949.072407</v>
      </c>
      <c r="K5" s="11">
        <f t="shared" si="4"/>
        <v>3.940132399999996E-2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9901368.2755148225</v>
      </c>
      <c r="D6" s="11">
        <v>8.2900000000000005E-3</v>
      </c>
      <c r="E6" s="10">
        <f t="shared" si="2"/>
        <v>81407.475035969168</v>
      </c>
      <c r="F6" s="3"/>
      <c r="G6" s="26">
        <v>5.52</v>
      </c>
      <c r="H6" s="10"/>
      <c r="I6" s="10">
        <f t="shared" si="5"/>
        <v>3160.6344867041244</v>
      </c>
      <c r="J6" s="10">
        <f t="shared" si="3"/>
        <v>31294606037.150291</v>
      </c>
      <c r="K6" s="11">
        <f t="shared" si="4"/>
        <v>6.3947607999999878E-2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9819960.8004788533</v>
      </c>
      <c r="D7" s="11">
        <v>7.7799999999999996E-3</v>
      </c>
      <c r="E7" s="10">
        <f t="shared" si="2"/>
        <v>75809.497139975429</v>
      </c>
      <c r="F7" s="3"/>
      <c r="G7" s="26">
        <v>3.5</v>
      </c>
      <c r="H7" s="10"/>
      <c r="I7" s="10">
        <f t="shared" si="5"/>
        <v>2995.294244412552</v>
      </c>
      <c r="J7" s="10">
        <f t="shared" si="3"/>
        <v>29413672066.031185</v>
      </c>
      <c r="K7" s="11">
        <f t="shared" si="4"/>
        <v>4.3052299999999821E-2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9744151.3033388779</v>
      </c>
      <c r="D8" s="11">
        <v>7.1199999999999996E-3</v>
      </c>
      <c r="E8" s="10">
        <f t="shared" si="2"/>
        <v>68887.875605462119</v>
      </c>
      <c r="F8" s="3"/>
      <c r="G8" s="26">
        <v>3.75</v>
      </c>
      <c r="H8" s="10"/>
      <c r="I8" s="10">
        <f t="shared" si="5"/>
        <v>2894.0041008816929</v>
      </c>
      <c r="J8" s="10">
        <f t="shared" si="3"/>
        <v>28199613831.474407</v>
      </c>
      <c r="K8" s="11">
        <f t="shared" si="4"/>
        <v>4.4887000000000121E-2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9675263.4277334157</v>
      </c>
      <c r="D9" s="11">
        <v>3.98E-3</v>
      </c>
      <c r="E9" s="10">
        <f t="shared" si="2"/>
        <v>38354.895956473425</v>
      </c>
      <c r="F9" s="3"/>
      <c r="G9" s="26">
        <v>5.68</v>
      </c>
      <c r="H9" s="10"/>
      <c r="I9" s="10">
        <f t="shared" si="5"/>
        <v>2789.4015430184991</v>
      </c>
      <c r="J9" s="10">
        <f t="shared" si="3"/>
        <v>26988194734.430042</v>
      </c>
      <c r="K9" s="11">
        <f t="shared" si="4"/>
        <v>6.1006064000000304E-2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9636908.5317769423</v>
      </c>
      <c r="D10" s="11">
        <v>7.0400000000000003E-3</v>
      </c>
      <c r="E10" s="10">
        <f t="shared" si="2"/>
        <v>67369.554400727153</v>
      </c>
      <c r="F10" s="3"/>
      <c r="G10" s="26">
        <v>3.44</v>
      </c>
      <c r="H10" s="10"/>
      <c r="I10" s="10">
        <f t="shared" si="5"/>
        <v>2639.4791285186402</v>
      </c>
      <c r="J10" s="10">
        <f t="shared" si="3"/>
        <v>25436418933.068451</v>
      </c>
      <c r="K10" s="11">
        <f t="shared" si="4"/>
        <v>4.1682175999999904E-2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9569538.9773762152</v>
      </c>
      <c r="D11" s="11">
        <v>7.1399999999999996E-3</v>
      </c>
      <c r="E11" s="10">
        <f t="shared" si="2"/>
        <v>67842.115593129769</v>
      </c>
      <c r="F11" s="3"/>
      <c r="G11" s="26">
        <v>7.79</v>
      </c>
      <c r="H11" s="10"/>
      <c r="I11" s="10">
        <f t="shared" si="5"/>
        <v>2551.7006269515082</v>
      </c>
      <c r="J11" s="10">
        <f t="shared" si="3"/>
        <v>24418598608.207783</v>
      </c>
      <c r="K11" s="11">
        <f t="shared" si="4"/>
        <v>8.5596205999999952E-2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9501696.8617830854</v>
      </c>
      <c r="D12" s="11">
        <v>7.43E-3</v>
      </c>
      <c r="E12" s="10">
        <f t="shared" si="2"/>
        <v>70076.936048209667</v>
      </c>
      <c r="F12" s="3"/>
      <c r="G12" s="26">
        <v>3.19</v>
      </c>
      <c r="H12" s="10"/>
      <c r="I12" s="10">
        <f t="shared" si="5"/>
        <v>2367.2888273044882</v>
      </c>
      <c r="J12" s="10">
        <f t="shared" si="3"/>
        <v>22493260821.333218</v>
      </c>
      <c r="K12" s="11">
        <f t="shared" si="4"/>
        <v>3.9567016999999982E-2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9431619.9257348757</v>
      </c>
      <c r="D13" s="11">
        <v>8.2199999999999999E-3</v>
      </c>
      <c r="E13" s="10">
        <f t="shared" si="2"/>
        <v>76895.832050088793</v>
      </c>
      <c r="F13" s="3"/>
      <c r="G13" s="26">
        <v>4.57</v>
      </c>
      <c r="H13" s="10"/>
      <c r="I13" s="10">
        <f t="shared" si="5"/>
        <v>2294.106819754325</v>
      </c>
      <c r="J13" s="10">
        <f t="shared" si="3"/>
        <v>21637143592.95916</v>
      </c>
      <c r="K13" s="11">
        <f t="shared" si="4"/>
        <v>5.4295654000000138E-2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9354724.0936847869</v>
      </c>
      <c r="D14" s="11">
        <v>8.9200000000000008E-3</v>
      </c>
      <c r="E14" s="10">
        <f t="shared" si="2"/>
        <v>82706.39784687385</v>
      </c>
      <c r="F14" s="3"/>
      <c r="G14" s="26">
        <v>6.17</v>
      </c>
      <c r="H14" s="10"/>
      <c r="I14" s="10">
        <f t="shared" si="5"/>
        <v>2193.847967633475</v>
      </c>
      <c r="J14" s="10">
        <f t="shared" si="3"/>
        <v>20522842440.702271</v>
      </c>
      <c r="K14" s="11">
        <f t="shared" si="4"/>
        <v>7.1170363999999875E-2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9272017.6958379131</v>
      </c>
      <c r="D15" s="11">
        <v>9.7900000000000001E-3</v>
      </c>
      <c r="E15" s="10">
        <f t="shared" si="2"/>
        <v>89893.000764766708</v>
      </c>
      <c r="F15" s="3"/>
      <c r="G15" s="26">
        <v>3.73</v>
      </c>
      <c r="H15" s="10"/>
      <c r="I15" s="10">
        <f t="shared" si="5"/>
        <v>2066.353930143614</v>
      </c>
      <c r="J15" s="10">
        <f t="shared" si="3"/>
        <v>19159270206.155807</v>
      </c>
      <c r="K15" s="11">
        <f t="shared" si="4"/>
        <v>4.7455167000000298E-2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9182124.6950731464</v>
      </c>
      <c r="D16" s="11">
        <v>1.0279999999999999E-2</v>
      </c>
      <c r="E16" s="10">
        <f t="shared" si="2"/>
        <v>93431.763338236138</v>
      </c>
      <c r="F16" s="3"/>
      <c r="G16" s="26">
        <v>7.72</v>
      </c>
      <c r="H16" s="10"/>
      <c r="I16" s="10">
        <f t="shared" si="5"/>
        <v>1992.0504484176358</v>
      </c>
      <c r="J16" s="10">
        <f t="shared" si="3"/>
        <v>18291255616.247108</v>
      </c>
      <c r="K16" s="11">
        <f t="shared" si="4"/>
        <v>8.8273616000000166E-2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9088692.9317349102</v>
      </c>
      <c r="D17" s="11">
        <v>1.082E-2</v>
      </c>
      <c r="E17" s="10">
        <f t="shared" si="2"/>
        <v>97287.012050980702</v>
      </c>
      <c r="F17" s="3"/>
      <c r="G17" s="26">
        <v>2.58</v>
      </c>
      <c r="H17" s="10"/>
      <c r="I17" s="10">
        <f t="shared" si="5"/>
        <v>1849.2856000906386</v>
      </c>
      <c r="J17" s="10">
        <f t="shared" si="3"/>
        <v>16807588962.302938</v>
      </c>
      <c r="K17" s="11">
        <f t="shared" si="4"/>
        <v>3.6899156000000266E-2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8991405.9196839295</v>
      </c>
      <c r="D18" s="11">
        <v>1.1520000000000001E-2</v>
      </c>
      <c r="E18" s="10">
        <f t="shared" si="2"/>
        <v>102401.33284043707</v>
      </c>
      <c r="F18" s="3"/>
      <c r="G18" s="26">
        <v>1.7</v>
      </c>
      <c r="H18" s="10"/>
      <c r="I18" s="10">
        <f t="shared" si="5"/>
        <v>1802.7740301137048</v>
      </c>
      <c r="J18" s="10">
        <f t="shared" si="3"/>
        <v>16209473086.21682</v>
      </c>
      <c r="K18" s="11">
        <f t="shared" si="4"/>
        <v>2.8715839999999826E-2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8889004.5868434925</v>
      </c>
      <c r="D19" s="11">
        <v>1.2290000000000001E-2</v>
      </c>
      <c r="E19" s="10">
        <f t="shared" si="2"/>
        <v>107919.53528366983</v>
      </c>
      <c r="F19" s="3"/>
      <c r="G19" s="26">
        <v>7.24</v>
      </c>
      <c r="H19" s="10"/>
      <c r="I19" s="10">
        <f t="shared" si="5"/>
        <v>1772.6391643202605</v>
      </c>
      <c r="J19" s="10">
        <f t="shared" si="3"/>
        <v>15756997662.461212</v>
      </c>
      <c r="K19" s="11">
        <f t="shared" si="4"/>
        <v>8.5579795999999986E-2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8781085.0515598226</v>
      </c>
      <c r="D20" s="11">
        <v>1.268E-2</v>
      </c>
      <c r="E20" s="10">
        <f t="shared" si="2"/>
        <v>109949.99254826643</v>
      </c>
      <c r="F20" s="3"/>
      <c r="G20" s="26">
        <v>-1.56</v>
      </c>
      <c r="H20" s="10"/>
      <c r="I20" s="10">
        <f t="shared" si="5"/>
        <v>1652.9645321897244</v>
      </c>
      <c r="J20" s="10">
        <f t="shared" si="3"/>
        <v>14514822144.369764</v>
      </c>
      <c r="K20" s="11">
        <f t="shared" si="4"/>
        <v>-3.1178079999999442E-3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8671135.0590115562</v>
      </c>
      <c r="D21" s="11">
        <v>1.2829999999999999E-2</v>
      </c>
      <c r="E21" s="10">
        <f t="shared" si="2"/>
        <v>109841.39767494798</v>
      </c>
      <c r="F21" s="3"/>
      <c r="G21" s="26">
        <v>12.37</v>
      </c>
      <c r="H21" s="10"/>
      <c r="I21" s="10">
        <f t="shared" si="5"/>
        <v>1679.1594191281231</v>
      </c>
      <c r="J21" s="10">
        <f t="shared" si="3"/>
        <v>14560218108.871347</v>
      </c>
      <c r="K21" s="11">
        <f t="shared" si="4"/>
        <v>0.1381170709999997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8561293.6613366082</v>
      </c>
      <c r="D22" s="11">
        <v>1.2800000000000001E-2</v>
      </c>
      <c r="E22" s="10">
        <f t="shared" si="2"/>
        <v>108199.60393474251</v>
      </c>
      <c r="F22" s="3"/>
      <c r="G22" s="26">
        <v>-5.41</v>
      </c>
      <c r="H22" s="10"/>
      <c r="I22" s="10">
        <f t="shared" si="5"/>
        <v>1494.3129119232208</v>
      </c>
      <c r="J22" s="10">
        <f t="shared" si="3"/>
        <v>12793251660.90172</v>
      </c>
      <c r="K22" s="11">
        <f t="shared" si="4"/>
        <v>-4.1992480000000221E-2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8453094.0574018657</v>
      </c>
      <c r="D23" s="11">
        <v>1.32E-2</v>
      </c>
      <c r="E23" s="10">
        <f t="shared" si="2"/>
        <v>110127.1630060263</v>
      </c>
      <c r="F23" s="3"/>
      <c r="G23" s="26">
        <v>10.59</v>
      </c>
      <c r="H23" s="10"/>
      <c r="I23" s="10">
        <f t="shared" si="5"/>
        <v>1579.7789532965651</v>
      </c>
      <c r="J23" s="10">
        <f t="shared" si="3"/>
        <v>13354020082.119734</v>
      </c>
      <c r="K23" s="11">
        <f t="shared" si="4"/>
        <v>0.12049788000000028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8342966.8943958394</v>
      </c>
      <c r="D24" s="11">
        <v>1.3259999999999999E-2</v>
      </c>
      <c r="E24" s="10">
        <f t="shared" si="2"/>
        <v>109180.01403360348</v>
      </c>
      <c r="F24" s="3"/>
      <c r="G24" s="26">
        <v>-0.74</v>
      </c>
      <c r="H24" s="10"/>
      <c r="I24" s="10">
        <f t="shared" si="5"/>
        <v>1428.5007263736006</v>
      </c>
      <c r="J24" s="10">
        <f t="shared" si="3"/>
        <v>11917934268.75536</v>
      </c>
      <c r="K24" s="11">
        <f t="shared" si="4"/>
        <v>5.7618759999999991E-3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8233786.8803622359</v>
      </c>
      <c r="D25" s="11">
        <v>1.3520000000000001E-2</v>
      </c>
      <c r="E25" s="10">
        <f t="shared" si="2"/>
        <v>109835.8183582928</v>
      </c>
      <c r="F25" s="3"/>
      <c r="G25" s="26">
        <v>-2.1</v>
      </c>
      <c r="H25" s="10"/>
      <c r="I25" s="10">
        <f t="shared" si="5"/>
        <v>1439.1504396268392</v>
      </c>
      <c r="J25" s="10">
        <f t="shared" si="3"/>
        <v>11849658008.667013</v>
      </c>
      <c r="K25" s="11">
        <f t="shared" si="4"/>
        <v>-7.7639200000000352E-3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8123951.0620039431</v>
      </c>
      <c r="D26" s="11">
        <v>1.383E-2</v>
      </c>
      <c r="E26" s="10">
        <f t="shared" si="2"/>
        <v>110821.58072607312</v>
      </c>
      <c r="F26" s="3"/>
      <c r="G26" s="26">
        <v>7.22</v>
      </c>
      <c r="H26" s="10"/>
      <c r="I26" s="10">
        <f t="shared" si="5"/>
        <v>1470.0208780662301</v>
      </c>
      <c r="J26" s="10">
        <f t="shared" si="3"/>
        <v>11942377673.534119</v>
      </c>
      <c r="K26" s="11">
        <f t="shared" si="4"/>
        <v>8.7028526000000106E-2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8013129.48127787</v>
      </c>
      <c r="D27" s="11">
        <v>1.495E-2</v>
      </c>
      <c r="E27" s="10">
        <f t="shared" si="2"/>
        <v>118031.71165584959</v>
      </c>
      <c r="F27" s="3"/>
      <c r="G27" s="26">
        <v>-3.41</v>
      </c>
      <c r="H27" s="10"/>
      <c r="I27" s="10">
        <f t="shared" si="5"/>
        <v>1371.0323429082541</v>
      </c>
      <c r="J27" s="10">
        <f t="shared" si="3"/>
        <v>10986259686.743601</v>
      </c>
      <c r="K27" s="11">
        <f t="shared" si="4"/>
        <v>-1.9659795000000035E-2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7895097.7696220204</v>
      </c>
      <c r="D28" s="11">
        <v>1.5559999999999999E-2</v>
      </c>
      <c r="E28" s="10">
        <f t="shared" si="2"/>
        <v>120965.49814419542</v>
      </c>
      <c r="F28" s="3"/>
      <c r="G28" s="26">
        <v>2.85</v>
      </c>
      <c r="H28" s="10"/>
      <c r="I28" s="10">
        <f t="shared" si="5"/>
        <v>1419.4350791057607</v>
      </c>
      <c r="J28" s="10">
        <f t="shared" si="3"/>
        <v>11206578727.171146</v>
      </c>
      <c r="K28" s="11">
        <f t="shared" si="4"/>
        <v>4.4503459999999828E-2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7774132.271477825</v>
      </c>
      <c r="D29" s="11">
        <v>1.5990000000000001E-2</v>
      </c>
      <c r="E29" s="10">
        <f t="shared" si="2"/>
        <v>122351.96706752013</v>
      </c>
      <c r="F29" s="3"/>
      <c r="G29" s="26">
        <v>11.88</v>
      </c>
      <c r="H29" s="10"/>
      <c r="I29" s="10">
        <f t="shared" si="5"/>
        <v>1380.1021673366658</v>
      </c>
      <c r="J29" s="10">
        <f t="shared" si="3"/>
        <v>10729096797.028463</v>
      </c>
      <c r="K29" s="11">
        <f t="shared" si="4"/>
        <v>0.13668961199999985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7651780.3044103049</v>
      </c>
      <c r="D30" s="11">
        <v>1.6889999999999999E-2</v>
      </c>
      <c r="E30" s="10">
        <f t="shared" si="2"/>
        <v>127091.98570296727</v>
      </c>
      <c r="F30" s="3"/>
      <c r="G30" s="26">
        <v>-0.33</v>
      </c>
      <c r="H30" s="10"/>
      <c r="I30" s="10">
        <f t="shared" si="5"/>
        <v>1233.5557448486466</v>
      </c>
      <c r="J30" s="10">
        <f t="shared" si="3"/>
        <v>9438897552.825058</v>
      </c>
      <c r="K30" s="11">
        <f t="shared" si="4"/>
        <v>1.3534263000000157E-2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7524688.3187073376</v>
      </c>
      <c r="D31" s="11">
        <v>1.8010000000000002E-2</v>
      </c>
      <c r="E31" s="10">
        <f t="shared" si="2"/>
        <v>133122.10746448394</v>
      </c>
      <c r="F31" s="3"/>
      <c r="G31" s="26">
        <v>9.27</v>
      </c>
      <c r="H31" s="10"/>
      <c r="I31" s="10">
        <f t="shared" si="5"/>
        <v>1237.6399567057756</v>
      </c>
      <c r="J31" s="10">
        <f t="shared" si="3"/>
        <v>9312854924.9894047</v>
      </c>
      <c r="K31" s="11">
        <f t="shared" si="4"/>
        <v>0.11237952700000009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7391566.2112428537</v>
      </c>
      <c r="D32" s="11">
        <v>1.9439999999999999E-2</v>
      </c>
      <c r="E32" s="10">
        <f t="shared" si="2"/>
        <v>140951.9414056344</v>
      </c>
      <c r="F32" s="3"/>
      <c r="G32" s="26">
        <v>6.01</v>
      </c>
      <c r="H32" s="10"/>
      <c r="I32" s="10">
        <f t="shared" si="5"/>
        <v>1132.6438699604425</v>
      </c>
      <c r="J32" s="10">
        <f t="shared" si="3"/>
        <v>8372012158.5709515</v>
      </c>
      <c r="K32" s="11">
        <f t="shared" si="4"/>
        <v>8.0708343999999821E-2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7250614.2698372193</v>
      </c>
      <c r="D33" s="11">
        <v>2.0480000000000002E-2</v>
      </c>
      <c r="E33" s="10">
        <f t="shared" si="2"/>
        <v>145512.48456242774</v>
      </c>
      <c r="F33" s="3"/>
      <c r="G33" s="26">
        <v>6.42</v>
      </c>
      <c r="H33" s="10"/>
      <c r="I33" s="10">
        <f t="shared" si="5"/>
        <v>1068.4311574006626</v>
      </c>
      <c r="J33" s="10">
        <f t="shared" si="3"/>
        <v>7746782196.1879406</v>
      </c>
      <c r="K33" s="11">
        <f t="shared" si="4"/>
        <v>8.599481600000014E-2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7105101.7852747915</v>
      </c>
      <c r="D34" s="11">
        <v>2.0990000000000002E-2</v>
      </c>
      <c r="E34" s="10">
        <f t="shared" si="2"/>
        <v>146070.07558636088</v>
      </c>
      <c r="F34" s="3"/>
      <c r="G34" s="26">
        <v>0.09</v>
      </c>
      <c r="H34" s="10"/>
      <c r="I34" s="10">
        <f t="shared" si="5"/>
        <v>1003.9759043419118</v>
      </c>
      <c r="J34" s="10">
        <f t="shared" ref="J34:J65" si="6">IF(I34="","",I34*C34)</f>
        <v>7133350990.3125906</v>
      </c>
      <c r="K34" s="11">
        <f t="shared" ref="K34:K65" si="7">IFERROR(J34/J35-1,"")</f>
        <v>3.5181761000000256E-2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6959031.7096884307</v>
      </c>
      <c r="D35" s="11">
        <v>1.8020000000000001E-2</v>
      </c>
      <c r="E35" s="10">
        <f t="shared" si="2"/>
        <v>123182.0115602687</v>
      </c>
      <c r="F35" s="3"/>
      <c r="G35" s="26">
        <v>6.26</v>
      </c>
      <c r="H35" s="10"/>
      <c r="I35" s="10">
        <f t="shared" ref="I35:I66" si="8">IF(H35&lt;&gt;"",H35,I34/(1+IF(G34="",0,G34)/100))</f>
        <v>990.21195812398832</v>
      </c>
      <c r="J35" s="10">
        <f t="shared" si="6"/>
        <v>6890916415.8975067</v>
      </c>
      <c r="K35" s="11">
        <f t="shared" si="7"/>
        <v>0.10923459199999974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6835849.698128162</v>
      </c>
      <c r="D36" s="11">
        <v>1.8519999999999998E-2</v>
      </c>
      <c r="E36" s="10">
        <f t="shared" si="2"/>
        <v>124297.93858670816</v>
      </c>
      <c r="F36" s="3"/>
      <c r="G36" s="26">
        <v>-6.54</v>
      </c>
      <c r="H36" s="10"/>
      <c r="I36" s="10">
        <f t="shared" si="8"/>
        <v>908.78483675109067</v>
      </c>
      <c r="J36" s="10">
        <f t="shared" si="6"/>
        <v>6212316551.9683943</v>
      </c>
      <c r="K36" s="11">
        <f t="shared" si="7"/>
        <v>7.9775200000020696E-4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6711551.7595414538</v>
      </c>
      <c r="D37" s="11">
        <v>1.915E-2</v>
      </c>
      <c r="E37" s="10">
        <f t="shared" si="2"/>
        <v>126111.18696484249</v>
      </c>
      <c r="F37" s="3"/>
      <c r="G37" s="26">
        <v>-1.66</v>
      </c>
      <c r="H37" s="10"/>
      <c r="I37" s="10">
        <f t="shared" si="8"/>
        <v>924.87770888570185</v>
      </c>
      <c r="J37" s="10">
        <f t="shared" si="6"/>
        <v>6207364614.4325008</v>
      </c>
      <c r="K37" s="11">
        <f t="shared" si="7"/>
        <v>5.6247060000000015E-2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6585440.5725766113</v>
      </c>
      <c r="D38" s="11">
        <v>1.9179999999999999E-2</v>
      </c>
      <c r="E38" s="10">
        <f t="shared" si="2"/>
        <v>123931.73941994458</v>
      </c>
      <c r="F38" s="3"/>
      <c r="G38" s="26">
        <v>1.09</v>
      </c>
      <c r="H38" s="10"/>
      <c r="I38" s="10">
        <f t="shared" si="8"/>
        <v>892.39454736173468</v>
      </c>
      <c r="J38" s="10">
        <f t="shared" si="6"/>
        <v>5876811258.9421082</v>
      </c>
      <c r="K38" s="11">
        <f t="shared" si="7"/>
        <v>6.7998722000000233E-2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6461508.8331566667</v>
      </c>
      <c r="D39" s="11">
        <v>1.9449999999999999E-2</v>
      </c>
      <c r="E39" s="10">
        <f t="shared" si="2"/>
        <v>123278.57845396735</v>
      </c>
      <c r="F39" s="3"/>
      <c r="G39" s="26">
        <v>2.23</v>
      </c>
      <c r="H39" s="10"/>
      <c r="I39" s="10">
        <f t="shared" si="8"/>
        <v>851.60277446486748</v>
      </c>
      <c r="J39" s="10">
        <f t="shared" si="6"/>
        <v>5502638849.5454655</v>
      </c>
      <c r="K39" s="11">
        <f t="shared" si="7"/>
        <v>4.2183734999999833E-2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6338230.2547026994</v>
      </c>
      <c r="D40" s="11">
        <v>1.9519999999999999E-2</v>
      </c>
      <c r="E40" s="10">
        <f t="shared" si="2"/>
        <v>121353.43551062886</v>
      </c>
      <c r="F40" s="3"/>
      <c r="G40" s="26">
        <v>6.06</v>
      </c>
      <c r="H40" s="10"/>
      <c r="I40" s="10">
        <f t="shared" si="8"/>
        <v>833.02628823717839</v>
      </c>
      <c r="J40" s="10">
        <f t="shared" si="6"/>
        <v>5279912423.0675755</v>
      </c>
      <c r="K40" s="11">
        <f t="shared" si="7"/>
        <v>8.1302911999999727E-2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6216876.8191920705</v>
      </c>
      <c r="D41" s="11">
        <v>1.8929999999999999E-2</v>
      </c>
      <c r="E41" s="10">
        <f t="shared" si="2"/>
        <v>115499.0805917047</v>
      </c>
      <c r="F41" s="3"/>
      <c r="G41" s="26">
        <v>10.81</v>
      </c>
      <c r="H41" s="10"/>
      <c r="I41" s="10">
        <f t="shared" si="8"/>
        <v>785.42927421947809</v>
      </c>
      <c r="J41" s="10">
        <f t="shared" si="6"/>
        <v>4882917048.0099258</v>
      </c>
      <c r="K41" s="11">
        <f t="shared" si="7"/>
        <v>0.12907633300000021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6101377.7386003658</v>
      </c>
      <c r="D42" s="11">
        <v>1.9290000000000002E-2</v>
      </c>
      <c r="E42" s="10">
        <f t="shared" si="2"/>
        <v>115468.19509423338</v>
      </c>
      <c r="F42" s="3"/>
      <c r="G42" s="26">
        <v>2.56</v>
      </c>
      <c r="H42" s="10"/>
      <c r="I42" s="10">
        <f t="shared" si="8"/>
        <v>708.80721434841439</v>
      </c>
      <c r="J42" s="10">
        <f t="shared" si="6"/>
        <v>4324700558.584753</v>
      </c>
      <c r="K42" s="11">
        <f t="shared" si="7"/>
        <v>4.5383823999999962E-2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5985909.5435061324</v>
      </c>
      <c r="D43" s="11">
        <v>1.941E-2</v>
      </c>
      <c r="E43" s="10">
        <f t="shared" si="2"/>
        <v>113974.26377949398</v>
      </c>
      <c r="F43" s="3"/>
      <c r="G43" s="26">
        <v>5.6</v>
      </c>
      <c r="H43" s="10"/>
      <c r="I43" s="10">
        <f t="shared" si="8"/>
        <v>691.11467857684704</v>
      </c>
      <c r="J43" s="10">
        <f t="shared" si="6"/>
        <v>4136949950.150322</v>
      </c>
      <c r="K43" s="11">
        <f t="shared" si="7"/>
        <v>7.6496960000000058E-2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5871935.2797266385</v>
      </c>
      <c r="D44" s="11">
        <v>1.9599999999999999E-2</v>
      </c>
      <c r="E44" s="10">
        <f t="shared" si="2"/>
        <v>112877.53185822163</v>
      </c>
      <c r="F44" s="3"/>
      <c r="G44" s="26">
        <v>3.56</v>
      </c>
      <c r="H44" s="10"/>
      <c r="I44" s="10">
        <f t="shared" si="8"/>
        <v>654.46465774322633</v>
      </c>
      <c r="J44" s="10">
        <f t="shared" si="6"/>
        <v>3842974113.1366706</v>
      </c>
      <c r="K44" s="11">
        <f t="shared" si="7"/>
        <v>5.5897760000000352E-2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5759057.7478684168</v>
      </c>
      <c r="D45" s="11">
        <v>2.206E-2</v>
      </c>
      <c r="E45" s="10">
        <f t="shared" si="2"/>
        <v>124302.69643462915</v>
      </c>
      <c r="F45" s="3"/>
      <c r="G45" s="26">
        <v>2.44</v>
      </c>
      <c r="H45" s="10"/>
      <c r="I45" s="10">
        <f t="shared" si="8"/>
        <v>631.96664517499642</v>
      </c>
      <c r="J45" s="10">
        <f t="shared" si="6"/>
        <v>3639532404.2894735</v>
      </c>
      <c r="K45" s="11">
        <f t="shared" si="7"/>
        <v>4.6998263999999956E-2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5634755.0514337877</v>
      </c>
      <c r="D46" s="11">
        <v>2.2120000000000001E-2</v>
      </c>
      <c r="E46" s="10">
        <f t="shared" si="2"/>
        <v>121943.3938654121</v>
      </c>
      <c r="F46" s="3"/>
      <c r="G46" s="26">
        <v>5.6</v>
      </c>
      <c r="H46" s="10"/>
      <c r="I46" s="10">
        <f t="shared" si="8"/>
        <v>616.91394491897347</v>
      </c>
      <c r="J46" s="10">
        <f t="shared" si="6"/>
        <v>3476158967.4321313</v>
      </c>
      <c r="K46" s="11">
        <f t="shared" si="7"/>
        <v>7.9358719999999883E-2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5512811.6575683756</v>
      </c>
      <c r="D47" s="11">
        <v>2.256E-2</v>
      </c>
      <c r="E47" s="10">
        <f t="shared" si="2"/>
        <v>121625.16722220927</v>
      </c>
      <c r="F47" s="3"/>
      <c r="G47" s="26">
        <v>4.71</v>
      </c>
      <c r="H47" s="10"/>
      <c r="I47" s="10">
        <f t="shared" si="8"/>
        <v>584.19881147630065</v>
      </c>
      <c r="J47" s="10">
        <f t="shared" si="6"/>
        <v>3220578018.2441401</v>
      </c>
      <c r="K47" s="11">
        <f t="shared" si="7"/>
        <v>7.0722576000000092E-2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5391186.4903461663</v>
      </c>
      <c r="D48" s="11">
        <v>2.266E-2</v>
      </c>
      <c r="E48" s="10">
        <f t="shared" si="2"/>
        <v>119457.38160409499</v>
      </c>
      <c r="F48" s="3"/>
      <c r="G48" s="26">
        <v>8.36</v>
      </c>
      <c r="H48" s="10"/>
      <c r="I48" s="10">
        <f t="shared" si="8"/>
        <v>557.92074441438319</v>
      </c>
      <c r="J48" s="10">
        <f t="shared" si="6"/>
        <v>3007854779.9706988</v>
      </c>
      <c r="K48" s="11">
        <f t="shared" si="7"/>
        <v>0.10815437599999966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5271729.1087420713</v>
      </c>
      <c r="D49" s="11">
        <v>2.264E-2</v>
      </c>
      <c r="E49" s="10">
        <f t="shared" si="2"/>
        <v>116709.64075522218</v>
      </c>
      <c r="F49" s="3"/>
      <c r="G49" s="26">
        <v>9.89</v>
      </c>
      <c r="H49" s="10"/>
      <c r="I49" s="10">
        <f t="shared" si="8"/>
        <v>514.8770251147871</v>
      </c>
      <c r="J49" s="10">
        <f t="shared" si="6"/>
        <v>2714292200.7201457</v>
      </c>
      <c r="K49" s="11">
        <f t="shared" si="7"/>
        <v>0.12377909599999981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5155019.4679868491</v>
      </c>
      <c r="D50" s="11">
        <v>2.2749999999999999E-2</v>
      </c>
      <c r="E50" s="10">
        <f t="shared" si="2"/>
        <v>114667.99598797504</v>
      </c>
      <c r="F50" s="3"/>
      <c r="G50" s="26">
        <v>10.029999999999999</v>
      </c>
      <c r="H50" s="10"/>
      <c r="I50" s="10">
        <f t="shared" si="8"/>
        <v>468.53856139301769</v>
      </c>
      <c r="J50" s="10">
        <f t="shared" si="6"/>
        <v>2415325405.4835577</v>
      </c>
      <c r="K50" s="11">
        <f t="shared" si="7"/>
        <v>0.12533182500000017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5040351.4719988741</v>
      </c>
      <c r="D51" s="11">
        <v>2.2620000000000001E-2</v>
      </c>
      <c r="E51" s="10">
        <f t="shared" si="2"/>
        <v>111490.82777240314</v>
      </c>
      <c r="F51" s="3"/>
      <c r="G51" s="29">
        <v>10.61</v>
      </c>
      <c r="H51" s="10"/>
      <c r="I51" s="10">
        <f t="shared" si="8"/>
        <v>425.82801180861372</v>
      </c>
      <c r="J51" s="10">
        <f t="shared" si="6"/>
        <v>2146322846.1379001</v>
      </c>
      <c r="K51" s="11">
        <f t="shared" si="7"/>
        <v>0.13111998200000019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4928860.644226471</v>
      </c>
      <c r="D52" s="11">
        <v>2.2749999999999999E-2</v>
      </c>
      <c r="E52" s="10">
        <f t="shared" si="2"/>
        <v>109637.33038978465</v>
      </c>
      <c r="F52" s="3"/>
      <c r="G52" s="29">
        <v>10.24</v>
      </c>
      <c r="H52" s="10"/>
      <c r="I52" s="10">
        <f t="shared" si="8"/>
        <v>384.98147708942565</v>
      </c>
      <c r="J52" s="10">
        <f t="shared" si="6"/>
        <v>1897520051.1822448</v>
      </c>
      <c r="K52" s="11">
        <f t="shared" si="7"/>
        <v>0.12747960000000003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4819223.3138366863</v>
      </c>
      <c r="D53" s="11">
        <v>2.2409999999999999E-2</v>
      </c>
      <c r="E53" s="10">
        <f t="shared" si="2"/>
        <v>105631.59051953722</v>
      </c>
      <c r="F53" s="3"/>
      <c r="G53" s="29">
        <v>17.329999999999998</v>
      </c>
      <c r="H53" s="10"/>
      <c r="I53" s="10">
        <f t="shared" si="8"/>
        <v>349.22122377487813</v>
      </c>
      <c r="J53" s="10">
        <f t="shared" si="6"/>
        <v>1682975063.3024712</v>
      </c>
      <c r="K53" s="11">
        <f t="shared" si="7"/>
        <v>0.19959365299999998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4713591.7233171491</v>
      </c>
      <c r="D54" s="11">
        <v>2.222E-2</v>
      </c>
      <c r="E54" s="10">
        <f t="shared" si="2"/>
        <v>102459.36108871549</v>
      </c>
      <c r="F54" s="3"/>
      <c r="G54" s="29">
        <v>3.01</v>
      </c>
      <c r="H54" s="10"/>
      <c r="I54" s="10">
        <f t="shared" si="8"/>
        <v>297.64018049508064</v>
      </c>
      <c r="J54" s="10">
        <f t="shared" si="6"/>
        <v>1402954291.3082345</v>
      </c>
      <c r="K54" s="11">
        <f t="shared" si="7"/>
        <v>5.298882199999988E-2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4611132.3622284336</v>
      </c>
      <c r="D55" s="11">
        <v>2.2089999999999999E-2</v>
      </c>
      <c r="E55" s="10">
        <f t="shared" si="2"/>
        <v>99658.458532639779</v>
      </c>
      <c r="F55" s="3"/>
      <c r="G55" s="29">
        <v>0.21</v>
      </c>
      <c r="H55" s="10"/>
      <c r="I55" s="10">
        <f t="shared" si="8"/>
        <v>288.94299630626216</v>
      </c>
      <c r="J55" s="10">
        <f t="shared" si="6"/>
        <v>1332354401.1070561</v>
      </c>
      <c r="K55" s="11">
        <f t="shared" si="7"/>
        <v>2.4236388999999914E-2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4511473.9036957938</v>
      </c>
      <c r="D56" s="11">
        <v>2.1919999999999999E-2</v>
      </c>
      <c r="E56" s="10">
        <f t="shared" si="2"/>
        <v>96770.302928811871</v>
      </c>
      <c r="F56" s="3"/>
      <c r="G56" s="29">
        <v>4.6900000000000004</v>
      </c>
      <c r="H56" s="10"/>
      <c r="I56" s="10">
        <f t="shared" si="8"/>
        <v>288.33748758233924</v>
      </c>
      <c r="J56" s="10">
        <f t="shared" si="6"/>
        <v>1300827050.6849334</v>
      </c>
      <c r="K56" s="11">
        <f t="shared" si="7"/>
        <v>6.9848047999999885E-2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4414703.600766982</v>
      </c>
      <c r="D57" s="11">
        <v>2.181E-2</v>
      </c>
      <c r="E57" s="10">
        <f t="shared" si="2"/>
        <v>94229.539281009696</v>
      </c>
      <c r="F57" s="3"/>
      <c r="G57" s="26">
        <v>0.66</v>
      </c>
      <c r="H57" s="10"/>
      <c r="I57" s="10">
        <f t="shared" si="8"/>
        <v>275.42027660936026</v>
      </c>
      <c r="J57" s="10">
        <f t="shared" si="6"/>
        <v>1215898886.8715808</v>
      </c>
      <c r="K57" s="11">
        <f t="shared" si="7"/>
        <v>2.8553945999999941E-2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4320474.0614859723</v>
      </c>
      <c r="D58" s="11">
        <v>2.1569999999999999E-2</v>
      </c>
      <c r="E58" s="10">
        <f t="shared" si="2"/>
        <v>91224.904320068657</v>
      </c>
      <c r="F58" s="3"/>
      <c r="G58" s="26">
        <v>0.62</v>
      </c>
      <c r="H58" s="10"/>
      <c r="I58" s="10">
        <f t="shared" si="8"/>
        <v>273.61442142793589</v>
      </c>
      <c r="J58" s="10">
        <f t="shared" si="6"/>
        <v>1182144010.6278887</v>
      </c>
      <c r="K58" s="11">
        <f t="shared" si="7"/>
        <v>2.7903734000000124E-2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4229249.1571659036</v>
      </c>
      <c r="D59" s="11">
        <v>2.0969999999999999E-2</v>
      </c>
      <c r="E59" s="10">
        <f t="shared" si="2"/>
        <v>86865.779431098606</v>
      </c>
      <c r="F59" s="3"/>
      <c r="G59" s="26">
        <v>0.65</v>
      </c>
      <c r="H59" s="10"/>
      <c r="I59" s="10">
        <f t="shared" si="8"/>
        <v>271.92846494527521</v>
      </c>
      <c r="J59" s="10">
        <f t="shared" si="6"/>
        <v>1150053231.1792231</v>
      </c>
      <c r="K59" s="11">
        <f t="shared" si="7"/>
        <v>2.760630499999972E-2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4142383.377734805</v>
      </c>
      <c r="D60" s="11">
        <v>2.1139999999999999E-2</v>
      </c>
      <c r="E60" s="10">
        <f t="shared" si="2"/>
        <v>85757.079935477581</v>
      </c>
      <c r="F60" s="3"/>
      <c r="G60" s="26">
        <v>0.64</v>
      </c>
      <c r="H60" s="10"/>
      <c r="I60" s="10">
        <f t="shared" si="8"/>
        <v>270.17234470469469</v>
      </c>
      <c r="J60" s="10">
        <f t="shared" si="6"/>
        <v>1119157429.8283653</v>
      </c>
      <c r="K60" s="11">
        <f t="shared" si="7"/>
        <v>2.7675296000000182E-2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4056626.2977993274</v>
      </c>
      <c r="D61" s="11">
        <v>2.085E-2</v>
      </c>
      <c r="E61" s="10">
        <f t="shared" si="2"/>
        <v>82853.169720444828</v>
      </c>
      <c r="F61" s="3"/>
      <c r="G61" s="26">
        <v>0.63</v>
      </c>
      <c r="H61" s="10"/>
      <c r="I61" s="10">
        <f t="shared" si="8"/>
        <v>268.45423758415609</v>
      </c>
      <c r="J61" s="10">
        <f t="shared" si="6"/>
        <v>1089018519.9395561</v>
      </c>
      <c r="K61" s="11">
        <f t="shared" si="7"/>
        <v>2.7281354999999952E-2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3973773.1280788826</v>
      </c>
      <c r="D62" s="11">
        <v>2.053E-2</v>
      </c>
      <c r="E62" s="10">
        <f t="shared" si="2"/>
        <v>79940.386190958787</v>
      </c>
      <c r="F62" s="3"/>
      <c r="G62" s="26">
        <v>3.3</v>
      </c>
      <c r="H62" s="10"/>
      <c r="I62" s="10">
        <f t="shared" si="8"/>
        <v>266.77356413013626</v>
      </c>
      <c r="J62" s="10">
        <f t="shared" si="6"/>
        <v>1060097620.422164</v>
      </c>
      <c r="K62" s="11">
        <f t="shared" si="7"/>
        <v>5.4207489999999803E-2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3893832.7418879238</v>
      </c>
      <c r="D63" s="11">
        <v>2.017E-2</v>
      </c>
      <c r="E63" s="10">
        <f t="shared" si="2"/>
        <v>76985.802762166597</v>
      </c>
      <c r="F63" s="3"/>
      <c r="G63" s="26">
        <v>3.32</v>
      </c>
      <c r="H63" s="10"/>
      <c r="I63" s="10">
        <f t="shared" si="8"/>
        <v>258.2512721492123</v>
      </c>
      <c r="J63" s="10">
        <f t="shared" si="6"/>
        <v>1005587259.1288117</v>
      </c>
      <c r="K63" s="11">
        <f t="shared" si="7"/>
        <v>5.4039643999999942E-2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3816846.9391257572</v>
      </c>
      <c r="D64" s="11">
        <v>1.9550000000000001E-2</v>
      </c>
      <c r="E64" s="10">
        <f t="shared" si="2"/>
        <v>73188.522053757217</v>
      </c>
      <c r="F64" s="3"/>
      <c r="G64" s="26">
        <v>3.26</v>
      </c>
      <c r="H64" s="10"/>
      <c r="I64" s="10">
        <f t="shared" si="8"/>
        <v>249.95283792993837</v>
      </c>
      <c r="J64" s="10">
        <f t="shared" si="6"/>
        <v>954031724.37868178</v>
      </c>
      <c r="K64" s="11">
        <f t="shared" si="7"/>
        <v>5.278732999999991E-2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3743658.417072</v>
      </c>
      <c r="D65" s="11">
        <v>1.9359999999999999E-2</v>
      </c>
      <c r="E65" s="10">
        <f t="shared" si="2"/>
        <v>71100.717072000261</v>
      </c>
      <c r="F65" s="3"/>
      <c r="G65" s="29">
        <v>0.33</v>
      </c>
      <c r="H65" s="10"/>
      <c r="I65" s="10">
        <f t="shared" si="8"/>
        <v>242.06162883007784</v>
      </c>
      <c r="J65" s="10">
        <f t="shared" si="6"/>
        <v>906196054.21987915</v>
      </c>
      <c r="K65" s="11">
        <f t="shared" si="7"/>
        <v>2.2723888000000025E-2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3672557.6999999997</v>
      </c>
      <c r="D66" s="11">
        <v>1.874E-2</v>
      </c>
      <c r="E66" s="10">
        <f t="shared" si="2"/>
        <v>67557.699999999721</v>
      </c>
      <c r="F66" s="23">
        <f>SUM(F2)</f>
        <v>10233103</v>
      </c>
      <c r="G66" s="29">
        <v>3.93</v>
      </c>
      <c r="H66" s="10"/>
      <c r="I66" s="10">
        <f t="shared" si="8"/>
        <v>241.26545283571994</v>
      </c>
      <c r="J66" s="10">
        <f t="shared" ref="J66:J67" si="9">IF(I66="","",I66*C66)</f>
        <v>886061296.55581009</v>
      </c>
      <c r="K66" s="11">
        <f t="shared" ref="K66" si="10">IFERROR(J66/J67-1,"")</f>
        <v>5.8776481999999852E-2</v>
      </c>
    </row>
    <row r="67" spans="1:11" ht="22.5" customHeight="1">
      <c r="A67" s="3">
        <f t="shared" si="0"/>
        <v>1950</v>
      </c>
      <c r="B67" s="3">
        <v>1700</v>
      </c>
      <c r="C67" s="10">
        <v>3605000</v>
      </c>
      <c r="D67" s="11">
        <v>1.8489999999999999E-2</v>
      </c>
      <c r="E67" s="3" t="s">
        <v>72</v>
      </c>
      <c r="F67" s="10">
        <f>SUM(C2)</f>
        <v>10232177.744382663</v>
      </c>
      <c r="G67" s="29">
        <v>4.3</v>
      </c>
      <c r="H67" s="10"/>
      <c r="I67" s="10">
        <f t="shared" ref="I67" si="11">IF(H67&lt;&gt;"",H67,I66/(1+IF(G66="",0,G66)/100))</f>
        <v>232.14226194142208</v>
      </c>
      <c r="J67" s="10">
        <f t="shared" si="9"/>
        <v>836872854.29882658</v>
      </c>
      <c r="K67" s="11"/>
    </row>
  </sheetData>
  <dataValidations count="1">
    <dataValidation type="custom" allowBlank="1" showDropDown="1" sqref="D2:D67" xr:uid="{00000000-0002-0000-6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 summaryRight="0"/>
  </sheetPr>
  <dimension ref="A1:M67"/>
  <sheetViews>
    <sheetView workbookViewId="0">
      <selection activeCell="J19" sqref="J1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22386516.167493358</v>
      </c>
      <c r="D2" s="11">
        <v>2.4199999999999999E-2</v>
      </c>
      <c r="E2" s="10">
        <f t="shared" ref="E2:E66" si="2">SUM(C2-C3)</f>
        <v>528953.02797631174</v>
      </c>
      <c r="F2" s="14">
        <v>22386666</v>
      </c>
      <c r="G2" s="29">
        <v>8.8699999999999992</v>
      </c>
      <c r="H2" s="10"/>
      <c r="I2" s="10">
        <f>IF(H2&lt;&gt;"",H2,12096)</f>
        <v>1512</v>
      </c>
      <c r="J2" s="10">
        <f t="shared" ref="J2:J33" si="3">IF(I2="","",I2*C2)</f>
        <v>33848412445.249958</v>
      </c>
      <c r="K2" s="11">
        <f t="shared" ref="K2:K33" si="4">IFERROR(J2/J3-1,"")</f>
        <v>0.11504654000000003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21857563.139517047</v>
      </c>
      <c r="D3" s="11">
        <v>2.4199999999999999E-2</v>
      </c>
      <c r="E3" s="10">
        <f t="shared" si="2"/>
        <v>516454.82130083069</v>
      </c>
      <c r="F3" s="3"/>
      <c r="G3" s="29">
        <v>5.67</v>
      </c>
      <c r="H3" s="10"/>
      <c r="I3" s="10">
        <f t="shared" ref="I3:I34" si="5">IF(H3&lt;&gt;"",H3,I2/(1+IF(G2="",0,G2)/100))</f>
        <v>1388.8123449986222</v>
      </c>
      <c r="J3" s="10">
        <f t="shared" si="3"/>
        <v>30356053519.748116</v>
      </c>
      <c r="K3" s="11">
        <f t="shared" si="4"/>
        <v>8.2272139999999938E-2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21341108.318216216</v>
      </c>
      <c r="D4" s="11">
        <v>2.4299999999999999E-2</v>
      </c>
      <c r="E4" s="10">
        <f t="shared" si="2"/>
        <v>506286.17800708115</v>
      </c>
      <c r="F4" s="3"/>
      <c r="G4" s="29">
        <v>4.72</v>
      </c>
      <c r="H4" s="10"/>
      <c r="I4" s="10">
        <f t="shared" si="5"/>
        <v>1314.291989210393</v>
      </c>
      <c r="J4" s="10">
        <f t="shared" si="3"/>
        <v>28048447703.502853</v>
      </c>
      <c r="K4" s="11">
        <f t="shared" si="4"/>
        <v>7.2646959999999705E-2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20834822.140209135</v>
      </c>
      <c r="D5" s="11">
        <v>2.8000000000000001E-2</v>
      </c>
      <c r="E5" s="10">
        <f t="shared" si="2"/>
        <v>567485.42794343829</v>
      </c>
      <c r="F5" s="3"/>
      <c r="G5" s="29">
        <v>8.64</v>
      </c>
      <c r="H5" s="10"/>
      <c r="I5" s="10">
        <f t="shared" si="5"/>
        <v>1255.0534656325374</v>
      </c>
      <c r="J5" s="10">
        <f t="shared" si="3"/>
        <v>26148815732.906994</v>
      </c>
      <c r="K5" s="11">
        <f t="shared" si="4"/>
        <v>0.11681920000000012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20267336.712265696</v>
      </c>
      <c r="D6" s="11">
        <v>3.2500000000000001E-2</v>
      </c>
      <c r="E6" s="10">
        <f t="shared" si="2"/>
        <v>637954.90861853212</v>
      </c>
      <c r="F6" s="3"/>
      <c r="G6" s="29">
        <v>7.96</v>
      </c>
      <c r="H6" s="10"/>
      <c r="I6" s="10">
        <f t="shared" si="5"/>
        <v>1155.2406716057965</v>
      </c>
      <c r="J6" s="10">
        <f t="shared" si="3"/>
        <v>23413651675.138638</v>
      </c>
      <c r="K6" s="11">
        <f t="shared" si="4"/>
        <v>0.11468699999999998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19629381.803647164</v>
      </c>
      <c r="D7" s="11">
        <v>4.1399999999999999E-2</v>
      </c>
      <c r="E7" s="10">
        <f t="shared" si="2"/>
        <v>780349.91998367012</v>
      </c>
      <c r="F7" s="3"/>
      <c r="G7" s="29">
        <v>7.33</v>
      </c>
      <c r="H7" s="10"/>
      <c r="I7" s="10">
        <f t="shared" si="5"/>
        <v>1070.0636083788406</v>
      </c>
      <c r="J7" s="10">
        <f t="shared" si="3"/>
        <v>21004687123.056641</v>
      </c>
      <c r="K7" s="11">
        <f t="shared" si="4"/>
        <v>0.11773462000000023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18849031.883663494</v>
      </c>
      <c r="D8" s="11">
        <v>0.04</v>
      </c>
      <c r="E8" s="10">
        <f t="shared" si="2"/>
        <v>724962.76475628838</v>
      </c>
      <c r="F8" s="3"/>
      <c r="G8" s="29">
        <v>6.25</v>
      </c>
      <c r="H8" s="10"/>
      <c r="I8" s="10">
        <f t="shared" si="5"/>
        <v>996.98463465838131</v>
      </c>
      <c r="J8" s="10">
        <f t="shared" si="3"/>
        <v>18792195166.198429</v>
      </c>
      <c r="K8" s="11">
        <f t="shared" si="4"/>
        <v>0.10499999999999998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18124069.118907206</v>
      </c>
      <c r="D9" s="11">
        <v>3.2899999999999999E-2</v>
      </c>
      <c r="E9" s="10">
        <f t="shared" si="2"/>
        <v>577289.06381260976</v>
      </c>
      <c r="F9" s="3"/>
      <c r="G9" s="29">
        <v>11.16</v>
      </c>
      <c r="H9" s="10"/>
      <c r="I9" s="10">
        <f t="shared" si="5"/>
        <v>938.33847967847657</v>
      </c>
      <c r="J9" s="10">
        <f t="shared" si="3"/>
        <v>17006511462.623014</v>
      </c>
      <c r="K9" s="11">
        <f t="shared" si="4"/>
        <v>0.14817163999999972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17546780.055094596</v>
      </c>
      <c r="D10" s="11">
        <v>3.6600000000000001E-2</v>
      </c>
      <c r="E10" s="10">
        <f t="shared" si="2"/>
        <v>619537.09243340045</v>
      </c>
      <c r="F10" s="3"/>
      <c r="G10" s="29">
        <v>7.63</v>
      </c>
      <c r="H10" s="10"/>
      <c r="I10" s="10">
        <f t="shared" si="5"/>
        <v>844.13321309686637</v>
      </c>
      <c r="J10" s="10">
        <f t="shared" si="3"/>
        <v>14811819827.411011</v>
      </c>
      <c r="K10" s="11">
        <f t="shared" si="4"/>
        <v>0.11569257999999993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16927242.962661196</v>
      </c>
      <c r="D11" s="11">
        <v>3.7400000000000003E-2</v>
      </c>
      <c r="E11" s="10">
        <f t="shared" si="2"/>
        <v>610255.33719252981</v>
      </c>
      <c r="F11" s="3"/>
      <c r="G11" s="29">
        <v>9.23</v>
      </c>
      <c r="H11" s="10"/>
      <c r="I11" s="10">
        <f t="shared" si="5"/>
        <v>784.29175238954417</v>
      </c>
      <c r="J11" s="10">
        <f t="shared" si="3"/>
        <v>13275897046.309128</v>
      </c>
      <c r="K11" s="11">
        <f t="shared" si="4"/>
        <v>0.13315202000000026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16316987.625468666</v>
      </c>
      <c r="D12" s="11">
        <v>3.5999999999999997E-2</v>
      </c>
      <c r="E12" s="10">
        <f t="shared" si="2"/>
        <v>566999.56999698095</v>
      </c>
      <c r="F12" s="3"/>
      <c r="G12" s="29">
        <v>9.3800000000000008</v>
      </c>
      <c r="H12" s="10"/>
      <c r="I12" s="10">
        <f t="shared" si="5"/>
        <v>718.01863260051641</v>
      </c>
      <c r="J12" s="10">
        <f t="shared" si="3"/>
        <v>11715901142.998558</v>
      </c>
      <c r="K12" s="11">
        <f t="shared" si="4"/>
        <v>0.13317679999999998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15749988.055471685</v>
      </c>
      <c r="D13" s="11">
        <v>3.4200000000000001E-2</v>
      </c>
      <c r="E13" s="10">
        <f t="shared" si="2"/>
        <v>520836.9672182668</v>
      </c>
      <c r="F13" s="3"/>
      <c r="G13" s="29">
        <v>7.45</v>
      </c>
      <c r="H13" s="10"/>
      <c r="I13" s="10">
        <f t="shared" si="5"/>
        <v>656.44416950129494</v>
      </c>
      <c r="J13" s="10">
        <f t="shared" si="3"/>
        <v>10338987828.729425</v>
      </c>
      <c r="K13" s="11">
        <f t="shared" si="4"/>
        <v>0.11124789999999973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15229151.088253418</v>
      </c>
      <c r="D14" s="11">
        <v>2.8000000000000001E-2</v>
      </c>
      <c r="E14" s="10">
        <f t="shared" si="2"/>
        <v>414801.78061390668</v>
      </c>
      <c r="F14" s="3"/>
      <c r="G14" s="29">
        <v>2.2000000000000002</v>
      </c>
      <c r="H14" s="10"/>
      <c r="I14" s="10">
        <f t="shared" si="5"/>
        <v>610.92989250934852</v>
      </c>
      <c r="J14" s="10">
        <f t="shared" si="3"/>
        <v>9303943637.3552895</v>
      </c>
      <c r="K14" s="11">
        <f t="shared" si="4"/>
        <v>5.0616000000000216E-2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14814349.307639511</v>
      </c>
      <c r="D15" s="11">
        <v>2.3599999999999999E-2</v>
      </c>
      <c r="E15" s="10">
        <f t="shared" si="2"/>
        <v>341557.87774549983</v>
      </c>
      <c r="F15" s="3"/>
      <c r="G15" s="29">
        <v>13.19</v>
      </c>
      <c r="H15" s="10"/>
      <c r="I15" s="10">
        <f t="shared" si="5"/>
        <v>597.77875979388307</v>
      </c>
      <c r="J15" s="10">
        <f t="shared" si="3"/>
        <v>8855703356.2741165</v>
      </c>
      <c r="K15" s="11">
        <f t="shared" si="4"/>
        <v>0.15861283999999998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14472791.429894011</v>
      </c>
      <c r="D16" s="11">
        <v>3.7699999999999997E-2</v>
      </c>
      <c r="E16" s="10">
        <f t="shared" si="2"/>
        <v>525801.519617429</v>
      </c>
      <c r="F16" s="3"/>
      <c r="G16" s="29">
        <v>8.48</v>
      </c>
      <c r="H16" s="10"/>
      <c r="I16" s="10">
        <f t="shared" si="5"/>
        <v>528.11976304786913</v>
      </c>
      <c r="J16" s="10">
        <f t="shared" si="3"/>
        <v>7643367180.5968561</v>
      </c>
      <c r="K16" s="11">
        <f t="shared" si="4"/>
        <v>0.12569695999999997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13946989.910276582</v>
      </c>
      <c r="D17" s="11">
        <v>3.8300000000000001E-2</v>
      </c>
      <c r="E17" s="10">
        <f t="shared" si="2"/>
        <v>514465.67809264548</v>
      </c>
      <c r="F17" s="3"/>
      <c r="G17" s="29">
        <v>8.3699999999999992</v>
      </c>
      <c r="H17" s="10"/>
      <c r="I17" s="10">
        <f t="shared" si="5"/>
        <v>486.83606475651652</v>
      </c>
      <c r="J17" s="10">
        <f t="shared" si="3"/>
        <v>6789897683.1178932</v>
      </c>
      <c r="K17" s="11">
        <f t="shared" si="4"/>
        <v>0.12520570999999991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13432524.232183937</v>
      </c>
      <c r="D18" s="11">
        <v>2.7E-2</v>
      </c>
      <c r="E18" s="10">
        <f t="shared" si="2"/>
        <v>353143.28555887565</v>
      </c>
      <c r="F18" s="3"/>
      <c r="G18" s="29">
        <v>4.3499999999999996</v>
      </c>
      <c r="H18" s="10"/>
      <c r="I18" s="10">
        <f t="shared" si="5"/>
        <v>449.23508789934169</v>
      </c>
      <c r="J18" s="10">
        <f t="shared" si="3"/>
        <v>6034361204.1551886</v>
      </c>
      <c r="K18" s="11">
        <f t="shared" si="4"/>
        <v>7.1674500000000085E-2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13079380.946625061</v>
      </c>
      <c r="D19" s="11">
        <v>2.1999999999999999E-2</v>
      </c>
      <c r="E19" s="10">
        <f t="shared" si="2"/>
        <v>281552.23172774166</v>
      </c>
      <c r="F19" s="3"/>
      <c r="G19" s="29">
        <v>8.86</v>
      </c>
      <c r="H19" s="10"/>
      <c r="I19" s="10">
        <f t="shared" si="5"/>
        <v>430.50799032040408</v>
      </c>
      <c r="J19" s="10">
        <f t="shared" si="3"/>
        <v>5630778005.9665394</v>
      </c>
      <c r="K19" s="11">
        <f t="shared" si="4"/>
        <v>0.11254920000000013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12797828.71489732</v>
      </c>
      <c r="D20" s="11">
        <v>2.1399999999999999E-2</v>
      </c>
      <c r="E20" s="10">
        <f t="shared" si="2"/>
        <v>268135.43616487458</v>
      </c>
      <c r="F20" s="3"/>
      <c r="G20" s="29">
        <v>13.85</v>
      </c>
      <c r="H20" s="10"/>
      <c r="I20" s="10">
        <f t="shared" si="5"/>
        <v>395.46940135991554</v>
      </c>
      <c r="J20" s="10">
        <f t="shared" si="3"/>
        <v>5061149660.5871801</v>
      </c>
      <c r="K20" s="11">
        <f t="shared" si="4"/>
        <v>0.16286390000000006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12529693.278732445</v>
      </c>
      <c r="D21" s="11">
        <v>2.7699999999999999E-2</v>
      </c>
      <c r="E21" s="10">
        <f t="shared" si="2"/>
        <v>337717.7228966523</v>
      </c>
      <c r="F21" s="3"/>
      <c r="G21" s="29">
        <v>12.75</v>
      </c>
      <c r="H21" s="10"/>
      <c r="I21" s="10">
        <f t="shared" si="5"/>
        <v>347.36003632842818</v>
      </c>
      <c r="J21" s="10">
        <f t="shared" si="3"/>
        <v>4352314712.4845648</v>
      </c>
      <c r="K21" s="11">
        <f t="shared" si="4"/>
        <v>0.15873175000000006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12191975.555835793</v>
      </c>
      <c r="D22" s="11">
        <v>2.81E-2</v>
      </c>
      <c r="E22" s="10">
        <f t="shared" si="2"/>
        <v>333230.72961675562</v>
      </c>
      <c r="F22" s="3"/>
      <c r="G22" s="29">
        <v>35.22</v>
      </c>
      <c r="H22" s="10"/>
      <c r="I22" s="10">
        <f t="shared" si="5"/>
        <v>308.07985483674344</v>
      </c>
      <c r="J22" s="10">
        <f t="shared" si="3"/>
        <v>3756102059.4150152</v>
      </c>
      <c r="K22" s="11">
        <f t="shared" si="4"/>
        <v>0.39019682000000011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11858744.826219037</v>
      </c>
      <c r="D23" s="11">
        <v>2.9600000000000001E-2</v>
      </c>
      <c r="E23" s="10">
        <f t="shared" si="2"/>
        <v>340927.39593636803</v>
      </c>
      <c r="F23" s="3"/>
      <c r="G23" s="29">
        <v>-0.25</v>
      </c>
      <c r="H23" s="10"/>
      <c r="I23" s="10">
        <f t="shared" si="5"/>
        <v>227.836011563928</v>
      </c>
      <c r="J23" s="10">
        <f t="shared" si="3"/>
        <v>2701849123.3601117</v>
      </c>
      <c r="K23" s="11">
        <f t="shared" si="4"/>
        <v>2.7025999999999994E-2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11517817.430282669</v>
      </c>
      <c r="D24" s="11">
        <v>2.9600000000000001E-2</v>
      </c>
      <c r="E24" s="10">
        <f t="shared" si="2"/>
        <v>331126.06442926079</v>
      </c>
      <c r="F24" s="3"/>
      <c r="G24" s="29">
        <v>-8.11</v>
      </c>
      <c r="H24" s="10"/>
      <c r="I24" s="10">
        <f t="shared" si="5"/>
        <v>228.40702913676992</v>
      </c>
      <c r="J24" s="10">
        <f t="shared" si="3"/>
        <v>2630750461.3905702</v>
      </c>
      <c r="K24" s="11">
        <f t="shared" si="4"/>
        <v>-5.3900559999999986E-2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11186691.365853408</v>
      </c>
      <c r="D25" s="11">
        <v>2.8299999999999999E-2</v>
      </c>
      <c r="E25" s="10">
        <f t="shared" si="2"/>
        <v>307870.62691204064</v>
      </c>
      <c r="F25" s="3"/>
      <c r="G25" s="29">
        <v>5.87</v>
      </c>
      <c r="H25" s="10"/>
      <c r="I25" s="10">
        <f t="shared" si="5"/>
        <v>248.56570806047438</v>
      </c>
      <c r="J25" s="10">
        <f t="shared" si="3"/>
        <v>2780627860.2073479</v>
      </c>
      <c r="K25" s="11">
        <f t="shared" si="4"/>
        <v>8.8661209999999935E-2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10878820.738941368</v>
      </c>
      <c r="D26" s="11">
        <v>2.8400000000000002E-2</v>
      </c>
      <c r="E26" s="10">
        <f t="shared" si="2"/>
        <v>300426.39924731106</v>
      </c>
      <c r="F26" s="3"/>
      <c r="G26" s="29">
        <v>-2.5099999999999998</v>
      </c>
      <c r="H26" s="10"/>
      <c r="I26" s="10">
        <f t="shared" si="5"/>
        <v>234.78389351135769</v>
      </c>
      <c r="J26" s="10">
        <f t="shared" si="3"/>
        <v>2554171889.9007597</v>
      </c>
      <c r="K26" s="11">
        <f t="shared" si="4"/>
        <v>2.5871600000000328E-3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10578394.339694057</v>
      </c>
      <c r="D27" s="11">
        <v>2.8500000000000001E-2</v>
      </c>
      <c r="E27" s="10">
        <f t="shared" si="2"/>
        <v>293130.03274796344</v>
      </c>
      <c r="F27" s="3"/>
      <c r="G27" s="29">
        <v>-2.4</v>
      </c>
      <c r="H27" s="10"/>
      <c r="I27" s="10">
        <f t="shared" si="5"/>
        <v>240.82869372382572</v>
      </c>
      <c r="J27" s="10">
        <f t="shared" si="3"/>
        <v>2547580890.5240316</v>
      </c>
      <c r="K27" s="11">
        <f t="shared" si="4"/>
        <v>3.8159999999998195E-3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10285264.306946093</v>
      </c>
      <c r="D28" s="11">
        <v>2.8899999999999999E-2</v>
      </c>
      <c r="E28" s="10">
        <f t="shared" si="2"/>
        <v>288895.07092112117</v>
      </c>
      <c r="F28" s="3"/>
      <c r="G28" s="29">
        <v>-0.04</v>
      </c>
      <c r="H28" s="10"/>
      <c r="I28" s="10">
        <f t="shared" si="5"/>
        <v>246.75071078260834</v>
      </c>
      <c r="J28" s="10">
        <f t="shared" si="3"/>
        <v>2537896278.3259401</v>
      </c>
      <c r="K28" s="11">
        <f t="shared" si="4"/>
        <v>2.8488440000000059E-2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9996369.2360249721</v>
      </c>
      <c r="D29" s="11">
        <v>2.9000000000000001E-2</v>
      </c>
      <c r="E29" s="10">
        <f t="shared" si="2"/>
        <v>281724.69178301655</v>
      </c>
      <c r="F29" s="3"/>
      <c r="G29" s="29">
        <v>4.5</v>
      </c>
      <c r="H29" s="10"/>
      <c r="I29" s="10">
        <f t="shared" si="5"/>
        <v>246.84945056283345</v>
      </c>
      <c r="J29" s="10">
        <f t="shared" si="3"/>
        <v>2467598253.5359755</v>
      </c>
      <c r="K29" s="11">
        <f t="shared" si="4"/>
        <v>7.5304999999999733E-2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9714644.5442419555</v>
      </c>
      <c r="D30" s="11">
        <v>2.92E-2</v>
      </c>
      <c r="E30" s="10">
        <f t="shared" si="2"/>
        <v>275619.5304040648</v>
      </c>
      <c r="F30" s="3"/>
      <c r="G30" s="29">
        <v>-0.02</v>
      </c>
      <c r="H30" s="10"/>
      <c r="I30" s="10">
        <f t="shared" si="5"/>
        <v>236.21956991658706</v>
      </c>
      <c r="J30" s="10">
        <f t="shared" si="3"/>
        <v>2294789156.1333537</v>
      </c>
      <c r="K30" s="11">
        <f t="shared" si="4"/>
        <v>2.899415999999988E-2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9439025.0138378907</v>
      </c>
      <c r="D31" s="11">
        <v>2.93E-2</v>
      </c>
      <c r="E31" s="10">
        <f t="shared" si="2"/>
        <v>268690.79267993011</v>
      </c>
      <c r="F31" s="3"/>
      <c r="G31" s="29">
        <v>5.47</v>
      </c>
      <c r="H31" s="10"/>
      <c r="I31" s="10">
        <f t="shared" si="5"/>
        <v>236.26682328124332</v>
      </c>
      <c r="J31" s="10">
        <f t="shared" si="3"/>
        <v>2230128454.8916721</v>
      </c>
      <c r="K31" s="11">
        <f t="shared" si="4"/>
        <v>8.5602710000000304E-2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9170334.2211579606</v>
      </c>
      <c r="D32" s="11">
        <v>2.9499999999999998E-2</v>
      </c>
      <c r="E32" s="10">
        <f t="shared" si="2"/>
        <v>262773.05441880599</v>
      </c>
      <c r="F32" s="3"/>
      <c r="G32" s="29">
        <v>4.4000000000000004</v>
      </c>
      <c r="H32" s="10"/>
      <c r="I32" s="10">
        <f t="shared" si="5"/>
        <v>224.0132959905597</v>
      </c>
      <c r="J32" s="10">
        <f t="shared" si="3"/>
        <v>2054276794.2166169</v>
      </c>
      <c r="K32" s="11">
        <f t="shared" si="4"/>
        <v>7.4798000000000142E-2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8907561.1667391546</v>
      </c>
      <c r="D33" s="11">
        <v>2.4899999999999999E-2</v>
      </c>
      <c r="E33" s="10">
        <f t="shared" si="2"/>
        <v>216409.6722136829</v>
      </c>
      <c r="F33" s="3"/>
      <c r="G33" s="29">
        <v>-4.24</v>
      </c>
      <c r="H33" s="10"/>
      <c r="I33" s="10">
        <f t="shared" si="5"/>
        <v>214.57212259632155</v>
      </c>
      <c r="J33" s="10">
        <f t="shared" si="3"/>
        <v>1911314306.7037868</v>
      </c>
      <c r="K33" s="11">
        <f t="shared" si="4"/>
        <v>-1.8555760000000143E-2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8691151.4945254717</v>
      </c>
      <c r="D34" s="11">
        <v>2.07E-2</v>
      </c>
      <c r="E34" s="10">
        <f t="shared" si="2"/>
        <v>176258.28934719041</v>
      </c>
      <c r="F34" s="3"/>
      <c r="G34" s="29">
        <v>4.68</v>
      </c>
      <c r="H34" s="10"/>
      <c r="I34" s="10">
        <f t="shared" si="5"/>
        <v>224.07280972882367</v>
      </c>
      <c r="J34" s="10">
        <f t="shared" ref="J34:J65" si="6">IF(I34="","",I34*C34)</f>
        <v>1947450735.1571875</v>
      </c>
      <c r="K34" s="11">
        <f t="shared" ref="K34:K65" si="7">IFERROR(J34/J35-1,"")</f>
        <v>8.1737860000000051E-2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8514893.2051782813</v>
      </c>
      <c r="D35" s="11">
        <v>2.1499999999999998E-2</v>
      </c>
      <c r="E35" s="10">
        <f t="shared" si="2"/>
        <v>179217.03760287166</v>
      </c>
      <c r="F35" s="3"/>
      <c r="G35" s="29">
        <v>-0.89</v>
      </c>
      <c r="H35" s="10"/>
      <c r="I35" s="10">
        <f t="shared" ref="I35:I66" si="8">IF(H35&lt;&gt;"",H35,I34/(1+IF(G34="",0,G34)/100))</f>
        <v>211.42933546784644</v>
      </c>
      <c r="J35" s="10">
        <f t="shared" si="6"/>
        <v>1800298211.950525</v>
      </c>
      <c r="K35" s="11">
        <f t="shared" si="7"/>
        <v>3.9989150000000029E-2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8335676.1675754096</v>
      </c>
      <c r="D36" s="11">
        <v>2.1999999999999999E-2</v>
      </c>
      <c r="E36" s="10">
        <f t="shared" si="2"/>
        <v>179437.25605348218</v>
      </c>
      <c r="F36" s="3"/>
      <c r="G36" s="29">
        <v>-5.24</v>
      </c>
      <c r="H36" s="10"/>
      <c r="I36" s="10">
        <f t="shared" si="8"/>
        <v>207.67049942819608</v>
      </c>
      <c r="J36" s="10">
        <f t="shared" si="6"/>
        <v>1731074032.7920969</v>
      </c>
      <c r="K36" s="11">
        <f t="shared" si="7"/>
        <v>1.7503199999999941E-2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8156238.9115219275</v>
      </c>
      <c r="D37" s="11">
        <v>2.24E-2</v>
      </c>
      <c r="E37" s="10">
        <f t="shared" si="2"/>
        <v>178696.94015853945</v>
      </c>
      <c r="F37" s="3"/>
      <c r="G37" s="29">
        <v>3.65</v>
      </c>
      <c r="H37" s="10"/>
      <c r="I37" s="10">
        <f t="shared" si="8"/>
        <v>208.58828789493379</v>
      </c>
      <c r="J37" s="10">
        <f t="shared" si="6"/>
        <v>1701295910.2163973</v>
      </c>
      <c r="K37" s="11">
        <f t="shared" si="7"/>
        <v>0.11390480000000003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7977541.971363388</v>
      </c>
      <c r="D38" s="11">
        <v>2.29E-2</v>
      </c>
      <c r="E38" s="10">
        <f t="shared" si="2"/>
        <v>178595.86581701133</v>
      </c>
      <c r="F38" s="3"/>
      <c r="G38" s="29">
        <v>-15.57</v>
      </c>
      <c r="H38" s="10"/>
      <c r="I38" s="10">
        <f t="shared" si="8"/>
        <v>191.45322431843397</v>
      </c>
      <c r="J38" s="10">
        <f t="shared" si="6"/>
        <v>1527326132.5531566</v>
      </c>
      <c r="K38" s="11">
        <f t="shared" si="7"/>
        <v>-9.8518230000000151E-2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7798946.1055463767</v>
      </c>
      <c r="D39" s="11">
        <v>2.35E-2</v>
      </c>
      <c r="E39" s="10">
        <f t="shared" si="2"/>
        <v>179067.15533008333</v>
      </c>
      <c r="F39" s="3"/>
      <c r="G39" s="29">
        <v>19.149999999999999</v>
      </c>
      <c r="H39" s="10"/>
      <c r="I39" s="10">
        <f t="shared" si="8"/>
        <v>217.23956010261429</v>
      </c>
      <c r="J39" s="10">
        <f t="shared" si="6"/>
        <v>1694239621.2328918</v>
      </c>
      <c r="K39" s="11">
        <f t="shared" si="7"/>
        <v>0.21950025000000006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7619878.9502162933</v>
      </c>
      <c r="D40" s="11">
        <v>2.3900000000000001E-2</v>
      </c>
      <c r="E40" s="10">
        <f t="shared" si="2"/>
        <v>177864.15363821667</v>
      </c>
      <c r="F40" s="3"/>
      <c r="G40" s="29">
        <v>7.99</v>
      </c>
      <c r="H40" s="10"/>
      <c r="I40" s="10">
        <f t="shared" si="8"/>
        <v>182.3244314751274</v>
      </c>
      <c r="J40" s="10">
        <f t="shared" si="6"/>
        <v>1389290097.5074763</v>
      </c>
      <c r="K40" s="11">
        <f t="shared" si="7"/>
        <v>0.10570961000000034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7442014.7965780767</v>
      </c>
      <c r="D41" s="11">
        <v>2.4400000000000002E-2</v>
      </c>
      <c r="E41" s="10">
        <f t="shared" si="2"/>
        <v>177260.01663071569</v>
      </c>
      <c r="F41" s="3"/>
      <c r="G41" s="29">
        <v>19.5</v>
      </c>
      <c r="H41" s="10"/>
      <c r="I41" s="10">
        <f t="shared" si="8"/>
        <v>168.8345508613088</v>
      </c>
      <c r="J41" s="10">
        <f t="shared" si="6"/>
        <v>1256469225.6834738</v>
      </c>
      <c r="K41" s="11">
        <f t="shared" si="7"/>
        <v>0.22415799999999986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7264754.779947361</v>
      </c>
      <c r="D42" s="11">
        <v>2.7900000000000001E-2</v>
      </c>
      <c r="E42" s="10">
        <f t="shared" si="2"/>
        <v>197185.19151720125</v>
      </c>
      <c r="F42" s="3"/>
      <c r="G42" s="29">
        <v>-2.11</v>
      </c>
      <c r="H42" s="10"/>
      <c r="I42" s="10">
        <f t="shared" si="8"/>
        <v>141.28414298017472</v>
      </c>
      <c r="J42" s="10">
        <f t="shared" si="6"/>
        <v>1026394653.0459907</v>
      </c>
      <c r="K42" s="11">
        <f t="shared" si="7"/>
        <v>6.2113099999998589E-3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7067569.5884301597</v>
      </c>
      <c r="D43" s="11">
        <v>3.1199999999999999E-2</v>
      </c>
      <c r="E43" s="10">
        <f t="shared" si="2"/>
        <v>213836.47319532651</v>
      </c>
      <c r="F43" s="3"/>
      <c r="G43" s="29">
        <v>1.41</v>
      </c>
      <c r="H43" s="10"/>
      <c r="I43" s="10">
        <f t="shared" si="8"/>
        <v>144.32949533167303</v>
      </c>
      <c r="J43" s="10">
        <f t="shared" si="6"/>
        <v>1020058751.919605</v>
      </c>
      <c r="K43" s="11">
        <f t="shared" si="7"/>
        <v>4.5739919999999934E-2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6853733.1152348332</v>
      </c>
      <c r="D44" s="11">
        <v>3.1300000000000001E-2</v>
      </c>
      <c r="E44" s="10">
        <f t="shared" si="2"/>
        <v>208011.09910486825</v>
      </c>
      <c r="F44" s="3"/>
      <c r="G44" s="29">
        <v>3.44</v>
      </c>
      <c r="H44" s="10"/>
      <c r="I44" s="10">
        <f t="shared" si="8"/>
        <v>142.3227446323568</v>
      </c>
      <c r="J44" s="10">
        <f t="shared" si="6"/>
        <v>975442107.93789446</v>
      </c>
      <c r="K44" s="11">
        <f t="shared" si="7"/>
        <v>6.6776720000000234E-2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6645722.016129965</v>
      </c>
      <c r="D45" s="11">
        <v>3.1E-2</v>
      </c>
      <c r="E45" s="10">
        <f t="shared" si="2"/>
        <v>199822.87342388742</v>
      </c>
      <c r="F45" s="3"/>
      <c r="G45" s="29">
        <v>0.26</v>
      </c>
      <c r="H45" s="10"/>
      <c r="I45" s="10">
        <f t="shared" si="8"/>
        <v>137.58966031743697</v>
      </c>
      <c r="J45" s="10">
        <f t="shared" si="6"/>
        <v>914382634.76343417</v>
      </c>
      <c r="K45" s="11">
        <f t="shared" si="7"/>
        <v>3.3680599999999838E-2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6445899.1427060775</v>
      </c>
      <c r="D46" s="11">
        <v>3.0599999999999999E-2</v>
      </c>
      <c r="E46" s="10">
        <f t="shared" si="2"/>
        <v>191388.03975044191</v>
      </c>
      <c r="F46" s="3"/>
      <c r="G46" s="29">
        <v>1.21</v>
      </c>
      <c r="H46" s="10"/>
      <c r="I46" s="10">
        <f t="shared" si="8"/>
        <v>137.23285489471073</v>
      </c>
      <c r="J46" s="10">
        <f t="shared" si="6"/>
        <v>884589141.71692336</v>
      </c>
      <c r="K46" s="11">
        <f t="shared" si="7"/>
        <v>4.3070259999999694E-2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6254511.1029556356</v>
      </c>
      <c r="D47" s="11">
        <v>3.0099999999999998E-2</v>
      </c>
      <c r="E47" s="10">
        <f t="shared" si="2"/>
        <v>182759.71672552638</v>
      </c>
      <c r="F47" s="3"/>
      <c r="G47" s="29">
        <v>6</v>
      </c>
      <c r="H47" s="10"/>
      <c r="I47" s="10">
        <f t="shared" si="8"/>
        <v>135.59218940293522</v>
      </c>
      <c r="J47" s="10">
        <f t="shared" si="6"/>
        <v>848062854.09472179</v>
      </c>
      <c r="K47" s="11">
        <f t="shared" si="7"/>
        <v>9.1906000000000043E-2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6071751.3862301093</v>
      </c>
      <c r="D48" s="11">
        <v>2.9700000000000001E-2</v>
      </c>
      <c r="E48" s="10">
        <f t="shared" si="2"/>
        <v>175129.66511705797</v>
      </c>
      <c r="F48" s="3"/>
      <c r="G48" s="29">
        <v>11.01</v>
      </c>
      <c r="H48" s="10"/>
      <c r="I48" s="10">
        <f t="shared" si="8"/>
        <v>127.91715981408983</v>
      </c>
      <c r="J48" s="10">
        <f t="shared" si="6"/>
        <v>776681192.42381835</v>
      </c>
      <c r="K48" s="11">
        <f t="shared" si="7"/>
        <v>0.14306996999999999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5896621.7211130513</v>
      </c>
      <c r="D49" s="11">
        <v>2.92E-2</v>
      </c>
      <c r="E49" s="10">
        <f t="shared" si="2"/>
        <v>167296.30223134533</v>
      </c>
      <c r="F49" s="3"/>
      <c r="G49" s="29">
        <v>7.01</v>
      </c>
      <c r="H49" s="10"/>
      <c r="I49" s="10">
        <f t="shared" si="8"/>
        <v>115.23030340878283</v>
      </c>
      <c r="J49" s="10">
        <f t="shared" si="6"/>
        <v>679469510.01067615</v>
      </c>
      <c r="K49" s="11">
        <f t="shared" si="7"/>
        <v>0.10134692000000012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5729325.418881706</v>
      </c>
      <c r="D50" s="11">
        <v>2.87E-2</v>
      </c>
      <c r="E50" s="10">
        <f t="shared" si="2"/>
        <v>159844.11346544605</v>
      </c>
      <c r="F50" s="3"/>
      <c r="G50" s="29">
        <v>6.92</v>
      </c>
      <c r="H50" s="10"/>
      <c r="I50" s="10">
        <f t="shared" si="8"/>
        <v>107.68180862422467</v>
      </c>
      <c r="J50" s="10">
        <f t="shared" si="6"/>
        <v>616944123.30192566</v>
      </c>
      <c r="K50" s="11">
        <f t="shared" si="7"/>
        <v>9.9886039999999454E-2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5569481.3054162599</v>
      </c>
      <c r="D51" s="11">
        <v>2.8299999999999999E-2</v>
      </c>
      <c r="E51" s="10">
        <f t="shared" si="2"/>
        <v>153278.53830913175</v>
      </c>
      <c r="F51" s="3"/>
      <c r="G51" s="29">
        <v>7.01</v>
      </c>
      <c r="H51" s="10"/>
      <c r="I51" s="10">
        <f t="shared" si="8"/>
        <v>100.7125033896602</v>
      </c>
      <c r="J51" s="10">
        <f t="shared" si="6"/>
        <v>560916404.85038424</v>
      </c>
      <c r="K51" s="11">
        <f t="shared" si="7"/>
        <v>0.1003838300000004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5416202.7671071282</v>
      </c>
      <c r="D52" s="11">
        <v>2.7799999999999998E-2</v>
      </c>
      <c r="E52" s="10">
        <f t="shared" si="2"/>
        <v>146497.79813736025</v>
      </c>
      <c r="F52" s="3"/>
      <c r="G52" s="29">
        <v>7.01</v>
      </c>
      <c r="H52" s="10"/>
      <c r="I52" s="10">
        <f t="shared" si="8"/>
        <v>94.115039145556665</v>
      </c>
      <c r="J52" s="10">
        <f t="shared" si="6"/>
        <v>509746135.44655967</v>
      </c>
      <c r="K52" s="11">
        <f t="shared" si="7"/>
        <v>9.9848780000000081E-2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5269704.9689697679</v>
      </c>
      <c r="D53" s="11">
        <v>2.7199999999999998E-2</v>
      </c>
      <c r="E53" s="10">
        <f t="shared" si="2"/>
        <v>139540.47425620817</v>
      </c>
      <c r="F53" s="3"/>
      <c r="G53" s="29">
        <v>-12.46</v>
      </c>
      <c r="H53" s="10"/>
      <c r="I53" s="10">
        <f t="shared" si="8"/>
        <v>87.949760906043039</v>
      </c>
      <c r="J53" s="10">
        <f t="shared" si="6"/>
        <v>463469292.06627804</v>
      </c>
      <c r="K53" s="11">
        <f t="shared" si="7"/>
        <v>-0.10078912000000018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5130164.4947135597</v>
      </c>
      <c r="D54" s="11">
        <v>2.6700000000000002E-2</v>
      </c>
      <c r="E54" s="10">
        <f t="shared" si="2"/>
        <v>133413.25801972486</v>
      </c>
      <c r="F54" s="3"/>
      <c r="G54" s="29">
        <v>-9.82</v>
      </c>
      <c r="H54" s="10"/>
      <c r="I54" s="10">
        <f t="shared" si="8"/>
        <v>100.46808419698772</v>
      </c>
      <c r="J54" s="10">
        <f t="shared" si="6"/>
        <v>515417798.39927888</v>
      </c>
      <c r="K54" s="11">
        <f t="shared" si="7"/>
        <v>-7.4121940000000275E-2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4996751.2366938349</v>
      </c>
      <c r="D55" s="11">
        <v>2.6200000000000001E-2</v>
      </c>
      <c r="E55" s="10">
        <f t="shared" si="2"/>
        <v>127572.48333792482</v>
      </c>
      <c r="F55" s="3"/>
      <c r="G55" s="29">
        <v>11.33</v>
      </c>
      <c r="H55" s="10"/>
      <c r="I55" s="10">
        <f t="shared" si="8"/>
        <v>111.40838788754461</v>
      </c>
      <c r="J55" s="10">
        <f t="shared" si="6"/>
        <v>556679999.95515501</v>
      </c>
      <c r="K55" s="11">
        <f t="shared" si="7"/>
        <v>0.14246846000000013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4869178.7533559101</v>
      </c>
      <c r="D56" s="11">
        <v>2.58E-2</v>
      </c>
      <c r="E56" s="10">
        <f t="shared" si="2"/>
        <v>122465.20943320636</v>
      </c>
      <c r="F56" s="3"/>
      <c r="G56" s="29">
        <v>-4.3</v>
      </c>
      <c r="H56" s="10"/>
      <c r="I56" s="10">
        <f t="shared" si="8"/>
        <v>100.07041039032121</v>
      </c>
      <c r="J56" s="10">
        <f t="shared" si="6"/>
        <v>487260716.11215854</v>
      </c>
      <c r="K56" s="11">
        <f t="shared" si="7"/>
        <v>-1.8309400000000031E-2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4746713.5439227037</v>
      </c>
      <c r="D57" s="11">
        <v>2.5000000000000001E-2</v>
      </c>
      <c r="E57" s="10">
        <f t="shared" si="2"/>
        <v>115773.50107128546</v>
      </c>
      <c r="F57" s="3"/>
      <c r="G57" s="30">
        <v>3.14</v>
      </c>
      <c r="H57" s="10"/>
      <c r="I57" s="10">
        <f t="shared" si="8"/>
        <v>104.56678201705456</v>
      </c>
      <c r="J57" s="10">
        <f t="shared" si="6"/>
        <v>496348560.44476593</v>
      </c>
      <c r="K57" s="11">
        <f t="shared" si="7"/>
        <v>5.7185000000000041E-2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4630940.0428514183</v>
      </c>
      <c r="D58" s="11">
        <v>2.5000000000000001E-2</v>
      </c>
      <c r="E58" s="10">
        <f t="shared" si="2"/>
        <v>112949.75714271702</v>
      </c>
      <c r="F58" s="3"/>
      <c r="G58" s="30">
        <v>5.72</v>
      </c>
      <c r="H58" s="10"/>
      <c r="I58" s="10">
        <f t="shared" si="8"/>
        <v>101.38334498454</v>
      </c>
      <c r="J58" s="10">
        <f t="shared" si="6"/>
        <v>469500191.96712577</v>
      </c>
      <c r="K58" s="11">
        <f t="shared" si="7"/>
        <v>8.3629999999999649E-2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4517990.2857087012</v>
      </c>
      <c r="D59" s="11">
        <v>2.4E-2</v>
      </c>
      <c r="E59" s="10">
        <f t="shared" si="2"/>
        <v>105890.39732129779</v>
      </c>
      <c r="F59" s="3"/>
      <c r="G59" s="30">
        <v>2.8</v>
      </c>
      <c r="H59" s="10"/>
      <c r="I59" s="10">
        <f t="shared" si="8"/>
        <v>95.897980499943259</v>
      </c>
      <c r="J59" s="10">
        <f t="shared" si="6"/>
        <v>433266144.31782609</v>
      </c>
      <c r="K59" s="11">
        <f t="shared" si="7"/>
        <v>5.2672000000000052E-2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4412099.8883874035</v>
      </c>
      <c r="D60" s="11">
        <v>2.3E-2</v>
      </c>
      <c r="E60" s="10">
        <f t="shared" si="2"/>
        <v>99196.771684173495</v>
      </c>
      <c r="F60" s="3"/>
      <c r="G60" s="30">
        <v>3.81</v>
      </c>
      <c r="H60" s="10"/>
      <c r="I60" s="10">
        <f t="shared" si="8"/>
        <v>93.285973248972041</v>
      </c>
      <c r="J60" s="10">
        <f t="shared" si="6"/>
        <v>411587032.15989983</v>
      </c>
      <c r="K60" s="11">
        <f t="shared" si="7"/>
        <v>6.1976299999999762E-2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4312903.11670323</v>
      </c>
      <c r="D61" s="11">
        <v>2.1999999999999999E-2</v>
      </c>
      <c r="E61" s="10">
        <f t="shared" si="2"/>
        <v>92841.3586765863</v>
      </c>
      <c r="F61" s="3"/>
      <c r="G61" s="30">
        <v>3.85</v>
      </c>
      <c r="H61" s="10"/>
      <c r="I61" s="10">
        <f t="shared" si="8"/>
        <v>89.862222569089724</v>
      </c>
      <c r="J61" s="10">
        <f t="shared" si="6"/>
        <v>387567059.79210639</v>
      </c>
      <c r="K61" s="11">
        <f t="shared" si="7"/>
        <v>6.134700000000004E-2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4220061.7580266437</v>
      </c>
      <c r="D62" s="11">
        <v>2.1000000000000001E-2</v>
      </c>
      <c r="E62" s="10">
        <f t="shared" si="2"/>
        <v>86798.527834044304</v>
      </c>
      <c r="F62" s="3"/>
      <c r="G62" s="30">
        <v>3.17</v>
      </c>
      <c r="H62" s="10"/>
      <c r="I62" s="10">
        <f t="shared" si="8"/>
        <v>86.5307872595953</v>
      </c>
      <c r="J62" s="10">
        <f t="shared" si="6"/>
        <v>365165266.20615727</v>
      </c>
      <c r="K62" s="11">
        <f t="shared" si="7"/>
        <v>5.3365700000000071E-2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4133263.2301925994</v>
      </c>
      <c r="D63" s="11">
        <v>2.1000000000000001E-2</v>
      </c>
      <c r="E63" s="10">
        <f t="shared" si="2"/>
        <v>85013.249592599459</v>
      </c>
      <c r="F63" s="3"/>
      <c r="G63" s="30">
        <v>5.57</v>
      </c>
      <c r="H63" s="10"/>
      <c r="I63" s="10">
        <f t="shared" si="8"/>
        <v>83.872043481239984</v>
      </c>
      <c r="J63" s="10">
        <f t="shared" si="6"/>
        <v>346665233.36212415</v>
      </c>
      <c r="K63" s="11">
        <f t="shared" si="7"/>
        <v>7.7869700000000153E-2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4048249.9805999999</v>
      </c>
      <c r="D64" s="11">
        <v>0.02</v>
      </c>
      <c r="E64" s="10">
        <f t="shared" si="2"/>
        <v>79377.450600000098</v>
      </c>
      <c r="F64" s="3"/>
      <c r="G64" s="30">
        <v>3.85</v>
      </c>
      <c r="H64" s="10"/>
      <c r="I64" s="10">
        <f t="shared" si="8"/>
        <v>79.446853728559233</v>
      </c>
      <c r="J64" s="10">
        <f t="shared" si="6"/>
        <v>321620724.06537092</v>
      </c>
      <c r="K64" s="11">
        <f t="shared" si="7"/>
        <v>5.9269999999999712E-2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3968872.53</v>
      </c>
      <c r="D65" s="11">
        <v>0.02</v>
      </c>
      <c r="E65" s="10">
        <f t="shared" si="2"/>
        <v>77821.030000000261</v>
      </c>
      <c r="F65" s="3"/>
      <c r="G65" s="30">
        <v>3.22</v>
      </c>
      <c r="H65" s="10"/>
      <c r="I65" s="10">
        <f t="shared" si="8"/>
        <v>76.501544274009859</v>
      </c>
      <c r="J65" s="10">
        <f t="shared" si="6"/>
        <v>303624877.57169652</v>
      </c>
      <c r="K65" s="11">
        <f t="shared" si="7"/>
        <v>5.2844000000000113E-2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3891051.4999999995</v>
      </c>
      <c r="D66" s="11">
        <v>1.9E-2</v>
      </c>
      <c r="E66" s="10">
        <f t="shared" si="2"/>
        <v>72551.499999999534</v>
      </c>
      <c r="F66" s="23">
        <f>SUM(F2)</f>
        <v>22386666</v>
      </c>
      <c r="G66" s="30">
        <v>5.7</v>
      </c>
      <c r="H66" s="10"/>
      <c r="I66" s="10">
        <f t="shared" si="8"/>
        <v>74.115039986446291</v>
      </c>
      <c r="J66" s="10">
        <f t="shared" ref="J66:J67" si="9">IF(I66="","",I66*C66)</f>
        <v>288385437.51182181</v>
      </c>
      <c r="K66" s="11">
        <f t="shared" ref="K66" si="10">IFERROR(J66/J67-1,"")</f>
        <v>7.7083000000000013E-2</v>
      </c>
    </row>
    <row r="67" spans="1:11" ht="22.5" customHeight="1">
      <c r="A67" s="3">
        <f t="shared" si="0"/>
        <v>1950</v>
      </c>
      <c r="B67" s="3">
        <v>1700</v>
      </c>
      <c r="C67" s="10">
        <v>3818500</v>
      </c>
      <c r="D67" s="11">
        <v>1.9E-2</v>
      </c>
      <c r="E67" s="3" t="s">
        <v>72</v>
      </c>
      <c r="F67" s="10">
        <f>SUM(C2)</f>
        <v>22386516.167493358</v>
      </c>
      <c r="G67" s="30">
        <v>3.17</v>
      </c>
      <c r="H67" s="10"/>
      <c r="I67" s="10">
        <f t="shared" ref="I67" si="11">IF(H67&lt;&gt;"",H67,I66/(1+IF(G66="",0,G66)/100))</f>
        <v>70.118297054348432</v>
      </c>
      <c r="J67" s="10">
        <f t="shared" si="9"/>
        <v>267746717.30202949</v>
      </c>
      <c r="K67" s="11"/>
    </row>
  </sheetData>
  <dataValidations count="1">
    <dataValidation type="custom" allowBlank="1" showDropDown="1" sqref="D2:D67" xr:uid="{00000000-0002-0000-6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 summaryRight="0"/>
  </sheetPr>
  <dimension ref="A1:M67"/>
  <sheetViews>
    <sheetView tabSelected="1" topLeftCell="A32" workbookViewId="0">
      <selection activeCell="H67" sqref="H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30421561.63238572</v>
      </c>
      <c r="D2" s="11">
        <v>3.7100000000000001E-2</v>
      </c>
      <c r="E2" s="10">
        <f t="shared" ref="E2:E66" si="2">SUM(C2-C3)</f>
        <v>1088265.2941485941</v>
      </c>
      <c r="F2" s="14">
        <v>30421695</v>
      </c>
      <c r="G2" s="29">
        <v>5.47</v>
      </c>
      <c r="H2" s="10"/>
      <c r="I2" s="10">
        <f>IF(H2&lt;&gt;"",H2,8696)</f>
        <v>1087</v>
      </c>
      <c r="J2" s="10">
        <f t="shared" ref="J2:J33" si="3">IF(I2="","",I2*C2)</f>
        <v>33068237494.403278</v>
      </c>
      <c r="K2" s="11">
        <f t="shared" ref="K2:K33" si="4">IFERROR(J2/J3-1,"")</f>
        <v>9.3829369999999912E-2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29333296.338237125</v>
      </c>
      <c r="D3" s="11">
        <v>3.6900000000000002E-2</v>
      </c>
      <c r="E3" s="10">
        <f t="shared" si="2"/>
        <v>1043879.4819953218</v>
      </c>
      <c r="F3" s="3"/>
      <c r="G3" s="29">
        <v>5.63</v>
      </c>
      <c r="H3" s="10"/>
      <c r="I3" s="10">
        <f t="shared" ref="I3:I34" si="5">IF(H3&lt;&gt;"",H3,I2/(1+IF(G2="",0,G2)/100))</f>
        <v>1030.6248222243291</v>
      </c>
      <c r="J3" s="10">
        <f t="shared" si="3"/>
        <v>30231623323.849201</v>
      </c>
      <c r="K3" s="11">
        <f t="shared" si="4"/>
        <v>9.5277469999999864E-2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28289416.856241804</v>
      </c>
      <c r="D4" s="11">
        <v>3.6900000000000002E-2</v>
      </c>
      <c r="E4" s="10">
        <f t="shared" si="2"/>
        <v>1006731.1042485498</v>
      </c>
      <c r="F4" s="3"/>
      <c r="G4" s="29">
        <v>5.82</v>
      </c>
      <c r="H4" s="10"/>
      <c r="I4" s="10">
        <f t="shared" si="5"/>
        <v>975.69328999747142</v>
      </c>
      <c r="J4" s="10">
        <f t="shared" si="3"/>
        <v>27601794204.576492</v>
      </c>
      <c r="K4" s="11">
        <f t="shared" si="4"/>
        <v>9.7247580000000111E-2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27282685.751993254</v>
      </c>
      <c r="D5" s="11">
        <v>3.8300000000000001E-2</v>
      </c>
      <c r="E5" s="10">
        <f t="shared" si="2"/>
        <v>1006382.4177033044</v>
      </c>
      <c r="F5" s="3"/>
      <c r="G5" s="29">
        <v>6.3</v>
      </c>
      <c r="H5" s="10"/>
      <c r="I5" s="10">
        <f t="shared" si="5"/>
        <v>922.0310810786915</v>
      </c>
      <c r="J5" s="10">
        <f t="shared" si="3"/>
        <v>25155484238.640553</v>
      </c>
      <c r="K5" s="11">
        <f t="shared" si="4"/>
        <v>0.10371289999999989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26276303.334289949</v>
      </c>
      <c r="D6" s="11">
        <v>3.7199999999999997E-2</v>
      </c>
      <c r="E6" s="10">
        <f t="shared" si="2"/>
        <v>942420.44353604317</v>
      </c>
      <c r="F6" s="3"/>
      <c r="G6" s="29">
        <v>5.82</v>
      </c>
      <c r="H6" s="10"/>
      <c r="I6" s="10">
        <f t="shared" si="5"/>
        <v>867.38577712012375</v>
      </c>
      <c r="J6" s="10">
        <f t="shared" si="3"/>
        <v>22791691787.457188</v>
      </c>
      <c r="K6" s="11">
        <f t="shared" si="4"/>
        <v>9.7565039999999881E-2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25333882.890753906</v>
      </c>
      <c r="D7" s="11">
        <v>3.73E-2</v>
      </c>
      <c r="E7" s="10">
        <f t="shared" si="2"/>
        <v>910974.48358731717</v>
      </c>
      <c r="F7" s="3"/>
      <c r="G7" s="29">
        <v>5.85</v>
      </c>
      <c r="H7" s="10"/>
      <c r="I7" s="10">
        <f t="shared" si="5"/>
        <v>819.68037905889594</v>
      </c>
      <c r="J7" s="10">
        <f t="shared" si="3"/>
        <v>20765686730.926842</v>
      </c>
      <c r="K7" s="11">
        <f t="shared" si="4"/>
        <v>9.7982050000000154E-2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24422908.407166589</v>
      </c>
      <c r="D8" s="11">
        <v>3.7199999999999997E-2</v>
      </c>
      <c r="E8" s="10">
        <f t="shared" si="2"/>
        <v>875946.96562533081</v>
      </c>
      <c r="F8" s="3"/>
      <c r="G8" s="29">
        <v>5.45</v>
      </c>
      <c r="H8" s="10"/>
      <c r="I8" s="10">
        <f t="shared" si="5"/>
        <v>774.3791960877619</v>
      </c>
      <c r="J8" s="10">
        <f t="shared" si="3"/>
        <v>18912592178.466705</v>
      </c>
      <c r="K8" s="11">
        <f t="shared" si="4"/>
        <v>9.3727399999999905E-2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23546961.441541258</v>
      </c>
      <c r="D9" s="11">
        <v>3.7100000000000001E-2</v>
      </c>
      <c r="E9" s="10">
        <f t="shared" si="2"/>
        <v>842341.40341449901</v>
      </c>
      <c r="F9" s="3"/>
      <c r="G9" s="29">
        <v>4.04</v>
      </c>
      <c r="H9" s="10"/>
      <c r="I9" s="10">
        <f t="shared" si="5"/>
        <v>734.35675304671588</v>
      </c>
      <c r="J9" s="10">
        <f t="shared" si="3"/>
        <v>17291870148.326454</v>
      </c>
      <c r="K9" s="11">
        <f t="shared" si="4"/>
        <v>7.8998839999999682E-2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22704620.038126759</v>
      </c>
      <c r="D10" s="11">
        <v>3.6900000000000002E-2</v>
      </c>
      <c r="E10" s="10">
        <f t="shared" si="2"/>
        <v>807985.80326634645</v>
      </c>
      <c r="F10" s="3"/>
      <c r="G10" s="29">
        <v>-1.18</v>
      </c>
      <c r="H10" s="10"/>
      <c r="I10" s="10">
        <f t="shared" si="5"/>
        <v>705.84078531979617</v>
      </c>
      <c r="J10" s="10">
        <f t="shared" si="3"/>
        <v>16025846838.098972</v>
      </c>
      <c r="K10" s="11">
        <f t="shared" si="4"/>
        <v>2.4664579999999825E-2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21896634.234860413</v>
      </c>
      <c r="D11" s="11">
        <v>3.6700000000000003E-2</v>
      </c>
      <c r="E11" s="10">
        <f t="shared" si="2"/>
        <v>775158.17152442783</v>
      </c>
      <c r="F11" s="3"/>
      <c r="G11" s="29">
        <v>2.65</v>
      </c>
      <c r="H11" s="10"/>
      <c r="I11" s="10">
        <f t="shared" si="5"/>
        <v>714.26916142460652</v>
      </c>
      <c r="J11" s="10">
        <f t="shared" si="3"/>
        <v>15640090572.955078</v>
      </c>
      <c r="K11" s="11">
        <f t="shared" si="4"/>
        <v>6.4172549999999884E-2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21121476.063335985</v>
      </c>
      <c r="D12" s="11">
        <v>3.6499999999999998E-2</v>
      </c>
      <c r="E12" s="10">
        <f t="shared" si="2"/>
        <v>743785.69832297415</v>
      </c>
      <c r="F12" s="3"/>
      <c r="G12" s="29">
        <v>-4.67</v>
      </c>
      <c r="H12" s="10"/>
      <c r="I12" s="10">
        <f t="shared" si="5"/>
        <v>695.82967503614861</v>
      </c>
      <c r="J12" s="10">
        <f t="shared" si="3"/>
        <v>14696949825.43487</v>
      </c>
      <c r="K12" s="11">
        <f t="shared" si="4"/>
        <v>-1.1904550000000125E-2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20377690.365013011</v>
      </c>
      <c r="D13" s="11">
        <v>3.61E-2</v>
      </c>
      <c r="E13" s="10">
        <f t="shared" si="2"/>
        <v>710003.49597236887</v>
      </c>
      <c r="F13" s="3"/>
      <c r="G13" s="29">
        <v>-0.98</v>
      </c>
      <c r="H13" s="10"/>
      <c r="I13" s="10">
        <f t="shared" si="5"/>
        <v>729.9167890864876</v>
      </c>
      <c r="J13" s="10">
        <f t="shared" si="3"/>
        <v>14874018320.228952</v>
      </c>
      <c r="K13" s="11">
        <f t="shared" si="4"/>
        <v>2.594622000000002E-2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19667686.869040642</v>
      </c>
      <c r="D14" s="11">
        <v>3.5799999999999998E-2</v>
      </c>
      <c r="E14" s="10">
        <f t="shared" si="2"/>
        <v>679767.51294811442</v>
      </c>
      <c r="F14" s="3"/>
      <c r="G14" s="29">
        <v>6.72</v>
      </c>
      <c r="H14" s="10"/>
      <c r="I14" s="10">
        <f t="shared" si="5"/>
        <v>737.14076861895342</v>
      </c>
      <c r="J14" s="10">
        <f t="shared" si="3"/>
        <v>14497853815.601517</v>
      </c>
      <c r="K14" s="11">
        <f t="shared" si="4"/>
        <v>0.10540576000000001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18987919.356092528</v>
      </c>
      <c r="D15" s="11">
        <v>3.5400000000000001E-2</v>
      </c>
      <c r="E15" s="10">
        <f t="shared" si="2"/>
        <v>649190.98435935751</v>
      </c>
      <c r="F15" s="3"/>
      <c r="G15" s="29">
        <v>3.83</v>
      </c>
      <c r="H15" s="10"/>
      <c r="I15" s="10">
        <f t="shared" si="5"/>
        <v>690.72410852600592</v>
      </c>
      <c r="J15" s="10">
        <f t="shared" si="3"/>
        <v>13115413670.000704</v>
      </c>
      <c r="K15" s="11">
        <f t="shared" si="4"/>
        <v>7.5055820000000217E-2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18338728.37173317</v>
      </c>
      <c r="D16" s="11">
        <v>3.5200000000000002E-2</v>
      </c>
      <c r="E16" s="10">
        <f t="shared" si="2"/>
        <v>623573.45313466713</v>
      </c>
      <c r="F16" s="3"/>
      <c r="G16" s="29">
        <v>0.82</v>
      </c>
      <c r="H16" s="10"/>
      <c r="I16" s="10">
        <f t="shared" si="5"/>
        <v>665.24521672542221</v>
      </c>
      <c r="J16" s="10">
        <f t="shared" si="3"/>
        <v>12199751330.122282</v>
      </c>
      <c r="K16" s="11">
        <f t="shared" si="4"/>
        <v>4.3688640000000056E-2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17715154.918598503</v>
      </c>
      <c r="D17" s="11">
        <v>3.5000000000000003E-2</v>
      </c>
      <c r="E17" s="10">
        <f t="shared" si="2"/>
        <v>599063.20980767906</v>
      </c>
      <c r="F17" s="3"/>
      <c r="G17" s="29">
        <v>-0.78</v>
      </c>
      <c r="H17" s="10"/>
      <c r="I17" s="10">
        <f t="shared" si="5"/>
        <v>659.83457322497736</v>
      </c>
      <c r="J17" s="10">
        <f t="shared" si="3"/>
        <v>11689071685.327803</v>
      </c>
      <c r="K17" s="11">
        <f t="shared" si="4"/>
        <v>2.6927000000000145E-2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17116091.708790824</v>
      </c>
      <c r="D18" s="11">
        <v>3.44E-2</v>
      </c>
      <c r="E18" s="10">
        <f t="shared" si="2"/>
        <v>569212.63996751979</v>
      </c>
      <c r="F18" s="3"/>
      <c r="G18" s="29">
        <v>2.48</v>
      </c>
      <c r="H18" s="10"/>
      <c r="I18" s="10">
        <f t="shared" si="5"/>
        <v>665.02174281896532</v>
      </c>
      <c r="J18" s="10">
        <f t="shared" si="3"/>
        <v>11382573138.429316</v>
      </c>
      <c r="K18" s="11">
        <f t="shared" si="4"/>
        <v>6.0053119999999849E-2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16546879.068823304</v>
      </c>
      <c r="D19" s="11">
        <v>3.44E-2</v>
      </c>
      <c r="E19" s="10">
        <f t="shared" si="2"/>
        <v>550282.90793457255</v>
      </c>
      <c r="F19" s="3"/>
      <c r="G19" s="29">
        <v>-2.2999999999999998</v>
      </c>
      <c r="H19" s="10"/>
      <c r="I19" s="10">
        <f t="shared" si="5"/>
        <v>648.92832047127763</v>
      </c>
      <c r="J19" s="10">
        <f t="shared" si="3"/>
        <v>10737738443.172846</v>
      </c>
      <c r="K19" s="11">
        <f t="shared" si="4"/>
        <v>1.0608799999999974E-2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15996596.160888731</v>
      </c>
      <c r="D20" s="11">
        <v>3.32E-2</v>
      </c>
      <c r="E20" s="10">
        <f t="shared" si="2"/>
        <v>514021.47942460701</v>
      </c>
      <c r="F20" s="3"/>
      <c r="G20" s="29">
        <v>14.38</v>
      </c>
      <c r="H20" s="10"/>
      <c r="I20" s="10">
        <f t="shared" si="5"/>
        <v>664.20503630632311</v>
      </c>
      <c r="J20" s="10">
        <f t="shared" si="3"/>
        <v>10625019733.820688</v>
      </c>
      <c r="K20" s="11">
        <f t="shared" si="4"/>
        <v>0.18177415999999957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15482574.681464124</v>
      </c>
      <c r="D21" s="11">
        <v>3.32E-2</v>
      </c>
      <c r="E21" s="10">
        <f t="shared" si="2"/>
        <v>497504.33548645675</v>
      </c>
      <c r="F21" s="3"/>
      <c r="G21" s="29">
        <v>8.84</v>
      </c>
      <c r="H21" s="10"/>
      <c r="I21" s="10">
        <f t="shared" si="5"/>
        <v>580.70032899661055</v>
      </c>
      <c r="J21" s="10">
        <f t="shared" si="3"/>
        <v>8990736211.2408104</v>
      </c>
      <c r="K21" s="11">
        <f t="shared" si="4"/>
        <v>0.1245348799999999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14985070.345977668</v>
      </c>
      <c r="D22" s="11">
        <v>3.3700000000000001E-2</v>
      </c>
      <c r="E22" s="10">
        <f t="shared" si="2"/>
        <v>488533.29849999771</v>
      </c>
      <c r="F22" s="3"/>
      <c r="G22" s="29">
        <v>7.85</v>
      </c>
      <c r="H22" s="10"/>
      <c r="I22" s="10">
        <f t="shared" si="5"/>
        <v>533.53576717806925</v>
      </c>
      <c r="J22" s="10">
        <f t="shared" si="3"/>
        <v>7995071003.2585306</v>
      </c>
      <c r="K22" s="11">
        <f t="shared" si="4"/>
        <v>0.11484545000000002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14496537.04747767</v>
      </c>
      <c r="D23" s="11">
        <v>3.2500000000000001E-2</v>
      </c>
      <c r="E23" s="10">
        <f t="shared" si="2"/>
        <v>456307.46154288016</v>
      </c>
      <c r="F23" s="3"/>
      <c r="G23" s="29">
        <v>14.98</v>
      </c>
      <c r="H23" s="10"/>
      <c r="I23" s="10">
        <f t="shared" si="5"/>
        <v>494.70168491244249</v>
      </c>
      <c r="J23" s="10">
        <f t="shared" si="3"/>
        <v>7171461302.7828474</v>
      </c>
      <c r="K23" s="11">
        <f t="shared" si="4"/>
        <v>0.18716849999999985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14040229.58593479</v>
      </c>
      <c r="D24" s="11">
        <v>3.1899999999999998E-2</v>
      </c>
      <c r="E24" s="10">
        <f t="shared" si="2"/>
        <v>434037.52668991126</v>
      </c>
      <c r="F24" s="3"/>
      <c r="G24" s="29">
        <v>1.59</v>
      </c>
      <c r="H24" s="10"/>
      <c r="I24" s="10">
        <f t="shared" si="5"/>
        <v>430.25020430722083</v>
      </c>
      <c r="J24" s="10">
        <f t="shared" si="3"/>
        <v>6040811647.8687296</v>
      </c>
      <c r="K24" s="11">
        <f t="shared" si="4"/>
        <v>4.8307209999999934E-2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13606192.059244879</v>
      </c>
      <c r="D25" s="11">
        <v>3.1399999999999997E-2</v>
      </c>
      <c r="E25" s="10">
        <f t="shared" si="2"/>
        <v>414227.68146237172</v>
      </c>
      <c r="F25" s="3"/>
      <c r="G25" s="29">
        <v>-3.98</v>
      </c>
      <c r="H25" s="10"/>
      <c r="I25" s="10">
        <f t="shared" si="5"/>
        <v>423.51629521332887</v>
      </c>
      <c r="J25" s="10">
        <f t="shared" si="3"/>
        <v>5762444052.8924055</v>
      </c>
      <c r="K25" s="11">
        <f t="shared" si="4"/>
        <v>-9.6497199999998617E-3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13191964.377782507</v>
      </c>
      <c r="D26" s="11">
        <v>3.1E-2</v>
      </c>
      <c r="E26" s="10">
        <f t="shared" si="2"/>
        <v>396654.60301770829</v>
      </c>
      <c r="F26" s="3"/>
      <c r="G26" s="29">
        <v>-0.7</v>
      </c>
      <c r="H26" s="10"/>
      <c r="I26" s="10">
        <f t="shared" si="5"/>
        <v>441.07091773935525</v>
      </c>
      <c r="J26" s="10">
        <f t="shared" si="3"/>
        <v>5818591834.8934126</v>
      </c>
      <c r="K26" s="11">
        <f t="shared" si="4"/>
        <v>2.3782999999999888E-2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12795309.774764799</v>
      </c>
      <c r="D27" s="11">
        <v>3.1E-2</v>
      </c>
      <c r="E27" s="10">
        <f t="shared" si="2"/>
        <v>384728.03396479972</v>
      </c>
      <c r="F27" s="3"/>
      <c r="G27" s="29">
        <v>-15.1</v>
      </c>
      <c r="H27" s="10"/>
      <c r="I27" s="10">
        <f t="shared" si="5"/>
        <v>444.18017899230136</v>
      </c>
      <c r="J27" s="10">
        <f t="shared" si="3"/>
        <v>5683422986.0169716</v>
      </c>
      <c r="K27" s="11">
        <f t="shared" si="4"/>
        <v>-0.12468099999999993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12410581.740799999</v>
      </c>
      <c r="D28" s="11">
        <v>3.0599999999999999E-2</v>
      </c>
      <c r="E28" s="10">
        <f t="shared" si="2"/>
        <v>368488.06643555127</v>
      </c>
      <c r="F28" s="3"/>
      <c r="G28" s="29">
        <v>4.0599999999999996</v>
      </c>
      <c r="H28" s="10"/>
      <c r="I28" s="10">
        <f t="shared" si="5"/>
        <v>523.18042284134435</v>
      </c>
      <c r="J28" s="10">
        <f t="shared" si="3"/>
        <v>6492973402.8588104</v>
      </c>
      <c r="K28" s="11">
        <f t="shared" si="4"/>
        <v>7.2442359999999928E-2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12042093.674364448</v>
      </c>
      <c r="D29" s="11">
        <v>3.0300000000000001E-2</v>
      </c>
      <c r="E29" s="10">
        <f t="shared" si="2"/>
        <v>354144.84939652868</v>
      </c>
      <c r="F29" s="3"/>
      <c r="G29" s="29">
        <v>6.64</v>
      </c>
      <c r="H29" s="10"/>
      <c r="I29" s="10">
        <f t="shared" si="5"/>
        <v>502.76804040106128</v>
      </c>
      <c r="J29" s="10">
        <f t="shared" si="3"/>
        <v>6054379838.9862289</v>
      </c>
      <c r="K29" s="11">
        <f t="shared" si="4"/>
        <v>9.8711919999999953E-2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11687948.824967919</v>
      </c>
      <c r="D30" s="11">
        <v>3.0300000000000001E-2</v>
      </c>
      <c r="E30" s="10">
        <f t="shared" si="2"/>
        <v>343729.83538438194</v>
      </c>
      <c r="F30" s="3"/>
      <c r="G30" s="29">
        <v>0.51</v>
      </c>
      <c r="H30" s="10"/>
      <c r="I30" s="10">
        <f t="shared" si="5"/>
        <v>471.46290360189545</v>
      </c>
      <c r="J30" s="10">
        <f t="shared" si="3"/>
        <v>5510434290.1697369</v>
      </c>
      <c r="K30" s="11">
        <f t="shared" si="4"/>
        <v>3.5554530000000195E-2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11344218.989583537</v>
      </c>
      <c r="D31" s="11">
        <v>3.0200000000000001E-2</v>
      </c>
      <c r="E31" s="10">
        <f t="shared" si="2"/>
        <v>332552.3330279775</v>
      </c>
      <c r="F31" s="3"/>
      <c r="G31" s="29">
        <v>1.59</v>
      </c>
      <c r="H31" s="10"/>
      <c r="I31" s="10">
        <f t="shared" si="5"/>
        <v>469.07064332095854</v>
      </c>
      <c r="J31" s="10">
        <f t="shared" si="3"/>
        <v>5321240099.4177837</v>
      </c>
      <c r="K31" s="11">
        <f t="shared" si="4"/>
        <v>4.658017999999986E-2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11011666.656555559</v>
      </c>
      <c r="D32" s="11">
        <v>2.9899999999999999E-2</v>
      </c>
      <c r="E32" s="10">
        <f t="shared" si="2"/>
        <v>319690.09906885214</v>
      </c>
      <c r="F32" s="3"/>
      <c r="G32" s="29">
        <v>5.56</v>
      </c>
      <c r="H32" s="10"/>
      <c r="I32" s="10">
        <f t="shared" si="5"/>
        <v>461.72914983852598</v>
      </c>
      <c r="J32" s="10">
        <f t="shared" si="3"/>
        <v>5084407483.6366425</v>
      </c>
      <c r="K32" s="11">
        <f t="shared" si="4"/>
        <v>8.7162440000000174E-2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10691976.557486707</v>
      </c>
      <c r="D33" s="11">
        <v>2.9499999999999998E-2</v>
      </c>
      <c r="E33" s="10">
        <f t="shared" si="2"/>
        <v>306375.23889835738</v>
      </c>
      <c r="F33" s="3"/>
      <c r="G33" s="29">
        <v>5.56</v>
      </c>
      <c r="H33" s="10"/>
      <c r="I33" s="10">
        <f t="shared" si="5"/>
        <v>437.40919840709165</v>
      </c>
      <c r="J33" s="10">
        <f t="shared" si="3"/>
        <v>4676768895.3976755</v>
      </c>
      <c r="K33" s="11">
        <f t="shared" si="4"/>
        <v>8.6740200000000156E-2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10385601.31858835</v>
      </c>
      <c r="D34" s="11">
        <v>2.9600000000000001E-2</v>
      </c>
      <c r="E34" s="10">
        <f t="shared" si="2"/>
        <v>298575.9508840479</v>
      </c>
      <c r="F34" s="3"/>
      <c r="G34" s="29">
        <v>-6.71</v>
      </c>
      <c r="H34" s="10"/>
      <c r="I34" s="10">
        <f t="shared" si="5"/>
        <v>414.37021448189807</v>
      </c>
      <c r="J34" s="10">
        <f t="shared" ref="J34:J65" si="6">IF(I34="","",I34*C34)</f>
        <v>4303483845.9069376</v>
      </c>
      <c r="K34" s="11">
        <f t="shared" ref="K34:K65" si="7">IFERROR(J34/J35-1,"")</f>
        <v>-2.6101360000000073E-2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10087025.367704302</v>
      </c>
      <c r="D35" s="11">
        <v>2.9700000000000001E-2</v>
      </c>
      <c r="E35" s="10">
        <f t="shared" si="2"/>
        <v>290943.6276787594</v>
      </c>
      <c r="F35" s="3"/>
      <c r="G35" s="29">
        <v>-6.28</v>
      </c>
      <c r="H35" s="10"/>
      <c r="I35" s="10">
        <f t="shared" ref="I35:I66" si="8">IF(H35&lt;&gt;"",H35,I34/(1+IF(G34="",0,G34)/100))</f>
        <v>438.06979012781278</v>
      </c>
      <c r="J35" s="10">
        <f t="shared" si="6"/>
        <v>4418821085.8441467</v>
      </c>
      <c r="K35" s="11">
        <f t="shared" si="7"/>
        <v>-7.1632600000000046E-3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9796081.7400255427</v>
      </c>
      <c r="D36" s="11">
        <v>2.98E-2</v>
      </c>
      <c r="E36" s="10">
        <f t="shared" si="2"/>
        <v>283475.66115047783</v>
      </c>
      <c r="F36" s="3"/>
      <c r="G36" s="29">
        <v>-8.12</v>
      </c>
      <c r="H36" s="10"/>
      <c r="I36" s="10">
        <f t="shared" si="8"/>
        <v>454.33498250136154</v>
      </c>
      <c r="J36" s="10">
        <f t="shared" si="6"/>
        <v>4450702625.9364119</v>
      </c>
      <c r="K36" s="11">
        <f t="shared" si="7"/>
        <v>-4.3893599999998978E-3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9512606.0788750648</v>
      </c>
      <c r="D37" s="11">
        <v>2.9899999999999999E-2</v>
      </c>
      <c r="E37" s="10">
        <f t="shared" si="2"/>
        <v>276169.45505230129</v>
      </c>
      <c r="F37" s="3"/>
      <c r="G37" s="29">
        <v>9.28</v>
      </c>
      <c r="H37" s="10"/>
      <c r="I37" s="10">
        <f t="shared" si="8"/>
        <v>469.93688715490435</v>
      </c>
      <c r="J37" s="10">
        <f t="shared" si="6"/>
        <v>4470324489.4373684</v>
      </c>
      <c r="K37" s="11">
        <f t="shared" si="7"/>
        <v>0.18005941999999986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9236436.6238227636</v>
      </c>
      <c r="D38" s="11">
        <v>2.98E-2</v>
      </c>
      <c r="E38" s="10">
        <f t="shared" si="2"/>
        <v>267280.8422896862</v>
      </c>
      <c r="F38" s="3"/>
      <c r="G38" s="29">
        <v>-8.87</v>
      </c>
      <c r="H38" s="10"/>
      <c r="I38" s="10">
        <f t="shared" si="8"/>
        <v>410.13866918738381</v>
      </c>
      <c r="J38" s="10">
        <f t="shared" si="6"/>
        <v>3788219824.9282808</v>
      </c>
      <c r="K38" s="11">
        <f t="shared" si="7"/>
        <v>-2.3440659999999891E-2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8969155.7815330774</v>
      </c>
      <c r="D39" s="11">
        <v>2.9100000000000001E-2</v>
      </c>
      <c r="E39" s="10">
        <f t="shared" si="2"/>
        <v>253622.03210826218</v>
      </c>
      <c r="F39" s="3"/>
      <c r="G39" s="29">
        <v>11.05</v>
      </c>
      <c r="H39" s="10"/>
      <c r="I39" s="10">
        <f t="shared" si="8"/>
        <v>432.49886026297986</v>
      </c>
      <c r="J39" s="10">
        <f t="shared" si="6"/>
        <v>3879149653.0341725</v>
      </c>
      <c r="K39" s="11">
        <f t="shared" si="7"/>
        <v>0.1428155499999999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8715533.7494248152</v>
      </c>
      <c r="D40" s="11">
        <v>2.8199999999999999E-2</v>
      </c>
      <c r="E40" s="10">
        <f t="shared" si="2"/>
        <v>239037.20261989906</v>
      </c>
      <c r="F40" s="3"/>
      <c r="G40" s="29">
        <v>6.96</v>
      </c>
      <c r="H40" s="10"/>
      <c r="I40" s="10">
        <f t="shared" si="8"/>
        <v>389.4631789851237</v>
      </c>
      <c r="J40" s="10">
        <f t="shared" si="6"/>
        <v>3394379480.6031232</v>
      </c>
      <c r="K40" s="11">
        <f t="shared" si="7"/>
        <v>9.9762720000000193E-2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8476496.5468049161</v>
      </c>
      <c r="D41" s="11">
        <v>2.7699999999999999E-2</v>
      </c>
      <c r="E41" s="10">
        <f t="shared" si="2"/>
        <v>228470.32630777173</v>
      </c>
      <c r="F41" s="3"/>
      <c r="G41" s="29">
        <v>-2.0499999999999998</v>
      </c>
      <c r="H41" s="10"/>
      <c r="I41" s="10">
        <f t="shared" si="8"/>
        <v>364.12039920075142</v>
      </c>
      <c r="J41" s="10">
        <f t="shared" si="6"/>
        <v>3086465306.4463968</v>
      </c>
      <c r="K41" s="11">
        <f t="shared" si="7"/>
        <v>6.6321500000001699E-3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8248026.2204971444</v>
      </c>
      <c r="D42" s="11">
        <v>2.7199999999999998E-2</v>
      </c>
      <c r="E42" s="10">
        <f t="shared" si="2"/>
        <v>218405.6787359044</v>
      </c>
      <c r="F42" s="3"/>
      <c r="G42" s="29">
        <v>-2.44</v>
      </c>
      <c r="H42" s="10"/>
      <c r="I42" s="10">
        <f t="shared" si="8"/>
        <v>371.7410915781025</v>
      </c>
      <c r="J42" s="10">
        <f t="shared" si="6"/>
        <v>3066130270.5724196</v>
      </c>
      <c r="K42" s="11">
        <f t="shared" si="7"/>
        <v>2.1363199999999694E-3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8029620.54176124</v>
      </c>
      <c r="D43" s="11">
        <v>2.69E-2</v>
      </c>
      <c r="E43" s="10">
        <f t="shared" si="2"/>
        <v>210338.68202685472</v>
      </c>
      <c r="F43" s="3"/>
      <c r="G43" s="29">
        <v>4.83</v>
      </c>
      <c r="H43" s="10"/>
      <c r="I43" s="10">
        <f t="shared" si="8"/>
        <v>381.03842925184756</v>
      </c>
      <c r="J43" s="10">
        <f t="shared" si="6"/>
        <v>3059593998.7210722</v>
      </c>
      <c r="K43" s="11">
        <f t="shared" si="7"/>
        <v>7.649927000000023E-2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7819281.8597343853</v>
      </c>
      <c r="D44" s="11">
        <v>2.6800000000000001E-2</v>
      </c>
      <c r="E44" s="10">
        <f t="shared" si="2"/>
        <v>204087.21644028183</v>
      </c>
      <c r="F44" s="3"/>
      <c r="G44" s="29">
        <v>3.84</v>
      </c>
      <c r="H44" s="10"/>
      <c r="I44" s="10">
        <f t="shared" si="8"/>
        <v>363.48223719531387</v>
      </c>
      <c r="J44" s="10">
        <f t="shared" si="6"/>
        <v>2842170063.6369886</v>
      </c>
      <c r="K44" s="11">
        <f t="shared" si="7"/>
        <v>6.622912000000003E-2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7615194.6432941034</v>
      </c>
      <c r="D45" s="11">
        <v>2.6800000000000001E-2</v>
      </c>
      <c r="E45" s="10">
        <f t="shared" si="2"/>
        <v>198760.43673576321</v>
      </c>
      <c r="F45" s="3"/>
      <c r="G45" s="29">
        <v>7.63</v>
      </c>
      <c r="H45" s="10"/>
      <c r="I45" s="10">
        <f t="shared" si="8"/>
        <v>350.04067526513279</v>
      </c>
      <c r="J45" s="10">
        <f t="shared" si="6"/>
        <v>2665627875.2140899</v>
      </c>
      <c r="K45" s="11">
        <f t="shared" si="7"/>
        <v>0.10514483999999991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7416434.2065583402</v>
      </c>
      <c r="D46" s="11">
        <v>2.64E-2</v>
      </c>
      <c r="E46" s="10">
        <f t="shared" si="2"/>
        <v>190757.85566362087</v>
      </c>
      <c r="F46" s="3"/>
      <c r="G46" s="29">
        <v>0</v>
      </c>
      <c r="H46" s="10"/>
      <c r="I46" s="10">
        <f t="shared" si="8"/>
        <v>325.22593632363913</v>
      </c>
      <c r="J46" s="10">
        <f t="shared" si="6"/>
        <v>2412016759.010602</v>
      </c>
      <c r="K46" s="11">
        <f t="shared" si="7"/>
        <v>2.6399999999999979E-2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7225676.3508947194</v>
      </c>
      <c r="D47" s="11">
        <v>2.7099999999999999E-2</v>
      </c>
      <c r="E47" s="10">
        <f t="shared" si="2"/>
        <v>190649.23484494817</v>
      </c>
      <c r="F47" s="3"/>
      <c r="G47" s="29">
        <v>2.52</v>
      </c>
      <c r="H47" s="10"/>
      <c r="I47" s="10">
        <f t="shared" si="8"/>
        <v>325.22593632363913</v>
      </c>
      <c r="J47" s="10">
        <f t="shared" si="6"/>
        <v>2349977356.7913113</v>
      </c>
      <c r="K47" s="11">
        <f t="shared" si="7"/>
        <v>5.2982919999999822E-2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7035027.1160497712</v>
      </c>
      <c r="D48" s="11">
        <v>2.7199999999999998E-2</v>
      </c>
      <c r="E48" s="10">
        <f t="shared" si="2"/>
        <v>186285.76475521084</v>
      </c>
      <c r="F48" s="3"/>
      <c r="G48" s="29">
        <v>10.83</v>
      </c>
      <c r="H48" s="10"/>
      <c r="I48" s="10">
        <f t="shared" si="8"/>
        <v>317.23169754549275</v>
      </c>
      <c r="J48" s="10">
        <f t="shared" si="6"/>
        <v>2231733594.303041</v>
      </c>
      <c r="K48" s="11">
        <f t="shared" si="7"/>
        <v>0.13844575999999997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6848741.3512945604</v>
      </c>
      <c r="D49" s="11">
        <v>2.75E-2</v>
      </c>
      <c r="E49" s="10">
        <f t="shared" si="2"/>
        <v>183299.64687163103</v>
      </c>
      <c r="F49" s="3"/>
      <c r="G49" s="29">
        <v>5.0199999999999996</v>
      </c>
      <c r="H49" s="10"/>
      <c r="I49" s="10">
        <f t="shared" si="8"/>
        <v>286.23269651312165</v>
      </c>
      <c r="J49" s="10">
        <f t="shared" si="6"/>
        <v>1960333704.7019625</v>
      </c>
      <c r="K49" s="11">
        <f t="shared" si="7"/>
        <v>7.9080500000000109E-2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6665441.7044229293</v>
      </c>
      <c r="D50" s="11">
        <v>2.7799999999999998E-2</v>
      </c>
      <c r="E50" s="10">
        <f t="shared" si="2"/>
        <v>180287.29264736082</v>
      </c>
      <c r="F50" s="3"/>
      <c r="G50" s="29">
        <v>5.5</v>
      </c>
      <c r="H50" s="10"/>
      <c r="I50" s="10">
        <f t="shared" si="8"/>
        <v>272.55065369750679</v>
      </c>
      <c r="J50" s="10">
        <f t="shared" si="6"/>
        <v>1816670493.7230933</v>
      </c>
      <c r="K50" s="11">
        <f t="shared" si="7"/>
        <v>8.4329000000000098E-2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6485154.4117755685</v>
      </c>
      <c r="D51" s="11">
        <v>2.81E-2</v>
      </c>
      <c r="E51" s="10">
        <f t="shared" si="2"/>
        <v>177252.05619190075</v>
      </c>
      <c r="F51" s="3"/>
      <c r="G51" s="29">
        <v>9.41</v>
      </c>
      <c r="H51" s="10"/>
      <c r="I51" s="10">
        <f t="shared" si="8"/>
        <v>258.341851845978</v>
      </c>
      <c r="J51" s="10">
        <f t="shared" si="6"/>
        <v>1675386800.2452145</v>
      </c>
      <c r="K51" s="11">
        <f t="shared" si="7"/>
        <v>0.12484421000000001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6307902.3555836678</v>
      </c>
      <c r="D52" s="11">
        <v>2.8299999999999999E-2</v>
      </c>
      <c r="E52" s="10">
        <f t="shared" si="2"/>
        <v>173600.73583878018</v>
      </c>
      <c r="F52" s="3"/>
      <c r="G52" s="29">
        <v>15.46</v>
      </c>
      <c r="H52" s="10"/>
      <c r="I52" s="10">
        <f t="shared" si="8"/>
        <v>236.12270527920481</v>
      </c>
      <c r="J52" s="10">
        <f t="shared" si="6"/>
        <v>1489438968.8374841</v>
      </c>
      <c r="K52" s="11">
        <f t="shared" si="7"/>
        <v>0.1872751800000001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6134301.6197448876</v>
      </c>
      <c r="D53" s="11">
        <v>2.87E-2</v>
      </c>
      <c r="E53" s="10">
        <f t="shared" si="2"/>
        <v>171142.66208484303</v>
      </c>
      <c r="F53" s="3"/>
      <c r="G53" s="29">
        <v>14.29</v>
      </c>
      <c r="H53" s="10"/>
      <c r="I53" s="10">
        <f t="shared" si="8"/>
        <v>204.50606727802253</v>
      </c>
      <c r="J53" s="10">
        <f t="shared" si="6"/>
        <v>1254501899.7512305</v>
      </c>
      <c r="K53" s="11">
        <f t="shared" si="7"/>
        <v>0.17570123000000004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5963158.9576600445</v>
      </c>
      <c r="D54" s="11">
        <v>2.9000000000000001E-2</v>
      </c>
      <c r="E54" s="10">
        <f t="shared" si="2"/>
        <v>168057.92980771698</v>
      </c>
      <c r="F54" s="3"/>
      <c r="G54" s="29">
        <v>5</v>
      </c>
      <c r="H54" s="10"/>
      <c r="I54" s="10">
        <f t="shared" si="8"/>
        <v>178.93609876456603</v>
      </c>
      <c r="J54" s="10">
        <f t="shared" si="6"/>
        <v>1067024400.1966643</v>
      </c>
      <c r="K54" s="11">
        <f t="shared" si="7"/>
        <v>8.044999999999991E-2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5795101.0278523276</v>
      </c>
      <c r="D55" s="11">
        <v>2.9100000000000001E-2</v>
      </c>
      <c r="E55" s="10">
        <f t="shared" si="2"/>
        <v>163868.85619522166</v>
      </c>
      <c r="F55" s="3"/>
      <c r="G55" s="29">
        <v>3.77</v>
      </c>
      <c r="H55" s="10"/>
      <c r="I55" s="10">
        <f t="shared" si="8"/>
        <v>170.41533215672953</v>
      </c>
      <c r="J55" s="10">
        <f t="shared" si="6"/>
        <v>987574066.54325914</v>
      </c>
      <c r="K55" s="11">
        <f t="shared" si="7"/>
        <v>6.7897070000000115E-2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5631232.1716571059</v>
      </c>
      <c r="D56" s="11">
        <v>2.9100000000000001E-2</v>
      </c>
      <c r="E56" s="10">
        <f t="shared" si="2"/>
        <v>159235.11436713766</v>
      </c>
      <c r="F56" s="3"/>
      <c r="G56" s="29">
        <v>12.17</v>
      </c>
      <c r="H56" s="10"/>
      <c r="I56" s="10">
        <f t="shared" si="8"/>
        <v>164.2240841830293</v>
      </c>
      <c r="J56" s="10">
        <f t="shared" si="6"/>
        <v>924783946.21239948</v>
      </c>
      <c r="K56" s="11">
        <f t="shared" si="7"/>
        <v>0.15434146999999965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5471997.0572899682</v>
      </c>
      <c r="D57" s="11">
        <v>2.8899999999999999E-2</v>
      </c>
      <c r="E57" s="10">
        <f t="shared" si="2"/>
        <v>153698.81908414792</v>
      </c>
      <c r="F57" s="3"/>
      <c r="G57" s="30">
        <v>8.8699999999999992</v>
      </c>
      <c r="H57" s="10"/>
      <c r="I57" s="10">
        <f t="shared" si="8"/>
        <v>146.40642255775103</v>
      </c>
      <c r="J57" s="10">
        <f t="shared" si="6"/>
        <v>801135513.4043653</v>
      </c>
      <c r="K57" s="11">
        <f t="shared" si="7"/>
        <v>0.12016342999999985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5318298.2382058203</v>
      </c>
      <c r="D58" s="11">
        <v>2.87E-2</v>
      </c>
      <c r="E58" s="10">
        <f t="shared" si="2"/>
        <v>148376.74680325296</v>
      </c>
      <c r="F58" s="3"/>
      <c r="G58" s="30">
        <v>3.73</v>
      </c>
      <c r="H58" s="10"/>
      <c r="I58" s="10">
        <f t="shared" si="8"/>
        <v>134.47820571117023</v>
      </c>
      <c r="J58" s="10">
        <f t="shared" si="6"/>
        <v>715195204.51079655</v>
      </c>
      <c r="K58" s="11">
        <f t="shared" si="7"/>
        <v>6.7070509999999972E-2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5169921.4914025674</v>
      </c>
      <c r="D59" s="11">
        <v>2.86E-2</v>
      </c>
      <c r="E59" s="10">
        <f t="shared" si="2"/>
        <v>143748.54623188172</v>
      </c>
      <c r="F59" s="3"/>
      <c r="G59" s="30">
        <v>3.73</v>
      </c>
      <c r="H59" s="10"/>
      <c r="I59" s="10">
        <f t="shared" si="8"/>
        <v>129.64253900623757</v>
      </c>
      <c r="J59" s="10">
        <f t="shared" si="6"/>
        <v>670241748.60834324</v>
      </c>
      <c r="K59" s="11">
        <f t="shared" si="7"/>
        <v>6.6966780000000004E-2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5026172.9451706856</v>
      </c>
      <c r="D60" s="11">
        <v>2.86E-2</v>
      </c>
      <c r="E60" s="10">
        <f t="shared" si="2"/>
        <v>139751.64906852134</v>
      </c>
      <c r="F60" s="3"/>
      <c r="G60" s="30">
        <v>3.76</v>
      </c>
      <c r="H60" s="10"/>
      <c r="I60" s="10">
        <f t="shared" si="8"/>
        <v>124.98075677840312</v>
      </c>
      <c r="J60" s="10">
        <f t="shared" si="6"/>
        <v>628174898.38656759</v>
      </c>
      <c r="K60" s="11">
        <f t="shared" si="7"/>
        <v>6.7275360000000006E-2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4886421.2961021643</v>
      </c>
      <c r="D61" s="11">
        <v>2.8799999999999999E-2</v>
      </c>
      <c r="E61" s="10">
        <f t="shared" si="2"/>
        <v>136789.39864671696</v>
      </c>
      <c r="F61" s="3"/>
      <c r="G61" s="30">
        <v>3.87</v>
      </c>
      <c r="H61" s="10"/>
      <c r="I61" s="10">
        <f t="shared" si="8"/>
        <v>120.45177021819883</v>
      </c>
      <c r="J61" s="10">
        <f t="shared" si="6"/>
        <v>588578095.14741123</v>
      </c>
      <c r="K61" s="11">
        <f t="shared" si="7"/>
        <v>6.861455999999988E-2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4749631.8974554474</v>
      </c>
      <c r="D62" s="11">
        <v>2.93E-2</v>
      </c>
      <c r="E62" s="10">
        <f t="shared" si="2"/>
        <v>135202.77333668061</v>
      </c>
      <c r="F62" s="3"/>
      <c r="G62" s="30">
        <v>3.44</v>
      </c>
      <c r="H62" s="10"/>
      <c r="I62" s="10">
        <f t="shared" si="8"/>
        <v>115.96396478116765</v>
      </c>
      <c r="J62" s="10">
        <f t="shared" si="6"/>
        <v>550786146.08003402</v>
      </c>
      <c r="K62" s="11">
        <f t="shared" si="7"/>
        <v>6.4707920000000252E-2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4614429.1241187667</v>
      </c>
      <c r="D63" s="11">
        <v>2.9899999999999999E-2</v>
      </c>
      <c r="E63" s="10">
        <f t="shared" si="2"/>
        <v>133965.85184110235</v>
      </c>
      <c r="F63" s="3"/>
      <c r="G63" s="30">
        <v>3.85</v>
      </c>
      <c r="H63" s="10"/>
      <c r="I63" s="10">
        <f t="shared" si="8"/>
        <v>112.10746788589293</v>
      </c>
      <c r="J63" s="10">
        <f t="shared" si="6"/>
        <v>517311964.84387368</v>
      </c>
      <c r="K63" s="11">
        <f t="shared" si="7"/>
        <v>6.9551150000000117E-2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4480463.2722776644</v>
      </c>
      <c r="D64" s="11">
        <v>3.0599999999999999E-2</v>
      </c>
      <c r="E64" s="10">
        <f t="shared" si="2"/>
        <v>133031.41483766399</v>
      </c>
      <c r="F64" s="3"/>
      <c r="G64" s="30">
        <v>3.64</v>
      </c>
      <c r="H64" s="10"/>
      <c r="I64" s="10">
        <f t="shared" si="8"/>
        <v>107.95134124785068</v>
      </c>
      <c r="J64" s="10">
        <f t="shared" si="6"/>
        <v>483672019.65410787</v>
      </c>
      <c r="K64" s="11">
        <f t="shared" si="7"/>
        <v>6.8113840000000092E-2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4347431.8574400004</v>
      </c>
      <c r="D65" s="11">
        <v>3.15E-2</v>
      </c>
      <c r="E65" s="10">
        <f t="shared" si="2"/>
        <v>132762.09744000062</v>
      </c>
      <c r="F65" s="3"/>
      <c r="G65" s="29">
        <v>5</v>
      </c>
      <c r="H65" s="10"/>
      <c r="I65" s="10">
        <f t="shared" si="8"/>
        <v>104.15992015423647</v>
      </c>
      <c r="J65" s="10">
        <f t="shared" si="6"/>
        <v>452828155.14693439</v>
      </c>
      <c r="K65" s="11">
        <f t="shared" si="7"/>
        <v>8.3075000000000232E-2</v>
      </c>
    </row>
    <row r="66" spans="1:11" ht="22.5" customHeight="1">
      <c r="A66" s="3">
        <f t="shared" si="0"/>
        <v>1951</v>
      </c>
      <c r="B66" s="3">
        <v>1701</v>
      </c>
      <c r="C66" s="10">
        <f>SUM(C67*(1+D66))</f>
        <v>4214669.76</v>
      </c>
      <c r="D66" s="11">
        <v>3.2399999999999998E-2</v>
      </c>
      <c r="E66" s="10">
        <f t="shared" si="2"/>
        <v>132269.75999999978</v>
      </c>
      <c r="F66" s="23">
        <f>SUM(F2)</f>
        <v>30421695</v>
      </c>
      <c r="G66" s="29">
        <v>3.77</v>
      </c>
      <c r="H66" s="10"/>
      <c r="I66" s="10">
        <f t="shared" si="8"/>
        <v>99.199923956415688</v>
      </c>
      <c r="J66" s="10">
        <f t="shared" ref="J66:J67" si="9">IF(I66="","",I66*C66)</f>
        <v>418094919.69340473</v>
      </c>
      <c r="K66" s="11">
        <f t="shared" ref="K66" si="10">IFERROR(J66/J67-1,"")</f>
        <v>7.1321479999999937E-2</v>
      </c>
    </row>
    <row r="67" spans="1:11" ht="22.5" customHeight="1">
      <c r="A67" s="3">
        <f t="shared" si="0"/>
        <v>1950</v>
      </c>
      <c r="B67" s="3">
        <v>1700</v>
      </c>
      <c r="C67" s="10">
        <v>4082400</v>
      </c>
      <c r="D67" s="11">
        <v>3.3399999999999999E-2</v>
      </c>
      <c r="E67" s="3" t="s">
        <v>72</v>
      </c>
      <c r="F67" s="10">
        <f>SUM(C2)</f>
        <v>30421561.63238572</v>
      </c>
      <c r="G67" s="29">
        <v>12.17</v>
      </c>
      <c r="H67" s="10"/>
      <c r="I67" s="10">
        <f t="shared" ref="I67" si="11">IF(H67&lt;&gt;"",H67,I66/(1+IF(G66="",0,G66)/100))</f>
        <v>95.595956400130746</v>
      </c>
      <c r="J67" s="10">
        <f t="shared" si="9"/>
        <v>390260932.40789378</v>
      </c>
      <c r="K67" s="11"/>
    </row>
  </sheetData>
  <dataValidations count="1">
    <dataValidation type="custom" allowBlank="1" showDropDown="1" sqref="D2:D67" xr:uid="{00000000-0002-0000-6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 summaryRight="0"/>
  </sheetPr>
  <dimension ref="A1:M67"/>
  <sheetViews>
    <sheetView topLeftCell="A38" workbookViewId="0">
      <selection activeCell="G67" sqref="G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21611932.671386287</v>
      </c>
      <c r="D2" s="11">
        <v>3.1199999999999999E-2</v>
      </c>
      <c r="E2" s="10">
        <f t="shared" ref="E2:E66" si="2">SUM(C2-C3)</f>
        <v>653890.90316839516</v>
      </c>
      <c r="F2" s="14">
        <v>21611863</v>
      </c>
      <c r="G2" s="29">
        <v>3.12</v>
      </c>
      <c r="H2" s="10"/>
      <c r="I2" s="10">
        <f>IF(H2&lt;&gt;"",H2,29208)</f>
        <v>3651</v>
      </c>
      <c r="J2" s="10">
        <f t="shared" ref="J2:J33" si="3">IF(I2="","",I2*C2)</f>
        <v>78905166183.231339</v>
      </c>
      <c r="K2" s="11">
        <f t="shared" ref="K2:K33" si="4">IFERROR(J2/J3-1,"")</f>
        <v>6.3373439999999892E-2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20958041.768217891</v>
      </c>
      <c r="D3" s="11">
        <v>3.1699999999999999E-2</v>
      </c>
      <c r="E3" s="10">
        <f t="shared" si="2"/>
        <v>643956.50291025266</v>
      </c>
      <c r="F3" s="3"/>
      <c r="G3" s="29">
        <v>1.71</v>
      </c>
      <c r="H3" s="10"/>
      <c r="I3" s="10">
        <f t="shared" ref="I3:I34" si="5">IF(H3&lt;&gt;"",H3,I2/(1+IF(G2="",0,G2)/100))</f>
        <v>3540.5352986811486</v>
      </c>
      <c r="J3" s="10">
        <f t="shared" si="3"/>
        <v>74202686671.609314</v>
      </c>
      <c r="K3" s="11">
        <f t="shared" si="4"/>
        <v>4.9342069999999794E-2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20314085.265307639</v>
      </c>
      <c r="D4" s="11">
        <v>3.2000000000000001E-2</v>
      </c>
      <c r="E4" s="10">
        <f t="shared" si="2"/>
        <v>629894.1167537272</v>
      </c>
      <c r="F4" s="3"/>
      <c r="G4" s="29">
        <v>1.79</v>
      </c>
      <c r="H4" s="10"/>
      <c r="I4" s="10">
        <f t="shared" si="5"/>
        <v>3481.0100272157592</v>
      </c>
      <c r="J4" s="10">
        <f t="shared" si="3"/>
        <v>70713534502.251801</v>
      </c>
      <c r="K4" s="11">
        <f t="shared" si="4"/>
        <v>5.0472800000000095E-2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19684191.148553912</v>
      </c>
      <c r="D5" s="11">
        <v>3.2399999999999998E-2</v>
      </c>
      <c r="E5" s="10">
        <f t="shared" si="2"/>
        <v>617752.60869153962</v>
      </c>
      <c r="F5" s="3"/>
      <c r="G5" s="29">
        <v>6.33</v>
      </c>
      <c r="H5" s="10"/>
      <c r="I5" s="10">
        <f t="shared" si="5"/>
        <v>3419.7956844638561</v>
      </c>
      <c r="J5" s="10">
        <f t="shared" si="3"/>
        <v>67315911941.986305</v>
      </c>
      <c r="K5" s="11">
        <f t="shared" si="4"/>
        <v>9.7750919999999741E-2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19066438.539862372</v>
      </c>
      <c r="D6" s="11">
        <v>3.3300000000000003E-2</v>
      </c>
      <c r="E6" s="10">
        <f t="shared" si="2"/>
        <v>614451.17911295593</v>
      </c>
      <c r="F6" s="3"/>
      <c r="G6" s="29">
        <v>4.62</v>
      </c>
      <c r="H6" s="10"/>
      <c r="I6" s="10">
        <f t="shared" si="5"/>
        <v>3216.2096157846859</v>
      </c>
      <c r="J6" s="10">
        <f t="shared" si="3"/>
        <v>61321662970.673088</v>
      </c>
      <c r="K6" s="11">
        <f t="shared" si="4"/>
        <v>8.1038460000000034E-2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18451987.360749416</v>
      </c>
      <c r="D7" s="11">
        <v>3.4599999999999999E-2</v>
      </c>
      <c r="E7" s="10">
        <f t="shared" si="2"/>
        <v>617087.53400534391</v>
      </c>
      <c r="F7" s="3"/>
      <c r="G7" s="29">
        <v>5.27</v>
      </c>
      <c r="H7" s="10"/>
      <c r="I7" s="10">
        <f t="shared" si="5"/>
        <v>3074.182389394653</v>
      </c>
      <c r="J7" s="10">
        <f t="shared" si="3"/>
        <v>56724774593.748573</v>
      </c>
      <c r="K7" s="11">
        <f t="shared" si="4"/>
        <v>8.9123419999999731E-2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17834899.826744072</v>
      </c>
      <c r="D8" s="11">
        <v>3.5400000000000001E-2</v>
      </c>
      <c r="E8" s="10">
        <f t="shared" si="2"/>
        <v>609769.60968393087</v>
      </c>
      <c r="F8" s="3"/>
      <c r="G8" s="29">
        <v>-1.25</v>
      </c>
      <c r="H8" s="10"/>
      <c r="I8" s="10">
        <f t="shared" si="5"/>
        <v>2920.2834515005729</v>
      </c>
      <c r="J8" s="10">
        <f t="shared" si="3"/>
        <v>52082962823.211151</v>
      </c>
      <c r="K8" s="11">
        <f t="shared" si="4"/>
        <v>2.2457500000000019E-2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17225130.217060141</v>
      </c>
      <c r="D9" s="11">
        <v>3.5700000000000003E-2</v>
      </c>
      <c r="E9" s="10">
        <f t="shared" si="2"/>
        <v>593740.60900747962</v>
      </c>
      <c r="F9" s="3"/>
      <c r="G9" s="29">
        <v>5.52</v>
      </c>
      <c r="H9" s="10"/>
      <c r="I9" s="10">
        <f t="shared" si="5"/>
        <v>2957.2490648107068</v>
      </c>
      <c r="J9" s="10">
        <f t="shared" si="3"/>
        <v>50939000225.643753</v>
      </c>
      <c r="K9" s="11">
        <f t="shared" si="4"/>
        <v>9.2870639999999893E-2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16631389.608052662</v>
      </c>
      <c r="D10" s="11">
        <v>3.5299999999999998E-2</v>
      </c>
      <c r="E10" s="10">
        <f t="shared" si="2"/>
        <v>567070.46572419256</v>
      </c>
      <c r="F10" s="3"/>
      <c r="G10" s="29">
        <v>4.1900000000000004</v>
      </c>
      <c r="H10" s="10"/>
      <c r="I10" s="10">
        <f t="shared" si="5"/>
        <v>2802.5483934900558</v>
      </c>
      <c r="J10" s="10">
        <f t="shared" si="3"/>
        <v>46610274227.555199</v>
      </c>
      <c r="K10" s="11">
        <f t="shared" si="4"/>
        <v>7.8679069999999962E-2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16064319.142328469</v>
      </c>
      <c r="D11" s="11">
        <v>3.44E-2</v>
      </c>
      <c r="E11" s="10">
        <f t="shared" si="2"/>
        <v>534234.89800473675</v>
      </c>
      <c r="F11" s="3"/>
      <c r="G11" s="29">
        <v>4.2300000000000004</v>
      </c>
      <c r="H11" s="10"/>
      <c r="I11" s="10">
        <f t="shared" si="5"/>
        <v>2689.8439327095266</v>
      </c>
      <c r="J11" s="10">
        <f t="shared" si="3"/>
        <v>43210511378.101738</v>
      </c>
      <c r="K11" s="11">
        <f t="shared" si="4"/>
        <v>7.8155119999999911E-2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15530084.244323732</v>
      </c>
      <c r="D12" s="11">
        <v>3.3000000000000002E-2</v>
      </c>
      <c r="E12" s="10">
        <f t="shared" si="2"/>
        <v>496120.79386513308</v>
      </c>
      <c r="F12" s="3"/>
      <c r="G12" s="29">
        <v>3.47</v>
      </c>
      <c r="H12" s="10"/>
      <c r="I12" s="10">
        <f t="shared" si="5"/>
        <v>2580.6811212794078</v>
      </c>
      <c r="J12" s="10">
        <f t="shared" si="3"/>
        <v>40078195221.205032</v>
      </c>
      <c r="K12" s="11">
        <f t="shared" si="4"/>
        <v>6.8845099999999881E-2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15033963.450458599</v>
      </c>
      <c r="D13" s="11">
        <v>3.1800000000000002E-2</v>
      </c>
      <c r="E13" s="10">
        <f t="shared" si="2"/>
        <v>463345.64617618173</v>
      </c>
      <c r="F13" s="3"/>
      <c r="G13" s="29">
        <v>1.69</v>
      </c>
      <c r="H13" s="10"/>
      <c r="I13" s="10">
        <f t="shared" si="5"/>
        <v>2494.1346489604794</v>
      </c>
      <c r="J13" s="10">
        <f t="shared" si="3"/>
        <v>37496729152.994232</v>
      </c>
      <c r="K13" s="11">
        <f t="shared" si="4"/>
        <v>4.9237419999999643E-2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14570617.804282418</v>
      </c>
      <c r="D14" s="11">
        <v>3.1E-2</v>
      </c>
      <c r="E14" s="10">
        <f t="shared" si="2"/>
        <v>438107.80982808396</v>
      </c>
      <c r="F14" s="3"/>
      <c r="G14" s="29">
        <v>4.5599999999999996</v>
      </c>
      <c r="H14" s="10"/>
      <c r="I14" s="10">
        <f t="shared" si="5"/>
        <v>2452.6842845515584</v>
      </c>
      <c r="J14" s="10">
        <f t="shared" si="3"/>
        <v>35737125304.770622</v>
      </c>
      <c r="K14" s="11">
        <f t="shared" si="4"/>
        <v>7.8013600000000016E-2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14132509.994454334</v>
      </c>
      <c r="D15" s="11">
        <v>3.0800000000000001E-2</v>
      </c>
      <c r="E15" s="10">
        <f t="shared" si="2"/>
        <v>422275.23072292656</v>
      </c>
      <c r="F15" s="3"/>
      <c r="G15" s="29">
        <v>0.72</v>
      </c>
      <c r="H15" s="10"/>
      <c r="I15" s="10">
        <f t="shared" si="5"/>
        <v>2345.7194764265096</v>
      </c>
      <c r="J15" s="10">
        <f t="shared" si="3"/>
        <v>33150903944.783833</v>
      </c>
      <c r="K15" s="11">
        <f t="shared" si="4"/>
        <v>3.8221760000000105E-2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13710234.763731407</v>
      </c>
      <c r="D16" s="11">
        <v>3.0200000000000001E-2</v>
      </c>
      <c r="E16" s="10">
        <f t="shared" si="2"/>
        <v>401911.36659356207</v>
      </c>
      <c r="F16" s="3"/>
      <c r="G16" s="29">
        <v>3.56</v>
      </c>
      <c r="H16" s="10"/>
      <c r="I16" s="10">
        <f t="shared" si="5"/>
        <v>2328.9510290175826</v>
      </c>
      <c r="J16" s="10">
        <f t="shared" si="3"/>
        <v>31930465361.064896</v>
      </c>
      <c r="K16" s="11">
        <f t="shared" si="4"/>
        <v>6.6875119999999955E-2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13308323.397137845</v>
      </c>
      <c r="D17" s="11">
        <v>2.81E-2</v>
      </c>
      <c r="E17" s="10">
        <f t="shared" si="2"/>
        <v>363742.71710881591</v>
      </c>
      <c r="F17" s="3"/>
      <c r="G17" s="29">
        <v>-6.88</v>
      </c>
      <c r="H17" s="10"/>
      <c r="I17" s="10">
        <f t="shared" si="5"/>
        <v>2248.8905262819453</v>
      </c>
      <c r="J17" s="10">
        <f t="shared" si="3"/>
        <v>29928962408.519653</v>
      </c>
      <c r="K17" s="11">
        <f t="shared" si="4"/>
        <v>-4.2633279999999885E-2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12944580.680029029</v>
      </c>
      <c r="D18" s="11">
        <v>2.6800000000000001E-2</v>
      </c>
      <c r="E18" s="10">
        <f t="shared" si="2"/>
        <v>337860.11124345288</v>
      </c>
      <c r="F18" s="3"/>
      <c r="G18" s="29">
        <v>0.48</v>
      </c>
      <c r="H18" s="10"/>
      <c r="I18" s="10">
        <f t="shared" si="5"/>
        <v>2415.0456682581025</v>
      </c>
      <c r="J18" s="10">
        <f t="shared" si="3"/>
        <v>31261753498.72163</v>
      </c>
      <c r="K18" s="11">
        <f t="shared" si="4"/>
        <v>3.1728639999999864E-2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12606720.568785576</v>
      </c>
      <c r="D19" s="11">
        <v>2.6200000000000001E-2</v>
      </c>
      <c r="E19" s="10">
        <f t="shared" si="2"/>
        <v>321863.26145213656</v>
      </c>
      <c r="F19" s="3"/>
      <c r="G19" s="29">
        <v>1.54</v>
      </c>
      <c r="H19" s="10"/>
      <c r="I19" s="10">
        <f t="shared" si="5"/>
        <v>2403.5088258938126</v>
      </c>
      <c r="J19" s="10">
        <f t="shared" si="3"/>
        <v>30300364152.653198</v>
      </c>
      <c r="K19" s="11">
        <f t="shared" si="4"/>
        <v>4.2003479999999982E-2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12284857.30733344</v>
      </c>
      <c r="D20" s="11">
        <v>2.5499999999999998E-2</v>
      </c>
      <c r="E20" s="10">
        <f t="shared" si="2"/>
        <v>305474.26751536131</v>
      </c>
      <c r="F20" s="3"/>
      <c r="G20" s="29">
        <v>3.7</v>
      </c>
      <c r="H20" s="10"/>
      <c r="I20" s="10">
        <f t="shared" si="5"/>
        <v>2367.056161014194</v>
      </c>
      <c r="J20" s="10">
        <f t="shared" si="3"/>
        <v>29078947176.50386</v>
      </c>
      <c r="K20" s="11">
        <f t="shared" si="4"/>
        <v>6.3443500000000208E-2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11979383.039818078</v>
      </c>
      <c r="D21" s="11">
        <v>2.4500000000000001E-2</v>
      </c>
      <c r="E21" s="10">
        <f t="shared" si="2"/>
        <v>286476.21715523861</v>
      </c>
      <c r="F21" s="3"/>
      <c r="G21" s="29">
        <v>5.6</v>
      </c>
      <c r="H21" s="10"/>
      <c r="I21" s="10">
        <f t="shared" si="5"/>
        <v>2282.5999624052015</v>
      </c>
      <c r="J21" s="10">
        <f t="shared" si="3"/>
        <v>27344139276.326252</v>
      </c>
      <c r="K21" s="11">
        <f t="shared" si="4"/>
        <v>8.1871999999999945E-2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11692906.82266284</v>
      </c>
      <c r="D22" s="11">
        <v>2.41E-2</v>
      </c>
      <c r="E22" s="10">
        <f t="shared" si="2"/>
        <v>275167.51726020314</v>
      </c>
      <c r="F22" s="3"/>
      <c r="G22" s="29">
        <v>3.29</v>
      </c>
      <c r="H22" s="10"/>
      <c r="I22" s="10">
        <f t="shared" si="5"/>
        <v>2161.5529947018954</v>
      </c>
      <c r="J22" s="10">
        <f t="shared" si="3"/>
        <v>25274837759.297085</v>
      </c>
      <c r="K22" s="11">
        <f t="shared" si="4"/>
        <v>5.7792889999999764E-2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11417739.305402637</v>
      </c>
      <c r="D23" s="11">
        <v>2.3900000000000001E-2</v>
      </c>
      <c r="E23" s="10">
        <f t="shared" si="2"/>
        <v>266514.27815130726</v>
      </c>
      <c r="F23" s="3"/>
      <c r="G23" s="29">
        <v>5.98</v>
      </c>
      <c r="H23" s="10"/>
      <c r="I23" s="10">
        <f t="shared" si="5"/>
        <v>2092.7030638995989</v>
      </c>
      <c r="J23" s="10">
        <f t="shared" si="3"/>
        <v>23893938027.222977</v>
      </c>
      <c r="K23" s="11">
        <f t="shared" si="4"/>
        <v>8.5129220000000227E-2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11151225.027251329</v>
      </c>
      <c r="D24" s="11">
        <v>2.3800000000000002E-2</v>
      </c>
      <c r="E24" s="10">
        <f t="shared" si="2"/>
        <v>259229.49369855598</v>
      </c>
      <c r="F24" s="3"/>
      <c r="G24" s="29">
        <v>3.51</v>
      </c>
      <c r="H24" s="10"/>
      <c r="I24" s="10">
        <f t="shared" si="5"/>
        <v>1974.6207434417802</v>
      </c>
      <c r="J24" s="10">
        <f t="shared" si="3"/>
        <v>22019440253.597607</v>
      </c>
      <c r="K24" s="11">
        <f t="shared" si="4"/>
        <v>5.9735380000000005E-2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10891995.533552773</v>
      </c>
      <c r="D25" s="11">
        <v>2.41E-2</v>
      </c>
      <c r="E25" s="10">
        <f t="shared" si="2"/>
        <v>256319.78552741185</v>
      </c>
      <c r="F25" s="3"/>
      <c r="G25" s="29">
        <v>6.96</v>
      </c>
      <c r="H25" s="10"/>
      <c r="I25" s="10">
        <f t="shared" si="5"/>
        <v>1907.6618137781668</v>
      </c>
      <c r="J25" s="10">
        <f t="shared" si="3"/>
        <v>20778243955.200974</v>
      </c>
      <c r="K25" s="11">
        <f t="shared" si="4"/>
        <v>9.5377359999999856E-2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10635675.748025361</v>
      </c>
      <c r="D26" s="11">
        <v>2.4799999999999999E-2</v>
      </c>
      <c r="E26" s="10">
        <f t="shared" si="2"/>
        <v>257381.69257516414</v>
      </c>
      <c r="F26" s="3"/>
      <c r="G26" s="29">
        <v>6.97</v>
      </c>
      <c r="H26" s="10"/>
      <c r="I26" s="10">
        <f t="shared" si="5"/>
        <v>1783.5282477357582</v>
      </c>
      <c r="J26" s="10">
        <f t="shared" si="3"/>
        <v>18969028130.361374</v>
      </c>
      <c r="K26" s="11">
        <f t="shared" si="4"/>
        <v>9.622856000000013E-2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10378294.055450197</v>
      </c>
      <c r="D27" s="11">
        <v>2.5600000000000001E-2</v>
      </c>
      <c r="E27" s="10">
        <f t="shared" si="2"/>
        <v>259052.58172730729</v>
      </c>
      <c r="F27" s="3"/>
      <c r="G27" s="29">
        <v>-0.05</v>
      </c>
      <c r="H27" s="10"/>
      <c r="I27" s="10">
        <f t="shared" si="5"/>
        <v>1667.3163015198261</v>
      </c>
      <c r="J27" s="10">
        <f t="shared" si="3"/>
        <v>17303898860.61842</v>
      </c>
      <c r="K27" s="11">
        <f t="shared" si="4"/>
        <v>2.5087200000000198E-2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10119241.47372289</v>
      </c>
      <c r="D28" s="11">
        <v>2.64E-2</v>
      </c>
      <c r="E28" s="10">
        <f t="shared" si="2"/>
        <v>260276.67079723626</v>
      </c>
      <c r="F28" s="3"/>
      <c r="G28" s="29">
        <v>5.8</v>
      </c>
      <c r="H28" s="10"/>
      <c r="I28" s="10">
        <f t="shared" si="5"/>
        <v>1668.1503767081801</v>
      </c>
      <c r="J28" s="10">
        <f t="shared" si="3"/>
        <v>16880416476.391878</v>
      </c>
      <c r="K28" s="11">
        <f t="shared" si="4"/>
        <v>8.5931199999999874E-2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9858964.8029256538</v>
      </c>
      <c r="D29" s="11">
        <v>2.75E-2</v>
      </c>
      <c r="E29" s="10">
        <f t="shared" si="2"/>
        <v>263865.23803450726</v>
      </c>
      <c r="F29" s="3"/>
      <c r="G29" s="29">
        <v>8.6</v>
      </c>
      <c r="H29" s="10"/>
      <c r="I29" s="10">
        <f t="shared" si="5"/>
        <v>1576.7016793082987</v>
      </c>
      <c r="J29" s="10">
        <f t="shared" si="3"/>
        <v>15544646361.014288</v>
      </c>
      <c r="K29" s="11">
        <f t="shared" si="4"/>
        <v>0.11586500000000011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9595099.5648911465</v>
      </c>
      <c r="D30" s="11">
        <v>2.8899999999999999E-2</v>
      </c>
      <c r="E30" s="10">
        <f t="shared" si="2"/>
        <v>269509.55139017664</v>
      </c>
      <c r="F30" s="3"/>
      <c r="G30" s="29">
        <v>0.73</v>
      </c>
      <c r="H30" s="10"/>
      <c r="I30" s="10">
        <f t="shared" si="5"/>
        <v>1451.8431669505512</v>
      </c>
      <c r="J30" s="10">
        <f t="shared" si="3"/>
        <v>13930579739.497417</v>
      </c>
      <c r="K30" s="11">
        <f t="shared" si="4"/>
        <v>3.6410969999999931E-2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9325590.0135009699</v>
      </c>
      <c r="D31" s="11">
        <v>2.9899999999999999E-2</v>
      </c>
      <c r="E31" s="10">
        <f t="shared" si="2"/>
        <v>270740.01495647989</v>
      </c>
      <c r="F31" s="3"/>
      <c r="G31" s="29">
        <v>4.68</v>
      </c>
      <c r="H31" s="10"/>
      <c r="I31" s="10">
        <f t="shared" si="5"/>
        <v>1441.3215198556052</v>
      </c>
      <c r="J31" s="10">
        <f t="shared" si="3"/>
        <v>13441173571.809471</v>
      </c>
      <c r="K31" s="11">
        <f t="shared" si="4"/>
        <v>7.8099319999999972E-2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9054849.99854449</v>
      </c>
      <c r="D32" s="11">
        <v>0.03</v>
      </c>
      <c r="E32" s="10">
        <f t="shared" si="2"/>
        <v>263733.49510323815</v>
      </c>
      <c r="F32" s="3"/>
      <c r="G32" s="29">
        <v>2.61</v>
      </c>
      <c r="H32" s="10"/>
      <c r="I32" s="10">
        <f t="shared" si="5"/>
        <v>1376.8833777757025</v>
      </c>
      <c r="J32" s="10">
        <f t="shared" si="3"/>
        <v>12467472451.248251</v>
      </c>
      <c r="K32" s="11">
        <f t="shared" si="4"/>
        <v>5.6883000000000017E-2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8791116.5034412518</v>
      </c>
      <c r="D33" s="11">
        <v>3.0800000000000001E-2</v>
      </c>
      <c r="E33" s="10">
        <f t="shared" si="2"/>
        <v>262675.96847690083</v>
      </c>
      <c r="F33" s="3"/>
      <c r="G33" s="29">
        <v>5.53</v>
      </c>
      <c r="H33" s="10"/>
      <c r="I33" s="10">
        <f t="shared" si="5"/>
        <v>1341.8608106185582</v>
      </c>
      <c r="J33" s="10">
        <f t="shared" si="3"/>
        <v>11796454717.549862</v>
      </c>
      <c r="K33" s="11">
        <f t="shared" si="4"/>
        <v>8.7803239999999727E-2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8528440.534964351</v>
      </c>
      <c r="D34" s="11">
        <v>3.2199999999999999E-2</v>
      </c>
      <c r="E34" s="10">
        <f t="shared" si="2"/>
        <v>266049.00719419867</v>
      </c>
      <c r="F34" s="3"/>
      <c r="G34" s="29">
        <v>0.69</v>
      </c>
      <c r="H34" s="10"/>
      <c r="I34" s="10">
        <f t="shared" si="5"/>
        <v>1271.5444050209023</v>
      </c>
      <c r="J34" s="10">
        <f t="shared" ref="J34:J65" si="6">IF(I34="","",I34*C34)</f>
        <v>10844290845.787392</v>
      </c>
      <c r="K34" s="11">
        <f t="shared" ref="K34:K65" si="7">IFERROR(J34/J35-1,"")</f>
        <v>5.2740780000000154E-2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8262391.5277701523</v>
      </c>
      <c r="D35" s="11">
        <v>3.2099999999999997E-2</v>
      </c>
      <c r="E35" s="10">
        <f t="shared" si="2"/>
        <v>256973.90566943306</v>
      </c>
      <c r="F35" s="3"/>
      <c r="G35" s="29">
        <v>1.76</v>
      </c>
      <c r="H35" s="10"/>
      <c r="I35" s="10">
        <f t="shared" ref="I35:I66" si="8">IF(H35&lt;&gt;"",H35,I34/(1+IF(G34="",0,G34)/100))</f>
        <v>1246.7343906470264</v>
      </c>
      <c r="J35" s="10">
        <f t="shared" si="6"/>
        <v>10301007666.661674</v>
      </c>
      <c r="K35" s="11">
        <f t="shared" si="7"/>
        <v>7.8131659999999936E-2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8005417.6221007193</v>
      </c>
      <c r="D36" s="11">
        <v>3.0599999999999999E-2</v>
      </c>
      <c r="E36" s="10">
        <f t="shared" si="2"/>
        <v>237692.39203986153</v>
      </c>
      <c r="F36" s="3"/>
      <c r="G36" s="29">
        <v>-4.11</v>
      </c>
      <c r="H36" s="10"/>
      <c r="I36" s="10">
        <f t="shared" si="8"/>
        <v>1193.5041074545534</v>
      </c>
      <c r="J36" s="10">
        <f t="shared" si="6"/>
        <v>9554498813.866272</v>
      </c>
      <c r="K36" s="11">
        <f t="shared" si="7"/>
        <v>3.7711139999999865E-2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7767725.2300608577</v>
      </c>
      <c r="D37" s="11">
        <v>2.9899999999999999E-2</v>
      </c>
      <c r="E37" s="10">
        <f t="shared" si="2"/>
        <v>225512.17048142571</v>
      </c>
      <c r="F37" s="3"/>
      <c r="G37" s="29">
        <v>-8.04</v>
      </c>
      <c r="H37" s="10"/>
      <c r="I37" s="10">
        <f t="shared" si="8"/>
        <v>1185.3253624536235</v>
      </c>
      <c r="J37" s="10">
        <f t="shared" si="6"/>
        <v>9207281723.7620411</v>
      </c>
      <c r="K37" s="11">
        <f t="shared" si="7"/>
        <v>1.6807400000000694E-3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7542213.059579432</v>
      </c>
      <c r="D38" s="11">
        <v>0.03</v>
      </c>
      <c r="E38" s="10">
        <f t="shared" si="2"/>
        <v>219676.10853143968</v>
      </c>
      <c r="F38" s="3"/>
      <c r="G38" s="29">
        <v>-0.81</v>
      </c>
      <c r="H38" s="10"/>
      <c r="I38" s="10">
        <f t="shared" si="8"/>
        <v>1218.7182422924361</v>
      </c>
      <c r="J38" s="10">
        <f t="shared" si="6"/>
        <v>9191832642.9657021</v>
      </c>
      <c r="K38" s="11">
        <f t="shared" si="7"/>
        <v>5.9766999999999904E-2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7322536.9510479923</v>
      </c>
      <c r="D39" s="11">
        <v>3.0300000000000001E-2</v>
      </c>
      <c r="E39" s="10">
        <f t="shared" si="2"/>
        <v>215347.83035693876</v>
      </c>
      <c r="F39" s="3"/>
      <c r="G39" s="29">
        <v>18.32</v>
      </c>
      <c r="H39" s="10"/>
      <c r="I39" s="10">
        <f t="shared" si="8"/>
        <v>1184.4865801267724</v>
      </c>
      <c r="J39" s="10">
        <f t="shared" si="6"/>
        <v>8673446750.9987602</v>
      </c>
      <c r="K39" s="11">
        <f t="shared" si="7"/>
        <v>0.21905096000000013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7107189.1206910536</v>
      </c>
      <c r="D40" s="11">
        <v>3.04E-2</v>
      </c>
      <c r="E40" s="10">
        <f t="shared" si="2"/>
        <v>209684.15107628889</v>
      </c>
      <c r="F40" s="3"/>
      <c r="G40" s="29">
        <v>21.81</v>
      </c>
      <c r="H40" s="10"/>
      <c r="I40" s="10">
        <f t="shared" si="8"/>
        <v>1001.0873733322958</v>
      </c>
      <c r="J40" s="10">
        <f t="shared" si="6"/>
        <v>7114917288.6084757</v>
      </c>
      <c r="K40" s="11">
        <f t="shared" si="7"/>
        <v>0.25513023999999995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6897504.9696147647</v>
      </c>
      <c r="D41" s="11">
        <v>3.0300000000000001E-2</v>
      </c>
      <c r="E41" s="10">
        <f t="shared" si="2"/>
        <v>202848.10305670928</v>
      </c>
      <c r="F41" s="3"/>
      <c r="G41" s="29">
        <v>11.05</v>
      </c>
      <c r="H41" s="10"/>
      <c r="I41" s="10">
        <f t="shared" si="8"/>
        <v>821.84334072103752</v>
      </c>
      <c r="J41" s="10">
        <f t="shared" si="6"/>
        <v>5668668526.8681564</v>
      </c>
      <c r="K41" s="11">
        <f t="shared" si="7"/>
        <v>0.14414814999999992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6694656.8665580554</v>
      </c>
      <c r="D42" s="11">
        <v>0.03</v>
      </c>
      <c r="E42" s="10">
        <f t="shared" si="2"/>
        <v>194990.00582207926</v>
      </c>
      <c r="F42" s="3"/>
      <c r="G42" s="29">
        <v>-13.51</v>
      </c>
      <c r="H42" s="10"/>
      <c r="I42" s="10">
        <f t="shared" si="8"/>
        <v>740.06604297256865</v>
      </c>
      <c r="J42" s="10">
        <f t="shared" si="6"/>
        <v>4954488216.2927561</v>
      </c>
      <c r="K42" s="11">
        <f t="shared" si="7"/>
        <v>-0.10915299999999994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6499666.8607359761</v>
      </c>
      <c r="D43" s="11">
        <v>2.93E-2</v>
      </c>
      <c r="E43" s="10">
        <f t="shared" si="2"/>
        <v>185019.17712966539</v>
      </c>
      <c r="F43" s="3"/>
      <c r="G43" s="29">
        <v>10.98</v>
      </c>
      <c r="H43" s="10"/>
      <c r="I43" s="10">
        <f t="shared" si="8"/>
        <v>855.6666007313778</v>
      </c>
      <c r="J43" s="10">
        <f t="shared" si="6"/>
        <v>5561547848.6123381</v>
      </c>
      <c r="K43" s="11">
        <f t="shared" si="7"/>
        <v>0.14231713999999984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6314647.6836063107</v>
      </c>
      <c r="D44" s="11">
        <v>2.8799999999999999E-2</v>
      </c>
      <c r="E44" s="10">
        <f t="shared" si="2"/>
        <v>176770.85272925906</v>
      </c>
      <c r="F44" s="3"/>
      <c r="G44" s="29">
        <v>26.4</v>
      </c>
      <c r="H44" s="10"/>
      <c r="I44" s="10">
        <f t="shared" si="8"/>
        <v>771.00973214216788</v>
      </c>
      <c r="J44" s="10">
        <f t="shared" si="6"/>
        <v>4868654819.1094627</v>
      </c>
      <c r="K44" s="11">
        <f t="shared" si="7"/>
        <v>0.30040320000000009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6137876.8308770517</v>
      </c>
      <c r="D45" s="11">
        <v>2.81E-2</v>
      </c>
      <c r="E45" s="10">
        <f t="shared" si="2"/>
        <v>167760.2752141282</v>
      </c>
      <c r="F45" s="3"/>
      <c r="G45" s="29">
        <v>-0.2</v>
      </c>
      <c r="H45" s="10"/>
      <c r="I45" s="10">
        <f t="shared" si="8"/>
        <v>609.97605390994295</v>
      </c>
      <c r="J45" s="10">
        <f t="shared" si="6"/>
        <v>3743957888.68365</v>
      </c>
      <c r="K45" s="11">
        <f t="shared" si="7"/>
        <v>2.6043800000000061E-2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5970116.5556629235</v>
      </c>
      <c r="D46" s="11">
        <v>2.76E-2</v>
      </c>
      <c r="E46" s="10">
        <f t="shared" si="2"/>
        <v>160349.56883641239</v>
      </c>
      <c r="F46" s="3"/>
      <c r="G46" s="29">
        <v>5.1100000000000003</v>
      </c>
      <c r="H46" s="10"/>
      <c r="I46" s="10">
        <f t="shared" si="8"/>
        <v>611.19845081156609</v>
      </c>
      <c r="J46" s="10">
        <f t="shared" si="6"/>
        <v>3648925989.9856615</v>
      </c>
      <c r="K46" s="11">
        <f t="shared" si="7"/>
        <v>8.0110360000000158E-2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5809766.9868265111</v>
      </c>
      <c r="D47" s="11">
        <v>2.93E-2</v>
      </c>
      <c r="E47" s="10">
        <f t="shared" si="2"/>
        <v>165380.52337901201</v>
      </c>
      <c r="F47" s="3"/>
      <c r="G47" s="29">
        <v>2.1800000000000002</v>
      </c>
      <c r="H47" s="10"/>
      <c r="I47" s="10">
        <f t="shared" si="8"/>
        <v>581.48458834703274</v>
      </c>
      <c r="J47" s="10">
        <f t="shared" si="6"/>
        <v>3378289964.7269945</v>
      </c>
      <c r="K47" s="11">
        <f t="shared" si="7"/>
        <v>5.1738740000000005E-2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5644386.4634474991</v>
      </c>
      <c r="D48" s="11">
        <v>3.1800000000000002E-2</v>
      </c>
      <c r="E48" s="10">
        <f t="shared" si="2"/>
        <v>173959.57505100872</v>
      </c>
      <c r="F48" s="3"/>
      <c r="G48" s="29">
        <v>1.55</v>
      </c>
      <c r="H48" s="10"/>
      <c r="I48" s="10">
        <f t="shared" si="8"/>
        <v>569.07867326975213</v>
      </c>
      <c r="J48" s="10">
        <f t="shared" si="6"/>
        <v>3212099960.040451</v>
      </c>
      <c r="K48" s="11">
        <f t="shared" si="7"/>
        <v>4.7792900000000138E-2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5470426.8883964904</v>
      </c>
      <c r="D49" s="11">
        <v>3.2300000000000002E-2</v>
      </c>
      <c r="E49" s="10">
        <f t="shared" si="2"/>
        <v>171166.12273099553</v>
      </c>
      <c r="F49" s="3"/>
      <c r="G49" s="29">
        <v>-0.37</v>
      </c>
      <c r="H49" s="10"/>
      <c r="I49" s="10">
        <f t="shared" si="8"/>
        <v>560.39258815337473</v>
      </c>
      <c r="J49" s="10">
        <f t="shared" si="6"/>
        <v>3065586682.2923217</v>
      </c>
      <c r="K49" s="11">
        <f t="shared" si="7"/>
        <v>2.8480489999999969E-2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5299260.7656654948</v>
      </c>
      <c r="D50" s="11">
        <v>3.2099999999999997E-2</v>
      </c>
      <c r="E50" s="10">
        <f t="shared" si="2"/>
        <v>164815.68702438008</v>
      </c>
      <c r="F50" s="3"/>
      <c r="G50" s="29">
        <v>10.91</v>
      </c>
      <c r="H50" s="10"/>
      <c r="I50" s="10">
        <f t="shared" si="8"/>
        <v>562.47374099505646</v>
      </c>
      <c r="J50" s="10">
        <f t="shared" si="6"/>
        <v>2980695027.3721981</v>
      </c>
      <c r="K50" s="11">
        <f t="shared" si="7"/>
        <v>0.14470210999999988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5134445.0786411148</v>
      </c>
      <c r="D51" s="11">
        <v>3.2000000000000001E-2</v>
      </c>
      <c r="E51" s="10">
        <f t="shared" si="2"/>
        <v>159207.59933770914</v>
      </c>
      <c r="F51" s="3"/>
      <c r="G51" s="29">
        <v>-0.41</v>
      </c>
      <c r="H51" s="10"/>
      <c r="I51" s="10">
        <f t="shared" si="8"/>
        <v>507.14429807506667</v>
      </c>
      <c r="J51" s="10">
        <f t="shared" si="6"/>
        <v>2603904545.4124289</v>
      </c>
      <c r="K51" s="11">
        <f t="shared" si="7"/>
        <v>2.7768800000000038E-2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4975237.4793034056</v>
      </c>
      <c r="D52" s="11">
        <v>3.1699999999999999E-2</v>
      </c>
      <c r="E52" s="10">
        <f t="shared" si="2"/>
        <v>152869.07831144519</v>
      </c>
      <c r="F52" s="3"/>
      <c r="G52" s="29">
        <v>2.15</v>
      </c>
      <c r="H52" s="10"/>
      <c r="I52" s="10">
        <f t="shared" si="8"/>
        <v>509.23214988961411</v>
      </c>
      <c r="J52" s="10">
        <f t="shared" si="6"/>
        <v>2533550877.7970576</v>
      </c>
      <c r="K52" s="11">
        <f t="shared" si="7"/>
        <v>5.3881550000000056E-2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4822368.4009919604</v>
      </c>
      <c r="D53" s="11">
        <v>3.1600000000000003E-2</v>
      </c>
      <c r="E53" s="10">
        <f t="shared" si="2"/>
        <v>147718.92348909099</v>
      </c>
      <c r="F53" s="3"/>
      <c r="G53" s="29">
        <v>8.25</v>
      </c>
      <c r="H53" s="10"/>
      <c r="I53" s="10">
        <f t="shared" si="8"/>
        <v>498.51409680823696</v>
      </c>
      <c r="J53" s="10">
        <f t="shared" si="6"/>
        <v>2404018627.897089</v>
      </c>
      <c r="K53" s="11">
        <f t="shared" si="7"/>
        <v>0.11670700000000012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4674649.4775028694</v>
      </c>
      <c r="D54" s="11">
        <v>3.1600000000000003E-2</v>
      </c>
      <c r="E54" s="10">
        <f t="shared" si="2"/>
        <v>143193.99330078624</v>
      </c>
      <c r="F54" s="3"/>
      <c r="G54" s="29">
        <v>10.62</v>
      </c>
      <c r="H54" s="10"/>
      <c r="I54" s="10">
        <f t="shared" si="8"/>
        <v>460.52110559652374</v>
      </c>
      <c r="J54" s="10">
        <f t="shared" si="6"/>
        <v>2152774745.6558332</v>
      </c>
      <c r="K54" s="11">
        <f t="shared" si="7"/>
        <v>0.1411559200000001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4531455.4842020832</v>
      </c>
      <c r="D55" s="11">
        <v>3.15E-2</v>
      </c>
      <c r="E55" s="10">
        <f t="shared" si="2"/>
        <v>138381.82040946744</v>
      </c>
      <c r="F55" s="3"/>
      <c r="G55" s="29">
        <v>15.33</v>
      </c>
      <c r="H55" s="10"/>
      <c r="I55" s="10">
        <f t="shared" si="8"/>
        <v>416.30908117566781</v>
      </c>
      <c r="J55" s="10">
        <f t="shared" si="6"/>
        <v>1886486069.0166101</v>
      </c>
      <c r="K55" s="11">
        <f t="shared" si="7"/>
        <v>0.18962894999999991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4393073.6637926158</v>
      </c>
      <c r="D56" s="11">
        <v>3.1300000000000001E-2</v>
      </c>
      <c r="E56" s="10">
        <f t="shared" si="2"/>
        <v>133329.97738457192</v>
      </c>
      <c r="F56" s="3"/>
      <c r="G56" s="29">
        <v>1.86</v>
      </c>
      <c r="H56" s="10"/>
      <c r="I56" s="10">
        <f t="shared" si="8"/>
        <v>360.97206379577545</v>
      </c>
      <c r="J56" s="10">
        <f t="shared" si="6"/>
        <v>1585776866.8260891</v>
      </c>
      <c r="K56" s="11">
        <f t="shared" si="7"/>
        <v>5.0482180000000154E-2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4259743.6864080438</v>
      </c>
      <c r="D57" s="11">
        <v>0.03</v>
      </c>
      <c r="E57" s="10">
        <f t="shared" si="2"/>
        <v>124070.20445848722</v>
      </c>
      <c r="F57" s="3"/>
      <c r="G57" s="30">
        <v>7.17</v>
      </c>
      <c r="H57" s="10"/>
      <c r="I57" s="10">
        <f t="shared" si="8"/>
        <v>354.38058491633171</v>
      </c>
      <c r="J57" s="10">
        <f t="shared" si="6"/>
        <v>1509570459.1829336</v>
      </c>
      <c r="K57" s="11">
        <f t="shared" si="7"/>
        <v>0.10385100000000036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4135673.4819495566</v>
      </c>
      <c r="D58" s="11">
        <v>0.03</v>
      </c>
      <c r="E58" s="10">
        <f t="shared" si="2"/>
        <v>120456.50918299705</v>
      </c>
      <c r="F58" s="3"/>
      <c r="G58" s="30">
        <v>3.01</v>
      </c>
      <c r="H58" s="10"/>
      <c r="I58" s="10">
        <f t="shared" si="8"/>
        <v>330.67144248981214</v>
      </c>
      <c r="J58" s="10">
        <f t="shared" si="6"/>
        <v>1367549115.9431238</v>
      </c>
      <c r="K58" s="11">
        <f t="shared" si="7"/>
        <v>6.1002999999999918E-2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4015216.9727665596</v>
      </c>
      <c r="D59" s="11">
        <v>2.9000000000000001E-2</v>
      </c>
      <c r="E59" s="10">
        <f t="shared" si="2"/>
        <v>113159.66201188508</v>
      </c>
      <c r="F59" s="3"/>
      <c r="G59" s="30">
        <v>3.88</v>
      </c>
      <c r="H59" s="10"/>
      <c r="I59" s="10">
        <f t="shared" si="8"/>
        <v>321.0090694979246</v>
      </c>
      <c r="J59" s="10">
        <f t="shared" si="6"/>
        <v>1288921064.260067</v>
      </c>
      <c r="K59" s="11">
        <f t="shared" si="7"/>
        <v>6.8925199999999798E-2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3902057.3107546745</v>
      </c>
      <c r="D60" s="11">
        <v>2.8000000000000001E-2</v>
      </c>
      <c r="E60" s="10">
        <f t="shared" si="2"/>
        <v>106281.71663534129</v>
      </c>
      <c r="F60" s="3"/>
      <c r="G60" s="30">
        <v>3.56</v>
      </c>
      <c r="H60" s="10"/>
      <c r="I60" s="10">
        <f t="shared" si="8"/>
        <v>309.01912735649267</v>
      </c>
      <c r="J60" s="10">
        <f t="shared" si="6"/>
        <v>1205810345.0644321</v>
      </c>
      <c r="K60" s="11">
        <f t="shared" si="7"/>
        <v>6.4596800000000343E-2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3795775.5941193332</v>
      </c>
      <c r="D61" s="11">
        <v>2.7E-2</v>
      </c>
      <c r="E61" s="10">
        <f t="shared" si="2"/>
        <v>99791.568686681334</v>
      </c>
      <c r="F61" s="3"/>
      <c r="G61" s="30">
        <v>4.05</v>
      </c>
      <c r="H61" s="10"/>
      <c r="I61" s="10">
        <f t="shared" si="8"/>
        <v>298.39622185833588</v>
      </c>
      <c r="J61" s="10">
        <f t="shared" si="6"/>
        <v>1132645096.3072891</v>
      </c>
      <c r="K61" s="11">
        <f t="shared" si="7"/>
        <v>6.8593499999999974E-2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3695984.0254326519</v>
      </c>
      <c r="D62" s="11">
        <v>2.5999999999999999E-2</v>
      </c>
      <c r="E62" s="10">
        <f t="shared" si="2"/>
        <v>93660.413899852894</v>
      </c>
      <c r="F62" s="3"/>
      <c r="G62" s="30">
        <v>3.26</v>
      </c>
      <c r="H62" s="10"/>
      <c r="I62" s="10">
        <f t="shared" si="8"/>
        <v>286.78156834054386</v>
      </c>
      <c r="J62" s="10">
        <f t="shared" si="6"/>
        <v>1059940095.3751724</v>
      </c>
      <c r="K62" s="11">
        <f t="shared" si="7"/>
        <v>5.9447599999999934E-2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3602323.611532799</v>
      </c>
      <c r="D63" s="11">
        <v>2.5000000000000001E-2</v>
      </c>
      <c r="E63" s="10">
        <f t="shared" si="2"/>
        <v>87861.5515007996</v>
      </c>
      <c r="F63" s="3"/>
      <c r="G63" s="30">
        <v>5.45</v>
      </c>
      <c r="H63" s="10"/>
      <c r="I63" s="10">
        <f t="shared" si="8"/>
        <v>277.72764704681759</v>
      </c>
      <c r="J63" s="10">
        <f t="shared" si="6"/>
        <v>1000464860.5321984</v>
      </c>
      <c r="K63" s="11">
        <f t="shared" si="7"/>
        <v>8.0862499999999837E-2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3514462.0600319994</v>
      </c>
      <c r="D64" s="11">
        <v>2.4E-2</v>
      </c>
      <c r="E64" s="10">
        <f t="shared" si="2"/>
        <v>82370.204532000236</v>
      </c>
      <c r="F64" s="3"/>
      <c r="G64" s="30">
        <v>4.04</v>
      </c>
      <c r="H64" s="10"/>
      <c r="I64" s="10">
        <f t="shared" si="8"/>
        <v>263.37377624164782</v>
      </c>
      <c r="J64" s="10">
        <f t="shared" si="6"/>
        <v>925617144.20862842</v>
      </c>
      <c r="K64" s="11">
        <f t="shared" si="7"/>
        <v>6.5369599999999917E-2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3432091.8554999991</v>
      </c>
      <c r="D65" s="11">
        <v>2.3E-2</v>
      </c>
      <c r="E65" s="10">
        <f t="shared" si="2"/>
        <v>77163.355499999598</v>
      </c>
      <c r="F65" s="3"/>
      <c r="G65" s="30">
        <v>3.02</v>
      </c>
      <c r="H65" s="10"/>
      <c r="I65" s="10">
        <f t="shared" si="8"/>
        <v>253.14665152023051</v>
      </c>
      <c r="J65" s="10">
        <f t="shared" si="6"/>
        <v>868822560.92967963</v>
      </c>
      <c r="K65" s="11">
        <f t="shared" si="7"/>
        <v>5.3894600000000015E-2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3354928.4999999995</v>
      </c>
      <c r="D66" s="11">
        <v>2.3E-2</v>
      </c>
      <c r="E66" s="10">
        <f t="shared" si="2"/>
        <v>75428.499999999534</v>
      </c>
      <c r="F66" s="23">
        <f>SUM(F2)</f>
        <v>21611863</v>
      </c>
      <c r="G66" s="30">
        <v>5.7</v>
      </c>
      <c r="H66" s="10"/>
      <c r="I66" s="10">
        <f t="shared" si="8"/>
        <v>245.7257343430698</v>
      </c>
      <c r="J66" s="10">
        <f t="shared" ref="J66:J67" si="9">IF(I66="","",I66*C66)</f>
        <v>824392269.33099353</v>
      </c>
      <c r="K66" s="11">
        <f t="shared" ref="K66" si="10">IFERROR(J66/J67-1,"")</f>
        <v>8.1310999999999689E-2</v>
      </c>
    </row>
    <row r="67" spans="1:11" ht="22.5" customHeight="1">
      <c r="A67" s="3">
        <f t="shared" si="0"/>
        <v>1950</v>
      </c>
      <c r="B67" s="3">
        <v>1700</v>
      </c>
      <c r="C67" s="10">
        <v>3279500</v>
      </c>
      <c r="D67" s="11">
        <v>2.1999999999999999E-2</v>
      </c>
      <c r="E67" s="3" t="s">
        <v>72</v>
      </c>
      <c r="F67" s="10">
        <f>SUM(C2)</f>
        <v>21611932.671386287</v>
      </c>
      <c r="G67" s="30">
        <v>3.56</v>
      </c>
      <c r="H67" s="10"/>
      <c r="I67" s="10">
        <f t="shared" ref="I67" si="11">IF(H67&lt;&gt;"",H67,I66/(1+IF(G66="",0,G66)/100))</f>
        <v>232.4746777134057</v>
      </c>
      <c r="J67" s="10">
        <f t="shared" si="9"/>
        <v>762400705.56111395</v>
      </c>
      <c r="K67" s="11"/>
    </row>
  </sheetData>
  <dataValidations count="1">
    <dataValidation type="custom" allowBlank="1" showDropDown="1" sqref="D2:D67" xr:uid="{00000000-0002-0000-6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 summaryRight="0"/>
  </sheetPr>
  <dimension ref="A1:M67"/>
  <sheetViews>
    <sheetView workbookViewId="0">
      <selection activeCell="I14" sqref="I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31490291.99996132</v>
      </c>
      <c r="D2" s="11">
        <v>1.7100000000000001E-2</v>
      </c>
      <c r="E2" s="10">
        <f t="shared" ref="E2:E66" si="2">SUM(C2-C3)</f>
        <v>529430.72775473073</v>
      </c>
      <c r="F2" s="14">
        <v>31491757</v>
      </c>
      <c r="G2" s="26">
        <v>4.88</v>
      </c>
      <c r="H2" s="10"/>
      <c r="I2" s="10">
        <f>IF(H2&lt;&gt;"",H2,64448)</f>
        <v>8056</v>
      </c>
      <c r="J2" s="10">
        <f t="shared" ref="J2:J33" si="3">IF(I2="","",I2*C2)</f>
        <v>253685792351.68839</v>
      </c>
      <c r="K2" s="11">
        <f t="shared" ref="K2:K33" si="4">IFERROR(J2/J3-1,"")</f>
        <v>6.6734479999999818E-2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30960861.27220659</v>
      </c>
      <c r="D3" s="11">
        <v>1.66E-2</v>
      </c>
      <c r="E3" s="10">
        <f t="shared" si="2"/>
        <v>505558.03375824168</v>
      </c>
      <c r="F3" s="3"/>
      <c r="G3" s="26">
        <v>5.01</v>
      </c>
      <c r="H3" s="10"/>
      <c r="I3" s="10">
        <f t="shared" ref="I3:I34" si="5">IF(H3&lt;&gt;"",H3,I2/(1+IF(G2="",0,G2)/100))</f>
        <v>7681.159420289855</v>
      </c>
      <c r="J3" s="10">
        <f t="shared" si="3"/>
        <v>237815311221.297</v>
      </c>
      <c r="K3" s="11">
        <f t="shared" si="4"/>
        <v>6.7531659999999993E-2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30455303.238448348</v>
      </c>
      <c r="D4" s="11">
        <v>1.6500000000000001E-2</v>
      </c>
      <c r="E4" s="10">
        <f t="shared" si="2"/>
        <v>494355.63544948027</v>
      </c>
      <c r="F4" s="3"/>
      <c r="G4" s="26">
        <v>5.56</v>
      </c>
      <c r="H4" s="10"/>
      <c r="I4" s="10">
        <f t="shared" si="5"/>
        <v>7314.6932866297066</v>
      </c>
      <c r="J4" s="10">
        <f t="shared" si="3"/>
        <v>222771202140.55008</v>
      </c>
      <c r="K4" s="11">
        <f t="shared" si="4"/>
        <v>7.3017400000000121E-2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29960947.602998868</v>
      </c>
      <c r="D5" s="11">
        <v>1.47E-2</v>
      </c>
      <c r="E5" s="10">
        <f t="shared" si="2"/>
        <v>434045.4614803195</v>
      </c>
      <c r="F5" s="3"/>
      <c r="G5" s="26">
        <v>6.03</v>
      </c>
      <c r="H5" s="10"/>
      <c r="I5" s="10">
        <f t="shared" si="5"/>
        <v>6929.4176644843747</v>
      </c>
      <c r="J5" s="10">
        <f t="shared" si="3"/>
        <v>207611919564.91113</v>
      </c>
      <c r="K5" s="11">
        <f t="shared" si="4"/>
        <v>7.5886409999999849E-2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29526902.141518548</v>
      </c>
      <c r="D6" s="11">
        <v>1.24E-2</v>
      </c>
      <c r="E6" s="10">
        <f t="shared" si="2"/>
        <v>361649.1372528933</v>
      </c>
      <c r="F6" s="3"/>
      <c r="G6" s="26">
        <v>6.17</v>
      </c>
      <c r="H6" s="10"/>
      <c r="I6" s="10">
        <f t="shared" si="5"/>
        <v>6535.3368522912142</v>
      </c>
      <c r="J6" s="10">
        <f t="shared" si="3"/>
        <v>192968251699.46255</v>
      </c>
      <c r="K6" s="11">
        <f t="shared" si="4"/>
        <v>7.4865080000000139E-2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29165253.004265655</v>
      </c>
      <c r="D7" s="11">
        <v>1.18E-2</v>
      </c>
      <c r="E7" s="10">
        <f t="shared" si="2"/>
        <v>340136.37621104717</v>
      </c>
      <c r="F7" s="3"/>
      <c r="G7" s="26">
        <v>6.22</v>
      </c>
      <c r="H7" s="10"/>
      <c r="I7" s="10">
        <f t="shared" si="5"/>
        <v>6155.5400322984024</v>
      </c>
      <c r="J7" s="10">
        <f t="shared" si="3"/>
        <v>179527882419.8685</v>
      </c>
      <c r="K7" s="11">
        <f t="shared" si="4"/>
        <v>7.4733960000000099E-2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28825116.628054608</v>
      </c>
      <c r="D8" s="11">
        <v>1.1900000000000001E-2</v>
      </c>
      <c r="E8" s="10">
        <f t="shared" si="2"/>
        <v>338984.96676929668</v>
      </c>
      <c r="F8" s="3"/>
      <c r="G8" s="26">
        <v>4.63</v>
      </c>
      <c r="H8" s="10"/>
      <c r="I8" s="10">
        <f t="shared" si="5"/>
        <v>5795.0857016554346</v>
      </c>
      <c r="J8" s="10">
        <f t="shared" si="3"/>
        <v>167044021219.78958</v>
      </c>
      <c r="K8" s="11">
        <f t="shared" si="4"/>
        <v>5.875097000000018E-2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28486131.661285311</v>
      </c>
      <c r="D9" s="11">
        <v>1.15E-2</v>
      </c>
      <c r="E9" s="10">
        <f t="shared" si="2"/>
        <v>323866.05447828397</v>
      </c>
      <c r="F9" s="3"/>
      <c r="G9" s="26">
        <v>6.01</v>
      </c>
      <c r="H9" s="10"/>
      <c r="I9" s="10">
        <f t="shared" si="5"/>
        <v>5538.6463745153724</v>
      </c>
      <c r="J9" s="10">
        <f t="shared" si="3"/>
        <v>157774609849.74545</v>
      </c>
      <c r="K9" s="11">
        <f t="shared" si="4"/>
        <v>7.2291150000000082E-2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28162265.606807027</v>
      </c>
      <c r="D10" s="11">
        <v>1.06E-2</v>
      </c>
      <c r="E10" s="10">
        <f t="shared" si="2"/>
        <v>295388.89316460863</v>
      </c>
      <c r="F10" s="3"/>
      <c r="G10" s="26">
        <v>6.35</v>
      </c>
      <c r="H10" s="10"/>
      <c r="I10" s="10">
        <f t="shared" si="5"/>
        <v>5224.6451981090204</v>
      </c>
      <c r="J10" s="10">
        <f t="shared" si="3"/>
        <v>147137845770.47516</v>
      </c>
      <c r="K10" s="11">
        <f t="shared" si="4"/>
        <v>7.4773100000000037E-2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27866876.713642418</v>
      </c>
      <c r="D11" s="11">
        <v>1.0200000000000001E-2</v>
      </c>
      <c r="E11" s="10">
        <f t="shared" si="2"/>
        <v>281372.14658399671</v>
      </c>
      <c r="F11" s="3"/>
      <c r="G11" s="26">
        <v>5.5</v>
      </c>
      <c r="H11" s="10"/>
      <c r="I11" s="10">
        <f t="shared" si="5"/>
        <v>4912.6894199426615</v>
      </c>
      <c r="J11" s="10">
        <f t="shared" si="3"/>
        <v>136901310397.95764</v>
      </c>
      <c r="K11" s="11">
        <f t="shared" si="4"/>
        <v>6.5760999999999958E-2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27585504.567058422</v>
      </c>
      <c r="D12" s="11">
        <v>1.01E-2</v>
      </c>
      <c r="E12" s="10">
        <f t="shared" si="2"/>
        <v>275827.73599375412</v>
      </c>
      <c r="F12" s="3"/>
      <c r="G12" s="26">
        <v>5.69</v>
      </c>
      <c r="H12" s="10"/>
      <c r="I12" s="10">
        <f t="shared" si="5"/>
        <v>4656.5776492347504</v>
      </c>
      <c r="J12" s="10">
        <f t="shared" si="3"/>
        <v>128454044009.82738</v>
      </c>
      <c r="K12" s="11">
        <f t="shared" si="4"/>
        <v>6.7574690000000048E-2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27309676.831064668</v>
      </c>
      <c r="D13" s="11">
        <v>1.01E-2</v>
      </c>
      <c r="E13" s="10">
        <f t="shared" si="2"/>
        <v>273069.7317035459</v>
      </c>
      <c r="F13" s="3"/>
      <c r="G13" s="26">
        <v>5.03</v>
      </c>
      <c r="H13" s="10"/>
      <c r="I13" s="10">
        <f t="shared" si="5"/>
        <v>4405.8829115666103</v>
      </c>
      <c r="J13" s="10">
        <f t="shared" si="3"/>
        <v>120323238470.39439</v>
      </c>
      <c r="K13" s="11">
        <f t="shared" si="4"/>
        <v>6.090802999999978E-2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27036607.099361122</v>
      </c>
      <c r="D14" s="11">
        <v>0.01</v>
      </c>
      <c r="E14" s="10">
        <f t="shared" si="2"/>
        <v>267689.17920159549</v>
      </c>
      <c r="F14" s="3"/>
      <c r="G14" s="26">
        <v>4.78</v>
      </c>
      <c r="H14" s="10"/>
      <c r="I14" s="10">
        <f t="shared" si="5"/>
        <v>4194.8804261321629</v>
      </c>
      <c r="J14" s="10">
        <f t="shared" si="3"/>
        <v>113415333910.13585</v>
      </c>
      <c r="K14" s="11">
        <f t="shared" si="4"/>
        <v>5.8278000000000052E-2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26768917.920159526</v>
      </c>
      <c r="D15" s="11">
        <v>9.4999999999999998E-3</v>
      </c>
      <c r="E15" s="10">
        <f t="shared" si="2"/>
        <v>251911.56041755155</v>
      </c>
      <c r="F15" s="3"/>
      <c r="G15" s="26">
        <v>4.5</v>
      </c>
      <c r="H15" s="10"/>
      <c r="I15" s="10">
        <f t="shared" si="5"/>
        <v>4003.512527325981</v>
      </c>
      <c r="J15" s="10">
        <f t="shared" si="3"/>
        <v>107169698236.31961</v>
      </c>
      <c r="K15" s="11">
        <f t="shared" si="4"/>
        <v>5.4927500000000018E-2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26517006.359741975</v>
      </c>
      <c r="D16" s="11">
        <v>8.6E-3</v>
      </c>
      <c r="E16" s="10">
        <f t="shared" si="2"/>
        <v>226101.77939101681</v>
      </c>
      <c r="F16" s="3"/>
      <c r="G16" s="26">
        <v>3.64</v>
      </c>
      <c r="H16" s="10"/>
      <c r="I16" s="10">
        <f t="shared" si="5"/>
        <v>3831.1124663406517</v>
      </c>
      <c r="J16" s="10">
        <f t="shared" si="3"/>
        <v>101589633634.84183</v>
      </c>
      <c r="K16" s="11">
        <f t="shared" si="4"/>
        <v>4.5313039999999916E-2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26290904.580350958</v>
      </c>
      <c r="D17" s="11">
        <v>9.1000000000000004E-3</v>
      </c>
      <c r="E17" s="10">
        <f t="shared" si="2"/>
        <v>237089.71527221799</v>
      </c>
      <c r="F17" s="3"/>
      <c r="G17" s="26">
        <v>4.92</v>
      </c>
      <c r="H17" s="10"/>
      <c r="I17" s="10">
        <f t="shared" si="5"/>
        <v>3696.5577637404976</v>
      </c>
      <c r="J17" s="10">
        <f t="shared" si="3"/>
        <v>97185847442.256943</v>
      </c>
      <c r="K17" s="11">
        <f t="shared" si="4"/>
        <v>5.8747719999999948E-2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26053814.86507874</v>
      </c>
      <c r="D18" s="11">
        <v>1.09E-2</v>
      </c>
      <c r="E18" s="10">
        <f t="shared" si="2"/>
        <v>280924.50492566451</v>
      </c>
      <c r="F18" s="3"/>
      <c r="G18" s="26">
        <v>0.79</v>
      </c>
      <c r="H18" s="10"/>
      <c r="I18" s="10">
        <f t="shared" si="5"/>
        <v>3523.2155582734445</v>
      </c>
      <c r="J18" s="10">
        <f t="shared" si="3"/>
        <v>91793205885.021362</v>
      </c>
      <c r="K18" s="11">
        <f t="shared" si="4"/>
        <v>1.8886109999999956E-2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25772890.360153075</v>
      </c>
      <c r="D19" s="11">
        <v>1.21E-2</v>
      </c>
      <c r="E19" s="10">
        <f t="shared" si="2"/>
        <v>308123.67686775327</v>
      </c>
      <c r="F19" s="3"/>
      <c r="G19" s="26">
        <v>-13.13</v>
      </c>
      <c r="H19" s="10"/>
      <c r="I19" s="10">
        <f t="shared" si="5"/>
        <v>3495.6003157787918</v>
      </c>
      <c r="J19" s="10">
        <f t="shared" si="3"/>
        <v>90091723681.483276</v>
      </c>
      <c r="K19" s="11">
        <f t="shared" si="4"/>
        <v>-0.1207887299999999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25464766.683285322</v>
      </c>
      <c r="D20" s="11">
        <v>1.2E-2</v>
      </c>
      <c r="E20" s="10">
        <f t="shared" si="2"/>
        <v>301953.75513777137</v>
      </c>
      <c r="F20" s="3"/>
      <c r="G20" s="26">
        <v>4.7</v>
      </c>
      <c r="H20" s="10"/>
      <c r="I20" s="10">
        <f t="shared" si="5"/>
        <v>4023.9441876122846</v>
      </c>
      <c r="J20" s="10">
        <f t="shared" si="3"/>
        <v>102468799884.10893</v>
      </c>
      <c r="K20" s="11">
        <f t="shared" si="4"/>
        <v>5.956399999999995E-2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25162812.928147551</v>
      </c>
      <c r="D21" s="11">
        <v>1.2999999999999999E-2</v>
      </c>
      <c r="E21" s="10">
        <f t="shared" si="2"/>
        <v>322918.62592884153</v>
      </c>
      <c r="F21" s="3"/>
      <c r="G21" s="26">
        <v>7.82</v>
      </c>
      <c r="H21" s="10"/>
      <c r="I21" s="10">
        <f t="shared" si="5"/>
        <v>3843.308679667894</v>
      </c>
      <c r="J21" s="10">
        <f t="shared" si="3"/>
        <v>96708457331.608978</v>
      </c>
      <c r="K21" s="11">
        <f t="shared" si="4"/>
        <v>9.2216599999999982E-2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24839894.302218709</v>
      </c>
      <c r="D22" s="11">
        <v>1.21E-2</v>
      </c>
      <c r="E22" s="10">
        <f t="shared" si="2"/>
        <v>296969.39142065495</v>
      </c>
      <c r="F22" s="3"/>
      <c r="G22" s="26">
        <v>8.2200000000000006</v>
      </c>
      <c r="H22" s="10"/>
      <c r="I22" s="10">
        <f t="shared" si="5"/>
        <v>3564.5600813094916</v>
      </c>
      <c r="J22" s="10">
        <f t="shared" si="3"/>
        <v>88543295653.635895</v>
      </c>
      <c r="K22" s="11">
        <f t="shared" si="4"/>
        <v>9.5294619999999775E-2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24542924.910798054</v>
      </c>
      <c r="D23" s="11">
        <v>1.6199999999999999E-2</v>
      </c>
      <c r="E23" s="10">
        <f t="shared" si="2"/>
        <v>391257.01983362436</v>
      </c>
      <c r="F23" s="3"/>
      <c r="G23" s="26">
        <v>7.54</v>
      </c>
      <c r="H23" s="10"/>
      <c r="I23" s="10">
        <f t="shared" si="5"/>
        <v>3293.8089829139635</v>
      </c>
      <c r="J23" s="10">
        <f t="shared" si="3"/>
        <v>80839706538.169525</v>
      </c>
      <c r="K23" s="11">
        <f t="shared" si="4"/>
        <v>9.2821480000000012E-2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24151667.89096443</v>
      </c>
      <c r="D24" s="11">
        <v>1.9900000000000001E-2</v>
      </c>
      <c r="E24" s="10">
        <f t="shared" si="2"/>
        <v>471240.50498107076</v>
      </c>
      <c r="F24" s="3"/>
      <c r="G24" s="26">
        <v>6.5</v>
      </c>
      <c r="H24" s="10"/>
      <c r="I24" s="10">
        <f t="shared" si="5"/>
        <v>3062.8686841305225</v>
      </c>
      <c r="J24" s="10">
        <f t="shared" si="3"/>
        <v>73973387252.755615</v>
      </c>
      <c r="K24" s="11">
        <f t="shared" si="4"/>
        <v>8.6193500000000034E-2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23680427.385983359</v>
      </c>
      <c r="D25" s="11">
        <v>1.7999999999999999E-2</v>
      </c>
      <c r="E25" s="10">
        <f t="shared" si="2"/>
        <v>418710.89680520818</v>
      </c>
      <c r="F25" s="3"/>
      <c r="G25" s="26">
        <v>6.5</v>
      </c>
      <c r="H25" s="10"/>
      <c r="I25" s="10">
        <f t="shared" si="5"/>
        <v>2875.9330367422749</v>
      </c>
      <c r="J25" s="10">
        <f t="shared" si="3"/>
        <v>68103323443.526054</v>
      </c>
      <c r="K25" s="11">
        <f t="shared" si="4"/>
        <v>8.4170000000000078E-2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23261716.489178151</v>
      </c>
      <c r="D26" s="11">
        <v>2.2800000000000001E-2</v>
      </c>
      <c r="E26" s="10">
        <f t="shared" si="2"/>
        <v>518544.32533560693</v>
      </c>
      <c r="F26" s="3"/>
      <c r="G26" s="26">
        <v>6.91</v>
      </c>
      <c r="H26" s="10"/>
      <c r="I26" s="10">
        <f t="shared" si="5"/>
        <v>2700.4066072697419</v>
      </c>
      <c r="J26" s="10">
        <f t="shared" si="3"/>
        <v>62816092903.81218</v>
      </c>
      <c r="K26" s="11">
        <f t="shared" si="4"/>
        <v>9.3475479999999722E-2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22743172.163842544</v>
      </c>
      <c r="D27" s="11">
        <v>2.7799999999999998E-2</v>
      </c>
      <c r="E27" s="10">
        <f t="shared" si="2"/>
        <v>615158.77228529379</v>
      </c>
      <c r="F27" s="3"/>
      <c r="G27" s="26">
        <v>1.24</v>
      </c>
      <c r="H27" s="10"/>
      <c r="I27" s="10">
        <f t="shared" si="5"/>
        <v>2525.8690555324497</v>
      </c>
      <c r="J27" s="10">
        <f t="shared" si="3"/>
        <v>57446274793.296867</v>
      </c>
      <c r="K27" s="11">
        <f t="shared" si="4"/>
        <v>4.0544720000000201E-2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22128013.39155725</v>
      </c>
      <c r="D28" s="11">
        <v>2.9399999999999999E-2</v>
      </c>
      <c r="E28" s="10">
        <f t="shared" si="2"/>
        <v>631983.28512899205</v>
      </c>
      <c r="F28" s="3"/>
      <c r="G28" s="26">
        <v>7.46</v>
      </c>
      <c r="H28" s="10"/>
      <c r="I28" s="10">
        <f t="shared" si="5"/>
        <v>2494.9318999727871</v>
      </c>
      <c r="J28" s="10">
        <f t="shared" si="3"/>
        <v>55207886493.621208</v>
      </c>
      <c r="K28" s="11">
        <f t="shared" si="4"/>
        <v>0.10619324000000008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21496030.106428258</v>
      </c>
      <c r="D29" s="11">
        <v>3.0499999999999999E-2</v>
      </c>
      <c r="E29" s="10">
        <f t="shared" si="2"/>
        <v>636224.0836934112</v>
      </c>
      <c r="F29" s="3"/>
      <c r="G29" s="26">
        <v>5.78</v>
      </c>
      <c r="H29" s="10"/>
      <c r="I29" s="10">
        <f t="shared" si="5"/>
        <v>2321.7307835220427</v>
      </c>
      <c r="J29" s="10">
        <f t="shared" si="3"/>
        <v>49907994821.611099</v>
      </c>
      <c r="K29" s="11">
        <f t="shared" si="4"/>
        <v>9.0062900000000168E-2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20859806.022734847</v>
      </c>
      <c r="D30" s="11">
        <v>3.1199999999999999E-2</v>
      </c>
      <c r="E30" s="10">
        <f t="shared" si="2"/>
        <v>631134.54995085672</v>
      </c>
      <c r="F30" s="3"/>
      <c r="G30" s="26">
        <v>4.93</v>
      </c>
      <c r="H30" s="10"/>
      <c r="I30" s="10">
        <f t="shared" si="5"/>
        <v>2194.867445190057</v>
      </c>
      <c r="J30" s="10">
        <f t="shared" si="3"/>
        <v>45784509152.280197</v>
      </c>
      <c r="K30" s="11">
        <f t="shared" si="4"/>
        <v>8.2038159999999749E-2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20228671.47278399</v>
      </c>
      <c r="D31" s="11">
        <v>3.2000000000000001E-2</v>
      </c>
      <c r="E31" s="10">
        <f t="shared" si="2"/>
        <v>627245.62706306949</v>
      </c>
      <c r="F31" s="3"/>
      <c r="G31" s="26">
        <v>5.88</v>
      </c>
      <c r="H31" s="10"/>
      <c r="I31" s="10">
        <f t="shared" si="5"/>
        <v>2091.7444440961185</v>
      </c>
      <c r="J31" s="10">
        <f t="shared" si="3"/>
        <v>42313211164.641556</v>
      </c>
      <c r="K31" s="11">
        <f t="shared" si="4"/>
        <v>9.268159999999992E-2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19601425.845720921</v>
      </c>
      <c r="D32" s="11">
        <v>3.3300000000000003E-2</v>
      </c>
      <c r="E32" s="10">
        <f t="shared" si="2"/>
        <v>631692.132645417</v>
      </c>
      <c r="F32" s="3"/>
      <c r="G32" s="26">
        <v>2.46</v>
      </c>
      <c r="H32" s="10"/>
      <c r="I32" s="10">
        <f t="shared" si="5"/>
        <v>1975.5803212090277</v>
      </c>
      <c r="J32" s="10">
        <f t="shared" si="3"/>
        <v>38724191168.444275</v>
      </c>
      <c r="K32" s="11">
        <f t="shared" si="4"/>
        <v>5.8719179999999982E-2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18969733.713075504</v>
      </c>
      <c r="D33" s="11">
        <v>3.4599999999999999E-2</v>
      </c>
      <c r="E33" s="10">
        <f t="shared" si="2"/>
        <v>634402.46131104976</v>
      </c>
      <c r="F33" s="3"/>
      <c r="G33" s="26">
        <v>6.98</v>
      </c>
      <c r="H33" s="10"/>
      <c r="I33" s="10">
        <f t="shared" si="5"/>
        <v>1928.1478832803316</v>
      </c>
      <c r="J33" s="10">
        <f t="shared" si="3"/>
        <v>36576451905.25808</v>
      </c>
      <c r="K33" s="11">
        <f t="shared" si="4"/>
        <v>0.10681508000000006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18335331.251764454</v>
      </c>
      <c r="D34" s="11">
        <v>3.49E-2</v>
      </c>
      <c r="E34" s="10">
        <f t="shared" si="2"/>
        <v>618323.56815787032</v>
      </c>
      <c r="F34" s="3"/>
      <c r="G34" s="26">
        <v>2.89</v>
      </c>
      <c r="H34" s="10"/>
      <c r="I34" s="10">
        <f t="shared" si="5"/>
        <v>1802.3442543282215</v>
      </c>
      <c r="J34" s="10">
        <f t="shared" ref="J34:J65" si="6">IF(I34="","",I34*C34)</f>
        <v>33046578932.822342</v>
      </c>
      <c r="K34" s="11">
        <f t="shared" ref="K34:K65" si="7">IFERROR(J34/J35-1,"")</f>
        <v>7.8262310000000168E-2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17717007.683606584</v>
      </c>
      <c r="D35" s="11">
        <v>3.4599999999999999E-2</v>
      </c>
      <c r="E35" s="10">
        <f t="shared" si="2"/>
        <v>592507.69945175573</v>
      </c>
      <c r="F35" s="3"/>
      <c r="G35" s="26">
        <v>-0.45</v>
      </c>
      <c r="H35" s="10"/>
      <c r="I35" s="10">
        <f t="shared" ref="I35:I66" si="8">IF(H35&lt;&gt;"",H35,I34/(1+IF(G34="",0,G34)/100))</f>
        <v>1729.8629948442474</v>
      </c>
      <c r="J35" s="10">
        <f t="shared" si="6"/>
        <v>30647995971.242226</v>
      </c>
      <c r="K35" s="11">
        <f t="shared" si="7"/>
        <v>5.7878499999999944E-2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17124499.984154828</v>
      </c>
      <c r="D36" s="11">
        <v>3.4000000000000002E-2</v>
      </c>
      <c r="E36" s="10">
        <f t="shared" si="2"/>
        <v>563088.0072159227</v>
      </c>
      <c r="F36" s="3"/>
      <c r="G36" s="26">
        <v>3.13</v>
      </c>
      <c r="H36" s="10"/>
      <c r="I36" s="10">
        <f t="shared" si="8"/>
        <v>1691.7975499699241</v>
      </c>
      <c r="J36" s="10">
        <f t="shared" si="6"/>
        <v>28971187117.653141</v>
      </c>
      <c r="K36" s="11">
        <f t="shared" si="7"/>
        <v>0.11599619999999988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16561411.976938905</v>
      </c>
      <c r="D37" s="11">
        <v>3.04E-2</v>
      </c>
      <c r="E37" s="10">
        <f t="shared" si="2"/>
        <v>488613.08627614751</v>
      </c>
      <c r="F37" s="3"/>
      <c r="G37" s="26">
        <v>4.58</v>
      </c>
      <c r="H37" s="10"/>
      <c r="I37" s="10">
        <f t="shared" si="8"/>
        <v>1567.4951820345818</v>
      </c>
      <c r="J37" s="10">
        <f t="shared" si="6"/>
        <v>25959933481.541553</v>
      </c>
      <c r="K37" s="11">
        <f t="shared" si="7"/>
        <v>0.1322035199999998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16072798.890662758</v>
      </c>
      <c r="D38" s="11">
        <v>2.7099999999999999E-2</v>
      </c>
      <c r="E38" s="10">
        <f t="shared" si="2"/>
        <v>424080.27449806221</v>
      </c>
      <c r="F38" s="3"/>
      <c r="G38" s="26">
        <v>-11.02</v>
      </c>
      <c r="H38" s="10"/>
      <c r="I38" s="10">
        <f t="shared" si="8"/>
        <v>1426.5518584224444</v>
      </c>
      <c r="J38" s="10">
        <f t="shared" si="6"/>
        <v>22928681127.525162</v>
      </c>
      <c r="K38" s="11">
        <f t="shared" si="7"/>
        <v>-4.8083720000000052E-2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15648718.616164695</v>
      </c>
      <c r="D39" s="11">
        <v>2.7300000000000001E-2</v>
      </c>
      <c r="E39" s="10">
        <f t="shared" si="2"/>
        <v>415857.1188759841</v>
      </c>
      <c r="F39" s="3"/>
      <c r="G39" s="26">
        <v>6.77</v>
      </c>
      <c r="H39" s="10"/>
      <c r="I39" s="10">
        <f t="shared" si="8"/>
        <v>1539.2229806025512</v>
      </c>
      <c r="J39" s="10">
        <f t="shared" si="6"/>
        <v>24086867310.983654</v>
      </c>
      <c r="K39" s="11">
        <f t="shared" si="7"/>
        <v>9.6848210000000323E-2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15232861.497288711</v>
      </c>
      <c r="D40" s="11">
        <v>2.7E-2</v>
      </c>
      <c r="E40" s="10">
        <f t="shared" si="2"/>
        <v>400474.45026951656</v>
      </c>
      <c r="F40" s="3"/>
      <c r="G40" s="26">
        <v>8.76</v>
      </c>
      <c r="H40" s="10"/>
      <c r="I40" s="10">
        <f t="shared" si="8"/>
        <v>1441.6249701250829</v>
      </c>
      <c r="J40" s="10">
        <f t="shared" si="6"/>
        <v>21960073500.948364</v>
      </c>
      <c r="K40" s="11">
        <f t="shared" si="7"/>
        <v>0.11696519999999988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14832387.047019195</v>
      </c>
      <c r="D41" s="11">
        <v>2.7099999999999999E-2</v>
      </c>
      <c r="E41" s="10">
        <f t="shared" si="2"/>
        <v>391352.04846092686</v>
      </c>
      <c r="F41" s="3"/>
      <c r="G41" s="26">
        <v>6.89</v>
      </c>
      <c r="H41" s="10"/>
      <c r="I41" s="10">
        <f t="shared" si="8"/>
        <v>1325.5102704349788</v>
      </c>
      <c r="J41" s="10">
        <f t="shared" si="6"/>
        <v>19660481365.89069</v>
      </c>
      <c r="K41" s="11">
        <f t="shared" si="7"/>
        <v>9.7867189999999882E-2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14441034.998558268</v>
      </c>
      <c r="D42" s="11">
        <v>2.7699999999999999E-2</v>
      </c>
      <c r="E42" s="10">
        <f t="shared" si="2"/>
        <v>389234.86373461597</v>
      </c>
      <c r="F42" s="3"/>
      <c r="G42" s="26">
        <v>-4.9800000000000004</v>
      </c>
      <c r="H42" s="10"/>
      <c r="I42" s="10">
        <f t="shared" si="8"/>
        <v>1240.0694830526511</v>
      </c>
      <c r="J42" s="10">
        <f t="shared" si="6"/>
        <v>17907886805.407394</v>
      </c>
      <c r="K42" s="11">
        <f t="shared" si="7"/>
        <v>-2.3479459999999897E-2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14051800.134823652</v>
      </c>
      <c r="D43" s="11">
        <v>2.8199999999999999E-2</v>
      </c>
      <c r="E43" s="10">
        <f t="shared" si="2"/>
        <v>385392.68994556181</v>
      </c>
      <c r="F43" s="3"/>
      <c r="G43" s="26">
        <v>7.63</v>
      </c>
      <c r="H43" s="10"/>
      <c r="I43" s="10">
        <f t="shared" si="8"/>
        <v>1305.0615481505483</v>
      </c>
      <c r="J43" s="10">
        <f t="shared" si="6"/>
        <v>18338464038.255039</v>
      </c>
      <c r="K43" s="11">
        <f t="shared" si="7"/>
        <v>0.10665165999999981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13666407.44487809</v>
      </c>
      <c r="D44" s="11">
        <v>2.86E-2</v>
      </c>
      <c r="E44" s="10">
        <f t="shared" si="2"/>
        <v>379991.49613407813</v>
      </c>
      <c r="F44" s="3"/>
      <c r="G44" s="26">
        <v>8.1</v>
      </c>
      <c r="H44" s="10"/>
      <c r="I44" s="10">
        <f t="shared" si="8"/>
        <v>1212.5444096911162</v>
      </c>
      <c r="J44" s="10">
        <f t="shared" si="6"/>
        <v>16571125947.84798</v>
      </c>
      <c r="K44" s="11">
        <f t="shared" si="7"/>
        <v>0.11191660000000003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13286415.948744012</v>
      </c>
      <c r="D45" s="11">
        <v>2.87E-2</v>
      </c>
      <c r="E45" s="10">
        <f t="shared" si="2"/>
        <v>370681.5764838662</v>
      </c>
      <c r="F45" s="3"/>
      <c r="G45" s="26">
        <v>-4.3</v>
      </c>
      <c r="H45" s="10"/>
      <c r="I45" s="10">
        <f t="shared" si="8"/>
        <v>1121.6877055421983</v>
      </c>
      <c r="J45" s="10">
        <f t="shared" si="6"/>
        <v>14903209420.42594</v>
      </c>
      <c r="K45" s="11">
        <f t="shared" si="7"/>
        <v>-1.5534099999999995E-2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12915734.372260146</v>
      </c>
      <c r="D46" s="11">
        <v>2.93E-2</v>
      </c>
      <c r="E46" s="10">
        <f t="shared" si="2"/>
        <v>367658.6195542831</v>
      </c>
      <c r="F46" s="3"/>
      <c r="G46" s="26">
        <v>-32.299999999999997</v>
      </c>
      <c r="H46" s="10"/>
      <c r="I46" s="10">
        <f t="shared" si="8"/>
        <v>1172.0874666062678</v>
      </c>
      <c r="J46" s="10">
        <f t="shared" si="6"/>
        <v>15138370379.741888</v>
      </c>
      <c r="K46" s="11">
        <f t="shared" si="7"/>
        <v>-0.30316389999999993</v>
      </c>
      <c r="L46" s="32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12548075.752705863</v>
      </c>
      <c r="D47" s="11">
        <v>3.0300000000000001E-2</v>
      </c>
      <c r="E47" s="10">
        <f t="shared" si="2"/>
        <v>369025.23081334308</v>
      </c>
      <c r="F47" s="3"/>
      <c r="G47" s="26">
        <v>47.55</v>
      </c>
      <c r="H47" s="10"/>
      <c r="I47" s="10">
        <f>IF(H47&lt;&gt;"",H47,I46/(1+IF(G46="",0,G46)/100))</f>
        <v>1731.2961102012816</v>
      </c>
      <c r="J47" s="10">
        <f t="shared" si="6"/>
        <v>21724434741.170681</v>
      </c>
      <c r="K47" s="11">
        <f t="shared" si="7"/>
        <v>0.52020765000000013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12179050.52189252</v>
      </c>
      <c r="D48" s="11">
        <v>3.09E-2</v>
      </c>
      <c r="E48" s="10">
        <f t="shared" si="2"/>
        <v>365052.53771120124</v>
      </c>
      <c r="F48" s="3"/>
      <c r="G48" s="26">
        <v>26.82</v>
      </c>
      <c r="H48" s="10"/>
      <c r="I48" s="10">
        <f t="shared" si="8"/>
        <v>1173.3623247721325</v>
      </c>
      <c r="J48" s="10">
        <f t="shared" si="6"/>
        <v>14290439033.885061</v>
      </c>
      <c r="K48" s="11">
        <f t="shared" si="7"/>
        <v>0.30738737999999999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11813997.984181318</v>
      </c>
      <c r="D49" s="11">
        <v>3.1199999999999999E-2</v>
      </c>
      <c r="E49" s="10">
        <f t="shared" si="2"/>
        <v>357444.469653273</v>
      </c>
      <c r="F49" s="3"/>
      <c r="G49" s="26">
        <v>10.92</v>
      </c>
      <c r="H49" s="10"/>
      <c r="I49" s="10">
        <f t="shared" si="8"/>
        <v>925.21867589665078</v>
      </c>
      <c r="J49" s="10">
        <f t="shared" si="6"/>
        <v>10930531571.96994</v>
      </c>
      <c r="K49" s="11">
        <f t="shared" si="7"/>
        <v>0.14380703999999955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11456553.514528045</v>
      </c>
      <c r="D50" s="11">
        <v>3.1199999999999999E-2</v>
      </c>
      <c r="E50" s="10">
        <f t="shared" si="2"/>
        <v>346629.62534258515</v>
      </c>
      <c r="F50" s="3"/>
      <c r="G50" s="26">
        <v>-6.38</v>
      </c>
      <c r="H50" s="10"/>
      <c r="I50" s="10">
        <f t="shared" si="8"/>
        <v>834.13151451194631</v>
      </c>
      <c r="J50" s="10">
        <f t="shared" si="6"/>
        <v>9556272334.1604404</v>
      </c>
      <c r="K50" s="11">
        <f t="shared" si="7"/>
        <v>-3.4590559999999826E-2</v>
      </c>
      <c r="L50" t="s">
        <v>135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11109923.88918546</v>
      </c>
      <c r="D51" s="11">
        <v>3.1E-2</v>
      </c>
      <c r="E51" s="10">
        <f t="shared" si="2"/>
        <v>334052.02770586684</v>
      </c>
      <c r="F51" s="3"/>
      <c r="G51" s="26">
        <v>-2.79</v>
      </c>
      <c r="H51" s="10"/>
      <c r="I51" s="10">
        <f t="shared" si="8"/>
        <v>890.97576854512522</v>
      </c>
      <c r="J51" s="10">
        <f t="shared" si="6"/>
        <v>9898672975.6448612</v>
      </c>
      <c r="K51" s="11">
        <f t="shared" si="7"/>
        <v>2.2350999999998233E-3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10775871.861479593</v>
      </c>
      <c r="D52" s="11">
        <v>3.0700000000000002E-2</v>
      </c>
      <c r="E52" s="10">
        <f t="shared" si="2"/>
        <v>320965.62156536616</v>
      </c>
      <c r="F52" s="3"/>
      <c r="G52" s="26">
        <v>1.08</v>
      </c>
      <c r="H52" s="10"/>
      <c r="I52" s="10">
        <f t="shared" si="8"/>
        <v>916.54744218200312</v>
      </c>
      <c r="J52" s="10">
        <f t="shared" si="6"/>
        <v>9876597791.9201412</v>
      </c>
      <c r="K52" s="11">
        <f t="shared" si="7"/>
        <v>4.1831559999999879E-2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10454906.239914227</v>
      </c>
      <c r="D53" s="11">
        <v>3.0499999999999999E-2</v>
      </c>
      <c r="E53" s="10">
        <f t="shared" si="2"/>
        <v>309436.81738707796</v>
      </c>
      <c r="F53" s="3"/>
      <c r="G53" s="26">
        <v>3.53</v>
      </c>
      <c r="H53" s="10"/>
      <c r="I53" s="10">
        <f t="shared" si="8"/>
        <v>906.75449365057693</v>
      </c>
      <c r="J53" s="10">
        <f t="shared" si="6"/>
        <v>9480033213.7376823</v>
      </c>
      <c r="K53" s="11">
        <f t="shared" si="7"/>
        <v>6.6876649999999982E-2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10145469.422527149</v>
      </c>
      <c r="D54" s="11">
        <v>3.0300000000000001E-2</v>
      </c>
      <c r="E54" s="10">
        <f t="shared" si="2"/>
        <v>298367.19742072374</v>
      </c>
      <c r="F54" s="3"/>
      <c r="G54" s="26">
        <v>-2.2400000000000002</v>
      </c>
      <c r="H54" s="10"/>
      <c r="I54" s="10">
        <f t="shared" si="8"/>
        <v>875.83743229071479</v>
      </c>
      <c r="J54" s="10">
        <f t="shared" si="6"/>
        <v>8885781888.4101391</v>
      </c>
      <c r="K54" s="11">
        <f t="shared" si="7"/>
        <v>7.2212799999999966E-3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9847102.2251064256</v>
      </c>
      <c r="D55" s="11">
        <v>2.9700000000000001E-2</v>
      </c>
      <c r="E55" s="10">
        <f t="shared" si="2"/>
        <v>284023.43992003612</v>
      </c>
      <c r="F55" s="3"/>
      <c r="G55" s="26">
        <v>1.84</v>
      </c>
      <c r="H55" s="10"/>
      <c r="I55" s="10">
        <f t="shared" si="8"/>
        <v>895.90572042830888</v>
      </c>
      <c r="J55" s="10">
        <f t="shared" si="6"/>
        <v>8822075213.1151752</v>
      </c>
      <c r="K55" s="11">
        <f t="shared" si="7"/>
        <v>4.8646480000000158E-2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9563078.7851863895</v>
      </c>
      <c r="D56" s="11">
        <v>2.81E-2</v>
      </c>
      <c r="E56" s="10">
        <f t="shared" si="2"/>
        <v>261377.79774704576</v>
      </c>
      <c r="F56" s="3"/>
      <c r="G56" s="26">
        <v>-0.74</v>
      </c>
      <c r="H56" s="10"/>
      <c r="I56" s="10">
        <f t="shared" si="8"/>
        <v>879.7188928007746</v>
      </c>
      <c r="J56" s="10">
        <f t="shared" si="6"/>
        <v>8412821080.6707468</v>
      </c>
      <c r="K56" s="11">
        <f t="shared" si="7"/>
        <v>2.0492060000000034E-2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9301700.9874393437</v>
      </c>
      <c r="D57" s="11">
        <v>2.8000000000000001E-2</v>
      </c>
      <c r="E57" s="10">
        <f t="shared" si="2"/>
        <v>253353.72339328937</v>
      </c>
      <c r="F57" s="3"/>
      <c r="G57" s="26">
        <v>4.32</v>
      </c>
      <c r="H57" s="10"/>
      <c r="I57" s="10">
        <f t="shared" si="8"/>
        <v>886.27734515492102</v>
      </c>
      <c r="J57" s="10">
        <f t="shared" si="6"/>
        <v>8243886856.572649</v>
      </c>
      <c r="K57" s="11">
        <f t="shared" si="7"/>
        <v>7.2409599999999852E-2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9048347.2640460543</v>
      </c>
      <c r="D58" s="11">
        <v>2.7E-2</v>
      </c>
      <c r="E58" s="10">
        <f t="shared" si="2"/>
        <v>237882.54735077173</v>
      </c>
      <c r="F58" s="3"/>
      <c r="G58" s="26">
        <v>4.26</v>
      </c>
      <c r="H58" s="10"/>
      <c r="I58" s="10">
        <f t="shared" si="8"/>
        <v>849.57567595372041</v>
      </c>
      <c r="J58" s="10">
        <f t="shared" si="6"/>
        <v>7687255743.1159229</v>
      </c>
      <c r="K58" s="11">
        <f t="shared" si="7"/>
        <v>7.0750199999999763E-2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8810464.7166952826</v>
      </c>
      <c r="D59" s="11">
        <v>2.7E-2</v>
      </c>
      <c r="E59" s="10">
        <f t="shared" si="2"/>
        <v>231628.57580406219</v>
      </c>
      <c r="F59" s="3"/>
      <c r="G59" s="26">
        <v>-3.64</v>
      </c>
      <c r="H59" s="10"/>
      <c r="I59" s="10">
        <f t="shared" si="8"/>
        <v>814.86253208682183</v>
      </c>
      <c r="J59" s="10">
        <f t="shared" si="6"/>
        <v>7179317587.9079218</v>
      </c>
      <c r="K59" s="11">
        <f t="shared" si="7"/>
        <v>-1.0382800000000025E-2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8578836.1408912204</v>
      </c>
      <c r="D60" s="11">
        <v>2.5999999999999999E-2</v>
      </c>
      <c r="E60" s="10">
        <f t="shared" si="2"/>
        <v>217397.40707911551</v>
      </c>
      <c r="F60" s="3"/>
      <c r="G60" s="26">
        <v>6.88</v>
      </c>
      <c r="H60" s="10"/>
      <c r="I60" s="10">
        <f t="shared" si="8"/>
        <v>845.6439726928412</v>
      </c>
      <c r="J60" s="10">
        <f t="shared" si="6"/>
        <v>7254641075.2641745</v>
      </c>
      <c r="K60" s="11">
        <f t="shared" si="7"/>
        <v>9.6588800000000141E-2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8361438.7338121049</v>
      </c>
      <c r="D61" s="11">
        <v>2.5999999999999999E-2</v>
      </c>
      <c r="E61" s="10">
        <f t="shared" si="2"/>
        <v>211888.31099328957</v>
      </c>
      <c r="F61" s="3"/>
      <c r="G61" s="26">
        <v>1.28</v>
      </c>
      <c r="H61" s="10"/>
      <c r="I61" s="10">
        <f t="shared" si="8"/>
        <v>791.20880678596666</v>
      </c>
      <c r="J61" s="10">
        <f t="shared" si="6"/>
        <v>6615643963.5934391</v>
      </c>
      <c r="K61" s="11">
        <f t="shared" si="7"/>
        <v>3.9132799999999968E-2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8149550.4228188153</v>
      </c>
      <c r="D62" s="11">
        <v>2.5000000000000001E-2</v>
      </c>
      <c r="E62" s="10">
        <f t="shared" si="2"/>
        <v>198769.52250777557</v>
      </c>
      <c r="F62" s="3"/>
      <c r="G62" s="26">
        <v>2.85</v>
      </c>
      <c r="H62" s="10"/>
      <c r="I62" s="10">
        <f t="shared" si="8"/>
        <v>781.20932739530679</v>
      </c>
      <c r="J62" s="10">
        <f t="shared" si="6"/>
        <v>6366504804.3844252</v>
      </c>
      <c r="K62" s="11">
        <f t="shared" si="7"/>
        <v>5.4212499999999997E-2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7950780.9003110398</v>
      </c>
      <c r="D63" s="11">
        <v>2.5000000000000001E-2</v>
      </c>
      <c r="E63" s="10">
        <f t="shared" si="2"/>
        <v>193921.48537343927</v>
      </c>
      <c r="F63" s="3"/>
      <c r="G63" s="26">
        <v>6.1</v>
      </c>
      <c r="H63" s="10"/>
      <c r="I63" s="10">
        <f t="shared" si="8"/>
        <v>759.56181564930171</v>
      </c>
      <c r="J63" s="10">
        <f t="shared" si="6"/>
        <v>6039109576.4700432</v>
      </c>
      <c r="K63" s="11">
        <f t="shared" si="7"/>
        <v>8.7524999999999853E-2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7756859.4149376005</v>
      </c>
      <c r="D64" s="11">
        <v>2.4E-2</v>
      </c>
      <c r="E64" s="10">
        <f t="shared" si="2"/>
        <v>181801.39253760036</v>
      </c>
      <c r="F64" s="3"/>
      <c r="G64" s="26">
        <v>5.0599999999999996</v>
      </c>
      <c r="H64" s="10"/>
      <c r="I64" s="10">
        <f t="shared" si="8"/>
        <v>715.89238044232025</v>
      </c>
      <c r="J64" s="10">
        <f t="shared" si="6"/>
        <v>5553076551.316102</v>
      </c>
      <c r="K64" s="11">
        <f t="shared" si="7"/>
        <v>7.581440000000006E-2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7575058.0224000001</v>
      </c>
      <c r="D65" s="11">
        <v>2.4E-2</v>
      </c>
      <c r="E65" s="10">
        <f t="shared" si="2"/>
        <v>177540.42240000051</v>
      </c>
      <c r="F65" s="3"/>
      <c r="G65" s="26">
        <v>4.7699999999999996</v>
      </c>
      <c r="H65" s="10"/>
      <c r="I65" s="10">
        <f t="shared" si="8"/>
        <v>681.4128882946128</v>
      </c>
      <c r="J65" s="10">
        <f t="shared" si="6"/>
        <v>5161742166.0428619</v>
      </c>
      <c r="K65" s="11">
        <f t="shared" si="7"/>
        <v>7.2844800000000154E-2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7397517.5999999996</v>
      </c>
      <c r="D66" s="11">
        <v>2.3E-2</v>
      </c>
      <c r="E66" s="10">
        <f t="shared" si="2"/>
        <v>166317.59999999963</v>
      </c>
      <c r="F66" s="23">
        <f>SUM(F2)</f>
        <v>31491757</v>
      </c>
      <c r="G66" s="26">
        <v>7.43</v>
      </c>
      <c r="H66" s="10"/>
      <c r="I66" s="10">
        <f t="shared" si="8"/>
        <v>650.38931783393411</v>
      </c>
      <c r="J66" s="10">
        <f t="shared" ref="J66:J67" si="9">IF(I66="","",I66*C66)</f>
        <v>4811266425.5285215</v>
      </c>
      <c r="K66" s="11">
        <f t="shared" ref="K66" si="10">IFERROR(J66/J67-1,"")</f>
        <v>9.9008900000000066E-2</v>
      </c>
    </row>
    <row r="67" spans="1:11" ht="22.5" customHeight="1">
      <c r="A67" s="3">
        <f t="shared" si="0"/>
        <v>1950</v>
      </c>
      <c r="B67" s="3">
        <v>1700</v>
      </c>
      <c r="C67" s="10">
        <v>7231200</v>
      </c>
      <c r="D67" s="11">
        <v>2.1999999999999999E-2</v>
      </c>
      <c r="E67" s="3" t="s">
        <v>72</v>
      </c>
      <c r="F67" s="10">
        <f>SUM(C2)</f>
        <v>31490291.99996132</v>
      </c>
      <c r="G67" s="26">
        <v>12.47</v>
      </c>
      <c r="H67" s="10"/>
      <c r="I67" s="10">
        <f t="shared" ref="I67" si="11">IF(H67&lt;&gt;"",H67,I66/(1+IF(G66="",0,G66)/100))</f>
        <v>605.40753777709585</v>
      </c>
      <c r="J67" s="10">
        <f t="shared" si="9"/>
        <v>4377822987.1737356</v>
      </c>
      <c r="K67" s="11"/>
    </row>
  </sheetData>
  <dataValidations count="1">
    <dataValidation type="custom" allowBlank="1" showDropDown="1" sqref="D2:D67" xr:uid="{00000000-0002-0000-6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 summaryRight="0"/>
  </sheetPr>
  <dimension ref="A1:M67"/>
  <sheetViews>
    <sheetView topLeftCell="A36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7896970.9998418577</v>
      </c>
      <c r="D2" s="11">
        <v>1.9599999999999999E-2</v>
      </c>
      <c r="E2" s="10">
        <f t="shared" ref="E2:E66" si="2">SUM(C2-C3)</f>
        <v>151805.24872195069</v>
      </c>
      <c r="F2" s="14">
        <v>7898975</v>
      </c>
      <c r="G2" s="29">
        <v>1.78</v>
      </c>
      <c r="H2" s="10"/>
      <c r="I2" s="10">
        <f>IF(H2&lt;&gt;"",H2,14032)</f>
        <v>1754</v>
      </c>
      <c r="J2" s="10">
        <f t="shared" ref="J2:J33" si="3">IF(I2="","",I2*C2)</f>
        <v>13851287133.722618</v>
      </c>
      <c r="K2" s="11">
        <f t="shared" ref="K2:K33" si="4">IFERROR(J2/J3-1,"")</f>
        <v>3.7748880000000096E-2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7745165.751119907</v>
      </c>
      <c r="D3" s="11">
        <v>2.9899999999999999E-2</v>
      </c>
      <c r="E3" s="10">
        <f t="shared" si="2"/>
        <v>224857.22493298911</v>
      </c>
      <c r="F3" s="3"/>
      <c r="G3" s="29">
        <v>2.38</v>
      </c>
      <c r="H3" s="10"/>
      <c r="I3" s="10">
        <f t="shared" ref="I3:I34" si="5">IF(H3&lt;&gt;"",H3,I2/(1+IF(G2="",0,G2)/100))</f>
        <v>1723.3248182354096</v>
      </c>
      <c r="J3" s="10">
        <f t="shared" si="3"/>
        <v>13347436360.251833</v>
      </c>
      <c r="K3" s="11">
        <f t="shared" si="4"/>
        <v>5.4411619999999994E-2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7520308.5261869179</v>
      </c>
      <c r="D4" s="11">
        <v>2.2499999999999999E-2</v>
      </c>
      <c r="E4" s="10">
        <f t="shared" si="2"/>
        <v>165483.56170093454</v>
      </c>
      <c r="F4" s="3"/>
      <c r="G4" s="29">
        <v>1.99</v>
      </c>
      <c r="H4" s="10"/>
      <c r="I4" s="10">
        <f t="shared" si="5"/>
        <v>1683.2631551430059</v>
      </c>
      <c r="J4" s="10">
        <f t="shared" si="3"/>
        <v>12658658257.43824</v>
      </c>
      <c r="K4" s="11">
        <f t="shared" si="4"/>
        <v>4.2847750000000184E-2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7354824.9644859834</v>
      </c>
      <c r="D5" s="11">
        <v>2.7E-2</v>
      </c>
      <c r="E5" s="10">
        <f t="shared" si="2"/>
        <v>193359.5657654535</v>
      </c>
      <c r="F5" s="3"/>
      <c r="G5" s="29">
        <v>16.670000000000002</v>
      </c>
      <c r="H5" s="10"/>
      <c r="I5" s="10">
        <f t="shared" si="5"/>
        <v>1650.419801101094</v>
      </c>
      <c r="J5" s="10">
        <f t="shared" si="3"/>
        <v>12138548755.020317</v>
      </c>
      <c r="K5" s="11">
        <f t="shared" si="4"/>
        <v>0.19820090000000001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7161465.3987205299</v>
      </c>
      <c r="D6" s="11">
        <v>1.0800000000000001E-2</v>
      </c>
      <c r="E6" s="10">
        <f t="shared" si="2"/>
        <v>76517.437976039946</v>
      </c>
      <c r="F6" s="3"/>
      <c r="G6" s="29">
        <v>14.19</v>
      </c>
      <c r="H6" s="10"/>
      <c r="I6" s="10">
        <f t="shared" si="5"/>
        <v>1414.6051265116087</v>
      </c>
      <c r="J6" s="10">
        <f t="shared" si="3"/>
        <v>10130645666.365562</v>
      </c>
      <c r="K6" s="11">
        <f t="shared" si="4"/>
        <v>0.15423251999999943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7084947.9607444899</v>
      </c>
      <c r="D7" s="11">
        <v>9.7999999999999997E-3</v>
      </c>
      <c r="E7" s="10">
        <f t="shared" si="2"/>
        <v>68758.655194391496</v>
      </c>
      <c r="F7" s="3"/>
      <c r="G7" s="29">
        <v>19.68</v>
      </c>
      <c r="H7" s="10"/>
      <c r="I7" s="10">
        <f t="shared" si="5"/>
        <v>1238.8169949309124</v>
      </c>
      <c r="J7" s="10">
        <f t="shared" si="3"/>
        <v>8776953941.971386</v>
      </c>
      <c r="K7" s="11">
        <f t="shared" si="4"/>
        <v>0.20852864000000038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7016189.3055500984</v>
      </c>
      <c r="D8" s="11">
        <v>1.35E-2</v>
      </c>
      <c r="E8" s="10">
        <f t="shared" si="2"/>
        <v>93456.887641763315</v>
      </c>
      <c r="F8" s="3"/>
      <c r="G8" s="29">
        <v>13.27</v>
      </c>
      <c r="H8" s="10"/>
      <c r="I8" s="10">
        <f t="shared" si="5"/>
        <v>1035.1077831976206</v>
      </c>
      <c r="J8" s="10">
        <f t="shared" si="3"/>
        <v>7262512158.5628157</v>
      </c>
      <c r="K8" s="11">
        <f t="shared" si="4"/>
        <v>0.14799145000000014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6922732.4179083351</v>
      </c>
      <c r="D9" s="11">
        <v>1.66E-2</v>
      </c>
      <c r="E9" s="10">
        <f t="shared" si="2"/>
        <v>113040.879536964</v>
      </c>
      <c r="F9" s="3"/>
      <c r="G9" s="29">
        <v>-17.670000000000002</v>
      </c>
      <c r="H9" s="10"/>
      <c r="I9" s="10">
        <f t="shared" si="5"/>
        <v>913.84107283271885</v>
      </c>
      <c r="J9" s="10">
        <f t="shared" si="3"/>
        <v>6326277219.7151947</v>
      </c>
      <c r="K9" s="11">
        <f t="shared" si="4"/>
        <v>-0.1630332200000002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6809691.5383713711</v>
      </c>
      <c r="D10" s="11">
        <v>1.9400000000000001E-2</v>
      </c>
      <c r="E10" s="10">
        <f t="shared" si="2"/>
        <v>129593.89429508056</v>
      </c>
      <c r="F10" s="3"/>
      <c r="G10" s="29">
        <v>-3.65</v>
      </c>
      <c r="H10" s="10"/>
      <c r="I10" s="10">
        <f t="shared" si="5"/>
        <v>1109.9733667347491</v>
      </c>
      <c r="J10" s="10">
        <f t="shared" si="3"/>
        <v>7558576243.271204</v>
      </c>
      <c r="K10" s="11">
        <f t="shared" si="4"/>
        <v>-1.7808099999999882E-2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6680097.6440762905</v>
      </c>
      <c r="D11" s="11">
        <v>1.55E-2</v>
      </c>
      <c r="E11" s="10">
        <f t="shared" si="2"/>
        <v>101961.11618235614</v>
      </c>
      <c r="F11" s="3"/>
      <c r="G11" s="29">
        <v>-3.46</v>
      </c>
      <c r="H11" s="10"/>
      <c r="I11" s="10">
        <f t="shared" si="5"/>
        <v>1152.0221761647629</v>
      </c>
      <c r="J11" s="10">
        <f t="shared" si="3"/>
        <v>7695620624.921874</v>
      </c>
      <c r="K11" s="11">
        <f t="shared" si="4"/>
        <v>-1.9636299999999829E-2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6578136.5278939344</v>
      </c>
      <c r="D12" s="11">
        <v>1.6199999999999999E-2</v>
      </c>
      <c r="E12" s="10">
        <f t="shared" si="2"/>
        <v>104866.96688829176</v>
      </c>
      <c r="F12" s="3"/>
      <c r="G12" s="29">
        <v>-5.71</v>
      </c>
      <c r="H12" s="10"/>
      <c r="I12" s="10">
        <f t="shared" si="5"/>
        <v>1193.3107273303945</v>
      </c>
      <c r="J12" s="10">
        <f t="shared" si="3"/>
        <v>7849760884.5797462</v>
      </c>
      <c r="K12" s="11">
        <f t="shared" si="4"/>
        <v>-4.1825019999999991E-2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6473269.5610056426</v>
      </c>
      <c r="D13" s="11">
        <v>1.38E-2</v>
      </c>
      <c r="E13" s="10">
        <f t="shared" si="2"/>
        <v>88115.131132253446</v>
      </c>
      <c r="F13" s="3"/>
      <c r="G13" s="29">
        <v>-5.81</v>
      </c>
      <c r="H13" s="10"/>
      <c r="I13" s="10">
        <f t="shared" si="5"/>
        <v>1265.5750634535948</v>
      </c>
      <c r="J13" s="10">
        <f t="shared" si="3"/>
        <v>8192408535.4219398</v>
      </c>
      <c r="K13" s="11">
        <f t="shared" si="4"/>
        <v>-4.510177999999998E-2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6385154.4298733892</v>
      </c>
      <c r="D14" s="11">
        <v>1.3899999999999999E-2</v>
      </c>
      <c r="E14" s="10">
        <f t="shared" si="2"/>
        <v>87536.883889180608</v>
      </c>
      <c r="F14" s="3"/>
      <c r="G14" s="29">
        <v>-3.06</v>
      </c>
      <c r="H14" s="10"/>
      <c r="I14" s="10">
        <f t="shared" si="5"/>
        <v>1343.6405812226296</v>
      </c>
      <c r="J14" s="10">
        <f t="shared" si="3"/>
        <v>8579352609.3513288</v>
      </c>
      <c r="K14" s="11">
        <f t="shared" si="4"/>
        <v>-1.7125339999999989E-2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6297617.5459842086</v>
      </c>
      <c r="D15" s="11">
        <v>1.66E-2</v>
      </c>
      <c r="E15" s="10">
        <f t="shared" si="2"/>
        <v>102833.41654863022</v>
      </c>
      <c r="F15" s="3"/>
      <c r="G15" s="29">
        <v>-8.89</v>
      </c>
      <c r="H15" s="10"/>
      <c r="I15" s="10">
        <f t="shared" si="5"/>
        <v>1386.0538283707754</v>
      </c>
      <c r="J15" s="10">
        <f t="shared" si="3"/>
        <v>8728836909.2263794</v>
      </c>
      <c r="K15" s="11">
        <f t="shared" si="4"/>
        <v>-7.377574000000009E-2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6194784.1294355784</v>
      </c>
      <c r="D16" s="11">
        <v>1.7299999999999999E-2</v>
      </c>
      <c r="E16" s="10">
        <f t="shared" si="2"/>
        <v>105347.25787794776</v>
      </c>
      <c r="F16" s="3"/>
      <c r="G16" s="29">
        <v>1.44</v>
      </c>
      <c r="H16" s="10"/>
      <c r="I16" s="10">
        <f t="shared" si="5"/>
        <v>1521.2971445184671</v>
      </c>
      <c r="J16" s="10">
        <f t="shared" si="3"/>
        <v>9424107407.0186634</v>
      </c>
      <c r="K16" s="11">
        <f t="shared" si="4"/>
        <v>3.1949119999999942E-2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6089436.8715576306</v>
      </c>
      <c r="D17" s="11">
        <v>1.7500000000000002E-2</v>
      </c>
      <c r="E17" s="10">
        <f t="shared" si="2"/>
        <v>104732.32948624995</v>
      </c>
      <c r="F17" s="3"/>
      <c r="G17" s="29">
        <v>-17</v>
      </c>
      <c r="H17" s="10"/>
      <c r="I17" s="10">
        <f t="shared" si="5"/>
        <v>1499.7014437287728</v>
      </c>
      <c r="J17" s="10">
        <f t="shared" si="3"/>
        <v>9132337267.7702007</v>
      </c>
      <c r="K17" s="11">
        <f t="shared" si="4"/>
        <v>-0.15547499999999981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5984704.5420713807</v>
      </c>
      <c r="D18" s="11">
        <v>1.7600000000000001E-2</v>
      </c>
      <c r="E18" s="10">
        <f t="shared" si="2"/>
        <v>103509.04082199</v>
      </c>
      <c r="F18" s="3"/>
      <c r="G18" s="29">
        <v>-0.82</v>
      </c>
      <c r="H18" s="10"/>
      <c r="I18" s="10">
        <f t="shared" si="5"/>
        <v>1806.8692093117745</v>
      </c>
      <c r="J18" s="10">
        <f t="shared" si="3"/>
        <v>10813578363.8971</v>
      </c>
      <c r="K18" s="11">
        <f t="shared" si="4"/>
        <v>9.2556800000000994E-3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5881195.5012493907</v>
      </c>
      <c r="D19" s="11">
        <v>1.8100000000000002E-2</v>
      </c>
      <c r="E19" s="10">
        <f t="shared" si="2"/>
        <v>104557.15408369899</v>
      </c>
      <c r="F19" s="3"/>
      <c r="G19" s="29">
        <v>2.89</v>
      </c>
      <c r="H19" s="10"/>
      <c r="I19" s="10">
        <f t="shared" si="5"/>
        <v>1821.8080352004179</v>
      </c>
      <c r="J19" s="10">
        <f t="shared" si="3"/>
        <v>10714409220.760689</v>
      </c>
      <c r="K19" s="11">
        <f t="shared" si="4"/>
        <v>4.7523089999999657E-2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5776638.3471656917</v>
      </c>
      <c r="D20" s="11">
        <v>1.8499999999999999E-2</v>
      </c>
      <c r="E20" s="10">
        <f t="shared" si="2"/>
        <v>104926.66609972063</v>
      </c>
      <c r="F20" s="3"/>
      <c r="G20" s="29">
        <v>2.68</v>
      </c>
      <c r="H20" s="10"/>
      <c r="I20" s="10">
        <f t="shared" si="5"/>
        <v>1770.6366364082205</v>
      </c>
      <c r="J20" s="10">
        <f t="shared" si="3"/>
        <v>10228327492.772203</v>
      </c>
      <c r="K20" s="11">
        <f t="shared" si="4"/>
        <v>4.5795800000000053E-2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5671711.681065971</v>
      </c>
      <c r="D21" s="11">
        <v>1.8100000000000002E-2</v>
      </c>
      <c r="E21" s="10">
        <f t="shared" si="2"/>
        <v>100832.90583173931</v>
      </c>
      <c r="F21" s="3"/>
      <c r="G21" s="29">
        <v>10.36</v>
      </c>
      <c r="H21" s="10"/>
      <c r="I21" s="10">
        <f t="shared" si="5"/>
        <v>1724.4221234984618</v>
      </c>
      <c r="J21" s="10">
        <f t="shared" si="3"/>
        <v>9780425100.9348125</v>
      </c>
      <c r="K21" s="11">
        <f t="shared" si="4"/>
        <v>0.12357515999999968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5570878.7752342317</v>
      </c>
      <c r="D22" s="11">
        <v>1.7899999999999999E-2</v>
      </c>
      <c r="E22" s="10">
        <f t="shared" si="2"/>
        <v>97965.153823256493</v>
      </c>
      <c r="F22" s="3"/>
      <c r="G22" s="29">
        <v>0.16</v>
      </c>
      <c r="H22" s="10"/>
      <c r="I22" s="10">
        <f t="shared" si="5"/>
        <v>1562.5426997992588</v>
      </c>
      <c r="J22" s="10">
        <f t="shared" si="3"/>
        <v>8704735961.7088852</v>
      </c>
      <c r="K22" s="11">
        <f t="shared" si="4"/>
        <v>1.9528640000000319E-2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5472913.6214109752</v>
      </c>
      <c r="D23" s="11">
        <v>1.9400000000000001E-2</v>
      </c>
      <c r="E23" s="10">
        <f t="shared" si="2"/>
        <v>104153.9378608726</v>
      </c>
      <c r="F23" s="3"/>
      <c r="G23" s="29">
        <v>9.24</v>
      </c>
      <c r="H23" s="10"/>
      <c r="I23" s="10">
        <f t="shared" si="5"/>
        <v>1560.0466251989403</v>
      </c>
      <c r="J23" s="10">
        <f t="shared" si="3"/>
        <v>8538000425.0875025</v>
      </c>
      <c r="K23" s="11">
        <f t="shared" si="4"/>
        <v>0.11359256000000029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5368759.6835501026</v>
      </c>
      <c r="D24" s="11">
        <v>2.12E-2</v>
      </c>
      <c r="E24" s="10">
        <f t="shared" si="2"/>
        <v>111454.86221236084</v>
      </c>
      <c r="F24" s="3"/>
      <c r="G24" s="29">
        <v>1.05</v>
      </c>
      <c r="H24" s="10"/>
      <c r="I24" s="10">
        <f t="shared" si="5"/>
        <v>1428.0910153780119</v>
      </c>
      <c r="J24" s="10">
        <f t="shared" si="3"/>
        <v>7667077467.8015995</v>
      </c>
      <c r="K24" s="11">
        <f t="shared" si="4"/>
        <v>3.1922599999999912E-2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5257304.8213377418</v>
      </c>
      <c r="D25" s="11">
        <v>2.0299999999999999E-2</v>
      </c>
      <c r="E25" s="10">
        <f t="shared" si="2"/>
        <v>104599.90970612224</v>
      </c>
      <c r="F25" s="3"/>
      <c r="G25" s="29">
        <v>6.99</v>
      </c>
      <c r="H25" s="10"/>
      <c r="I25" s="10">
        <f t="shared" si="5"/>
        <v>1413.2518707352915</v>
      </c>
      <c r="J25" s="10">
        <f t="shared" si="3"/>
        <v>7429895873.7812309</v>
      </c>
      <c r="K25" s="11">
        <f t="shared" si="4"/>
        <v>9.1618970000000077E-2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5152704.9116316196</v>
      </c>
      <c r="D26" s="11">
        <v>1.9599999999999999E-2</v>
      </c>
      <c r="E26" s="10">
        <f t="shared" si="2"/>
        <v>99051.604813632555</v>
      </c>
      <c r="F26" s="3"/>
      <c r="G26" s="29">
        <v>5.53</v>
      </c>
      <c r="H26" s="10"/>
      <c r="I26" s="10">
        <f t="shared" si="5"/>
        <v>1320.9195913031979</v>
      </c>
      <c r="J26" s="10">
        <f t="shared" si="3"/>
        <v>6806308865.9784193</v>
      </c>
      <c r="K26" s="11">
        <f t="shared" si="4"/>
        <v>7.5983879999999671E-2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5053653.306817987</v>
      </c>
      <c r="D27" s="11">
        <v>2.0199999999999999E-2</v>
      </c>
      <c r="E27" s="10">
        <f t="shared" si="2"/>
        <v>100062.53361862712</v>
      </c>
      <c r="F27" s="3"/>
      <c r="G27" s="29">
        <v>-9.02</v>
      </c>
      <c r="H27" s="10"/>
      <c r="I27" s="10">
        <f t="shared" si="5"/>
        <v>1251.7005508416546</v>
      </c>
      <c r="J27" s="10">
        <f t="shared" si="3"/>
        <v>6325660627.9068241</v>
      </c>
      <c r="K27" s="11">
        <f t="shared" si="4"/>
        <v>-7.182203999999992E-2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4953590.7731993599</v>
      </c>
      <c r="D28" s="11">
        <v>2.0199999999999999E-2</v>
      </c>
      <c r="E28" s="10">
        <f t="shared" si="2"/>
        <v>98081.291529726237</v>
      </c>
      <c r="F28" s="3"/>
      <c r="G28" s="29">
        <v>5.2</v>
      </c>
      <c r="H28" s="10"/>
      <c r="I28" s="10">
        <f t="shared" si="5"/>
        <v>1375.7974838883872</v>
      </c>
      <c r="J28" s="10">
        <f t="shared" si="3"/>
        <v>6815137721.9804096</v>
      </c>
      <c r="K28" s="11">
        <f t="shared" si="4"/>
        <v>7.3250399999999827E-2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4855509.4816696336</v>
      </c>
      <c r="D29" s="11">
        <v>2.5499999999999998E-2</v>
      </c>
      <c r="E29" s="10">
        <f t="shared" si="2"/>
        <v>120736.70578505751</v>
      </c>
      <c r="F29" s="3"/>
      <c r="G29" s="29">
        <v>7.55</v>
      </c>
      <c r="H29" s="10"/>
      <c r="I29" s="10">
        <f t="shared" si="5"/>
        <v>1307.7922850650068</v>
      </c>
      <c r="J29" s="10">
        <f t="shared" si="3"/>
        <v>6349997840.1875372</v>
      </c>
      <c r="K29" s="11">
        <f t="shared" si="4"/>
        <v>0.10292525000000019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4734772.7758845761</v>
      </c>
      <c r="D30" s="11">
        <v>2.5499999999999998E-2</v>
      </c>
      <c r="E30" s="10">
        <f t="shared" si="2"/>
        <v>117734.47663096711</v>
      </c>
      <c r="F30" s="3"/>
      <c r="G30" s="29">
        <v>1.1499999999999999</v>
      </c>
      <c r="H30" s="10"/>
      <c r="I30" s="10">
        <f t="shared" si="5"/>
        <v>1215.9853882519822</v>
      </c>
      <c r="J30" s="10">
        <f t="shared" si="3"/>
        <v>5757414512.1689215</v>
      </c>
      <c r="K30" s="11">
        <f t="shared" si="4"/>
        <v>3.7293249999999833E-2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4617038.299253609</v>
      </c>
      <c r="D31" s="11">
        <v>2.0299999999999999E-2</v>
      </c>
      <c r="E31" s="10">
        <f t="shared" si="2"/>
        <v>91861.097201654688</v>
      </c>
      <c r="F31" s="3"/>
      <c r="G31" s="29">
        <v>2.1</v>
      </c>
      <c r="H31" s="10"/>
      <c r="I31" s="10">
        <f t="shared" si="5"/>
        <v>1202.1605420187664</v>
      </c>
      <c r="J31" s="10">
        <f t="shared" si="3"/>
        <v>5550421264.3521223</v>
      </c>
      <c r="K31" s="11">
        <f t="shared" si="4"/>
        <v>4.1726299999999883E-2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4525177.2020519543</v>
      </c>
      <c r="D32" s="11">
        <v>1.8499999999999999E-2</v>
      </c>
      <c r="E32" s="10">
        <f t="shared" si="2"/>
        <v>82195.167636682279</v>
      </c>
      <c r="F32" s="3"/>
      <c r="G32" s="29">
        <v>6.94</v>
      </c>
      <c r="H32" s="10"/>
      <c r="I32" s="10">
        <f t="shared" si="5"/>
        <v>1177.4344192152464</v>
      </c>
      <c r="J32" s="10">
        <f t="shared" si="3"/>
        <v>5328099390.7441168</v>
      </c>
      <c r="K32" s="11">
        <f t="shared" si="4"/>
        <v>8.9183899999999872E-2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4442982.0344152721</v>
      </c>
      <c r="D33" s="11">
        <v>1.2999999999999999E-2</v>
      </c>
      <c r="E33" s="10">
        <f t="shared" si="2"/>
        <v>57017.538447579369</v>
      </c>
      <c r="F33" s="3"/>
      <c r="G33" s="29">
        <v>-1.91</v>
      </c>
      <c r="H33" s="10"/>
      <c r="I33" s="10">
        <f t="shared" si="5"/>
        <v>1101.0233955631629</v>
      </c>
      <c r="J33" s="10">
        <f t="shared" si="3"/>
        <v>4891827165.9580326</v>
      </c>
      <c r="K33" s="11">
        <f t="shared" si="4"/>
        <v>-6.3483000000001955E-3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4385964.4959676927</v>
      </c>
      <c r="D34" s="11">
        <v>1.52E-2</v>
      </c>
      <c r="E34" s="10">
        <f t="shared" si="2"/>
        <v>65668.499151605181</v>
      </c>
      <c r="F34" s="3"/>
      <c r="G34" s="29">
        <v>0.29</v>
      </c>
      <c r="H34" s="10"/>
      <c r="I34" s="10">
        <f t="shared" si="5"/>
        <v>1122.4624279367549</v>
      </c>
      <c r="J34" s="10">
        <f t="shared" ref="J34:J65" si="6">IF(I34="","",I34*C34)</f>
        <v>4923080356.9883022</v>
      </c>
      <c r="K34" s="11">
        <f t="shared" ref="K34:K65" si="7">IFERROR(J34/J35-1,"")</f>
        <v>3.1341680000000149E-2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4320295.9968160875</v>
      </c>
      <c r="D35" s="11">
        <v>2.1600000000000001E-2</v>
      </c>
      <c r="E35" s="10">
        <f t="shared" si="2"/>
        <v>91345.334310129285</v>
      </c>
      <c r="F35" s="3"/>
      <c r="G35" s="29">
        <v>-0.07</v>
      </c>
      <c r="H35" s="10"/>
      <c r="I35" s="10">
        <f t="shared" ref="I35:I66" si="8">IF(H35&lt;&gt;"",H35,I34/(1+IF(G34="",0,G34)/100))</f>
        <v>1104.8946037373314</v>
      </c>
      <c r="J35" s="10">
        <f t="shared" si="6"/>
        <v>4773471733.43009</v>
      </c>
      <c r="K35" s="11">
        <f t="shared" si="7"/>
        <v>4.8468080000000135E-2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4228950.6625059582</v>
      </c>
      <c r="D36" s="11">
        <v>2.1299999999999999E-2</v>
      </c>
      <c r="E36" s="10">
        <f t="shared" si="2"/>
        <v>88198.031050012447</v>
      </c>
      <c r="F36" s="3"/>
      <c r="G36" s="29">
        <v>7.73</v>
      </c>
      <c r="H36" s="10"/>
      <c r="I36" s="10">
        <f t="shared" si="8"/>
        <v>1076.5805356497431</v>
      </c>
      <c r="J36" s="10">
        <f t="shared" si="6"/>
        <v>4552805969.4770002</v>
      </c>
      <c r="K36" s="11">
        <f t="shared" si="7"/>
        <v>0.14926889000000032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4140752.6314559458</v>
      </c>
      <c r="D37" s="11">
        <v>2.1000000000000001E-2</v>
      </c>
      <c r="E37" s="10">
        <f t="shared" si="2"/>
        <v>85167.292125930078</v>
      </c>
      <c r="F37" s="3"/>
      <c r="G37" s="29">
        <v>9.12</v>
      </c>
      <c r="H37" s="10"/>
      <c r="I37" s="10">
        <f t="shared" si="8"/>
        <v>956.70535470518359</v>
      </c>
      <c r="J37" s="10">
        <f t="shared" si="6"/>
        <v>3961480215.0234828</v>
      </c>
      <c r="K37" s="11">
        <f t="shared" si="7"/>
        <v>0.16822819999999994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4055585.3393300157</v>
      </c>
      <c r="D38" s="11">
        <v>2.1700000000000001E-2</v>
      </c>
      <c r="E38" s="10">
        <f t="shared" si="2"/>
        <v>86137.0283483034</v>
      </c>
      <c r="F38" s="3"/>
      <c r="G38" s="29">
        <v>-0.4</v>
      </c>
      <c r="H38" s="10"/>
      <c r="I38" s="10">
        <f t="shared" si="8"/>
        <v>836.13472706273683</v>
      </c>
      <c r="J38" s="10">
        <f t="shared" si="6"/>
        <v>3391015740.7803397</v>
      </c>
      <c r="K38" s="11">
        <f t="shared" si="7"/>
        <v>5.5416099999999968E-2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3969448.3109817123</v>
      </c>
      <c r="D39" s="11">
        <v>1.2999999999999999E-2</v>
      </c>
      <c r="E39" s="10">
        <f t="shared" si="2"/>
        <v>50940.600239646621</v>
      </c>
      <c r="F39" s="3"/>
      <c r="G39" s="29">
        <v>-2.71</v>
      </c>
      <c r="H39" s="10"/>
      <c r="I39" s="10">
        <f t="shared" si="8"/>
        <v>809.42374352636682</v>
      </c>
      <c r="J39" s="10">
        <f t="shared" si="6"/>
        <v>3212965711.6092315</v>
      </c>
      <c r="K39" s="11">
        <f t="shared" si="7"/>
        <v>-1.4452300000000085E-2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3918507.7107420657</v>
      </c>
      <c r="D40" s="11">
        <v>1.23E-2</v>
      </c>
      <c r="E40" s="10">
        <f t="shared" si="2"/>
        <v>47612.017032626085</v>
      </c>
      <c r="F40" s="3"/>
      <c r="G40" s="29">
        <v>-6.86</v>
      </c>
      <c r="H40" s="10"/>
      <c r="I40" s="10">
        <f t="shared" si="8"/>
        <v>831.97013416216146</v>
      </c>
      <c r="J40" s="10">
        <f t="shared" si="6"/>
        <v>3260081385.8215404</v>
      </c>
      <c r="K40" s="11">
        <f t="shared" si="7"/>
        <v>-5.7143780000000088E-2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3870895.6937094396</v>
      </c>
      <c r="D41" s="11">
        <v>2.18E-2</v>
      </c>
      <c r="E41" s="10">
        <f t="shared" si="2"/>
        <v>82585.169429306872</v>
      </c>
      <c r="F41" s="3"/>
      <c r="G41" s="29">
        <v>0.46</v>
      </c>
      <c r="H41" s="10"/>
      <c r="I41" s="10">
        <f t="shared" si="8"/>
        <v>893.24686940322249</v>
      </c>
      <c r="J41" s="10">
        <f t="shared" si="6"/>
        <v>3457665460.1923723</v>
      </c>
      <c r="K41" s="11">
        <f t="shared" si="7"/>
        <v>2.6500280000000043E-2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3788310.5242801327</v>
      </c>
      <c r="D42" s="11">
        <v>2.3900000000000001E-2</v>
      </c>
      <c r="E42" s="10">
        <f t="shared" si="2"/>
        <v>88427.211183021311</v>
      </c>
      <c r="F42" s="3"/>
      <c r="G42" s="29">
        <v>-1.93</v>
      </c>
      <c r="H42" s="10"/>
      <c r="I42" s="10">
        <f t="shared" si="8"/>
        <v>889.156748360763</v>
      </c>
      <c r="J42" s="10">
        <f t="shared" si="6"/>
        <v>3368401867.5497804</v>
      </c>
      <c r="K42" s="11">
        <f t="shared" si="7"/>
        <v>4.1387300000002014E-3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3699883.3130971114</v>
      </c>
      <c r="D43" s="11">
        <v>2.4899999999999999E-2</v>
      </c>
      <c r="E43" s="10">
        <f t="shared" si="2"/>
        <v>89888.861836391501</v>
      </c>
      <c r="F43" s="3"/>
      <c r="G43" s="29">
        <v>6.63</v>
      </c>
      <c r="H43" s="10"/>
      <c r="I43" s="10">
        <f t="shared" si="8"/>
        <v>906.65519359718871</v>
      </c>
      <c r="J43" s="10">
        <f t="shared" si="6"/>
        <v>3354518421.5230694</v>
      </c>
      <c r="K43" s="11">
        <f t="shared" si="7"/>
        <v>9.2850869999999919E-2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3609994.4512607199</v>
      </c>
      <c r="D44" s="11">
        <v>2.5600000000000001E-2</v>
      </c>
      <c r="E44" s="10">
        <f t="shared" si="2"/>
        <v>90109.065866102464</v>
      </c>
      <c r="F44" s="3"/>
      <c r="G44" s="29">
        <v>2.6</v>
      </c>
      <c r="H44" s="10"/>
      <c r="I44" s="10">
        <f t="shared" si="8"/>
        <v>850.2815282727081</v>
      </c>
      <c r="J44" s="10">
        <f t="shared" si="6"/>
        <v>3069511599.0739613</v>
      </c>
      <c r="K44" s="11">
        <f t="shared" si="7"/>
        <v>5.2265600000000134E-2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3519885.3853946174</v>
      </c>
      <c r="D45" s="11">
        <v>2.4899999999999999E-2</v>
      </c>
      <c r="E45" s="10">
        <f t="shared" si="2"/>
        <v>85515.802611304447</v>
      </c>
      <c r="F45" s="3"/>
      <c r="G45" s="29">
        <v>8.33</v>
      </c>
      <c r="H45" s="10"/>
      <c r="I45" s="10">
        <f t="shared" si="8"/>
        <v>828.73443301433531</v>
      </c>
      <c r="J45" s="10">
        <f t="shared" si="6"/>
        <v>2917050219.1404533</v>
      </c>
      <c r="K45" s="11">
        <f t="shared" si="7"/>
        <v>0.11027416999999984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3434369.582783313</v>
      </c>
      <c r="D46" s="11">
        <v>2.46E-2</v>
      </c>
      <c r="E46" s="10">
        <f t="shared" si="2"/>
        <v>82457.048347129952</v>
      </c>
      <c r="F46" s="3"/>
      <c r="G46" s="29">
        <v>8.92</v>
      </c>
      <c r="H46" s="10"/>
      <c r="I46" s="10">
        <f t="shared" si="8"/>
        <v>765.00916921843941</v>
      </c>
      <c r="J46" s="10">
        <f t="shared" si="6"/>
        <v>2627324221.3141408</v>
      </c>
      <c r="K46" s="11">
        <f t="shared" si="7"/>
        <v>0.11599431999999998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3351912.5344361831</v>
      </c>
      <c r="D47" s="11">
        <v>2.69E-2</v>
      </c>
      <c r="E47" s="10">
        <f t="shared" si="2"/>
        <v>87804.505965851713</v>
      </c>
      <c r="F47" s="3"/>
      <c r="G47" s="29">
        <v>22.57</v>
      </c>
      <c r="H47" s="10"/>
      <c r="I47" s="10">
        <f t="shared" si="8"/>
        <v>702.35876718549343</v>
      </c>
      <c r="J47" s="10">
        <f t="shared" si="6"/>
        <v>2354245155.4002004</v>
      </c>
      <c r="K47" s="11">
        <f t="shared" si="7"/>
        <v>0.25867132999999987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3264108.0284703313</v>
      </c>
      <c r="D48" s="11">
        <v>2.6700000000000002E-2</v>
      </c>
      <c r="E48" s="10">
        <f t="shared" si="2"/>
        <v>84885.248232353944</v>
      </c>
      <c r="F48" s="3"/>
      <c r="G48" s="29">
        <v>12.43</v>
      </c>
      <c r="H48" s="10"/>
      <c r="I48" s="10">
        <f t="shared" si="8"/>
        <v>573.02665186056413</v>
      </c>
      <c r="J48" s="10">
        <f t="shared" si="6"/>
        <v>1870420894.865541</v>
      </c>
      <c r="K48" s="11">
        <f t="shared" si="7"/>
        <v>0.15431881000000014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3179222.7802379774</v>
      </c>
      <c r="D49" s="11">
        <v>2.69E-2</v>
      </c>
      <c r="E49" s="10">
        <f t="shared" si="2"/>
        <v>83280.838239752222</v>
      </c>
      <c r="F49" s="3"/>
      <c r="G49" s="29">
        <v>1.97</v>
      </c>
      <c r="H49" s="10"/>
      <c r="I49" s="10">
        <f t="shared" si="8"/>
        <v>509.67415446105497</v>
      </c>
      <c r="J49" s="10">
        <f t="shared" si="6"/>
        <v>1620367682.3611155</v>
      </c>
      <c r="K49" s="11">
        <f t="shared" si="7"/>
        <v>4.7129929999999876E-2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3095941.9419982252</v>
      </c>
      <c r="D50" s="11">
        <v>2.81E-2</v>
      </c>
      <c r="E50" s="10">
        <f t="shared" si="2"/>
        <v>84618.197228042409</v>
      </c>
      <c r="F50" s="3"/>
      <c r="G50" s="29">
        <v>8.3699999999999992</v>
      </c>
      <c r="H50" s="10"/>
      <c r="I50" s="10">
        <f t="shared" si="8"/>
        <v>499.8275516927086</v>
      </c>
      <c r="J50" s="10">
        <f t="shared" si="6"/>
        <v>1547437081.0517426</v>
      </c>
      <c r="K50" s="11">
        <f t="shared" si="7"/>
        <v>0.11415197000000021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3011323.7447701828</v>
      </c>
      <c r="D51" s="11">
        <v>2.8299999999999999E-2</v>
      </c>
      <c r="E51" s="10">
        <f t="shared" si="2"/>
        <v>82875.09673927445</v>
      </c>
      <c r="F51" s="3"/>
      <c r="G51" s="29">
        <v>1.52</v>
      </c>
      <c r="H51" s="10"/>
      <c r="I51" s="10">
        <f t="shared" si="8"/>
        <v>461.22317218114665</v>
      </c>
      <c r="J51" s="10">
        <f t="shared" si="6"/>
        <v>1388892290.0273132</v>
      </c>
      <c r="K51" s="11">
        <f t="shared" si="7"/>
        <v>4.393015999999994E-2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2928448.6480309083</v>
      </c>
      <c r="D52" s="11">
        <v>3.0099999999999998E-2</v>
      </c>
      <c r="E52" s="10">
        <f t="shared" si="2"/>
        <v>85570.628391156439</v>
      </c>
      <c r="F52" s="3"/>
      <c r="G52" s="29">
        <v>4.91</v>
      </c>
      <c r="H52" s="10"/>
      <c r="I52" s="10">
        <f t="shared" si="8"/>
        <v>454.31754548970309</v>
      </c>
      <c r="J52" s="10">
        <f t="shared" si="6"/>
        <v>1330445601.8660417</v>
      </c>
      <c r="K52" s="11">
        <f t="shared" si="7"/>
        <v>8.0677909999999908E-2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2842878.0196397519</v>
      </c>
      <c r="D53" s="11">
        <v>3.1300000000000001E-2</v>
      </c>
      <c r="E53" s="10">
        <f t="shared" si="2"/>
        <v>86281.47194291139</v>
      </c>
      <c r="F53" s="3"/>
      <c r="G53" s="29">
        <v>-1.1100000000000001</v>
      </c>
      <c r="H53" s="10"/>
      <c r="I53" s="10">
        <f t="shared" si="8"/>
        <v>433.0545662851045</v>
      </c>
      <c r="J53" s="10">
        <f t="shared" si="6"/>
        <v>1231121307.7965496</v>
      </c>
      <c r="K53" s="11">
        <f t="shared" si="7"/>
        <v>1.9852570000000069E-2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2756596.5476968405</v>
      </c>
      <c r="D54" s="11">
        <v>3.1699999999999999E-2</v>
      </c>
      <c r="E54" s="10">
        <f t="shared" si="2"/>
        <v>84699.147583590355</v>
      </c>
      <c r="F54" s="3"/>
      <c r="G54" s="29">
        <v>6.24</v>
      </c>
      <c r="H54" s="10"/>
      <c r="I54" s="10">
        <f t="shared" si="8"/>
        <v>437.91542753069524</v>
      </c>
      <c r="J54" s="10">
        <f t="shared" si="6"/>
        <v>1207156155.7143004</v>
      </c>
      <c r="K54" s="11">
        <f t="shared" si="7"/>
        <v>9.6078080000000066E-2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2671897.4001132501</v>
      </c>
      <c r="D55" s="11">
        <v>3.0599999999999999E-2</v>
      </c>
      <c r="E55" s="10">
        <f t="shared" si="2"/>
        <v>79332.486360824201</v>
      </c>
      <c r="F55" s="3"/>
      <c r="G55" s="29">
        <v>1.43</v>
      </c>
      <c r="H55" s="10"/>
      <c r="I55" s="10">
        <f t="shared" si="8"/>
        <v>412.19449127512729</v>
      </c>
      <c r="J55" s="10">
        <f t="shared" si="6"/>
        <v>1101341389.5790164</v>
      </c>
      <c r="K55" s="11">
        <f t="shared" si="7"/>
        <v>4.5337579999999988E-2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2592564.9137524259</v>
      </c>
      <c r="D56" s="11">
        <v>0.03</v>
      </c>
      <c r="E56" s="10">
        <f t="shared" si="2"/>
        <v>75511.599429682363</v>
      </c>
      <c r="F56" s="3"/>
      <c r="G56" s="29">
        <v>6.32</v>
      </c>
      <c r="H56" s="10"/>
      <c r="I56" s="10">
        <f t="shared" si="8"/>
        <v>406.3832113527825</v>
      </c>
      <c r="J56" s="10">
        <f t="shared" si="6"/>
        <v>1053574855.2912605</v>
      </c>
      <c r="K56" s="11">
        <f t="shared" si="7"/>
        <v>9.5096000000000069E-2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2517053.3143227436</v>
      </c>
      <c r="D57" s="11">
        <v>2.8000000000000001E-2</v>
      </c>
      <c r="E57" s="10">
        <f t="shared" si="2"/>
        <v>68557.872374549508</v>
      </c>
      <c r="F57" s="3"/>
      <c r="G57" s="30">
        <v>4.66</v>
      </c>
      <c r="H57" s="10"/>
      <c r="I57" s="10">
        <f t="shared" si="8"/>
        <v>382.22649675769611</v>
      </c>
      <c r="J57" s="10">
        <f t="shared" si="6"/>
        <v>962084470.48593044</v>
      </c>
      <c r="K57" s="11">
        <f t="shared" si="7"/>
        <v>7.5904799999999994E-2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2448495.4419481941</v>
      </c>
      <c r="D58" s="11">
        <v>2.5000000000000001E-2</v>
      </c>
      <c r="E58" s="10">
        <f t="shared" si="2"/>
        <v>59719.401023126673</v>
      </c>
      <c r="F58" s="3"/>
      <c r="G58" s="30">
        <v>5.41</v>
      </c>
      <c r="H58" s="10"/>
      <c r="I58" s="10">
        <f t="shared" si="8"/>
        <v>365.20781268650501</v>
      </c>
      <c r="J58" s="10">
        <f t="shared" si="6"/>
        <v>894209664.72677732</v>
      </c>
      <c r="K58" s="11">
        <f t="shared" si="7"/>
        <v>8.0452500000000038E-2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2388776.0409250674</v>
      </c>
      <c r="D59" s="11">
        <v>2.9000000000000001E-2</v>
      </c>
      <c r="E59" s="10">
        <f t="shared" si="2"/>
        <v>67322.162475050427</v>
      </c>
      <c r="F59" s="3"/>
      <c r="G59" s="30">
        <v>1.2</v>
      </c>
      <c r="H59" s="10"/>
      <c r="I59" s="10">
        <f t="shared" si="8"/>
        <v>346.46410462622617</v>
      </c>
      <c r="J59" s="10">
        <f t="shared" si="6"/>
        <v>827625152.17168486</v>
      </c>
      <c r="K59" s="11">
        <f t="shared" si="7"/>
        <v>4.134799999999994E-2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2321453.878450017</v>
      </c>
      <c r="D60" s="11">
        <v>2.9000000000000001E-2</v>
      </c>
      <c r="E60" s="10">
        <f t="shared" si="2"/>
        <v>65424.842055442277</v>
      </c>
      <c r="F60" s="3"/>
      <c r="G60" s="30">
        <v>7.01</v>
      </c>
      <c r="H60" s="10"/>
      <c r="I60" s="10">
        <f t="shared" si="8"/>
        <v>342.35583461089544</v>
      </c>
      <c r="J60" s="10">
        <f t="shared" si="6"/>
        <v>794763280.06745577</v>
      </c>
      <c r="K60" s="11">
        <f t="shared" si="7"/>
        <v>0.10113289999999986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2256029.0363945747</v>
      </c>
      <c r="D61" s="11">
        <v>2.8000000000000001E-2</v>
      </c>
      <c r="E61" s="10">
        <f t="shared" si="2"/>
        <v>61448.261691681109</v>
      </c>
      <c r="F61" s="3"/>
      <c r="G61" s="30">
        <v>14.31</v>
      </c>
      <c r="H61" s="10"/>
      <c r="I61" s="10">
        <f t="shared" si="8"/>
        <v>319.92882404531861</v>
      </c>
      <c r="J61" s="10">
        <f t="shared" si="6"/>
        <v>721768716.62580955</v>
      </c>
      <c r="K61" s="11">
        <f t="shared" si="7"/>
        <v>0.17510680000000001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2194580.7747028936</v>
      </c>
      <c r="D62" s="11">
        <v>2.7E-2</v>
      </c>
      <c r="E62" s="10">
        <f t="shared" si="2"/>
        <v>57695.891837369185</v>
      </c>
      <c r="F62" s="3"/>
      <c r="G62" s="30">
        <v>7.85</v>
      </c>
      <c r="H62" s="10"/>
      <c r="I62" s="10">
        <f t="shared" si="8"/>
        <v>279.87824691218492</v>
      </c>
      <c r="J62" s="10">
        <f t="shared" si="6"/>
        <v>614215419.93103051</v>
      </c>
      <c r="K62" s="11">
        <f t="shared" si="7"/>
        <v>0.10761949999999998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2136884.8828655244</v>
      </c>
      <c r="D63" s="11">
        <v>2.7E-2</v>
      </c>
      <c r="E63" s="10">
        <f t="shared" si="2"/>
        <v>56179.05729052471</v>
      </c>
      <c r="F63" s="3"/>
      <c r="G63" s="30">
        <v>5.36</v>
      </c>
      <c r="H63" s="10"/>
      <c r="I63" s="10">
        <f t="shared" si="8"/>
        <v>259.50695123985622</v>
      </c>
      <c r="J63" s="10">
        <f t="shared" si="6"/>
        <v>554536481.10296953</v>
      </c>
      <c r="K63" s="11">
        <f t="shared" si="7"/>
        <v>8.2047200000000098E-2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2080705.8255749997</v>
      </c>
      <c r="D64" s="11">
        <v>2.7E-2</v>
      </c>
      <c r="E64" s="10">
        <f t="shared" si="2"/>
        <v>54702.100574999815</v>
      </c>
      <c r="F64" s="3"/>
      <c r="G64" s="30">
        <v>8.69</v>
      </c>
      <c r="H64" s="10"/>
      <c r="I64" s="10">
        <f t="shared" si="8"/>
        <v>246.30500307503436</v>
      </c>
      <c r="J64" s="10">
        <f t="shared" si="6"/>
        <v>512488254.76649219</v>
      </c>
      <c r="K64" s="11">
        <f t="shared" si="7"/>
        <v>0.11624630000000002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2026003.7249999999</v>
      </c>
      <c r="D65" s="11">
        <v>2.5999999999999999E-2</v>
      </c>
      <c r="E65" s="10">
        <f t="shared" si="2"/>
        <v>51341.225000000093</v>
      </c>
      <c r="F65" s="3"/>
      <c r="G65" s="30">
        <v>4.68</v>
      </c>
      <c r="H65" s="10"/>
      <c r="I65" s="10">
        <f t="shared" si="8"/>
        <v>226.61238667313862</v>
      </c>
      <c r="J65" s="10">
        <f t="shared" si="6"/>
        <v>459117539.53091913</v>
      </c>
      <c r="K65" s="11">
        <f t="shared" si="7"/>
        <v>7.4016799999999883E-2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1974662.4999999998</v>
      </c>
      <c r="D66" s="11">
        <v>2.5000000000000001E-2</v>
      </c>
      <c r="E66" s="10">
        <f t="shared" si="2"/>
        <v>48162.499999999767</v>
      </c>
      <c r="F66" s="23">
        <f>SUM(F2)</f>
        <v>7898975</v>
      </c>
      <c r="G66" s="30">
        <v>6.58</v>
      </c>
      <c r="H66" s="10"/>
      <c r="I66" s="10">
        <f t="shared" si="8"/>
        <v>216.48107248102659</v>
      </c>
      <c r="J66" s="10">
        <f t="shared" ref="J66:J67" si="9">IF(I66="","",I66*C66)</f>
        <v>427477055.78806514</v>
      </c>
      <c r="K66" s="11">
        <f t="shared" ref="K66" si="10">IFERROR(J66/J67-1,"")</f>
        <v>9.244500000000011E-2</v>
      </c>
    </row>
    <row r="67" spans="1:11" ht="22.5" customHeight="1">
      <c r="A67" s="3">
        <f t="shared" si="0"/>
        <v>1950</v>
      </c>
      <c r="B67" s="3">
        <v>1700</v>
      </c>
      <c r="C67" s="10">
        <v>1926500</v>
      </c>
      <c r="D67" s="11">
        <v>0.01</v>
      </c>
      <c r="E67" s="3" t="s">
        <v>72</v>
      </c>
      <c r="F67" s="10">
        <f>SUM(C2)</f>
        <v>7896970.9998418577</v>
      </c>
      <c r="G67" s="29">
        <v>1.52</v>
      </c>
      <c r="H67" s="10"/>
      <c r="I67" s="10">
        <f t="shared" ref="I67" si="11">IF(H67&lt;&gt;"",H67,I66/(1+IF(G66="",0,G66)/100))</f>
        <v>203.11603723121277</v>
      </c>
      <c r="J67" s="10">
        <f t="shared" si="9"/>
        <v>391303045.72593141</v>
      </c>
      <c r="K67" s="11"/>
    </row>
  </sheetData>
  <dataValidations count="1">
    <dataValidation type="custom" allowBlank="1" showDropDown="1" sqref="D2:D67" xr:uid="{00000000-0002-0000-6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 summaryRight="0"/>
  </sheetPr>
  <dimension ref="A1:M67"/>
  <sheetViews>
    <sheetView workbookViewId="0">
      <selection activeCell="L59" sqref="L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3191757.8986496688</v>
      </c>
      <c r="D2" s="11">
        <v>-4.1000000000000003E-3</v>
      </c>
      <c r="E2" s="10">
        <f t="shared" ref="E2:E66" si="2">SUM(C2-C3)</f>
        <v>-13140.081719513517</v>
      </c>
      <c r="F2" s="14">
        <v>3123402</v>
      </c>
      <c r="G2" s="29">
        <v>3.35</v>
      </c>
      <c r="H2" s="10"/>
      <c r="I2" s="10">
        <f>IF(H2&lt;&gt;"",H2,118728)</f>
        <v>14841</v>
      </c>
      <c r="J2" s="10">
        <f t="shared" ref="J2:J33" si="3">IF(I2="","",I2*C2)</f>
        <v>47368878973.859734</v>
      </c>
      <c r="K2" s="11">
        <f t="shared" ref="K2:K33" si="4">IFERROR(J2/J3-1,"")</f>
        <v>2.9262650000000168E-2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3204897.9803691823</v>
      </c>
      <c r="D3" s="11">
        <v>-5.4000000000000003E-3</v>
      </c>
      <c r="E3" s="10">
        <f t="shared" si="2"/>
        <v>-17400.411315095145</v>
      </c>
      <c r="F3" s="3"/>
      <c r="G3" s="29">
        <v>4.09</v>
      </c>
      <c r="H3" s="10"/>
      <c r="I3" s="10">
        <f t="shared" ref="I3:I34" si="5">IF(H3&lt;&gt;"",H3,I2/(1+IF(G2="",0,G2)/100))</f>
        <v>14359.941944847604</v>
      </c>
      <c r="J3" s="10">
        <f t="shared" si="3"/>
        <v>46022148937.260796</v>
      </c>
      <c r="K3" s="11">
        <f t="shared" si="4"/>
        <v>3.5279140000000098E-2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3222298.3916842774</v>
      </c>
      <c r="D4" s="11">
        <v>-5.4999999999999997E-3</v>
      </c>
      <c r="E4" s="10">
        <f t="shared" si="2"/>
        <v>-17820.654755418189</v>
      </c>
      <c r="F4" s="3"/>
      <c r="G4" s="29">
        <v>5.13</v>
      </c>
      <c r="H4" s="10"/>
      <c r="I4" s="10">
        <f t="shared" si="5"/>
        <v>13795.697900708621</v>
      </c>
      <c r="J4" s="10">
        <f t="shared" si="3"/>
        <v>44453855157.615555</v>
      </c>
      <c r="K4" s="11">
        <f t="shared" si="4"/>
        <v>4.5517849999999971E-2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3240119.0464396956</v>
      </c>
      <c r="D5" s="11">
        <v>-4.1000000000000003E-3</v>
      </c>
      <c r="E5" s="10">
        <f t="shared" si="2"/>
        <v>-13339.178723167628</v>
      </c>
      <c r="F5" s="3"/>
      <c r="G5" s="29">
        <v>1.58</v>
      </c>
      <c r="H5" s="10"/>
      <c r="I5" s="10">
        <f t="shared" si="5"/>
        <v>13122.512984598708</v>
      </c>
      <c r="J5" s="10">
        <f t="shared" si="3"/>
        <v>42518504258.550491</v>
      </c>
      <c r="K5" s="11">
        <f t="shared" si="4"/>
        <v>1.1635220000000057E-2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3253458.2251628633</v>
      </c>
      <c r="D6" s="11">
        <v>-1.5E-3</v>
      </c>
      <c r="E6" s="10">
        <f t="shared" si="2"/>
        <v>-4887.5186156677082</v>
      </c>
      <c r="F6" s="3"/>
      <c r="G6" s="29">
        <v>1.93</v>
      </c>
      <c r="H6" s="10"/>
      <c r="I6" s="10">
        <f t="shared" si="5"/>
        <v>12918.402229374589</v>
      </c>
      <c r="J6" s="10">
        <f t="shared" si="3"/>
        <v>42029481989.121025</v>
      </c>
      <c r="K6" s="11">
        <f t="shared" si="4"/>
        <v>1.7771050000000121E-2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3258345.743778531</v>
      </c>
      <c r="D7" s="11">
        <v>5.0000000000000001E-4</v>
      </c>
      <c r="E7" s="10">
        <f t="shared" si="2"/>
        <v>1628.3586925426498</v>
      </c>
      <c r="F7" s="3"/>
      <c r="G7" s="29">
        <v>2.25</v>
      </c>
      <c r="H7" s="10"/>
      <c r="I7" s="10">
        <f t="shared" si="5"/>
        <v>12673.797929338358</v>
      </c>
      <c r="J7" s="10">
        <f t="shared" si="3"/>
        <v>41295615540.568794</v>
      </c>
      <c r="K7" s="11">
        <f t="shared" si="4"/>
        <v>2.3011249999999706E-2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3256717.3850859883</v>
      </c>
      <c r="D8" s="11">
        <v>1E-3</v>
      </c>
      <c r="E8" s="10">
        <f t="shared" si="2"/>
        <v>3253.4639211646281</v>
      </c>
      <c r="F8" s="3"/>
      <c r="G8" s="29">
        <v>3.65</v>
      </c>
      <c r="H8" s="10"/>
      <c r="I8" s="10">
        <f t="shared" si="5"/>
        <v>12394.912400330913</v>
      </c>
      <c r="J8" s="10">
        <f t="shared" si="3"/>
        <v>40366726700.775581</v>
      </c>
      <c r="K8" s="11">
        <f t="shared" si="4"/>
        <v>3.7536499999999862E-2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3253463.9211648237</v>
      </c>
      <c r="D9" s="11">
        <v>1.4E-3</v>
      </c>
      <c r="E9" s="10">
        <f t="shared" si="2"/>
        <v>4548.4816153696738</v>
      </c>
      <c r="F9" s="3"/>
      <c r="G9" s="29">
        <v>2.42</v>
      </c>
      <c r="H9" s="10"/>
      <c r="I9" s="10">
        <f t="shared" si="5"/>
        <v>11958.429715707587</v>
      </c>
      <c r="J9" s="10">
        <f t="shared" si="3"/>
        <v>38906319633.839951</v>
      </c>
      <c r="K9" s="11">
        <f t="shared" si="4"/>
        <v>2.563388000000022E-2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3248915.439549454</v>
      </c>
      <c r="D10" s="11">
        <v>2E-3</v>
      </c>
      <c r="E10" s="10">
        <f t="shared" si="2"/>
        <v>6484.861156785395</v>
      </c>
      <c r="F10" s="3"/>
      <c r="G10" s="29">
        <v>2.58</v>
      </c>
      <c r="H10" s="10"/>
      <c r="I10" s="10">
        <f t="shared" si="5"/>
        <v>11675.873575188036</v>
      </c>
      <c r="J10" s="10">
        <f t="shared" si="3"/>
        <v>37933925928.655891</v>
      </c>
      <c r="K10" s="11">
        <f t="shared" si="4"/>
        <v>2.7851600000000198E-2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3242430.5783926686</v>
      </c>
      <c r="D11" s="11">
        <v>1.8E-3</v>
      </c>
      <c r="E11" s="10">
        <f t="shared" si="2"/>
        <v>5825.8884419114329</v>
      </c>
      <c r="F11" s="3"/>
      <c r="G11" s="29">
        <v>2.42</v>
      </c>
      <c r="H11" s="10"/>
      <c r="I11" s="10">
        <f t="shared" si="5"/>
        <v>11382.212492871939</v>
      </c>
      <c r="J11" s="10">
        <f t="shared" si="3"/>
        <v>36906033836.651016</v>
      </c>
      <c r="K11" s="11">
        <f t="shared" si="4"/>
        <v>2.6043559999999966E-2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3236604.6899507572</v>
      </c>
      <c r="D12" s="11">
        <v>1.9E-3</v>
      </c>
      <c r="E12" s="10">
        <f t="shared" si="2"/>
        <v>6137.8869257476181</v>
      </c>
      <c r="F12" s="3"/>
      <c r="G12" s="29">
        <v>2.59</v>
      </c>
      <c r="H12" s="10"/>
      <c r="I12" s="10">
        <f t="shared" si="5"/>
        <v>11113.271326764245</v>
      </c>
      <c r="J12" s="10">
        <f t="shared" si="3"/>
        <v>35969266096.900429</v>
      </c>
      <c r="K12" s="11">
        <f t="shared" si="4"/>
        <v>2.7849210000000069E-2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3230466.8030250096</v>
      </c>
      <c r="D13" s="11">
        <v>2.3999999999999998E-3</v>
      </c>
      <c r="E13" s="10">
        <f t="shared" si="2"/>
        <v>7734.557389525231</v>
      </c>
      <c r="F13" s="3"/>
      <c r="G13" s="29">
        <v>5.79</v>
      </c>
      <c r="H13" s="10"/>
      <c r="I13" s="10">
        <f t="shared" si="5"/>
        <v>10832.704285762984</v>
      </c>
      <c r="J13" s="10">
        <f t="shared" si="3"/>
        <v>34994691582.144066</v>
      </c>
      <c r="K13" s="11">
        <f t="shared" si="4"/>
        <v>6.0438960000000153E-2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3222732.2456354843</v>
      </c>
      <c r="D14" s="11">
        <v>3.8E-3</v>
      </c>
      <c r="E14" s="10">
        <f t="shared" si="2"/>
        <v>12200.022448112257</v>
      </c>
      <c r="F14" s="3"/>
      <c r="G14" s="29">
        <v>1.06</v>
      </c>
      <c r="H14" s="10"/>
      <c r="I14" s="10">
        <f t="shared" si="5"/>
        <v>10239.818778488499</v>
      </c>
      <c r="J14" s="10">
        <f t="shared" si="3"/>
        <v>33000194166.898643</v>
      </c>
      <c r="K14" s="11">
        <f t="shared" si="4"/>
        <v>1.4440280000000083E-2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3210532.2231873721</v>
      </c>
      <c r="D15" s="11">
        <v>5.4999999999999997E-3</v>
      </c>
      <c r="E15" s="10">
        <f t="shared" si="2"/>
        <v>17561.339858309831</v>
      </c>
      <c r="F15" s="3"/>
      <c r="G15" s="29">
        <v>5.47</v>
      </c>
      <c r="H15" s="10"/>
      <c r="I15" s="10">
        <f t="shared" si="5"/>
        <v>10132.415177605877</v>
      </c>
      <c r="J15" s="10">
        <f t="shared" si="3"/>
        <v>32530445426.41647</v>
      </c>
      <c r="K15" s="11">
        <f t="shared" si="4"/>
        <v>6.0500849999999939E-2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3192970.8833290623</v>
      </c>
      <c r="D16" s="11">
        <v>7.1000000000000004E-3</v>
      </c>
      <c r="E16" s="10">
        <f t="shared" si="2"/>
        <v>22510.270352136344</v>
      </c>
      <c r="F16" s="3"/>
      <c r="G16" s="29">
        <v>4.8099999999999996</v>
      </c>
      <c r="H16" s="10"/>
      <c r="I16" s="10">
        <f t="shared" si="5"/>
        <v>9606.9168271602139</v>
      </c>
      <c r="J16" s="10">
        <f t="shared" si="3"/>
        <v>30674605707.686581</v>
      </c>
      <c r="K16" s="11">
        <f t="shared" si="4"/>
        <v>5.5541510000000072E-2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3170460.6129769259</v>
      </c>
      <c r="D17" s="11">
        <v>7.0000000000000001E-3</v>
      </c>
      <c r="E17" s="10">
        <f t="shared" si="2"/>
        <v>22038.951629431918</v>
      </c>
      <c r="F17" s="3"/>
      <c r="G17" s="29">
        <v>1.84</v>
      </c>
      <c r="H17" s="10"/>
      <c r="I17" s="10">
        <f t="shared" si="5"/>
        <v>9166.0307481730888</v>
      </c>
      <c r="J17" s="10">
        <f t="shared" si="3"/>
        <v>29060539464.418201</v>
      </c>
      <c r="K17" s="11">
        <f t="shared" si="4"/>
        <v>2.5528799999999796E-2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3148421.661347494</v>
      </c>
      <c r="D18" s="11">
        <v>5.7000000000000002E-3</v>
      </c>
      <c r="E18" s="10">
        <f t="shared" si="2"/>
        <v>17844.291010918561</v>
      </c>
      <c r="F18" s="3"/>
      <c r="G18" s="29">
        <v>2.87</v>
      </c>
      <c r="H18" s="10"/>
      <c r="I18" s="10">
        <f t="shared" si="5"/>
        <v>9000.4229656059397</v>
      </c>
      <c r="J18" s="10">
        <f t="shared" si="3"/>
        <v>28337126626.20319</v>
      </c>
      <c r="K18" s="11">
        <f t="shared" si="4"/>
        <v>3.4563589999999866E-2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3130577.3703365754</v>
      </c>
      <c r="D19" s="11">
        <v>5.1000000000000004E-3</v>
      </c>
      <c r="E19" s="10">
        <f t="shared" si="2"/>
        <v>15884.931438381318</v>
      </c>
      <c r="F19" s="3"/>
      <c r="G19" s="29">
        <v>3.1</v>
      </c>
      <c r="H19" s="10"/>
      <c r="I19" s="10">
        <f t="shared" si="5"/>
        <v>8749.317551867347</v>
      </c>
      <c r="J19" s="10">
        <f t="shared" si="3"/>
        <v>27390415533.764523</v>
      </c>
      <c r="K19" s="11">
        <f t="shared" si="4"/>
        <v>3.6258100000000182E-2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3114692.4388981941</v>
      </c>
      <c r="D20" s="11">
        <v>4.4999999999999997E-3</v>
      </c>
      <c r="E20" s="10">
        <f t="shared" si="2"/>
        <v>13953.326008005533</v>
      </c>
      <c r="F20" s="3"/>
      <c r="G20" s="29">
        <v>0.52</v>
      </c>
      <c r="H20" s="10"/>
      <c r="I20" s="10">
        <f t="shared" si="5"/>
        <v>8486.2439882321505</v>
      </c>
      <c r="J20" s="10">
        <f t="shared" si="3"/>
        <v>26432039984.791935</v>
      </c>
      <c r="K20" s="11">
        <f t="shared" si="4"/>
        <v>9.7233999999999376E-3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3100739.1128901886</v>
      </c>
      <c r="D21" s="11">
        <v>3.8E-3</v>
      </c>
      <c r="E21" s="10">
        <f t="shared" si="2"/>
        <v>11738.203455850482</v>
      </c>
      <c r="F21" s="3"/>
      <c r="G21" s="29">
        <v>1.2</v>
      </c>
      <c r="H21" s="10"/>
      <c r="I21" s="10">
        <f t="shared" si="5"/>
        <v>8442.3438004697073</v>
      </c>
      <c r="J21" s="10">
        <f t="shared" si="3"/>
        <v>26177505626.582424</v>
      </c>
      <c r="K21" s="11">
        <f t="shared" si="4"/>
        <v>1.5845600000000015E-2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3089000.9094343381</v>
      </c>
      <c r="D22" s="11">
        <v>3.5000000000000001E-3</v>
      </c>
      <c r="E22" s="10">
        <f t="shared" si="2"/>
        <v>10773.794900867157</v>
      </c>
      <c r="F22" s="3"/>
      <c r="G22" s="29">
        <v>2.6</v>
      </c>
      <c r="H22" s="10"/>
      <c r="I22" s="10">
        <f t="shared" si="5"/>
        <v>8342.2369569858765</v>
      </c>
      <c r="J22" s="10">
        <f t="shared" si="3"/>
        <v>25769177546.846119</v>
      </c>
      <c r="K22" s="11">
        <f t="shared" si="4"/>
        <v>2.9591000000000145E-2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3078227.1145334709</v>
      </c>
      <c r="D23" s="11">
        <v>2.7000000000000001E-3</v>
      </c>
      <c r="E23" s="10">
        <f t="shared" si="2"/>
        <v>8288.8333591702394</v>
      </c>
      <c r="F23" s="3"/>
      <c r="G23" s="29">
        <v>0.4</v>
      </c>
      <c r="H23" s="10"/>
      <c r="I23" s="10">
        <f t="shared" si="5"/>
        <v>8130.8352407269749</v>
      </c>
      <c r="J23" s="10">
        <f t="shared" si="3"/>
        <v>25028557501.810055</v>
      </c>
      <c r="K23" s="11">
        <f t="shared" si="4"/>
        <v>6.7107999999997947E-3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3069938.2811743007</v>
      </c>
      <c r="D24" s="11">
        <v>1.1999999999999999E-3</v>
      </c>
      <c r="E24" s="10">
        <f t="shared" si="2"/>
        <v>3679.5105247795582</v>
      </c>
      <c r="F24" s="3"/>
      <c r="G24" s="29">
        <v>2.2999999999999998</v>
      </c>
      <c r="H24" s="10"/>
      <c r="I24" s="10">
        <f t="shared" si="5"/>
        <v>8098.441474827664</v>
      </c>
      <c r="J24" s="10">
        <f t="shared" si="3"/>
        <v>24861715501.423107</v>
      </c>
      <c r="K24" s="11">
        <f t="shared" si="4"/>
        <v>2.4227599999999905E-2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3066258.7706495211</v>
      </c>
      <c r="D25" s="11">
        <v>-8.0000000000000004E-4</v>
      </c>
      <c r="E25" s="10">
        <f t="shared" si="2"/>
        <v>-2454.970993314404</v>
      </c>
      <c r="F25" s="3"/>
      <c r="G25" s="29">
        <v>4.9000000000000004</v>
      </c>
      <c r="H25" s="10"/>
      <c r="I25" s="10">
        <f t="shared" si="5"/>
        <v>7916.3650780329081</v>
      </c>
      <c r="J25" s="10">
        <f t="shared" si="3"/>
        <v>24273623852.181984</v>
      </c>
      <c r="K25" s="11">
        <f t="shared" si="4"/>
        <v>4.8160799999999782E-2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3068713.7416428356</v>
      </c>
      <c r="D26" s="11">
        <v>-2.3E-3</v>
      </c>
      <c r="E26" s="10">
        <f t="shared" si="2"/>
        <v>-7074.3125245850533</v>
      </c>
      <c r="F26" s="3"/>
      <c r="G26" s="29">
        <v>1.1000000000000001</v>
      </c>
      <c r="H26" s="10"/>
      <c r="I26" s="10">
        <f t="shared" si="5"/>
        <v>7546.5825338731256</v>
      </c>
      <c r="J26" s="10">
        <f t="shared" si="3"/>
        <v>23158301524.138271</v>
      </c>
      <c r="K26" s="11">
        <f t="shared" si="4"/>
        <v>8.6746999999998131E-3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3075788.0541674206</v>
      </c>
      <c r="D27" s="11">
        <v>-2.2000000000000001E-3</v>
      </c>
      <c r="E27" s="10">
        <f t="shared" si="2"/>
        <v>-6781.6533565525897</v>
      </c>
      <c r="F27" s="3"/>
      <c r="G27" s="29">
        <v>-6.79</v>
      </c>
      <c r="H27" s="10"/>
      <c r="I27" s="10">
        <f t="shared" si="5"/>
        <v>7464.4733272731219</v>
      </c>
      <c r="J27" s="10">
        <f t="shared" si="3"/>
        <v>22959137890.678009</v>
      </c>
      <c r="K27" s="11">
        <f t="shared" si="4"/>
        <v>-6.9950619999999852E-2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3082569.7075239732</v>
      </c>
      <c r="D28" s="11">
        <v>-1.5E-3</v>
      </c>
      <c r="E28" s="10">
        <f t="shared" si="2"/>
        <v>-4630.8007624293678</v>
      </c>
      <c r="F28" s="3"/>
      <c r="G28" s="29">
        <v>4.1900000000000004</v>
      </c>
      <c r="H28" s="10"/>
      <c r="I28" s="10">
        <f t="shared" si="5"/>
        <v>8008.2323004754016</v>
      </c>
      <c r="J28" s="10">
        <f t="shared" si="3"/>
        <v>24685934300.260494</v>
      </c>
      <c r="K28" s="11">
        <f t="shared" si="4"/>
        <v>4.0337150000000044E-2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3087200.5082864026</v>
      </c>
      <c r="D29" s="11">
        <v>-1E-3</v>
      </c>
      <c r="E29" s="10">
        <f t="shared" si="2"/>
        <v>-3090.2907990855165</v>
      </c>
      <c r="F29" s="3"/>
      <c r="G29" s="29">
        <v>5.56</v>
      </c>
      <c r="H29" s="10"/>
      <c r="I29" s="10">
        <f t="shared" si="5"/>
        <v>7686.1813038443242</v>
      </c>
      <c r="J29" s="10">
        <f t="shared" si="3"/>
        <v>23728782828.009644</v>
      </c>
      <c r="K29" s="11">
        <f t="shared" si="4"/>
        <v>5.4544400000000159E-2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3090290.7990854881</v>
      </c>
      <c r="D30" s="11">
        <v>-2.9999999999999997E-4</v>
      </c>
      <c r="E30" s="10">
        <f t="shared" si="2"/>
        <v>-927.3654493605718</v>
      </c>
      <c r="F30" s="3"/>
      <c r="G30" s="29">
        <v>-1.28</v>
      </c>
      <c r="H30" s="10"/>
      <c r="I30" s="10">
        <f t="shared" si="5"/>
        <v>7281.3388630582831</v>
      </c>
      <c r="J30" s="10">
        <f t="shared" si="3"/>
        <v>22501454493.5326</v>
      </c>
      <c r="K30" s="11">
        <f t="shared" si="4"/>
        <v>-1.3096160000000134E-2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3091218.1645348486</v>
      </c>
      <c r="D31" s="11">
        <v>8.9999999999999998E-4</v>
      </c>
      <c r="E31" s="10">
        <f t="shared" si="2"/>
        <v>2779.5947128394619</v>
      </c>
      <c r="F31" s="3"/>
      <c r="G31" s="29">
        <v>2.1800000000000002</v>
      </c>
      <c r="H31" s="10"/>
      <c r="I31" s="10">
        <f t="shared" si="5"/>
        <v>7375.7484431303519</v>
      </c>
      <c r="J31" s="10">
        <f t="shared" si="3"/>
        <v>22800047564.444176</v>
      </c>
      <c r="K31" s="11">
        <f t="shared" si="4"/>
        <v>2.2719620000000162E-2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3088438.5698220092</v>
      </c>
      <c r="D32" s="11">
        <v>2.7000000000000001E-3</v>
      </c>
      <c r="E32" s="10">
        <f t="shared" si="2"/>
        <v>8316.330047391355</v>
      </c>
      <c r="F32" s="3"/>
      <c r="G32" s="29">
        <v>4.9400000000000004</v>
      </c>
      <c r="H32" s="10"/>
      <c r="I32" s="10">
        <f t="shared" si="5"/>
        <v>7218.3875935900878</v>
      </c>
      <c r="J32" s="10">
        <f t="shared" si="3"/>
        <v>22293546655.968304</v>
      </c>
      <c r="K32" s="11">
        <f t="shared" si="4"/>
        <v>5.2233380000000107E-2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3080122.2397746178</v>
      </c>
      <c r="D33" s="11">
        <v>3.8E-3</v>
      </c>
      <c r="E33" s="10">
        <f t="shared" si="2"/>
        <v>11660.155918652657</v>
      </c>
      <c r="F33" s="3"/>
      <c r="G33" s="29">
        <v>2.4300000000000002</v>
      </c>
      <c r="H33" s="10"/>
      <c r="I33" s="10">
        <f t="shared" si="5"/>
        <v>6878.5854713074968</v>
      </c>
      <c r="J33" s="10">
        <f t="shared" si="3"/>
        <v>21186884088.364792</v>
      </c>
      <c r="K33" s="11">
        <f t="shared" si="4"/>
        <v>2.8192339999999927E-2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3068462.0838559652</v>
      </c>
      <c r="D34" s="11">
        <v>4.5999999999999999E-3</v>
      </c>
      <c r="E34" s="10">
        <f t="shared" si="2"/>
        <v>14050.294232268818</v>
      </c>
      <c r="F34" s="3"/>
      <c r="G34" s="29">
        <v>3</v>
      </c>
      <c r="H34" s="10"/>
      <c r="I34" s="10">
        <f t="shared" si="5"/>
        <v>6715.4012216220808</v>
      </c>
      <c r="J34" s="10">
        <f t="shared" ref="J34:J65" si="6">IF(I34="","",I34*C34)</f>
        <v>20605954026.427383</v>
      </c>
      <c r="K34" s="11">
        <f t="shared" ref="K34:K65" si="7">IFERROR(J34/J35-1,"")</f>
        <v>4.779779999999989E-2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3054411.7896236964</v>
      </c>
      <c r="D35" s="11">
        <v>6.1000000000000004E-3</v>
      </c>
      <c r="E35" s="10">
        <f t="shared" si="2"/>
        <v>18518.946344005875</v>
      </c>
      <c r="F35" s="3"/>
      <c r="G35" s="29">
        <v>-1.7</v>
      </c>
      <c r="H35" s="10"/>
      <c r="I35" s="10">
        <f t="shared" ref="I35:I66" si="8">IF(H35&lt;&gt;"",H35,I34/(1+IF(G34="",0,G34)/100))</f>
        <v>6438.5438366462904</v>
      </c>
      <c r="J35" s="10">
        <f t="shared" si="6"/>
        <v>19665964202.661415</v>
      </c>
      <c r="K35" s="11">
        <f t="shared" si="7"/>
        <v>1.6161000000000092E-2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3035892.8432796905</v>
      </c>
      <c r="D36" s="11">
        <v>8.6999999999999994E-3</v>
      </c>
      <c r="E36" s="10">
        <f t="shared" si="2"/>
        <v>26184.462909223046</v>
      </c>
      <c r="F36" s="3"/>
      <c r="G36" s="29">
        <v>-3.53</v>
      </c>
      <c r="H36" s="10"/>
      <c r="I36" s="10">
        <f t="shared" si="8"/>
        <v>6374.7958778676139</v>
      </c>
      <c r="J36" s="10">
        <f t="shared" si="6"/>
        <v>19353197182.98716</v>
      </c>
      <c r="K36" s="11">
        <f t="shared" si="7"/>
        <v>2.1510489999999827E-2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3009708.3803704674</v>
      </c>
      <c r="D37" s="11">
        <v>1.0800000000000001E-2</v>
      </c>
      <c r="E37" s="10">
        <f t="shared" si="2"/>
        <v>32157.548979027197</v>
      </c>
      <c r="F37" s="3"/>
      <c r="G37" s="29">
        <v>-1.72</v>
      </c>
      <c r="H37" s="10"/>
      <c r="I37" s="10">
        <f t="shared" si="8"/>
        <v>6294.8512667795148</v>
      </c>
      <c r="J37" s="10">
        <f t="shared" si="6"/>
        <v>18945666610.811958</v>
      </c>
      <c r="K37" s="11">
        <f t="shared" si="7"/>
        <v>4.6986640000000079E-2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2977550.8313914402</v>
      </c>
      <c r="D38" s="11">
        <v>1.0699999999999999E-2</v>
      </c>
      <c r="E38" s="10">
        <f t="shared" si="2"/>
        <v>31522.503112583421</v>
      </c>
      <c r="F38" s="3"/>
      <c r="G38" s="29">
        <v>-2.33</v>
      </c>
      <c r="H38" s="10"/>
      <c r="I38" s="10">
        <f t="shared" si="8"/>
        <v>6077.2844823127189</v>
      </c>
      <c r="J38" s="10">
        <f t="shared" si="6"/>
        <v>18095423462.912533</v>
      </c>
      <c r="K38" s="11">
        <f t="shared" si="7"/>
        <v>2.4546589999999924E-2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2946028.3282788568</v>
      </c>
      <c r="D39" s="11">
        <v>1.0800000000000001E-2</v>
      </c>
      <c r="E39" s="10">
        <f t="shared" si="2"/>
        <v>31477.15269629145</v>
      </c>
      <c r="F39" s="3"/>
      <c r="G39" s="29">
        <v>7.43</v>
      </c>
      <c r="H39" s="10"/>
      <c r="I39" s="10">
        <f t="shared" si="8"/>
        <v>5995.1509147802299</v>
      </c>
      <c r="J39" s="10">
        <f t="shared" si="6"/>
        <v>17661884427.249458</v>
      </c>
      <c r="K39" s="11">
        <f t="shared" si="7"/>
        <v>8.5902439999999913E-2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2914551.1755825654</v>
      </c>
      <c r="D40" s="11">
        <v>1.06E-2</v>
      </c>
      <c r="E40" s="10">
        <f t="shared" si="2"/>
        <v>30570.198358573951</v>
      </c>
      <c r="F40" s="3"/>
      <c r="G40" s="29">
        <v>2.89</v>
      </c>
      <c r="H40" s="10"/>
      <c r="I40" s="10">
        <f t="shared" si="8"/>
        <v>5580.5183978220512</v>
      </c>
      <c r="J40" s="10">
        <f t="shared" si="6"/>
        <v>16264706456.732393</v>
      </c>
      <c r="K40" s="11">
        <f t="shared" si="7"/>
        <v>3.9806339999999718E-2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2883980.9772239914</v>
      </c>
      <c r="D41" s="11">
        <v>2.8400000000000002E-2</v>
      </c>
      <c r="E41" s="10">
        <f t="shared" si="2"/>
        <v>79643.193069973961</v>
      </c>
      <c r="F41" s="3"/>
      <c r="G41" s="29">
        <v>3.1</v>
      </c>
      <c r="H41" s="10"/>
      <c r="I41" s="10">
        <f t="shared" si="8"/>
        <v>5423.7714042395291</v>
      </c>
      <c r="J41" s="10">
        <f t="shared" si="6"/>
        <v>15642053554.638258</v>
      </c>
      <c r="K41" s="11">
        <f t="shared" si="7"/>
        <v>6.0280399999999901E-2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2804337.7841540175</v>
      </c>
      <c r="D42" s="11">
        <v>3.7999999999999999E-2</v>
      </c>
      <c r="E42" s="10">
        <f t="shared" si="2"/>
        <v>102663.61830236297</v>
      </c>
      <c r="F42" s="3"/>
      <c r="G42" s="29">
        <v>-0.33800000000000002</v>
      </c>
      <c r="H42" s="10"/>
      <c r="I42" s="10">
        <f t="shared" si="8"/>
        <v>5260.690013811377</v>
      </c>
      <c r="J42" s="10">
        <f t="shared" si="6"/>
        <v>14752751776.452965</v>
      </c>
      <c r="K42" s="11">
        <f t="shared" si="7"/>
        <v>3.4491559999999977E-2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2701674.1658516545</v>
      </c>
      <c r="D43" s="11">
        <v>1.3899999999999999E-2</v>
      </c>
      <c r="E43" s="10">
        <f t="shared" si="2"/>
        <v>37038.436636096332</v>
      </c>
      <c r="F43" s="3"/>
      <c r="G43" s="29">
        <v>3.81</v>
      </c>
      <c r="H43" s="10"/>
      <c r="I43" s="10">
        <f t="shared" si="8"/>
        <v>5278.5314501127586</v>
      </c>
      <c r="J43" s="10">
        <f t="shared" si="6"/>
        <v>14260872052.405111</v>
      </c>
      <c r="K43" s="11">
        <f t="shared" si="7"/>
        <v>5.2529590000000015E-2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2664635.7292155582</v>
      </c>
      <c r="D44" s="11">
        <v>2.9999999999999997E-4</v>
      </c>
      <c r="E44" s="10">
        <f t="shared" si="2"/>
        <v>799.15097347274423</v>
      </c>
      <c r="F44" s="3"/>
      <c r="G44" s="29">
        <v>3.48</v>
      </c>
      <c r="H44" s="10"/>
      <c r="I44" s="10">
        <f t="shared" si="8"/>
        <v>5084.8005491886706</v>
      </c>
      <c r="J44" s="10">
        <f t="shared" si="6"/>
        <v>13549141219.303024</v>
      </c>
      <c r="K44" s="11">
        <f t="shared" si="7"/>
        <v>3.5110439999999965E-2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2663836.5782420854</v>
      </c>
      <c r="D45" s="11">
        <v>-1.5E-3</v>
      </c>
      <c r="E45" s="10">
        <f t="shared" si="2"/>
        <v>-4001.7575036184862</v>
      </c>
      <c r="F45" s="3"/>
      <c r="G45" s="29">
        <v>2.84</v>
      </c>
      <c r="H45" s="10"/>
      <c r="I45" s="10">
        <f t="shared" si="8"/>
        <v>4913.800298790753</v>
      </c>
      <c r="J45" s="10">
        <f t="shared" si="6"/>
        <v>13089560974.095695</v>
      </c>
      <c r="K45" s="11">
        <f t="shared" si="7"/>
        <v>2.685739999999992E-2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2667838.3357457039</v>
      </c>
      <c r="D46" s="11">
        <v>-4.1999999999999997E-3</v>
      </c>
      <c r="E46" s="10">
        <f t="shared" si="2"/>
        <v>-11252.180166832637</v>
      </c>
      <c r="F46" s="3"/>
      <c r="G46" s="29">
        <v>2.4700000000000002</v>
      </c>
      <c r="H46" s="10"/>
      <c r="I46" s="10">
        <f t="shared" si="8"/>
        <v>4778.1021964126339</v>
      </c>
      <c r="J46" s="10">
        <f t="shared" si="6"/>
        <v>12747204211.700375</v>
      </c>
      <c r="K46" s="11">
        <f t="shared" si="7"/>
        <v>2.0396260000000055E-2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2679090.5159125365</v>
      </c>
      <c r="D47" s="11">
        <v>-8.8999999999999999E-3</v>
      </c>
      <c r="E47" s="10">
        <f t="shared" si="2"/>
        <v>-24058.021987308748</v>
      </c>
      <c r="F47" s="3"/>
      <c r="G47" s="29">
        <v>2.0499999999999998</v>
      </c>
      <c r="H47" s="10"/>
      <c r="I47" s="10">
        <f t="shared" si="8"/>
        <v>4662.9278778302278</v>
      </c>
      <c r="J47" s="10">
        <f t="shared" si="6"/>
        <v>12492405853.879133</v>
      </c>
      <c r="K47" s="11">
        <f t="shared" si="7"/>
        <v>1.1417549999999776E-2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2703148.5378998453</v>
      </c>
      <c r="D48" s="11">
        <v>-8.9999999999999993E-3</v>
      </c>
      <c r="E48" s="10">
        <f t="shared" si="2"/>
        <v>-24549.28036437789</v>
      </c>
      <c r="F48" s="3"/>
      <c r="G48" s="29">
        <v>4.78</v>
      </c>
      <c r="H48" s="10"/>
      <c r="I48" s="10">
        <f t="shared" si="8"/>
        <v>4569.2580870457896</v>
      </c>
      <c r="J48" s="10">
        <f t="shared" si="6"/>
        <v>12351383317.28487</v>
      </c>
      <c r="K48" s="11">
        <f t="shared" si="7"/>
        <v>3.836980000000012E-2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2727697.8182642232</v>
      </c>
      <c r="D49" s="11">
        <v>-4.3E-3</v>
      </c>
      <c r="E49" s="10">
        <f t="shared" si="2"/>
        <v>-11779.753558839206</v>
      </c>
      <c r="F49" s="3"/>
      <c r="G49" s="29">
        <v>4.46</v>
      </c>
      <c r="H49" s="10"/>
      <c r="I49" s="10">
        <f t="shared" si="8"/>
        <v>4360.811306590751</v>
      </c>
      <c r="J49" s="10">
        <f t="shared" si="6"/>
        <v>11894975486.849548</v>
      </c>
      <c r="K49" s="11">
        <f t="shared" si="7"/>
        <v>4.0108220000000028E-2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2739477.5718230624</v>
      </c>
      <c r="D50" s="11">
        <v>-6.3E-3</v>
      </c>
      <c r="E50" s="10">
        <f t="shared" si="2"/>
        <v>-17368.127908307593</v>
      </c>
      <c r="F50" s="3"/>
      <c r="G50" s="29">
        <v>3.25</v>
      </c>
      <c r="H50" s="10"/>
      <c r="I50" s="10">
        <f t="shared" si="8"/>
        <v>4174.623115633497</v>
      </c>
      <c r="J50" s="10">
        <f t="shared" si="6"/>
        <v>11436286396.092079</v>
      </c>
      <c r="K50" s="11">
        <f t="shared" si="7"/>
        <v>2.5995249999999803E-2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2756845.69973137</v>
      </c>
      <c r="D51" s="11">
        <v>-7.4999999999999997E-3</v>
      </c>
      <c r="E51" s="10">
        <f t="shared" si="2"/>
        <v>-20832.5871516224</v>
      </c>
      <c r="F51" s="3"/>
      <c r="G51" s="29">
        <v>7.54</v>
      </c>
      <c r="H51" s="10"/>
      <c r="I51" s="10">
        <f t="shared" si="8"/>
        <v>4043.218513930748</v>
      </c>
      <c r="J51" s="10">
        <f t="shared" si="6"/>
        <v>11146529573.204243</v>
      </c>
      <c r="K51" s="11">
        <f t="shared" si="7"/>
        <v>6.7334499999999853E-2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2777678.2868829924</v>
      </c>
      <c r="D52" s="11">
        <v>-4.1000000000000003E-3</v>
      </c>
      <c r="E52" s="10">
        <f t="shared" si="2"/>
        <v>-11435.365976724774</v>
      </c>
      <c r="F52" s="3"/>
      <c r="G52" s="29">
        <v>1.56</v>
      </c>
      <c r="H52" s="10"/>
      <c r="I52" s="10">
        <f t="shared" si="8"/>
        <v>3759.7345303428942</v>
      </c>
      <c r="J52" s="10">
        <f t="shared" si="6"/>
        <v>10443332969.377682</v>
      </c>
      <c r="K52" s="11">
        <f t="shared" si="7"/>
        <v>1.1436039999999981E-2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2789113.6528597171</v>
      </c>
      <c r="D53" s="11">
        <v>5.9999999999999995E-4</v>
      </c>
      <c r="E53" s="10">
        <f t="shared" si="2"/>
        <v>1672.4647128880024</v>
      </c>
      <c r="F53" s="3"/>
      <c r="G53" s="29">
        <v>2.4300000000000002</v>
      </c>
      <c r="H53" s="10"/>
      <c r="I53" s="10">
        <f t="shared" si="8"/>
        <v>3701.9835863951298</v>
      </c>
      <c r="J53" s="10">
        <f t="shared" si="6"/>
        <v>10325252963.477238</v>
      </c>
      <c r="K53" s="11">
        <f t="shared" si="7"/>
        <v>2.4914580000000131E-2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2787441.1881468291</v>
      </c>
      <c r="D54" s="11">
        <v>4.0000000000000001E-3</v>
      </c>
      <c r="E54" s="10">
        <f t="shared" si="2"/>
        <v>11105.343379070982</v>
      </c>
      <c r="F54" s="3"/>
      <c r="G54" s="29">
        <v>2.2000000000000002</v>
      </c>
      <c r="H54" s="10"/>
      <c r="I54" s="10">
        <f t="shared" si="8"/>
        <v>3614.1595102949623</v>
      </c>
      <c r="J54" s="10">
        <f t="shared" si="6"/>
        <v>10074257079.528751</v>
      </c>
      <c r="K54" s="11">
        <f t="shared" si="7"/>
        <v>2.6087999999999889E-2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2776335.8447677582</v>
      </c>
      <c r="D55" s="11">
        <v>7.1999999999999998E-3</v>
      </c>
      <c r="E55" s="10">
        <f t="shared" si="2"/>
        <v>19846.721686187666</v>
      </c>
      <c r="F55" s="3"/>
      <c r="G55" s="29">
        <v>5.1100000000000003</v>
      </c>
      <c r="H55" s="10"/>
      <c r="I55" s="10">
        <f t="shared" si="8"/>
        <v>3536.3595991144443</v>
      </c>
      <c r="J55" s="10">
        <f t="shared" si="6"/>
        <v>9818121915.0099716</v>
      </c>
      <c r="K55" s="11">
        <f t="shared" si="7"/>
        <v>5.8667920000000207E-2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2756489.1230815705</v>
      </c>
      <c r="D56" s="11">
        <v>8.0999999999999996E-3</v>
      </c>
      <c r="E56" s="10">
        <f t="shared" si="2"/>
        <v>22148.16178649012</v>
      </c>
      <c r="F56" s="3"/>
      <c r="G56" s="29">
        <v>4.87</v>
      </c>
      <c r="H56" s="10"/>
      <c r="I56" s="10">
        <f t="shared" si="8"/>
        <v>3364.436874811573</v>
      </c>
      <c r="J56" s="10">
        <f t="shared" si="6"/>
        <v>9274033650.7126522</v>
      </c>
      <c r="K56" s="11">
        <f t="shared" si="7"/>
        <v>5.7194469999999997E-2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2734340.9612950804</v>
      </c>
      <c r="D57" s="11">
        <v>8.0000000000000002E-3</v>
      </c>
      <c r="E57" s="10">
        <f t="shared" si="2"/>
        <v>21701.118740437087</v>
      </c>
      <c r="F57" s="3"/>
      <c r="G57" s="26">
        <v>-3</v>
      </c>
      <c r="H57" s="10"/>
      <c r="I57" s="10">
        <f t="shared" si="8"/>
        <v>3208.1976492910967</v>
      </c>
      <c r="J57" s="10">
        <f t="shared" si="6"/>
        <v>8772306244.3872337</v>
      </c>
      <c r="K57" s="11">
        <f t="shared" si="7"/>
        <v>-2.2240000000000149E-2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2712639.8425546433</v>
      </c>
      <c r="D58" s="11">
        <v>8.0000000000000002E-3</v>
      </c>
      <c r="E58" s="10">
        <f t="shared" si="2"/>
        <v>21528.887639322784</v>
      </c>
      <c r="F58" s="3"/>
      <c r="G58" s="26">
        <v>1.44</v>
      </c>
      <c r="H58" s="10"/>
      <c r="I58" s="10">
        <f t="shared" si="8"/>
        <v>3307.4202570011307</v>
      </c>
      <c r="J58" s="10">
        <f t="shared" si="6"/>
        <v>8971839965.2135849</v>
      </c>
      <c r="K58" s="11">
        <f t="shared" si="7"/>
        <v>2.251520000000018E-2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2691110.9549153205</v>
      </c>
      <c r="D59" s="11">
        <v>8.0000000000000002E-3</v>
      </c>
      <c r="E59" s="10">
        <f t="shared" si="2"/>
        <v>21358.023451708723</v>
      </c>
      <c r="F59" s="3"/>
      <c r="G59" s="26">
        <v>1.86</v>
      </c>
      <c r="H59" s="10"/>
      <c r="I59" s="10">
        <f t="shared" si="8"/>
        <v>3260.4694962550579</v>
      </c>
      <c r="J59" s="10">
        <f t="shared" si="6"/>
        <v>8774285179.5392227</v>
      </c>
      <c r="K59" s="11">
        <f t="shared" si="7"/>
        <v>2.6748799999999795E-2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2669752.9314636118</v>
      </c>
      <c r="D60" s="11">
        <v>8.0000000000000002E-3</v>
      </c>
      <c r="E60" s="10">
        <f t="shared" si="2"/>
        <v>21188.515329076443</v>
      </c>
      <c r="F60" s="3"/>
      <c r="G60" s="26">
        <v>5.41</v>
      </c>
      <c r="H60" s="10"/>
      <c r="I60" s="10">
        <f t="shared" si="8"/>
        <v>3200.9321581141353</v>
      </c>
      <c r="J60" s="10">
        <f t="shared" si="6"/>
        <v>8545698012.541358</v>
      </c>
      <c r="K60" s="11">
        <f t="shared" si="7"/>
        <v>6.2532800000000055E-2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2648564.4161345353</v>
      </c>
      <c r="D61" s="11">
        <v>7.0000000000000001E-3</v>
      </c>
      <c r="E61" s="10">
        <f t="shared" si="2"/>
        <v>18411.073399147484</v>
      </c>
      <c r="F61" s="3"/>
      <c r="G61" s="26">
        <v>3.9</v>
      </c>
      <c r="H61" s="10"/>
      <c r="I61" s="10">
        <f t="shared" si="8"/>
        <v>3036.6494242615836</v>
      </c>
      <c r="J61" s="10">
        <f t="shared" si="6"/>
        <v>8042761609.3746538</v>
      </c>
      <c r="K61" s="11">
        <f t="shared" si="7"/>
        <v>4.6272999999999787E-2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2630153.3427353879</v>
      </c>
      <c r="D62" s="11">
        <v>7.0000000000000001E-3</v>
      </c>
      <c r="E62" s="10">
        <f t="shared" si="2"/>
        <v>18283.09175684955</v>
      </c>
      <c r="F62" s="3"/>
      <c r="G62" s="26">
        <v>2.33</v>
      </c>
      <c r="H62" s="10"/>
      <c r="I62" s="10">
        <f t="shared" si="8"/>
        <v>2922.6654708966157</v>
      </c>
      <c r="J62" s="10">
        <f t="shared" si="6"/>
        <v>7687058357.9760303</v>
      </c>
      <c r="K62" s="11">
        <f t="shared" si="7"/>
        <v>3.0463099999999965E-2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2611870.2509785383</v>
      </c>
      <c r="D63" s="11">
        <v>7.0000000000000001E-3</v>
      </c>
      <c r="E63" s="10">
        <f t="shared" si="2"/>
        <v>18155.999758539721</v>
      </c>
      <c r="F63" s="3"/>
      <c r="G63" s="26">
        <v>3.87</v>
      </c>
      <c r="H63" s="10"/>
      <c r="I63" s="10">
        <f t="shared" si="8"/>
        <v>2856.1179232840959</v>
      </c>
      <c r="J63" s="10">
        <f t="shared" si="6"/>
        <v>7459809437.1123333</v>
      </c>
      <c r="K63" s="11">
        <f t="shared" si="7"/>
        <v>4.5970899999999704E-2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2593714.2512199986</v>
      </c>
      <c r="D64" s="11">
        <v>7.0000000000000001E-3</v>
      </c>
      <c r="E64" s="10">
        <f t="shared" si="2"/>
        <v>18029.791219999548</v>
      </c>
      <c r="F64" s="3"/>
      <c r="G64" s="26">
        <v>1.03</v>
      </c>
      <c r="H64" s="10"/>
      <c r="I64" s="10">
        <f t="shared" si="8"/>
        <v>2749.7043643824936</v>
      </c>
      <c r="J64" s="10">
        <f t="shared" si="6"/>
        <v>7131947396.5407019</v>
      </c>
      <c r="K64" s="11">
        <f t="shared" si="7"/>
        <v>1.7372100000000001E-2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2575684.459999999</v>
      </c>
      <c r="D65" s="11">
        <v>7.0000000000000001E-3</v>
      </c>
      <c r="E65" s="10">
        <f t="shared" si="2"/>
        <v>17904.459999999497</v>
      </c>
      <c r="F65" s="3"/>
      <c r="G65" s="26">
        <v>2.42</v>
      </c>
      <c r="H65" s="10"/>
      <c r="I65" s="10">
        <f t="shared" si="8"/>
        <v>2721.671151521819</v>
      </c>
      <c r="J65" s="10">
        <f t="shared" si="6"/>
        <v>7010166090.2050514</v>
      </c>
      <c r="K65" s="11">
        <f t="shared" si="7"/>
        <v>3.136939999999977E-2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2557779.9999999995</v>
      </c>
      <c r="D66" s="11">
        <v>7.0000000000000001E-3</v>
      </c>
      <c r="E66" s="10">
        <f t="shared" si="2"/>
        <v>17779.999999999534</v>
      </c>
      <c r="F66" s="23">
        <f>SUM(F2)</f>
        <v>3123402</v>
      </c>
      <c r="G66" s="26">
        <v>1.41</v>
      </c>
      <c r="H66" s="10"/>
      <c r="I66" s="10">
        <f t="shared" si="8"/>
        <v>2657.3629677033969</v>
      </c>
      <c r="J66" s="10">
        <f t="shared" ref="J66:J67" si="9">IF(I66="","",I66*C66)</f>
        <v>6796949851.5323935</v>
      </c>
      <c r="K66" s="11">
        <f t="shared" ref="K66" si="10">IFERROR(J66/J67-1,"")</f>
        <v>2.1198700000000015E-2</v>
      </c>
    </row>
    <row r="67" spans="1:11" ht="22.5" customHeight="1">
      <c r="A67" s="3">
        <f t="shared" si="0"/>
        <v>1950</v>
      </c>
      <c r="B67" s="3">
        <v>1700</v>
      </c>
      <c r="C67" s="10">
        <v>2540000</v>
      </c>
      <c r="D67" s="11">
        <v>8.0000000000000002E-3</v>
      </c>
      <c r="E67" s="3" t="s">
        <v>72</v>
      </c>
      <c r="F67" s="10">
        <f>SUM(C2)</f>
        <v>3191757.8986496688</v>
      </c>
      <c r="G67" s="26">
        <v>1.52</v>
      </c>
      <c r="H67" s="10"/>
      <c r="I67" s="10">
        <f t="shared" ref="I67" si="11">IF(H67&lt;&gt;"",H67,I66/(1+IF(G66="",0,G66)/100))</f>
        <v>2620.4151145877099</v>
      </c>
      <c r="J67" s="10">
        <f t="shared" si="9"/>
        <v>6655854391.052783</v>
      </c>
      <c r="K67" s="11"/>
    </row>
  </sheetData>
  <dataValidations count="1">
    <dataValidation type="custom" allowBlank="1" showDropDown="1" sqref="D2:D67" xr:uid="{00000000-0002-0000-6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 summaryRight="0"/>
  </sheetPr>
  <dimension ref="A1:M67"/>
  <sheetViews>
    <sheetView topLeftCell="A28" workbookViewId="0">
      <selection activeCell="K58" sqref="K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1300137.5440681532</v>
      </c>
      <c r="D2" s="11">
        <v>4.8999999999999998E-3</v>
      </c>
      <c r="E2" s="10">
        <f t="shared" ref="E2:E66" si="2">SUM(C2-C3)</f>
        <v>6339.6098775339779</v>
      </c>
      <c r="F2" s="14">
        <v>1300163</v>
      </c>
      <c r="G2" s="29">
        <v>2.27</v>
      </c>
      <c r="H2" s="10"/>
      <c r="I2" s="10">
        <f>IF(H2&lt;&gt;"",H2,116504)</f>
        <v>14563</v>
      </c>
      <c r="J2" s="10">
        <f t="shared" ref="J2:J33" si="3">IF(I2="","",I2*C2)</f>
        <v>18933903054.264515</v>
      </c>
      <c r="K2" s="11">
        <f t="shared" ref="K2:K33" si="4">IFERROR(J2/J3-1,"")</f>
        <v>2.7711229999999976E-2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1293797.9341906193</v>
      </c>
      <c r="D3" s="11">
        <v>4.7999999999999996E-3</v>
      </c>
      <c r="E3" s="10">
        <f t="shared" si="2"/>
        <v>6180.5633798914496</v>
      </c>
      <c r="F3" s="3"/>
      <c r="G3" s="29">
        <v>2.62</v>
      </c>
      <c r="H3" s="10"/>
      <c r="I3" s="10">
        <f t="shared" ref="I3:I34" si="5">IF(H3&lt;&gt;"",H3,I2/(1+IF(G2="",0,G2)/100))</f>
        <v>14239.757504644569</v>
      </c>
      <c r="J3" s="10">
        <f t="shared" si="3"/>
        <v>18423368842.88451</v>
      </c>
      <c r="K3" s="11">
        <f t="shared" si="4"/>
        <v>3.1125759999999891E-2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1287617.3708107278</v>
      </c>
      <c r="D4" s="11">
        <v>4.7000000000000002E-3</v>
      </c>
      <c r="E4" s="10">
        <f t="shared" si="2"/>
        <v>6023.4912340105511</v>
      </c>
      <c r="F4" s="3"/>
      <c r="G4" s="29">
        <v>3.17</v>
      </c>
      <c r="H4" s="10"/>
      <c r="I4" s="10">
        <f t="shared" si="5"/>
        <v>13876.201037463037</v>
      </c>
      <c r="J4" s="10">
        <f t="shared" si="3"/>
        <v>17867237496.699249</v>
      </c>
      <c r="K4" s="11">
        <f t="shared" si="4"/>
        <v>3.6548990000000003E-2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1281593.8795767173</v>
      </c>
      <c r="D5" s="11">
        <v>4.4999999999999997E-3</v>
      </c>
      <c r="E5" s="10">
        <f t="shared" si="2"/>
        <v>5741.3364440966398</v>
      </c>
      <c r="F5" s="3"/>
      <c r="G5" s="29">
        <v>1.65</v>
      </c>
      <c r="H5" s="10"/>
      <c r="I5" s="10">
        <f t="shared" si="5"/>
        <v>13449.84107537369</v>
      </c>
      <c r="J5" s="10">
        <f t="shared" si="3"/>
        <v>17237234003.478455</v>
      </c>
      <c r="K5" s="11">
        <f t="shared" si="4"/>
        <v>2.107424999999985E-2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1275852.5431326206</v>
      </c>
      <c r="D6" s="11">
        <v>4.4000000000000003E-3</v>
      </c>
      <c r="E6" s="10">
        <f t="shared" si="2"/>
        <v>5589.1588906645775</v>
      </c>
      <c r="F6" s="3"/>
      <c r="G6" s="29">
        <v>1.04</v>
      </c>
      <c r="H6" s="10"/>
      <c r="I6" s="10">
        <f t="shared" si="5"/>
        <v>13231.520979216617</v>
      </c>
      <c r="J6" s="10">
        <f t="shared" si="3"/>
        <v>16881469690.846144</v>
      </c>
      <c r="K6" s="11">
        <f t="shared" si="4"/>
        <v>1.4845760000000041E-2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1270263.3842419561</v>
      </c>
      <c r="D7" s="11">
        <v>4.4000000000000003E-3</v>
      </c>
      <c r="E7" s="10">
        <f t="shared" si="2"/>
        <v>5564.6743236405309</v>
      </c>
      <c r="F7" s="3"/>
      <c r="G7" s="29">
        <v>3.76</v>
      </c>
      <c r="H7" s="10"/>
      <c r="I7" s="10">
        <f t="shared" si="5"/>
        <v>13095.329551877096</v>
      </c>
      <c r="J7" s="10">
        <f t="shared" si="3"/>
        <v>16634517634.331097</v>
      </c>
      <c r="K7" s="11">
        <f t="shared" si="4"/>
        <v>4.2165439999999998E-2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1264698.7099183155</v>
      </c>
      <c r="D8" s="11">
        <v>4.5999999999999999E-3</v>
      </c>
      <c r="E8" s="10">
        <f t="shared" si="2"/>
        <v>5790.9755779656116</v>
      </c>
      <c r="F8" s="3"/>
      <c r="G8" s="29">
        <v>-3.24</v>
      </c>
      <c r="H8" s="10"/>
      <c r="I8" s="10">
        <f t="shared" si="5"/>
        <v>12620.787925864586</v>
      </c>
      <c r="J8" s="10">
        <f t="shared" si="3"/>
        <v>15961494207.993595</v>
      </c>
      <c r="K8" s="11">
        <f t="shared" si="4"/>
        <v>-2.7949039999999981E-2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1258907.7343403499</v>
      </c>
      <c r="D9" s="11">
        <v>4.7999999999999996E-3</v>
      </c>
      <c r="E9" s="10">
        <f t="shared" si="2"/>
        <v>6013.8904506703839</v>
      </c>
      <c r="F9" s="3"/>
      <c r="G9" s="29">
        <v>-0.3</v>
      </c>
      <c r="H9" s="10"/>
      <c r="I9" s="10">
        <f t="shared" si="5"/>
        <v>13043.393887830287</v>
      </c>
      <c r="J9" s="10">
        <f t="shared" si="3"/>
        <v>16420429447.437195</v>
      </c>
      <c r="K9" s="11">
        <f t="shared" si="4"/>
        <v>1.7856000000000538E-3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1252893.8438896795</v>
      </c>
      <c r="D10" s="11">
        <v>5.0000000000000001E-3</v>
      </c>
      <c r="E10" s="10">
        <f t="shared" si="2"/>
        <v>6233.3027059186716</v>
      </c>
      <c r="F10" s="3"/>
      <c r="G10" s="29">
        <v>8.1</v>
      </c>
      <c r="H10" s="10"/>
      <c r="I10" s="10">
        <f t="shared" si="5"/>
        <v>13082.641813270096</v>
      </c>
      <c r="J10" s="10">
        <f t="shared" si="3"/>
        <v>16391161389.659819</v>
      </c>
      <c r="K10" s="11">
        <f t="shared" si="4"/>
        <v>8.6404999999999843E-2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1246660.5411837609</v>
      </c>
      <c r="D11" s="11">
        <v>5.1999999999999998E-3</v>
      </c>
      <c r="E11" s="10">
        <f t="shared" si="2"/>
        <v>6449.0994967725128</v>
      </c>
      <c r="F11" s="3"/>
      <c r="G11" s="29">
        <v>6.02</v>
      </c>
      <c r="H11" s="10"/>
      <c r="I11" s="10">
        <f t="shared" si="5"/>
        <v>12102.351353626362</v>
      </c>
      <c r="J11" s="10">
        <f t="shared" si="3"/>
        <v>15087523888.107861</v>
      </c>
      <c r="K11" s="11">
        <f t="shared" si="4"/>
        <v>6.5713040000000111E-2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1240211.4416869883</v>
      </c>
      <c r="D12" s="11">
        <v>5.7999999999999996E-3</v>
      </c>
      <c r="E12" s="10">
        <f t="shared" si="2"/>
        <v>7151.7462336295284</v>
      </c>
      <c r="F12" s="3"/>
      <c r="G12" s="29">
        <v>2.48</v>
      </c>
      <c r="H12" s="10"/>
      <c r="I12" s="10">
        <f t="shared" si="5"/>
        <v>11415.15879421464</v>
      </c>
      <c r="J12" s="10">
        <f t="shared" si="3"/>
        <v>14157210545.258842</v>
      </c>
      <c r="K12" s="11">
        <f t="shared" si="4"/>
        <v>3.0743839999999967E-2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1233059.6954533588</v>
      </c>
      <c r="D13" s="11">
        <v>6.7999999999999996E-3</v>
      </c>
      <c r="E13" s="10">
        <f t="shared" si="2"/>
        <v>8328.1743435466196</v>
      </c>
      <c r="F13" s="3"/>
      <c r="G13" s="29">
        <v>4.2300000000000004</v>
      </c>
      <c r="H13" s="10"/>
      <c r="I13" s="10">
        <f t="shared" si="5"/>
        <v>11138.913733620844</v>
      </c>
      <c r="J13" s="10">
        <f t="shared" si="3"/>
        <v>13734945576.059753</v>
      </c>
      <c r="K13" s="11">
        <f t="shared" si="4"/>
        <v>4.9387639999999733E-2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1224731.5211098122</v>
      </c>
      <c r="D14" s="11">
        <v>6.1000000000000004E-3</v>
      </c>
      <c r="E14" s="10">
        <f t="shared" si="2"/>
        <v>7425.5663241923321</v>
      </c>
      <c r="F14" s="3"/>
      <c r="G14" s="29">
        <v>2.62</v>
      </c>
      <c r="H14" s="10"/>
      <c r="I14" s="10">
        <f t="shared" si="5"/>
        <v>10686.859573655229</v>
      </c>
      <c r="J14" s="10">
        <f t="shared" si="3"/>
        <v>13088533781.529728</v>
      </c>
      <c r="K14" s="11">
        <f t="shared" si="4"/>
        <v>3.2459820000000139E-2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1217305.9547856199</v>
      </c>
      <c r="D15" s="11">
        <v>5.4000000000000003E-3</v>
      </c>
      <c r="E15" s="10">
        <f t="shared" si="2"/>
        <v>6538.1461665430106</v>
      </c>
      <c r="F15" s="3"/>
      <c r="G15" s="29">
        <v>3.23</v>
      </c>
      <c r="H15" s="10"/>
      <c r="I15" s="10">
        <f t="shared" si="5"/>
        <v>10414.012447529944</v>
      </c>
      <c r="J15" s="10">
        <f t="shared" si="3"/>
        <v>12677039365.589767</v>
      </c>
      <c r="K15" s="11">
        <f t="shared" si="4"/>
        <v>3.7874419999999853E-2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1210767.8086190769</v>
      </c>
      <c r="D16" s="11">
        <v>6.3E-3</v>
      </c>
      <c r="E16" s="10">
        <f t="shared" si="2"/>
        <v>7580.0826734574512</v>
      </c>
      <c r="F16" s="3"/>
      <c r="G16" s="29">
        <v>3.07</v>
      </c>
      <c r="H16" s="10"/>
      <c r="I16" s="10">
        <f t="shared" si="5"/>
        <v>10088.164726852605</v>
      </c>
      <c r="J16" s="10">
        <f t="shared" si="3"/>
        <v>12214425099.319597</v>
      </c>
      <c r="K16" s="11">
        <f t="shared" si="4"/>
        <v>3.7193409999999982E-2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1203187.7259456194</v>
      </c>
      <c r="D17" s="11">
        <v>7.1000000000000004E-3</v>
      </c>
      <c r="E17" s="10">
        <f t="shared" si="2"/>
        <v>8482.4077591241803</v>
      </c>
      <c r="F17" s="3"/>
      <c r="G17" s="29">
        <v>6.94</v>
      </c>
      <c r="H17" s="10"/>
      <c r="I17" s="10">
        <f t="shared" si="5"/>
        <v>9787.6828629597421</v>
      </c>
      <c r="J17" s="10">
        <f t="shared" si="3"/>
        <v>11776419886.161442</v>
      </c>
      <c r="K17" s="11">
        <f t="shared" si="4"/>
        <v>7.6992739999999893E-2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1194705.3181864952</v>
      </c>
      <c r="D18" s="11">
        <v>7.9000000000000008E-3</v>
      </c>
      <c r="E18" s="10">
        <f t="shared" si="2"/>
        <v>9364.1948741674423</v>
      </c>
      <c r="F18" s="3"/>
      <c r="G18" s="29">
        <v>8.18</v>
      </c>
      <c r="H18" s="10"/>
      <c r="I18" s="10">
        <f t="shared" si="5"/>
        <v>9152.4994043012375</v>
      </c>
      <c r="J18" s="10">
        <f t="shared" si="3"/>
        <v>10934539713.017418</v>
      </c>
      <c r="K18" s="11">
        <f t="shared" si="4"/>
        <v>9.0346220000000033E-2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1185341.1233123278</v>
      </c>
      <c r="D19" s="11">
        <v>8.6E-3</v>
      </c>
      <c r="E19" s="10">
        <f t="shared" si="2"/>
        <v>10107.013345712796</v>
      </c>
      <c r="F19" s="3"/>
      <c r="G19" s="29">
        <v>6.67</v>
      </c>
      <c r="H19" s="10"/>
      <c r="I19" s="10">
        <f t="shared" si="5"/>
        <v>8460.4357591987773</v>
      </c>
      <c r="J19" s="10">
        <f t="shared" si="3"/>
        <v>10028502426.520466</v>
      </c>
      <c r="K19" s="11">
        <f t="shared" si="4"/>
        <v>7.5873620000000086E-2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1175234.109966615</v>
      </c>
      <c r="D20" s="11">
        <v>9.4000000000000004E-3</v>
      </c>
      <c r="E20" s="10">
        <f t="shared" si="2"/>
        <v>10944.323988197139</v>
      </c>
      <c r="F20" s="3"/>
      <c r="G20" s="29">
        <v>5.42</v>
      </c>
      <c r="H20" s="10"/>
      <c r="I20" s="10">
        <f t="shared" si="5"/>
        <v>7931.4106676654892</v>
      </c>
      <c r="J20" s="10">
        <f t="shared" si="3"/>
        <v>9321264356.7935658</v>
      </c>
      <c r="K20" s="11">
        <f t="shared" si="4"/>
        <v>6.4109479999999941E-2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1164289.7859784178</v>
      </c>
      <c r="D21" s="11">
        <v>9.9000000000000008E-3</v>
      </c>
      <c r="E21" s="10">
        <f t="shared" si="2"/>
        <v>11413.475473993924</v>
      </c>
      <c r="F21" s="3"/>
      <c r="G21" s="29">
        <v>1.4</v>
      </c>
      <c r="H21" s="10"/>
      <c r="I21" s="10">
        <f t="shared" si="5"/>
        <v>7523.6299256929324</v>
      </c>
      <c r="J21" s="10">
        <f t="shared" si="3"/>
        <v>8759685475.9658432</v>
      </c>
      <c r="K21" s="11">
        <f t="shared" si="4"/>
        <v>2.4038600000000132E-2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1152876.3105044239</v>
      </c>
      <c r="D22" s="11">
        <v>1.2200000000000001E-2</v>
      </c>
      <c r="E22" s="10">
        <f t="shared" si="2"/>
        <v>13895.565094007179</v>
      </c>
      <c r="F22" s="3"/>
      <c r="G22" s="29">
        <v>1.43</v>
      </c>
      <c r="H22" s="10"/>
      <c r="I22" s="10">
        <f t="shared" si="5"/>
        <v>7419.7533783953968</v>
      </c>
      <c r="J22" s="10">
        <f t="shared" si="3"/>
        <v>8554057899.7372198</v>
      </c>
      <c r="K22" s="11">
        <f t="shared" si="4"/>
        <v>2.6674459999999955E-2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1138980.7454104167</v>
      </c>
      <c r="D23" s="11">
        <v>1.44E-2</v>
      </c>
      <c r="E23" s="10">
        <f t="shared" si="2"/>
        <v>16168.496385952225</v>
      </c>
      <c r="F23" s="3"/>
      <c r="G23" s="29">
        <v>3.82</v>
      </c>
      <c r="H23" s="10"/>
      <c r="I23" s="10">
        <f t="shared" si="5"/>
        <v>7315.1467794492728</v>
      </c>
      <c r="J23" s="10">
        <f t="shared" si="3"/>
        <v>8331811331.6437426</v>
      </c>
      <c r="K23" s="11">
        <f t="shared" si="4"/>
        <v>5.3150079999999988E-2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1122812.2490244645</v>
      </c>
      <c r="D24" s="11">
        <v>1.47E-2</v>
      </c>
      <c r="E24" s="10">
        <f t="shared" si="2"/>
        <v>16266.22653065878</v>
      </c>
      <c r="F24" s="3"/>
      <c r="G24" s="29">
        <v>4.2</v>
      </c>
      <c r="H24" s="10"/>
      <c r="I24" s="10">
        <f t="shared" si="5"/>
        <v>7045.9899628677258</v>
      </c>
      <c r="J24" s="10">
        <f t="shared" si="3"/>
        <v>7911323836.8113146</v>
      </c>
      <c r="K24" s="11">
        <f t="shared" si="4"/>
        <v>5.7317399999999852E-2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1106546.0224938057</v>
      </c>
      <c r="D25" s="11">
        <v>1.49E-2</v>
      </c>
      <c r="E25" s="10">
        <f t="shared" si="2"/>
        <v>16245.47811129922</v>
      </c>
      <c r="F25" s="3"/>
      <c r="G25" s="29">
        <v>1.82</v>
      </c>
      <c r="H25" s="10"/>
      <c r="I25" s="10">
        <f t="shared" si="5"/>
        <v>6761.9865286638442</v>
      </c>
      <c r="J25" s="10">
        <f t="shared" si="3"/>
        <v>7482449297.4496737</v>
      </c>
      <c r="K25" s="11">
        <f t="shared" si="4"/>
        <v>3.3371179999999834E-2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1090300.5443825065</v>
      </c>
      <c r="D26" s="11">
        <v>1.49E-2</v>
      </c>
      <c r="E26" s="10">
        <f t="shared" si="2"/>
        <v>16006.974195782095</v>
      </c>
      <c r="F26" s="3"/>
      <c r="G26" s="29">
        <v>8.64</v>
      </c>
      <c r="H26" s="10"/>
      <c r="I26" s="10">
        <f t="shared" si="5"/>
        <v>6641.1181778273858</v>
      </c>
      <c r="J26" s="10">
        <f t="shared" si="3"/>
        <v>7240814764.5937586</v>
      </c>
      <c r="K26" s="11">
        <f t="shared" si="4"/>
        <v>0.10258736000000002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1074293.5701867244</v>
      </c>
      <c r="D27" s="11">
        <v>1.47E-2</v>
      </c>
      <c r="E27" s="10">
        <f t="shared" si="2"/>
        <v>15563.334465107648</v>
      </c>
      <c r="F27" s="3"/>
      <c r="G27" s="29">
        <v>5.32</v>
      </c>
      <c r="H27" s="10"/>
      <c r="I27" s="10">
        <f t="shared" si="5"/>
        <v>6112.9585583830867</v>
      </c>
      <c r="J27" s="10">
        <f t="shared" si="3"/>
        <v>6567112074.0888586</v>
      </c>
      <c r="K27" s="11">
        <f t="shared" si="4"/>
        <v>6.8682039999999667E-2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1058730.2357216168</v>
      </c>
      <c r="D28" s="11">
        <v>1.46E-2</v>
      </c>
      <c r="E28" s="10">
        <f t="shared" si="2"/>
        <v>15235.030003484688</v>
      </c>
      <c r="F28" s="3"/>
      <c r="G28" s="29">
        <v>9.8000000000000007</v>
      </c>
      <c r="H28" s="10"/>
      <c r="I28" s="10">
        <f t="shared" si="5"/>
        <v>5804.1763752213137</v>
      </c>
      <c r="J28" s="10">
        <f t="shared" si="3"/>
        <v>6145057021.9079008</v>
      </c>
      <c r="K28" s="11">
        <f t="shared" si="4"/>
        <v>0.11403079999999988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1043495.2057181321</v>
      </c>
      <c r="D29" s="11">
        <v>1.46E-2</v>
      </c>
      <c r="E29" s="10">
        <f t="shared" si="2"/>
        <v>15015.799333219649</v>
      </c>
      <c r="F29" s="3"/>
      <c r="G29" s="29">
        <v>8.4600000000000009</v>
      </c>
      <c r="H29" s="10"/>
      <c r="I29" s="10">
        <f t="shared" si="5"/>
        <v>5286.1351322598484</v>
      </c>
      <c r="J29" s="10">
        <f t="shared" si="3"/>
        <v>5516056667.2913361</v>
      </c>
      <c r="K29" s="11">
        <f t="shared" si="4"/>
        <v>0.10043515999999997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1028479.4063849124</v>
      </c>
      <c r="D30" s="11">
        <v>1.47E-2</v>
      </c>
      <c r="E30" s="10">
        <f t="shared" si="2"/>
        <v>14899.622818427277</v>
      </c>
      <c r="F30" s="3"/>
      <c r="G30" s="29">
        <v>3.95</v>
      </c>
      <c r="H30" s="10"/>
      <c r="I30" s="10">
        <f t="shared" si="5"/>
        <v>4873.8107433706882</v>
      </c>
      <c r="J30" s="10">
        <f t="shared" si="3"/>
        <v>5012613980.1742945</v>
      </c>
      <c r="K30" s="11">
        <f t="shared" si="4"/>
        <v>5.4780650000000097E-2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1013579.7835664852</v>
      </c>
      <c r="D31" s="11">
        <v>1.47E-2</v>
      </c>
      <c r="E31" s="10">
        <f t="shared" si="2"/>
        <v>14683.77137915371</v>
      </c>
      <c r="F31" s="3"/>
      <c r="G31" s="29">
        <v>9.98</v>
      </c>
      <c r="H31" s="10"/>
      <c r="I31" s="10">
        <f t="shared" si="5"/>
        <v>4688.6106237332251</v>
      </c>
      <c r="J31" s="10">
        <f t="shared" si="3"/>
        <v>4752280941.2310457</v>
      </c>
      <c r="K31" s="11">
        <f t="shared" si="4"/>
        <v>0.11596706000000001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998896.01218733145</v>
      </c>
      <c r="D32" s="11">
        <v>1.47E-2</v>
      </c>
      <c r="E32" s="10">
        <f t="shared" si="2"/>
        <v>14471.046988423914</v>
      </c>
      <c r="F32" s="3"/>
      <c r="G32" s="29">
        <v>2.79</v>
      </c>
      <c r="H32" s="10"/>
      <c r="I32" s="10">
        <f t="shared" si="5"/>
        <v>4263.1484121960584</v>
      </c>
      <c r="J32" s="10">
        <f t="shared" si="3"/>
        <v>4258441948.3053966</v>
      </c>
      <c r="K32" s="11">
        <f t="shared" si="4"/>
        <v>4.3010130000000091E-2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984424.96519890754</v>
      </c>
      <c r="D33" s="11">
        <v>1.47E-2</v>
      </c>
      <c r="E33" s="10">
        <f t="shared" si="2"/>
        <v>14261.404344558832</v>
      </c>
      <c r="F33" s="3"/>
      <c r="G33" s="29">
        <v>6.19</v>
      </c>
      <c r="H33" s="10"/>
      <c r="I33" s="10">
        <f t="shared" si="5"/>
        <v>4147.4349763557329</v>
      </c>
      <c r="J33" s="10">
        <f t="shared" si="3"/>
        <v>4082838532.2637243</v>
      </c>
      <c r="K33" s="11">
        <f t="shared" si="4"/>
        <v>7.7509929999999949E-2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970163.5608543487</v>
      </c>
      <c r="D34" s="11">
        <v>1.46E-2</v>
      </c>
      <c r="E34" s="10">
        <f t="shared" si="2"/>
        <v>13960.563757612254</v>
      </c>
      <c r="F34" s="3"/>
      <c r="G34" s="29">
        <v>1.69</v>
      </c>
      <c r="H34" s="10"/>
      <c r="I34" s="10">
        <f t="shared" si="5"/>
        <v>3905.6737699931564</v>
      </c>
      <c r="J34" s="10">
        <f t="shared" ref="J34:J65" si="6">IF(I34="","",I34*C34)</f>
        <v>3789142372.2319889</v>
      </c>
      <c r="K34" s="11">
        <f t="shared" ref="K34:K65" si="7">IFERROR(J34/J35-1,"")</f>
        <v>4.4936539999999914E-2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956202.99709673645</v>
      </c>
      <c r="D35" s="11">
        <v>1.4800000000000001E-2</v>
      </c>
      <c r="E35" s="10">
        <f t="shared" si="2"/>
        <v>13945.412255648058</v>
      </c>
      <c r="F35" s="3"/>
      <c r="G35" s="29">
        <v>-1.57</v>
      </c>
      <c r="H35" s="10"/>
      <c r="I35" s="10">
        <f t="shared" ref="I35:I66" si="8">IF(H35&lt;&gt;"",H35,I34/(1+IF(G34="",0,G34)/100))</f>
        <v>3792.2844645044725</v>
      </c>
      <c r="J35" s="10">
        <f t="shared" si="6"/>
        <v>3626193770.8025689</v>
      </c>
      <c r="K35" s="11">
        <f t="shared" si="7"/>
        <v>2.6267240000000136E-2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942257.58484108839</v>
      </c>
      <c r="D36" s="11">
        <v>1.44E-2</v>
      </c>
      <c r="E36" s="10">
        <f t="shared" si="2"/>
        <v>13375.896314778831</v>
      </c>
      <c r="F36" s="3"/>
      <c r="G36" s="29">
        <v>-5.35</v>
      </c>
      <c r="H36" s="10"/>
      <c r="I36" s="10">
        <f t="shared" si="8"/>
        <v>3749.9104761242679</v>
      </c>
      <c r="J36" s="10">
        <f t="shared" si="6"/>
        <v>3533381588.6031485</v>
      </c>
      <c r="K36" s="11">
        <f t="shared" si="7"/>
        <v>8.820800000000073E-3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928881.68852630956</v>
      </c>
      <c r="D37" s="11">
        <v>1.4E-2</v>
      </c>
      <c r="E37" s="10">
        <f t="shared" si="2"/>
        <v>12824.796488528955</v>
      </c>
      <c r="F37" s="3"/>
      <c r="G37" s="29">
        <v>-4.46</v>
      </c>
      <c r="H37" s="10"/>
      <c r="I37" s="10">
        <f t="shared" si="8"/>
        <v>3770.6490458765888</v>
      </c>
      <c r="J37" s="10">
        <f t="shared" si="6"/>
        <v>3502486852.5739641</v>
      </c>
      <c r="K37" s="11">
        <f t="shared" si="7"/>
        <v>2.2517600000000026E-2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916056.89203778061</v>
      </c>
      <c r="D38" s="11">
        <v>1.3899999999999999E-2</v>
      </c>
      <c r="E38" s="10">
        <f t="shared" si="2"/>
        <v>12558.625899324543</v>
      </c>
      <c r="F38" s="3"/>
      <c r="G38" s="29">
        <v>-1.35</v>
      </c>
      <c r="H38" s="10"/>
      <c r="I38" s="10">
        <f t="shared" si="8"/>
        <v>3739.2394346257329</v>
      </c>
      <c r="J38" s="10">
        <f t="shared" si="6"/>
        <v>3425356055.068357</v>
      </c>
      <c r="K38" s="11">
        <f t="shared" si="7"/>
        <v>3.7726650000000195E-2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903498.26613845606</v>
      </c>
      <c r="D39" s="11">
        <v>1.38E-2</v>
      </c>
      <c r="E39" s="10">
        <f t="shared" si="2"/>
        <v>12298.555999911972</v>
      </c>
      <c r="F39" s="3"/>
      <c r="G39" s="29">
        <v>4.07</v>
      </c>
      <c r="H39" s="10"/>
      <c r="I39" s="10">
        <f t="shared" si="8"/>
        <v>3653.3848897173743</v>
      </c>
      <c r="J39" s="10">
        <f t="shared" si="6"/>
        <v>3300826913.3960824</v>
      </c>
      <c r="K39" s="11">
        <f t="shared" si="7"/>
        <v>5.5061660000000012E-2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891199.71013854409</v>
      </c>
      <c r="D40" s="11">
        <v>1.44E-2</v>
      </c>
      <c r="E40" s="10">
        <f t="shared" si="2"/>
        <v>12651.099986193818</v>
      </c>
      <c r="F40" s="3"/>
      <c r="G40" s="29">
        <v>1.57</v>
      </c>
      <c r="H40" s="10"/>
      <c r="I40" s="10">
        <f t="shared" si="8"/>
        <v>3510.5072448519022</v>
      </c>
      <c r="J40" s="10">
        <f t="shared" si="6"/>
        <v>3128563039.0512743</v>
      </c>
      <c r="K40" s="11">
        <f t="shared" si="7"/>
        <v>3.0326079999999811E-2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878548.61015235027</v>
      </c>
      <c r="D41" s="11">
        <v>1.5900000000000001E-2</v>
      </c>
      <c r="E41" s="10">
        <f t="shared" si="2"/>
        <v>13750.293238923536</v>
      </c>
      <c r="F41" s="3"/>
      <c r="G41" s="29">
        <v>2.5299999999999998</v>
      </c>
      <c r="H41" s="10"/>
      <c r="I41" s="10">
        <f t="shared" si="8"/>
        <v>3456.2442107432335</v>
      </c>
      <c r="J41" s="10">
        <f t="shared" si="6"/>
        <v>3036478547.6955748</v>
      </c>
      <c r="K41" s="11">
        <f t="shared" si="7"/>
        <v>4.1602270000000052E-2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864798.31691342674</v>
      </c>
      <c r="D42" s="11">
        <v>1.77E-2</v>
      </c>
      <c r="E42" s="10">
        <f t="shared" si="2"/>
        <v>15040.709648587741</v>
      </c>
      <c r="F42" s="3"/>
      <c r="G42" s="29">
        <v>-6.57</v>
      </c>
      <c r="H42" s="10"/>
      <c r="I42" s="10">
        <f t="shared" si="8"/>
        <v>3370.9589493253029</v>
      </c>
      <c r="J42" s="10">
        <f t="shared" si="6"/>
        <v>2915199625.7607756</v>
      </c>
      <c r="K42" s="11">
        <f t="shared" si="7"/>
        <v>-4.9162889999999848E-2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849757.607264839</v>
      </c>
      <c r="D43" s="11">
        <v>1.95E-2</v>
      </c>
      <c r="E43" s="10">
        <f t="shared" si="2"/>
        <v>16253.333341505029</v>
      </c>
      <c r="F43" s="3"/>
      <c r="G43" s="29">
        <v>4.21</v>
      </c>
      <c r="H43" s="10"/>
      <c r="I43" s="10">
        <f t="shared" si="8"/>
        <v>3608.0048692339751</v>
      </c>
      <c r="J43" s="10">
        <f t="shared" si="6"/>
        <v>3065929584.680151</v>
      </c>
      <c r="K43" s="11">
        <f t="shared" si="7"/>
        <v>6.242094999999992E-2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833504.27392333397</v>
      </c>
      <c r="D44" s="11">
        <v>2.3199999999999998E-2</v>
      </c>
      <c r="E44" s="10">
        <f t="shared" si="2"/>
        <v>18898.845929458039</v>
      </c>
      <c r="F44" s="3"/>
      <c r="G44" s="29">
        <v>8.31</v>
      </c>
      <c r="H44" s="10"/>
      <c r="I44" s="10">
        <f t="shared" si="8"/>
        <v>3462.2443808022022</v>
      </c>
      <c r="J44" s="10">
        <f t="shared" si="6"/>
        <v>2885795488.7656827</v>
      </c>
      <c r="K44" s="11">
        <f t="shared" si="7"/>
        <v>0.10822792000000003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814605.42799387593</v>
      </c>
      <c r="D45" s="11">
        <v>2.5499999999999998E-2</v>
      </c>
      <c r="E45" s="10">
        <f t="shared" si="2"/>
        <v>20255.912641486037</v>
      </c>
      <c r="F45" s="3"/>
      <c r="G45" s="29">
        <v>6.6</v>
      </c>
      <c r="H45" s="10"/>
      <c r="I45" s="10">
        <f t="shared" si="8"/>
        <v>3196.6063898090688</v>
      </c>
      <c r="J45" s="10">
        <f t="shared" si="6"/>
        <v>2603972916.2983751</v>
      </c>
      <c r="K45" s="11">
        <f t="shared" si="7"/>
        <v>9.3183000000000238E-2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794349.51535238989</v>
      </c>
      <c r="D46" s="11">
        <v>2.5999999999999999E-2</v>
      </c>
      <c r="E46" s="10">
        <f t="shared" si="2"/>
        <v>20129.714813998202</v>
      </c>
      <c r="F46" s="3"/>
      <c r="G46" s="29">
        <v>2.67</v>
      </c>
      <c r="H46" s="10"/>
      <c r="I46" s="10">
        <f t="shared" si="8"/>
        <v>2998.6926733668561</v>
      </c>
      <c r="J46" s="10">
        <f t="shared" si="6"/>
        <v>2382010071.7797246</v>
      </c>
      <c r="K46" s="11">
        <f t="shared" si="7"/>
        <v>5.3394200000000058E-2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774219.80053839169</v>
      </c>
      <c r="D47" s="11">
        <v>2.7099999999999999E-2</v>
      </c>
      <c r="E47" s="10">
        <f t="shared" si="2"/>
        <v>20427.764185172156</v>
      </c>
      <c r="F47" s="3"/>
      <c r="G47" s="29">
        <v>1.76</v>
      </c>
      <c r="H47" s="10"/>
      <c r="I47" s="10">
        <f t="shared" si="8"/>
        <v>2920.7097237429202</v>
      </c>
      <c r="J47" s="10">
        <f t="shared" si="6"/>
        <v>2261271299.7467847</v>
      </c>
      <c r="K47" s="11">
        <f t="shared" si="7"/>
        <v>4.5176959999999822E-2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753792.03635321953</v>
      </c>
      <c r="D48" s="11">
        <v>2.76E-2</v>
      </c>
      <c r="E48" s="10">
        <f t="shared" si="2"/>
        <v>20245.874078774708</v>
      </c>
      <c r="F48" s="3"/>
      <c r="G48" s="29">
        <v>9.9700000000000006</v>
      </c>
      <c r="H48" s="10"/>
      <c r="I48" s="10">
        <f t="shared" si="8"/>
        <v>2870.1943039926496</v>
      </c>
      <c r="J48" s="10">
        <f t="shared" si="6"/>
        <v>2163529609.1360312</v>
      </c>
      <c r="K48" s="11">
        <f t="shared" si="7"/>
        <v>0.1300517200000002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733546.16227444483</v>
      </c>
      <c r="D49" s="11">
        <v>2.8799999999999999E-2</v>
      </c>
      <c r="E49" s="10">
        <f t="shared" si="2"/>
        <v>20534.729270513169</v>
      </c>
      <c r="F49" s="3"/>
      <c r="G49" s="29">
        <v>4.18</v>
      </c>
      <c r="H49" s="10"/>
      <c r="I49" s="10">
        <f t="shared" si="8"/>
        <v>2609.9793616374009</v>
      </c>
      <c r="J49" s="10">
        <f t="shared" si="6"/>
        <v>1914540344.3446207</v>
      </c>
      <c r="K49" s="11">
        <f t="shared" si="7"/>
        <v>7.1803840000000063E-2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713011.43300393166</v>
      </c>
      <c r="D50" s="11">
        <v>2.8299999999999999E-2</v>
      </c>
      <c r="E50" s="10">
        <f t="shared" si="2"/>
        <v>19622.895608296501</v>
      </c>
      <c r="F50" s="3"/>
      <c r="G50" s="29">
        <v>0.22</v>
      </c>
      <c r="H50" s="10"/>
      <c r="I50" s="10">
        <f t="shared" si="8"/>
        <v>2505.2595139541186</v>
      </c>
      <c r="J50" s="10">
        <f t="shared" si="6"/>
        <v>1786278676.0911593</v>
      </c>
      <c r="K50" s="11">
        <f t="shared" si="7"/>
        <v>3.0562259999999952E-2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693388.53739563515</v>
      </c>
      <c r="D51" s="11">
        <v>2.6100000000000002E-2</v>
      </c>
      <c r="E51" s="10">
        <f t="shared" si="2"/>
        <v>17637.112197667011</v>
      </c>
      <c r="F51" s="3"/>
      <c r="G51" s="29">
        <v>1.1100000000000001</v>
      </c>
      <c r="H51" s="10"/>
      <c r="I51" s="10">
        <f t="shared" si="8"/>
        <v>2499.7600418620223</v>
      </c>
      <c r="J51" s="10">
        <f t="shared" si="6"/>
        <v>1733304959.2667594</v>
      </c>
      <c r="K51" s="11">
        <f t="shared" si="7"/>
        <v>3.7489710000000231E-2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675751.42519796814</v>
      </c>
      <c r="D52" s="11">
        <v>2.52E-2</v>
      </c>
      <c r="E52" s="10">
        <f t="shared" si="2"/>
        <v>16610.354969750973</v>
      </c>
      <c r="F52" s="3"/>
      <c r="G52" s="29">
        <v>-0.73</v>
      </c>
      <c r="H52" s="10"/>
      <c r="I52" s="10">
        <f t="shared" si="8"/>
        <v>2472.3173196143034</v>
      </c>
      <c r="J52" s="10">
        <f t="shared" si="6"/>
        <v>1670671952.2709861</v>
      </c>
      <c r="K52" s="11">
        <f t="shared" si="7"/>
        <v>1.7716039999999822E-2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659141.07022821717</v>
      </c>
      <c r="D53" s="11">
        <v>2.5399999999999999E-2</v>
      </c>
      <c r="E53" s="10">
        <f t="shared" si="2"/>
        <v>16327.465558608179</v>
      </c>
      <c r="F53" s="3"/>
      <c r="G53" s="29">
        <v>7.87</v>
      </c>
      <c r="H53" s="10"/>
      <c r="I53" s="10">
        <f t="shared" si="8"/>
        <v>2490.4979546834929</v>
      </c>
      <c r="J53" s="10">
        <f t="shared" si="6"/>
        <v>1641589487.2512634</v>
      </c>
      <c r="K53" s="11">
        <f t="shared" si="7"/>
        <v>0.10609898000000006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642813.60466960899</v>
      </c>
      <c r="D54" s="11">
        <v>2.4500000000000001E-2</v>
      </c>
      <c r="E54" s="10">
        <f t="shared" si="2"/>
        <v>15372.31167828734</v>
      </c>
      <c r="F54" s="3"/>
      <c r="G54" s="29">
        <v>3.44</v>
      </c>
      <c r="H54" s="10"/>
      <c r="I54" s="10">
        <f t="shared" si="8"/>
        <v>2308.7957306790518</v>
      </c>
      <c r="J54" s="10">
        <f t="shared" si="6"/>
        <v>1484125306.0836051</v>
      </c>
      <c r="K54" s="11">
        <f t="shared" si="7"/>
        <v>5.9742799999999985E-2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627441.29299132165</v>
      </c>
      <c r="D55" s="11">
        <v>2.24E-2</v>
      </c>
      <c r="E55" s="10">
        <f t="shared" si="2"/>
        <v>13746.757592924056</v>
      </c>
      <c r="F55" s="3"/>
      <c r="G55" s="29">
        <v>1.36</v>
      </c>
      <c r="H55" s="10"/>
      <c r="I55" s="10">
        <f t="shared" si="8"/>
        <v>2232.0144341444816</v>
      </c>
      <c r="J55" s="10">
        <f t="shared" si="6"/>
        <v>1400458022.5349066</v>
      </c>
      <c r="K55" s="11">
        <f t="shared" si="7"/>
        <v>3.6304639999999777E-2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613694.53539839759</v>
      </c>
      <c r="D56" s="11">
        <v>2.2599999999999999E-2</v>
      </c>
      <c r="E56" s="10">
        <f t="shared" si="2"/>
        <v>13562.973303348059</v>
      </c>
      <c r="F56" s="3"/>
      <c r="G56" s="29">
        <v>3.83</v>
      </c>
      <c r="H56" s="10"/>
      <c r="I56" s="10">
        <f t="shared" si="8"/>
        <v>2202.0663320288886</v>
      </c>
      <c r="J56" s="10">
        <f t="shared" si="6"/>
        <v>1351396074.5509224</v>
      </c>
      <c r="K56" s="11">
        <f t="shared" si="7"/>
        <v>6.1765580000000098E-2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600131.56209504954</v>
      </c>
      <c r="D57" s="11">
        <v>2.7E-2</v>
      </c>
      <c r="E57" s="10">
        <f t="shared" si="2"/>
        <v>15777.558107659454</v>
      </c>
      <c r="F57" s="3"/>
      <c r="G57" s="30">
        <v>3.78</v>
      </c>
      <c r="H57" s="10"/>
      <c r="I57" s="10">
        <f t="shared" si="8"/>
        <v>2120.8382279003067</v>
      </c>
      <c r="J57" s="10">
        <f t="shared" si="6"/>
        <v>1272781958.6607077</v>
      </c>
      <c r="K57" s="11">
        <f t="shared" si="7"/>
        <v>6.5820599999999896E-2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584354.00398739008</v>
      </c>
      <c r="D58" s="11">
        <v>0.03</v>
      </c>
      <c r="E58" s="10">
        <f t="shared" si="2"/>
        <v>17020.019533613347</v>
      </c>
      <c r="F58" s="3"/>
      <c r="G58" s="30">
        <v>2.52</v>
      </c>
      <c r="H58" s="10"/>
      <c r="I58" s="10">
        <f t="shared" si="8"/>
        <v>2043.590506745333</v>
      </c>
      <c r="J58" s="10">
        <f t="shared" si="6"/>
        <v>1194180295.1272547</v>
      </c>
      <c r="K58" s="11">
        <f t="shared" si="7"/>
        <v>5.5955999999999895E-2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567333.98445377673</v>
      </c>
      <c r="D59" s="11">
        <v>3.5000000000000003E-2</v>
      </c>
      <c r="E59" s="10">
        <f t="shared" si="2"/>
        <v>19185.207203750848</v>
      </c>
      <c r="F59" s="3"/>
      <c r="G59" s="30">
        <v>1.48</v>
      </c>
      <c r="H59" s="10"/>
      <c r="I59" s="10">
        <f t="shared" si="8"/>
        <v>1993.3578879685263</v>
      </c>
      <c r="J59" s="10">
        <f t="shared" si="6"/>
        <v>1130899673.0235491</v>
      </c>
      <c r="K59" s="11">
        <f t="shared" si="7"/>
        <v>5.0317999999999863E-2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548148.77725002589</v>
      </c>
      <c r="D60" s="11">
        <v>0.04</v>
      </c>
      <c r="E60" s="10">
        <f t="shared" si="2"/>
        <v>21082.645278847194</v>
      </c>
      <c r="F60" s="3"/>
      <c r="G60" s="30">
        <v>4.93</v>
      </c>
      <c r="H60" s="10"/>
      <c r="I60" s="10">
        <f t="shared" si="8"/>
        <v>1964.2864485302782</v>
      </c>
      <c r="J60" s="10">
        <f t="shared" si="6"/>
        <v>1076721214.9306679</v>
      </c>
      <c r="K60" s="11">
        <f t="shared" si="7"/>
        <v>9.127200000000002E-2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527066.13197117869</v>
      </c>
      <c r="D61" s="11">
        <v>4.4999999999999998E-2</v>
      </c>
      <c r="E61" s="10">
        <f t="shared" si="2"/>
        <v>22696.627692538779</v>
      </c>
      <c r="F61" s="3"/>
      <c r="G61" s="30">
        <v>4.43</v>
      </c>
      <c r="H61" s="10"/>
      <c r="I61" s="10">
        <f t="shared" si="8"/>
        <v>1871.9969965979972</v>
      </c>
      <c r="J61" s="10">
        <f t="shared" si="6"/>
        <v>986666216.05857015</v>
      </c>
      <c r="K61" s="11">
        <f t="shared" si="7"/>
        <v>9.1293500000000138E-2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504369.50427863991</v>
      </c>
      <c r="D62" s="11">
        <v>0.04</v>
      </c>
      <c r="E62" s="10">
        <f t="shared" si="2"/>
        <v>19398.827087640006</v>
      </c>
      <c r="F62" s="3"/>
      <c r="G62" s="30">
        <v>5.01</v>
      </c>
      <c r="H62" s="10"/>
      <c r="I62" s="10">
        <f t="shared" si="8"/>
        <v>1792.5854606894543</v>
      </c>
      <c r="J62" s="10">
        <f t="shared" si="6"/>
        <v>904125440.18503737</v>
      </c>
      <c r="K62" s="11">
        <f t="shared" si="7"/>
        <v>9.2103999999999964E-2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484970.67719099991</v>
      </c>
      <c r="D63" s="11">
        <v>3.5000000000000003E-2</v>
      </c>
      <c r="E63" s="10">
        <f t="shared" si="2"/>
        <v>16399.974590999947</v>
      </c>
      <c r="F63" s="3"/>
      <c r="G63" s="30">
        <v>0.47</v>
      </c>
      <c r="H63" s="10"/>
      <c r="I63" s="10">
        <f t="shared" si="8"/>
        <v>1707.0616709736732</v>
      </c>
      <c r="J63" s="10">
        <f t="shared" si="6"/>
        <v>827874854.57890213</v>
      </c>
      <c r="K63" s="11">
        <f t="shared" si="7"/>
        <v>3.9864499999999747E-2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468570.70259999996</v>
      </c>
      <c r="D64" s="11">
        <v>-0.01</v>
      </c>
      <c r="E64" s="10">
        <f t="shared" si="2"/>
        <v>-4733.0374000000302</v>
      </c>
      <c r="F64" s="3"/>
      <c r="G64" s="30">
        <v>1.33</v>
      </c>
      <c r="H64" s="10"/>
      <c r="I64" s="10">
        <f t="shared" si="8"/>
        <v>1699.07601370924</v>
      </c>
      <c r="J64" s="10">
        <f t="shared" si="6"/>
        <v>796137241.5145458</v>
      </c>
      <c r="K64" s="11">
        <f t="shared" si="7"/>
        <v>3.1670000000001419E-3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473303.74</v>
      </c>
      <c r="D65" s="11">
        <v>-0.02</v>
      </c>
      <c r="E65" s="10">
        <f t="shared" si="2"/>
        <v>-9659.2600000000093</v>
      </c>
      <c r="F65" s="3"/>
      <c r="G65" s="30">
        <v>7.35</v>
      </c>
      <c r="H65" s="10"/>
      <c r="I65" s="10">
        <f t="shared" si="8"/>
        <v>1676.7749074402841</v>
      </c>
      <c r="J65" s="10">
        <f t="shared" si="6"/>
        <v>793623834.82964027</v>
      </c>
      <c r="K65" s="11">
        <f t="shared" si="7"/>
        <v>5.2029999999999799E-2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482963</v>
      </c>
      <c r="D66" s="11">
        <v>-0.03</v>
      </c>
      <c r="E66" s="10">
        <f t="shared" si="2"/>
        <v>-14937</v>
      </c>
      <c r="F66" s="23">
        <f>SUM(F2)</f>
        <v>1300163</v>
      </c>
      <c r="G66" s="30">
        <v>-7.21</v>
      </c>
      <c r="H66" s="10"/>
      <c r="I66" s="10">
        <f t="shared" si="8"/>
        <v>1561.9701047417645</v>
      </c>
      <c r="J66" s="10">
        <f t="shared" ref="J66:J67" si="9">IF(I66="","",I66*C66)</f>
        <v>754373767.69639683</v>
      </c>
      <c r="K66" s="11">
        <f t="shared" ref="K66" si="10">IFERROR(J66/J67-1,"")</f>
        <v>-9.9937000000000054E-2</v>
      </c>
    </row>
    <row r="67" spans="1:11" ht="22.5" customHeight="1">
      <c r="A67" s="3">
        <f t="shared" si="0"/>
        <v>1950</v>
      </c>
      <c r="B67" s="3">
        <v>1700</v>
      </c>
      <c r="C67" s="10">
        <v>497900</v>
      </c>
      <c r="D67" s="11">
        <v>-0.05</v>
      </c>
      <c r="E67" s="3" t="s">
        <v>72</v>
      </c>
      <c r="F67" s="10">
        <f>SUM(C2)</f>
        <v>1300137.5440681532</v>
      </c>
      <c r="G67" s="26"/>
      <c r="H67" s="10"/>
      <c r="I67" s="10">
        <f t="shared" ref="I67" si="11">IF(H67&lt;&gt;"",H67,I66/(1+IF(G66="",0,G66)/100))</f>
        <v>1683.3388347254711</v>
      </c>
      <c r="J67" s="10">
        <f t="shared" si="9"/>
        <v>838134405.80981207</v>
      </c>
      <c r="K67" s="11"/>
    </row>
  </sheetData>
  <dataValidations count="1">
    <dataValidation type="custom" allowBlank="1" showDropDown="1" sqref="D2:D67" xr:uid="{00000000-0002-0000-6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 summaryRight="0"/>
  </sheetPr>
  <dimension ref="A1:M67"/>
  <sheetViews>
    <sheetView workbookViewId="0">
      <selection activeCell="H15" sqref="H1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13191993.987316495</v>
      </c>
      <c r="D2" s="11">
        <v>1.38E-2</v>
      </c>
      <c r="E2" s="10">
        <f t="shared" ref="E2:E66" si="2">SUM(C2-C3)</f>
        <v>179571.4312733952</v>
      </c>
      <c r="F2" s="14">
        <v>13705584</v>
      </c>
      <c r="G2" s="26">
        <v>1.4</v>
      </c>
      <c r="H2" s="10"/>
      <c r="I2" s="10">
        <f>IF(H2&lt;&gt;"",H2,40320)</f>
        <v>5040</v>
      </c>
      <c r="J2" s="10">
        <f t="shared" ref="J2:J33" si="3">IF(I2="","",I2*C2)</f>
        <v>66487649696.075134</v>
      </c>
      <c r="K2" s="11">
        <f t="shared" ref="K2:K33" si="4">IFERROR(J2/J3-1,"")</f>
        <v>2.7993200000000051E-2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13012422.5560431</v>
      </c>
      <c r="D3" s="11">
        <v>1.4200000000000001E-2</v>
      </c>
      <c r="E3" s="10">
        <f t="shared" si="2"/>
        <v>182189.3120644968</v>
      </c>
      <c r="F3" s="3"/>
      <c r="G3" s="26">
        <v>-2.89</v>
      </c>
      <c r="H3" s="10"/>
      <c r="I3" s="10">
        <f t="shared" ref="I3:I34" si="5">IF(H3&lt;&gt;"",H3,I2/(1+IF(G2="",0,G2)/100))</f>
        <v>4970.4142011834319</v>
      </c>
      <c r="J3" s="10">
        <f t="shared" si="3"/>
        <v>64677129864.356232</v>
      </c>
      <c r="K3" s="11">
        <f t="shared" si="4"/>
        <v>-1.511038000000009E-2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12830233.243978603</v>
      </c>
      <c r="D4" s="11">
        <v>1.4500000000000001E-2</v>
      </c>
      <c r="E4" s="10">
        <f t="shared" si="2"/>
        <v>183379.38101300038</v>
      </c>
      <c r="F4" s="3"/>
      <c r="G4" s="26">
        <v>4.32</v>
      </c>
      <c r="H4" s="10"/>
      <c r="I4" s="10">
        <f t="shared" si="5"/>
        <v>5118.3340553840308</v>
      </c>
      <c r="J4" s="10">
        <f t="shared" si="3"/>
        <v>65669419751.17601</v>
      </c>
      <c r="K4" s="11">
        <f t="shared" si="4"/>
        <v>5.8326399999999889E-2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12646853.862965602</v>
      </c>
      <c r="D5" s="11">
        <v>1.4800000000000001E-2</v>
      </c>
      <c r="E5" s="10">
        <f t="shared" si="2"/>
        <v>184443.67084340751</v>
      </c>
      <c r="F5" s="3"/>
      <c r="G5" s="26">
        <v>0.5</v>
      </c>
      <c r="H5" s="10"/>
      <c r="I5" s="10">
        <f t="shared" si="5"/>
        <v>4906.3785040107659</v>
      </c>
      <c r="J5" s="10">
        <f t="shared" si="3"/>
        <v>62050251936.619949</v>
      </c>
      <c r="K5" s="11">
        <f t="shared" si="4"/>
        <v>1.9873999999999947E-2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12462410.192122195</v>
      </c>
      <c r="D6" s="11">
        <v>1.5100000000000001E-2</v>
      </c>
      <c r="E6" s="10">
        <f t="shared" si="2"/>
        <v>185383.10895581171</v>
      </c>
      <c r="F6" s="3"/>
      <c r="G6" s="26">
        <v>5.0999999999999996</v>
      </c>
      <c r="H6" s="10"/>
      <c r="I6" s="10">
        <f t="shared" si="5"/>
        <v>4881.9686607072299</v>
      </c>
      <c r="J6" s="10">
        <f t="shared" si="3"/>
        <v>60841095994.818924</v>
      </c>
      <c r="K6" s="11">
        <f t="shared" si="4"/>
        <v>6.6870099999999821E-2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12277027.083166383</v>
      </c>
      <c r="D7" s="11">
        <v>1.5299999999999999E-2</v>
      </c>
      <c r="E7" s="10">
        <f t="shared" si="2"/>
        <v>185007.89360036142</v>
      </c>
      <c r="F7" s="3"/>
      <c r="G7" s="26">
        <v>-5.65</v>
      </c>
      <c r="H7" s="10"/>
      <c r="I7" s="10">
        <f t="shared" si="5"/>
        <v>4645.0700863056427</v>
      </c>
      <c r="J7" s="10">
        <f t="shared" si="3"/>
        <v>57027651252.780388</v>
      </c>
      <c r="K7" s="11">
        <f t="shared" si="4"/>
        <v>-4.206444999999992E-2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12092019.189566022</v>
      </c>
      <c r="D8" s="11">
        <v>1.5599999999999999E-2</v>
      </c>
      <c r="E8" s="10">
        <f t="shared" si="2"/>
        <v>185737.98676371574</v>
      </c>
      <c r="F8" s="3"/>
      <c r="G8" s="26">
        <v>5.89</v>
      </c>
      <c r="H8" s="10"/>
      <c r="I8" s="10">
        <f t="shared" si="5"/>
        <v>4923.2327358830344</v>
      </c>
      <c r="J8" s="10">
        <f t="shared" si="3"/>
        <v>59531824716.997276</v>
      </c>
      <c r="K8" s="11">
        <f t="shared" si="4"/>
        <v>7.5418839999999765E-2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11906281.202802306</v>
      </c>
      <c r="D9" s="11">
        <v>1.5800000000000002E-2</v>
      </c>
      <c r="E9" s="10">
        <f t="shared" si="2"/>
        <v>185193.19059290923</v>
      </c>
      <c r="F9" s="3"/>
      <c r="G9" s="26">
        <v>2.66</v>
      </c>
      <c r="H9" s="10"/>
      <c r="I9" s="10">
        <f t="shared" si="5"/>
        <v>4649.3840172660639</v>
      </c>
      <c r="J9" s="10">
        <f t="shared" si="3"/>
        <v>55356873529.384407</v>
      </c>
      <c r="K9" s="11">
        <f t="shared" si="4"/>
        <v>4.2820279999999933E-2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11721088.012209397</v>
      </c>
      <c r="D10" s="11">
        <v>1.6E-2</v>
      </c>
      <c r="E10" s="10">
        <f t="shared" si="2"/>
        <v>184584.06318440102</v>
      </c>
      <c r="F10" s="3"/>
      <c r="G10" s="26">
        <v>4.71</v>
      </c>
      <c r="H10" s="10"/>
      <c r="I10" s="10">
        <f t="shared" si="5"/>
        <v>4528.9148814202845</v>
      </c>
      <c r="J10" s="10">
        <f t="shared" si="3"/>
        <v>53083809924.932037</v>
      </c>
      <c r="K10" s="11">
        <f t="shared" si="4"/>
        <v>6.3853599999999844E-2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11536503.949024996</v>
      </c>
      <c r="D11" s="11">
        <v>1.61E-2</v>
      </c>
      <c r="E11" s="10">
        <f t="shared" si="2"/>
        <v>182794.71860968694</v>
      </c>
      <c r="F11" s="3"/>
      <c r="G11" s="26">
        <v>11.77</v>
      </c>
      <c r="H11" s="10"/>
      <c r="I11" s="10">
        <f t="shared" si="5"/>
        <v>4325.1980531184081</v>
      </c>
      <c r="J11" s="10">
        <f t="shared" si="3"/>
        <v>49897664420.115738</v>
      </c>
      <c r="K11" s="11">
        <f t="shared" si="4"/>
        <v>0.13569496999999986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11353709.230415309</v>
      </c>
      <c r="D12" s="11">
        <v>1.6199999999999999E-2</v>
      </c>
      <c r="E12" s="10">
        <f t="shared" si="2"/>
        <v>180997.92317725718</v>
      </c>
      <c r="F12" s="3"/>
      <c r="G12" s="26">
        <v>13.07</v>
      </c>
      <c r="H12" s="10"/>
      <c r="I12" s="10">
        <f t="shared" si="5"/>
        <v>3869.7307444917315</v>
      </c>
      <c r="J12" s="10">
        <f t="shared" si="3"/>
        <v>43935797672.95768</v>
      </c>
      <c r="K12" s="11">
        <f t="shared" si="4"/>
        <v>0.14901734000000011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11172711.307238052</v>
      </c>
      <c r="D13" s="11">
        <v>1.6400000000000001E-2</v>
      </c>
      <c r="E13" s="10">
        <f t="shared" si="2"/>
        <v>180275.94002233818</v>
      </c>
      <c r="F13" s="3"/>
      <c r="G13" s="26">
        <v>11.32</v>
      </c>
      <c r="H13" s="10"/>
      <c r="I13" s="10">
        <f t="shared" si="5"/>
        <v>3422.420398418441</v>
      </c>
      <c r="J13" s="10">
        <f t="shared" si="3"/>
        <v>38237715083.531876</v>
      </c>
      <c r="K13" s="11">
        <f t="shared" si="4"/>
        <v>0.13145647999999999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10992435.367215713</v>
      </c>
      <c r="D14" s="11">
        <v>1.6500000000000001E-2</v>
      </c>
      <c r="E14" s="10">
        <f t="shared" si="2"/>
        <v>178431.07088938355</v>
      </c>
      <c r="F14" s="3"/>
      <c r="G14" s="26">
        <v>13.48</v>
      </c>
      <c r="H14" s="10"/>
      <c r="I14" s="10">
        <f t="shared" si="5"/>
        <v>3074.3984894164942</v>
      </c>
      <c r="J14" s="10">
        <f t="shared" si="3"/>
        <v>33795126687.976437</v>
      </c>
      <c r="K14" s="11">
        <f t="shared" si="4"/>
        <v>0.15352420000000011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10814004.29632633</v>
      </c>
      <c r="D15" s="11">
        <v>1.67E-2</v>
      </c>
      <c r="E15" s="10">
        <f t="shared" si="2"/>
        <v>177627.49262186326</v>
      </c>
      <c r="F15" s="3"/>
      <c r="G15" s="26">
        <v>11.05</v>
      </c>
      <c r="H15" s="10"/>
      <c r="I15" s="10">
        <f t="shared" si="5"/>
        <v>2709.1985278608513</v>
      </c>
      <c r="J15" s="10">
        <f t="shared" si="3"/>
        <v>29297284519.888214</v>
      </c>
      <c r="K15" s="11">
        <f t="shared" si="4"/>
        <v>0.12904534999999995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10636376.803704467</v>
      </c>
      <c r="D16" s="11">
        <v>1.7000000000000001E-2</v>
      </c>
      <c r="E16" s="10">
        <f t="shared" si="2"/>
        <v>177795.87577480264</v>
      </c>
      <c r="F16" s="3"/>
      <c r="G16" s="26">
        <v>-0.34</v>
      </c>
      <c r="H16" s="10"/>
      <c r="I16" s="10">
        <f t="shared" si="5"/>
        <v>2439.6204663312483</v>
      </c>
      <c r="J16" s="10">
        <f t="shared" si="3"/>
        <v>25948722537.928364</v>
      </c>
      <c r="K16" s="11">
        <f t="shared" si="4"/>
        <v>1.3542199999999838E-2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10458580.927929664</v>
      </c>
      <c r="D17" s="11">
        <v>1.72E-2</v>
      </c>
      <c r="E17" s="10">
        <f t="shared" si="2"/>
        <v>176845.84345299937</v>
      </c>
      <c r="F17" s="3"/>
      <c r="G17" s="26">
        <v>10.87</v>
      </c>
      <c r="H17" s="10"/>
      <c r="I17" s="10">
        <f t="shared" si="5"/>
        <v>2447.9434741433356</v>
      </c>
      <c r="J17" s="10">
        <f t="shared" si="3"/>
        <v>25602014931.325371</v>
      </c>
      <c r="K17" s="11">
        <f t="shared" si="4"/>
        <v>0.12776964000000013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10281735.084476665</v>
      </c>
      <c r="D18" s="11">
        <v>1.7500000000000002E-2</v>
      </c>
      <c r="E18" s="10">
        <f t="shared" si="2"/>
        <v>176835.73855365254</v>
      </c>
      <c r="F18" s="3"/>
      <c r="G18" s="26">
        <v>2.71</v>
      </c>
      <c r="H18" s="10"/>
      <c r="I18" s="10">
        <f t="shared" si="5"/>
        <v>2207.9403573043523</v>
      </c>
      <c r="J18" s="10">
        <f t="shared" si="3"/>
        <v>22701457836.128101</v>
      </c>
      <c r="K18" s="11">
        <f t="shared" si="4"/>
        <v>4.5074249999999871E-2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10104899.345923012</v>
      </c>
      <c r="D19" s="11">
        <v>1.78E-2</v>
      </c>
      <c r="E19" s="10">
        <f t="shared" si="2"/>
        <v>176721.5645091664</v>
      </c>
      <c r="F19" s="3"/>
      <c r="G19" s="26">
        <v>2.1800000000000002</v>
      </c>
      <c r="H19" s="10"/>
      <c r="I19" s="10">
        <f t="shared" si="5"/>
        <v>2149.6839229912885</v>
      </c>
      <c r="J19" s="10">
        <f t="shared" si="3"/>
        <v>21722339667.375885</v>
      </c>
      <c r="K19" s="11">
        <f t="shared" si="4"/>
        <v>3.9988039999999891E-2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9928177.7814138457</v>
      </c>
      <c r="D20" s="11">
        <v>1.7999999999999999E-2</v>
      </c>
      <c r="E20" s="10">
        <f t="shared" si="2"/>
        <v>175547.34780495986</v>
      </c>
      <c r="F20" s="3"/>
      <c r="G20" s="26">
        <v>2.7</v>
      </c>
      <c r="H20" s="10"/>
      <c r="I20" s="10">
        <f t="shared" si="5"/>
        <v>2103.8206331877946</v>
      </c>
      <c r="J20" s="10">
        <f t="shared" si="3"/>
        <v>20887105266.495071</v>
      </c>
      <c r="K20" s="11">
        <f t="shared" si="4"/>
        <v>4.5485999999999915E-2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9752630.4336088859</v>
      </c>
      <c r="D21" s="11">
        <v>1.83E-2</v>
      </c>
      <c r="E21" s="10">
        <f t="shared" si="2"/>
        <v>175265.7732839454</v>
      </c>
      <c r="F21" s="3"/>
      <c r="G21" s="26">
        <v>4.1399999999999997</v>
      </c>
      <c r="H21" s="10"/>
      <c r="I21" s="10">
        <f t="shared" si="5"/>
        <v>2048.5108404944449</v>
      </c>
      <c r="J21" s="10">
        <f t="shared" si="3"/>
        <v>19978369166.583839</v>
      </c>
      <c r="K21" s="11">
        <f t="shared" si="4"/>
        <v>6.0457619999999768E-2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9577364.6603249405</v>
      </c>
      <c r="D22" s="11">
        <v>1.8499999999999999E-2</v>
      </c>
      <c r="E22" s="10">
        <f t="shared" si="2"/>
        <v>173962.93197448365</v>
      </c>
      <c r="F22" s="3"/>
      <c r="G22" s="26">
        <v>9.9</v>
      </c>
      <c r="H22" s="10"/>
      <c r="I22" s="10">
        <f t="shared" si="5"/>
        <v>1967.0739778129871</v>
      </c>
      <c r="J22" s="10">
        <f t="shared" si="3"/>
        <v>18839384799.35091</v>
      </c>
      <c r="K22" s="11">
        <f t="shared" si="4"/>
        <v>0.11933150000000015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9403401.7283504568</v>
      </c>
      <c r="D23" s="11">
        <v>1.8800000000000001E-2</v>
      </c>
      <c r="E23" s="10">
        <f t="shared" si="2"/>
        <v>173521.74371121638</v>
      </c>
      <c r="F23" s="3"/>
      <c r="G23" s="26">
        <v>11.95</v>
      </c>
      <c r="H23" s="10"/>
      <c r="I23" s="10">
        <f t="shared" si="5"/>
        <v>1789.8762309490328</v>
      </c>
      <c r="J23" s="10">
        <f t="shared" si="3"/>
        <v>16830925243.639536</v>
      </c>
      <c r="K23" s="11">
        <f t="shared" si="4"/>
        <v>0.14054659999999974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9229879.9846392404</v>
      </c>
      <c r="D24" s="11">
        <v>1.9099999999999999E-2</v>
      </c>
      <c r="E24" s="10">
        <f t="shared" si="2"/>
        <v>172986.6624537427</v>
      </c>
      <c r="F24" s="3"/>
      <c r="G24" s="26">
        <v>-5.43</v>
      </c>
      <c r="H24" s="10"/>
      <c r="I24" s="10">
        <f>IF(H24&lt;&gt;"",H24,I23/(1+IF(G23="",0,G23)/100))</f>
        <v>1598.8175354613961</v>
      </c>
      <c r="J24" s="10">
        <f t="shared" si="3"/>
        <v>14756893969.645378</v>
      </c>
      <c r="K24" s="11">
        <f t="shared" si="4"/>
        <v>-3.6237130000000062E-2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9056893.3221854977</v>
      </c>
      <c r="D25" s="11">
        <v>1.9400000000000001E-2</v>
      </c>
      <c r="E25" s="10">
        <f t="shared" si="2"/>
        <v>172359.94746949151</v>
      </c>
      <c r="F25" s="3"/>
      <c r="G25" s="26">
        <v>-5.31</v>
      </c>
      <c r="H25" s="10"/>
      <c r="I25" s="10">
        <f t="shared" si="5"/>
        <v>1690.6180981932919</v>
      </c>
      <c r="J25" s="10">
        <f t="shared" si="3"/>
        <v>15311747763.892771</v>
      </c>
      <c r="K25" s="11">
        <f t="shared" si="4"/>
        <v>-3.4730139999999965E-2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8884533.3747160062</v>
      </c>
      <c r="D26" s="11">
        <v>1.9800000000000002E-2</v>
      </c>
      <c r="E26" s="10">
        <f t="shared" si="2"/>
        <v>172498.29458656348</v>
      </c>
      <c r="F26" s="3"/>
      <c r="G26" s="26">
        <v>11.88</v>
      </c>
      <c r="H26" s="10"/>
      <c r="I26" s="10">
        <f t="shared" si="5"/>
        <v>1785.4241189072679</v>
      </c>
      <c r="J26" s="10">
        <f t="shared" si="3"/>
        <v>15862660172.45454</v>
      </c>
      <c r="K26" s="11">
        <f t="shared" si="4"/>
        <v>0.14095224000000006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8712035.0801294427</v>
      </c>
      <c r="D27" s="11">
        <v>2.01E-2</v>
      </c>
      <c r="E27" s="10">
        <f t="shared" si="2"/>
        <v>171661.50878404267</v>
      </c>
      <c r="F27" s="3"/>
      <c r="G27" s="26">
        <v>-11.95</v>
      </c>
      <c r="H27" s="10"/>
      <c r="I27" s="10">
        <f t="shared" si="5"/>
        <v>1595.8385045649516</v>
      </c>
      <c r="J27" s="10">
        <f t="shared" si="3"/>
        <v>13903001033.991167</v>
      </c>
      <c r="K27" s="11">
        <f t="shared" si="4"/>
        <v>-0.10180195000000003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8540373.5713454001</v>
      </c>
      <c r="D28" s="11">
        <v>2.0400000000000001E-2</v>
      </c>
      <c r="E28" s="10">
        <f t="shared" si="2"/>
        <v>170740.51436245255</v>
      </c>
      <c r="F28" s="3"/>
      <c r="G28" s="26">
        <v>-2.91</v>
      </c>
      <c r="H28" s="10"/>
      <c r="I28" s="10">
        <f t="shared" si="5"/>
        <v>1812.4230602668388</v>
      </c>
      <c r="J28" s="10">
        <f t="shared" si="3"/>
        <v>15478770003.999861</v>
      </c>
      <c r="K28" s="11">
        <f t="shared" si="4"/>
        <v>-9.2936399999999919E-3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8369633.0569829475</v>
      </c>
      <c r="D29" s="11">
        <v>2.0899999999999998E-2</v>
      </c>
      <c r="E29" s="10">
        <f t="shared" si="2"/>
        <v>171344.23635120317</v>
      </c>
      <c r="F29" s="3"/>
      <c r="G29" s="26">
        <v>0.2</v>
      </c>
      <c r="H29" s="10"/>
      <c r="I29" s="10">
        <f t="shared" si="5"/>
        <v>1866.7453499503954</v>
      </c>
      <c r="J29" s="10">
        <f t="shared" si="3"/>
        <v>15623973589.91403</v>
      </c>
      <c r="K29" s="11">
        <f t="shared" si="4"/>
        <v>2.2941800000000123E-2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8198288.8206317443</v>
      </c>
      <c r="D30" s="11">
        <v>2.1399999999999999E-2</v>
      </c>
      <c r="E30" s="10">
        <f t="shared" si="2"/>
        <v>171767.55508274958</v>
      </c>
      <c r="F30" s="3"/>
      <c r="G30" s="26">
        <v>-0.79</v>
      </c>
      <c r="H30" s="10"/>
      <c r="I30" s="10">
        <f t="shared" si="5"/>
        <v>1863.0193113277398</v>
      </c>
      <c r="J30" s="10">
        <f t="shared" si="3"/>
        <v>15273570392.67926</v>
      </c>
      <c r="K30" s="11">
        <f t="shared" si="4"/>
        <v>1.3330940000000124E-2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8026521.2655489948</v>
      </c>
      <c r="D31" s="11">
        <v>2.1999999999999999E-2</v>
      </c>
      <c r="E31" s="10">
        <f t="shared" si="2"/>
        <v>172782.25816250313</v>
      </c>
      <c r="F31" s="3"/>
      <c r="G31" s="26">
        <v>-0.5</v>
      </c>
      <c r="H31" s="10"/>
      <c r="I31" s="10">
        <f t="shared" si="5"/>
        <v>1877.8543607778852</v>
      </c>
      <c r="J31" s="10">
        <f t="shared" si="3"/>
        <v>15072637960.387609</v>
      </c>
      <c r="K31" s="11">
        <f t="shared" si="4"/>
        <v>1.6890000000000072E-2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7853739.0073864916</v>
      </c>
      <c r="D32" s="11">
        <v>2.2800000000000001E-2</v>
      </c>
      <c r="E32" s="10">
        <f t="shared" si="2"/>
        <v>175073.57192844339</v>
      </c>
      <c r="F32" s="3"/>
      <c r="G32" s="26">
        <v>0.6</v>
      </c>
      <c r="H32" s="10"/>
      <c r="I32" s="10">
        <f t="shared" si="5"/>
        <v>1887.290814852146</v>
      </c>
      <c r="J32" s="10">
        <f t="shared" si="3"/>
        <v>14822289490.886536</v>
      </c>
      <c r="K32" s="11">
        <f t="shared" si="4"/>
        <v>2.8936800000000096E-2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7678665.4354580482</v>
      </c>
      <c r="D33" s="11">
        <v>2.3400000000000001E-2</v>
      </c>
      <c r="E33" s="10">
        <f t="shared" si="2"/>
        <v>175572.37755493354</v>
      </c>
      <c r="F33" s="3"/>
      <c r="G33" s="26">
        <v>0.3</v>
      </c>
      <c r="H33" s="10"/>
      <c r="I33" s="10">
        <f t="shared" si="5"/>
        <v>1876.0346072088926</v>
      </c>
      <c r="J33" s="10">
        <f t="shared" si="3"/>
        <v>14405442094.09804</v>
      </c>
      <c r="K33" s="11">
        <f t="shared" si="4"/>
        <v>2.6470199999999888E-2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7503093.0579031147</v>
      </c>
      <c r="D34" s="11">
        <v>2.3599999999999999E-2</v>
      </c>
      <c r="E34" s="10">
        <f t="shared" si="2"/>
        <v>172990.42220253404</v>
      </c>
      <c r="F34" s="3"/>
      <c r="G34" s="26">
        <v>-0.39</v>
      </c>
      <c r="H34" s="10"/>
      <c r="I34" s="10">
        <f t="shared" si="5"/>
        <v>1870.423337197301</v>
      </c>
      <c r="J34" s="10">
        <f t="shared" ref="J34:J65" si="6">IF(I34="","",I34*C34)</f>
        <v>14033960356.665045</v>
      </c>
      <c r="K34" s="11">
        <f t="shared" ref="K34:K65" si="7">IFERROR(J34/J35-1,"")</f>
        <v>3.2914760000000154E-2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7330102.6357005807</v>
      </c>
      <c r="D35" s="11">
        <v>2.3400000000000001E-2</v>
      </c>
      <c r="E35" s="10">
        <f t="shared" si="2"/>
        <v>167602.5031027887</v>
      </c>
      <c r="F35" s="3"/>
      <c r="G35" s="26">
        <v>-6.26</v>
      </c>
      <c r="H35" s="10"/>
      <c r="I35" s="10">
        <f t="shared" ref="I35:I66" si="8">IF(H35&lt;&gt;"",H35,I34/(1+IF(G34="",0,G34)/100))</f>
        <v>1853.5559777993269</v>
      </c>
      <c r="J35" s="10">
        <f t="shared" si="6"/>
        <v>13586755558.285414</v>
      </c>
      <c r="K35" s="11">
        <f t="shared" si="7"/>
        <v>-1.303303999999994E-2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7162500.132597792</v>
      </c>
      <c r="D36" s="11">
        <v>2.2800000000000001E-2</v>
      </c>
      <c r="E36" s="10">
        <f t="shared" si="2"/>
        <v>159664.6490254486</v>
      </c>
      <c r="F36" s="3"/>
      <c r="G36" s="26">
        <v>-7.65</v>
      </c>
      <c r="H36" s="10"/>
      <c r="I36" s="10">
        <f t="shared" si="8"/>
        <v>1921.9784091656231</v>
      </c>
      <c r="J36" s="10">
        <f t="shared" si="6"/>
        <v>13766170610.498869</v>
      </c>
      <c r="K36" s="11">
        <f t="shared" si="7"/>
        <v>-6.3498000000000721E-3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7002835.4835723434</v>
      </c>
      <c r="D37" s="11">
        <v>2.1999999999999999E-2</v>
      </c>
      <c r="E37" s="10">
        <f t="shared" si="2"/>
        <v>150745.96931369044</v>
      </c>
      <c r="F37" s="3"/>
      <c r="G37" s="26">
        <v>2.07</v>
      </c>
      <c r="H37" s="10"/>
      <c r="I37" s="10">
        <f t="shared" si="8"/>
        <v>1978.3617181323964</v>
      </c>
      <c r="J37" s="10">
        <f t="shared" si="6"/>
        <v>13854141639.078691</v>
      </c>
      <c r="K37" s="11">
        <f t="shared" si="7"/>
        <v>9.7321400000000224E-2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6852089.5142586529</v>
      </c>
      <c r="D38" s="11">
        <v>2.1299999999999999E-2</v>
      </c>
      <c r="E38" s="10">
        <f t="shared" si="2"/>
        <v>142905.61701136827</v>
      </c>
      <c r="F38" s="3"/>
      <c r="G38" s="26">
        <v>3.86</v>
      </c>
      <c r="H38" s="10"/>
      <c r="I38" s="10">
        <f t="shared" si="8"/>
        <v>1842.5646997600784</v>
      </c>
      <c r="J38" s="10">
        <f t="shared" si="6"/>
        <v>12625418258.569176</v>
      </c>
      <c r="K38" s="11">
        <f t="shared" si="7"/>
        <v>9.8510280000000394E-2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6709183.8972472847</v>
      </c>
      <c r="D39" s="11">
        <v>2.0500000000000001E-2</v>
      </c>
      <c r="E39" s="10">
        <f t="shared" si="2"/>
        <v>134775.37471197359</v>
      </c>
      <c r="F39" s="3"/>
      <c r="G39" s="26">
        <v>6.21</v>
      </c>
      <c r="H39" s="10"/>
      <c r="I39" s="10">
        <f t="shared" si="8"/>
        <v>1713.0575490517647</v>
      </c>
      <c r="J39" s="10">
        <f t="shared" si="6"/>
        <v>11493218123.156</v>
      </c>
      <c r="K39" s="11">
        <f t="shared" si="7"/>
        <v>8.3873049999999783E-2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6574408.5225353111</v>
      </c>
      <c r="D40" s="11">
        <v>1.9599999999999999E-2</v>
      </c>
      <c r="E40" s="10">
        <f t="shared" si="2"/>
        <v>126381.33291652892</v>
      </c>
      <c r="F40" s="3"/>
      <c r="G40" s="26">
        <v>3.71</v>
      </c>
      <c r="H40" s="10"/>
      <c r="I40" s="10">
        <f t="shared" si="8"/>
        <v>1612.8966660877174</v>
      </c>
      <c r="J40" s="10">
        <f t="shared" si="6"/>
        <v>10603841587.49588</v>
      </c>
      <c r="K40" s="11">
        <f t="shared" si="7"/>
        <v>5.7427160000000033E-2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6448027.1896187821</v>
      </c>
      <c r="D41" s="11">
        <v>1.89E-2</v>
      </c>
      <c r="E41" s="10">
        <f t="shared" si="2"/>
        <v>119607.13895749766</v>
      </c>
      <c r="F41" s="3"/>
      <c r="G41" s="26">
        <v>8.44</v>
      </c>
      <c r="H41" s="10"/>
      <c r="I41" s="10">
        <f t="shared" si="8"/>
        <v>1555.1987909437062</v>
      </c>
      <c r="J41" s="10">
        <f t="shared" si="6"/>
        <v>10027964089.267273</v>
      </c>
      <c r="K41" s="11">
        <f t="shared" si="7"/>
        <v>0.10489515999999988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6328420.0506612845</v>
      </c>
      <c r="D42" s="11">
        <v>1.7999999999999999E-2</v>
      </c>
      <c r="E42" s="10">
        <f t="shared" si="2"/>
        <v>111897.40757554304</v>
      </c>
      <c r="F42" s="3"/>
      <c r="G42" s="26">
        <v>-13.12</v>
      </c>
      <c r="H42" s="10"/>
      <c r="I42" s="10">
        <f t="shared" si="8"/>
        <v>1434.1560226334434</v>
      </c>
      <c r="J42" s="10">
        <f t="shared" si="6"/>
        <v>9075941729.4101219</v>
      </c>
      <c r="K42" s="11">
        <f t="shared" si="7"/>
        <v>-0.11556160000000004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6216522.6430857414</v>
      </c>
      <c r="D43" s="11">
        <v>1.72E-2</v>
      </c>
      <c r="E43" s="10">
        <f t="shared" si="2"/>
        <v>105116.19097628351</v>
      </c>
      <c r="F43" s="3"/>
      <c r="G43" s="26">
        <v>5.78</v>
      </c>
      <c r="H43" s="10"/>
      <c r="I43" s="10">
        <f t="shared" si="8"/>
        <v>1650.7320702502802</v>
      </c>
      <c r="J43" s="10">
        <f t="shared" si="6"/>
        <v>10261813292.37867</v>
      </c>
      <c r="K43" s="11">
        <f t="shared" si="7"/>
        <v>7.5994160000000255E-2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6111406.4521094579</v>
      </c>
      <c r="D44" s="11">
        <v>1.67E-2</v>
      </c>
      <c r="E44" s="10">
        <f t="shared" si="2"/>
        <v>100384.07371911872</v>
      </c>
      <c r="F44" s="3"/>
      <c r="G44" s="26">
        <v>4.76</v>
      </c>
      <c r="H44" s="10"/>
      <c r="I44" s="10">
        <f t="shared" si="8"/>
        <v>1560.5332484876915</v>
      </c>
      <c r="J44" s="10">
        <f t="shared" si="6"/>
        <v>9537052963.5390091</v>
      </c>
      <c r="K44" s="11">
        <f t="shared" si="7"/>
        <v>6.5094919999999945E-2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6011022.3783903392</v>
      </c>
      <c r="D45" s="11">
        <v>1.67E-2</v>
      </c>
      <c r="E45" s="10">
        <f t="shared" si="2"/>
        <v>98735.195946807042</v>
      </c>
      <c r="F45" s="3"/>
      <c r="G45" s="26">
        <v>10.98</v>
      </c>
      <c r="H45" s="10"/>
      <c r="I45" s="10">
        <f t="shared" si="8"/>
        <v>1489.6270031383078</v>
      </c>
      <c r="J45" s="10">
        <f t="shared" si="6"/>
        <v>8954181251.3189049</v>
      </c>
      <c r="K45" s="11">
        <f t="shared" si="7"/>
        <v>0.12833365999999979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5912287.1824435322</v>
      </c>
      <c r="D46" s="11">
        <v>1.72E-2</v>
      </c>
      <c r="E46" s="10">
        <f t="shared" si="2"/>
        <v>99971.824162435718</v>
      </c>
      <c r="F46" s="3"/>
      <c r="G46" s="26">
        <v>6.48</v>
      </c>
      <c r="H46" s="10"/>
      <c r="I46" s="10">
        <f t="shared" si="8"/>
        <v>1342.2481556481421</v>
      </c>
      <c r="J46" s="10">
        <f t="shared" si="6"/>
        <v>7935756566.2969818</v>
      </c>
      <c r="K46" s="11">
        <f t="shared" si="7"/>
        <v>8.3114560000000282E-2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5812315.3582810964</v>
      </c>
      <c r="D47" s="11">
        <v>1.78E-2</v>
      </c>
      <c r="E47" s="10">
        <f t="shared" si="2"/>
        <v>101649.84611652978</v>
      </c>
      <c r="F47" s="3"/>
      <c r="G47" s="26">
        <v>8.65</v>
      </c>
      <c r="H47" s="10"/>
      <c r="I47" s="10">
        <f t="shared" si="8"/>
        <v>1260.5636322766172</v>
      </c>
      <c r="J47" s="10">
        <f t="shared" si="6"/>
        <v>7326793359.9719868</v>
      </c>
      <c r="K47" s="11">
        <f t="shared" si="7"/>
        <v>0.1058397000000002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5710665.5121645667</v>
      </c>
      <c r="D48" s="11">
        <v>1.84E-2</v>
      </c>
      <c r="E48" s="10">
        <f t="shared" si="2"/>
        <v>103177.77437532227</v>
      </c>
      <c r="F48" s="3"/>
      <c r="G48" s="26">
        <v>3.81</v>
      </c>
      <c r="H48" s="10"/>
      <c r="I48" s="10">
        <f t="shared" si="8"/>
        <v>1160.2058281423076</v>
      </c>
      <c r="J48" s="10">
        <f t="shared" si="6"/>
        <v>6625547409.784606</v>
      </c>
      <c r="K48" s="11">
        <f t="shared" si="7"/>
        <v>5.7201040000000036E-2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5607487.7377892444</v>
      </c>
      <c r="D49" s="11">
        <v>1.89E-2</v>
      </c>
      <c r="E49" s="10">
        <f t="shared" si="2"/>
        <v>104015.62297008187</v>
      </c>
      <c r="F49" s="3"/>
      <c r="G49" s="26">
        <v>3.18</v>
      </c>
      <c r="H49" s="10"/>
      <c r="I49" s="10">
        <f t="shared" si="8"/>
        <v>1117.6243407593754</v>
      </c>
      <c r="J49" s="10">
        <f t="shared" si="6"/>
        <v>6267064786.2629852</v>
      </c>
      <c r="K49" s="11">
        <f t="shared" si="7"/>
        <v>5.1301019999999919E-2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5503472.1148191625</v>
      </c>
      <c r="D50" s="11">
        <v>1.9199999999999998E-2</v>
      </c>
      <c r="E50" s="10">
        <f t="shared" si="2"/>
        <v>103676.08379565179</v>
      </c>
      <c r="F50" s="3"/>
      <c r="G50" s="26">
        <v>9.1199999999999992</v>
      </c>
      <c r="H50" s="10"/>
      <c r="I50" s="10">
        <f t="shared" si="8"/>
        <v>1083.1792408987938</v>
      </c>
      <c r="J50" s="10">
        <f t="shared" si="6"/>
        <v>5961246747.6374998</v>
      </c>
      <c r="K50" s="11">
        <f t="shared" si="7"/>
        <v>0.11215104000000009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5399796.0310235107</v>
      </c>
      <c r="D51" s="11">
        <v>1.9199999999999998E-2</v>
      </c>
      <c r="E51" s="10">
        <f t="shared" si="2"/>
        <v>101723.00215428974</v>
      </c>
      <c r="F51" s="3"/>
      <c r="G51" s="26">
        <v>-0.57999999999999996</v>
      </c>
      <c r="H51" s="10"/>
      <c r="I51" s="10">
        <f t="shared" si="8"/>
        <v>992.64959759786825</v>
      </c>
      <c r="J51" s="10">
        <f t="shared" si="6"/>
        <v>5360105357.3060541</v>
      </c>
      <c r="K51" s="11">
        <f t="shared" si="7"/>
        <v>1.3288640000000074E-2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5298073.028869221</v>
      </c>
      <c r="D52" s="11">
        <v>1.9199999999999998E-2</v>
      </c>
      <c r="E52" s="10">
        <f t="shared" si="2"/>
        <v>99806.71325970348</v>
      </c>
      <c r="F52" s="3"/>
      <c r="G52" s="26">
        <v>9.16</v>
      </c>
      <c r="H52" s="10"/>
      <c r="I52" s="10">
        <f t="shared" si="8"/>
        <v>998.44055280413227</v>
      </c>
      <c r="J52" s="10">
        <f t="shared" si="6"/>
        <v>5289810963.7408485</v>
      </c>
      <c r="K52" s="11">
        <f t="shared" si="7"/>
        <v>0.11255872000000022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5198266.3156095175</v>
      </c>
      <c r="D53" s="11">
        <v>1.9300000000000001E-2</v>
      </c>
      <c r="E53" s="10">
        <f t="shared" si="2"/>
        <v>98426.900707607158</v>
      </c>
      <c r="F53" s="3"/>
      <c r="G53" s="26">
        <v>-1.65</v>
      </c>
      <c r="H53" s="10"/>
      <c r="I53" s="10">
        <f t="shared" si="8"/>
        <v>914.65789007340811</v>
      </c>
      <c r="J53" s="10">
        <f t="shared" si="6"/>
        <v>4754635300.2750702</v>
      </c>
      <c r="K53" s="11">
        <f t="shared" si="7"/>
        <v>2.4815499999999435E-3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5099839.4149019103</v>
      </c>
      <c r="D54" s="11">
        <v>1.9400000000000001E-2</v>
      </c>
      <c r="E54" s="10">
        <f t="shared" si="2"/>
        <v>97054.036344023421</v>
      </c>
      <c r="F54" s="3"/>
      <c r="G54" s="26">
        <v>-1.89</v>
      </c>
      <c r="H54" s="10"/>
      <c r="I54" s="10">
        <f t="shared" si="8"/>
        <v>930.00293855964219</v>
      </c>
      <c r="J54" s="10">
        <f t="shared" si="6"/>
        <v>4742865642.0410633</v>
      </c>
      <c r="K54" s="11">
        <f t="shared" si="7"/>
        <v>1.3334000000009283E-4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5002785.3785578869</v>
      </c>
      <c r="D55" s="11">
        <v>1.9400000000000001E-2</v>
      </c>
      <c r="E55" s="10">
        <f t="shared" si="2"/>
        <v>95207.020153054036</v>
      </c>
      <c r="F55" s="3"/>
      <c r="G55" s="26">
        <v>7.89</v>
      </c>
      <c r="H55" s="10"/>
      <c r="I55" s="10">
        <f t="shared" si="8"/>
        <v>947.91860010156176</v>
      </c>
      <c r="J55" s="10">
        <f t="shared" si="6"/>
        <v>4742233312.6511536</v>
      </c>
      <c r="K55" s="11">
        <f t="shared" si="7"/>
        <v>9.9830660000000071E-2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4907578.3584048329</v>
      </c>
      <c r="D56" s="11">
        <v>1.9400000000000001E-2</v>
      </c>
      <c r="E56" s="10">
        <f t="shared" si="2"/>
        <v>93395.154162305407</v>
      </c>
      <c r="F56" s="3"/>
      <c r="G56" s="26">
        <v>-2.93</v>
      </c>
      <c r="H56" s="10"/>
      <c r="I56" s="10">
        <f t="shared" si="8"/>
        <v>878.59727509645177</v>
      </c>
      <c r="J56" s="10">
        <f t="shared" si="6"/>
        <v>4311784973.0168037</v>
      </c>
      <c r="K56" s="11">
        <f t="shared" si="7"/>
        <v>-1.0468419999999923E-2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4814183.2042425275</v>
      </c>
      <c r="D57" s="11">
        <v>1.9E-2</v>
      </c>
      <c r="E57" s="10">
        <f t="shared" si="2"/>
        <v>89763.965535433963</v>
      </c>
      <c r="F57" s="3"/>
      <c r="G57" s="26">
        <v>6.4</v>
      </c>
      <c r="H57" s="10"/>
      <c r="I57" s="10">
        <f t="shared" si="8"/>
        <v>905.1172093298153</v>
      </c>
      <c r="J57" s="10">
        <f t="shared" si="6"/>
        <v>4357400067.0264645</v>
      </c>
      <c r="K57" s="11">
        <f t="shared" si="7"/>
        <v>8.4215999999999847E-2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4724419.2387070935</v>
      </c>
      <c r="D58" s="11">
        <v>1.9E-2</v>
      </c>
      <c r="E58" s="10">
        <f t="shared" si="2"/>
        <v>88090.250770789571</v>
      </c>
      <c r="F58" s="3"/>
      <c r="G58" s="26">
        <v>-4.74</v>
      </c>
      <c r="H58" s="10"/>
      <c r="I58" s="10">
        <f t="shared" si="8"/>
        <v>850.6740689189993</v>
      </c>
      <c r="J58" s="10">
        <f t="shared" si="6"/>
        <v>4018940937.0701642</v>
      </c>
      <c r="K58" s="11">
        <f t="shared" si="7"/>
        <v>-2.930060000000001E-2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4636328.987936304</v>
      </c>
      <c r="D59" s="11">
        <v>1.9E-2</v>
      </c>
      <c r="E59" s="10">
        <f t="shared" si="2"/>
        <v>86447.743641599081</v>
      </c>
      <c r="F59" s="3"/>
      <c r="G59" s="26">
        <v>7.91</v>
      </c>
      <c r="H59" s="10"/>
      <c r="I59" s="10">
        <f t="shared" si="8"/>
        <v>893.00238181713132</v>
      </c>
      <c r="J59" s="10">
        <f t="shared" si="6"/>
        <v>4140252829.1149292</v>
      </c>
      <c r="K59" s="11">
        <f t="shared" si="7"/>
        <v>9.9602899999999828E-2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4549881.2442947049</v>
      </c>
      <c r="D60" s="11">
        <v>1.9E-2</v>
      </c>
      <c r="E60" s="10">
        <f t="shared" si="2"/>
        <v>84835.86225868389</v>
      </c>
      <c r="F60" s="3"/>
      <c r="G60" s="26">
        <v>-5.95</v>
      </c>
      <c r="H60" s="10"/>
      <c r="I60" s="10">
        <f t="shared" si="8"/>
        <v>827.54367696889199</v>
      </c>
      <c r="J60" s="10">
        <f t="shared" si="6"/>
        <v>3765225454.6754375</v>
      </c>
      <c r="K60" s="11">
        <f t="shared" si="7"/>
        <v>-4.1630500000000126E-2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4465045.382036021</v>
      </c>
      <c r="D61" s="11">
        <v>1.9E-2</v>
      </c>
      <c r="E61" s="10">
        <f t="shared" si="2"/>
        <v>83254.035582614131</v>
      </c>
      <c r="F61" s="3"/>
      <c r="G61" s="26">
        <v>8.7799999999999994</v>
      </c>
      <c r="H61" s="10"/>
      <c r="I61" s="10">
        <f t="shared" si="8"/>
        <v>879.89758316734924</v>
      </c>
      <c r="J61" s="10">
        <f t="shared" si="6"/>
        <v>3928782640.3860283</v>
      </c>
      <c r="K61" s="11">
        <f t="shared" si="7"/>
        <v>0.1084681999999999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4381791.3464534068</v>
      </c>
      <c r="D62" s="11">
        <v>1.9E-2</v>
      </c>
      <c r="E62" s="10">
        <f t="shared" si="2"/>
        <v>81701.703221407719</v>
      </c>
      <c r="F62" s="3"/>
      <c r="G62" s="26">
        <v>-4.05</v>
      </c>
      <c r="H62" s="10"/>
      <c r="I62" s="10">
        <f t="shared" si="8"/>
        <v>808.87808711835737</v>
      </c>
      <c r="J62" s="10">
        <f t="shared" si="6"/>
        <v>3544335002.4710031</v>
      </c>
      <c r="K62" s="11">
        <f t="shared" si="7"/>
        <v>-2.2269500000000164E-2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4300089.6432319991</v>
      </c>
      <c r="D63" s="11">
        <v>1.9E-2</v>
      </c>
      <c r="E63" s="10">
        <f t="shared" si="2"/>
        <v>80178.315231999382</v>
      </c>
      <c r="F63" s="3"/>
      <c r="G63" s="26">
        <v>8.2100000000000009</v>
      </c>
      <c r="H63" s="10"/>
      <c r="I63" s="10">
        <f t="shared" si="8"/>
        <v>843.02041388051839</v>
      </c>
      <c r="J63" s="10">
        <f t="shared" si="6"/>
        <v>3625063350.7607708</v>
      </c>
      <c r="K63" s="11">
        <f t="shared" si="7"/>
        <v>0.10265990000000014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4219911.3279999997</v>
      </c>
      <c r="D64" s="11">
        <v>1.7999999999999999E-2</v>
      </c>
      <c r="E64" s="10">
        <f t="shared" si="2"/>
        <v>74615.327999999747</v>
      </c>
      <c r="F64" s="3"/>
      <c r="G64" s="26">
        <v>-3.21</v>
      </c>
      <c r="H64" s="10"/>
      <c r="I64" s="10">
        <f t="shared" si="8"/>
        <v>779.05961914843203</v>
      </c>
      <c r="J64" s="10">
        <f t="shared" si="6"/>
        <v>3287562512.0318336</v>
      </c>
      <c r="K64" s="11">
        <f t="shared" si="7"/>
        <v>-1.4677800000000185E-2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4145296</v>
      </c>
      <c r="D65" s="11">
        <v>1.7999999999999999E-2</v>
      </c>
      <c r="E65" s="10">
        <f t="shared" si="2"/>
        <v>73296</v>
      </c>
      <c r="F65" s="3"/>
      <c r="G65" s="26">
        <v>5.71</v>
      </c>
      <c r="H65" s="10"/>
      <c r="I65" s="10">
        <f t="shared" si="8"/>
        <v>804.89680664162836</v>
      </c>
      <c r="J65" s="10">
        <f t="shared" si="6"/>
        <v>3336535512.9843154</v>
      </c>
      <c r="K65" s="11">
        <f t="shared" si="7"/>
        <v>7.6127799999999857E-2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4072000</v>
      </c>
      <c r="D66" s="11">
        <v>1.7999999999999999E-2</v>
      </c>
      <c r="E66" s="10">
        <f t="shared" si="2"/>
        <v>72000</v>
      </c>
      <c r="F66" s="23">
        <f>SUM(F2)</f>
        <v>13705584</v>
      </c>
      <c r="G66" s="26">
        <v>8.4700000000000006</v>
      </c>
      <c r="H66" s="10"/>
      <c r="I66" s="10">
        <f t="shared" si="8"/>
        <v>761.41973951530451</v>
      </c>
      <c r="J66" s="10">
        <f t="shared" ref="J66:J67" si="9">IF(I66="","",I66*C66)</f>
        <v>3100501179.3063202</v>
      </c>
      <c r="K66" s="11">
        <f t="shared" ref="K66" si="10">IFERROR(J66/J67-1,"")</f>
        <v>0.10422460000000022</v>
      </c>
    </row>
    <row r="67" spans="1:11" ht="22.5" customHeight="1">
      <c r="A67" s="3">
        <f t="shared" si="0"/>
        <v>1950</v>
      </c>
      <c r="B67" s="3">
        <v>1700</v>
      </c>
      <c r="C67" s="10">
        <v>4000000</v>
      </c>
      <c r="D67" s="11">
        <v>1.7000000000000001E-2</v>
      </c>
      <c r="E67" s="3" t="s">
        <v>72</v>
      </c>
      <c r="F67" s="10">
        <f>SUM(C2)</f>
        <v>13191993.987316495</v>
      </c>
      <c r="G67" s="26">
        <v>1.6</v>
      </c>
      <c r="H67" s="10"/>
      <c r="I67" s="10">
        <f t="shared" ref="I67" si="11">IF(H67&lt;&gt;"",H67,I66/(1+IF(G66="",0,G66)/100))</f>
        <v>701.96343644814647</v>
      </c>
      <c r="J67" s="10">
        <f t="shared" si="9"/>
        <v>2807853745.7925858</v>
      </c>
      <c r="K67" s="11"/>
    </row>
  </sheetData>
  <dataValidations count="1">
    <dataValidation type="custom" allowBlank="1" showDropDown="1" sqref="D2:D67" xr:uid="{00000000-0002-0000-6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 summaryRight="0"/>
  </sheetPr>
  <dimension ref="A1:M67"/>
  <sheetViews>
    <sheetView topLeftCell="A36"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88058371.691850409</v>
      </c>
      <c r="D2" s="11">
        <v>2.5399999999999999E-2</v>
      </c>
      <c r="E2" s="10">
        <f t="shared" ref="E2:E66" si="2">SUM(C2-C3)</f>
        <v>2181278.1753198802</v>
      </c>
      <c r="F2" s="14">
        <v>88057485</v>
      </c>
      <c r="G2" s="29">
        <v>4.63</v>
      </c>
      <c r="H2" s="10"/>
      <c r="I2" s="10">
        <f>IF(H2&lt;&gt;"",H2,20480)</f>
        <v>2560</v>
      </c>
      <c r="J2" s="10">
        <f t="shared" ref="J2:J33" si="3">IF(I2="","",I2*C2)</f>
        <v>225429431531.13705</v>
      </c>
      <c r="K2" s="11">
        <f t="shared" ref="K2:K33" si="4">IFERROR(J2/J3-1,"")</f>
        <v>7.2876020000000041E-2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85877093.516530529</v>
      </c>
      <c r="D3" s="11">
        <v>2.64E-2</v>
      </c>
      <c r="E3" s="10">
        <f t="shared" si="2"/>
        <v>2208841.8441508263</v>
      </c>
      <c r="F3" s="3"/>
      <c r="G3" s="29">
        <v>0.36</v>
      </c>
      <c r="H3" s="10"/>
      <c r="I3" s="10">
        <f t="shared" ref="I3:I34" si="5">IF(H3&lt;&gt;"",H3,I2/(1+IF(G2="",0,G2)/100))</f>
        <v>2446.7170027716716</v>
      </c>
      <c r="J3" s="10">
        <f t="shared" si="3"/>
        <v>210116944855.50812</v>
      </c>
      <c r="K3" s="11">
        <f t="shared" si="4"/>
        <v>3.0095039999999962E-2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83668251.672379702</v>
      </c>
      <c r="D4" s="11">
        <v>2.7099999999999999E-2</v>
      </c>
      <c r="E4" s="10">
        <f t="shared" si="2"/>
        <v>2207584.0914433599</v>
      </c>
      <c r="F4" s="3"/>
      <c r="G4" s="29">
        <v>11.78</v>
      </c>
      <c r="H4" s="10"/>
      <c r="I4" s="10">
        <f t="shared" si="5"/>
        <v>2437.9404172695013</v>
      </c>
      <c r="J4" s="10">
        <f t="shared" si="3"/>
        <v>203978212394.37103</v>
      </c>
      <c r="K4" s="11">
        <f t="shared" si="4"/>
        <v>0.1480923799999998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81460667.580936342</v>
      </c>
      <c r="D5" s="11">
        <v>2.7699999999999999E-2</v>
      </c>
      <c r="E5" s="10">
        <f t="shared" si="2"/>
        <v>2195641.2299230695</v>
      </c>
      <c r="F5" s="3"/>
      <c r="G5" s="29">
        <v>1.92</v>
      </c>
      <c r="H5" s="10"/>
      <c r="I5" s="10">
        <f t="shared" si="5"/>
        <v>2181.0166552777791</v>
      </c>
      <c r="J5" s="10">
        <f t="shared" si="3"/>
        <v>177667072744.06879</v>
      </c>
      <c r="K5" s="11">
        <f t="shared" si="4"/>
        <v>4.7431840000000003E-2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79265026.351013273</v>
      </c>
      <c r="D6" s="11">
        <v>2.8000000000000001E-2</v>
      </c>
      <c r="E6" s="10">
        <f t="shared" si="2"/>
        <v>2158969.5893272161</v>
      </c>
      <c r="F6" s="3"/>
      <c r="G6" s="29">
        <v>7.33</v>
      </c>
      <c r="H6" s="10"/>
      <c r="I6" s="10">
        <f t="shared" si="5"/>
        <v>2139.9299992913843</v>
      </c>
      <c r="J6" s="10">
        <f t="shared" si="3"/>
        <v>169621607783.1554</v>
      </c>
      <c r="K6" s="11">
        <f t="shared" si="4"/>
        <v>0.10335240000000012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77106056.761686057</v>
      </c>
      <c r="D7" s="11">
        <v>2.8000000000000001E-2</v>
      </c>
      <c r="E7" s="10">
        <f t="shared" si="2"/>
        <v>2100164.9701626599</v>
      </c>
      <c r="F7" s="3"/>
      <c r="G7" s="29">
        <v>3.2</v>
      </c>
      <c r="H7" s="10"/>
      <c r="I7" s="10">
        <f t="shared" si="5"/>
        <v>1993.7855206292597</v>
      </c>
      <c r="J7" s="10">
        <f t="shared" si="3"/>
        <v>153732939524.26749</v>
      </c>
      <c r="K7" s="11">
        <f t="shared" si="4"/>
        <v>6.0896000000000061E-2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75005891.791523397</v>
      </c>
      <c r="D8" s="11">
        <v>2.7900000000000001E-2</v>
      </c>
      <c r="E8" s="10">
        <f t="shared" si="2"/>
        <v>2035863.781480208</v>
      </c>
      <c r="F8" s="3"/>
      <c r="G8" s="29">
        <v>0.06</v>
      </c>
      <c r="H8" s="10"/>
      <c r="I8" s="10">
        <f t="shared" si="5"/>
        <v>1931.9627137880423</v>
      </c>
      <c r="J8" s="10">
        <f t="shared" si="3"/>
        <v>144908586255.6438</v>
      </c>
      <c r="K8" s="11">
        <f t="shared" si="4"/>
        <v>2.8516740000000151E-2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72970028.010043189</v>
      </c>
      <c r="D9" s="11">
        <v>2.7799999999999998E-2</v>
      </c>
      <c r="E9" s="10">
        <f t="shared" si="2"/>
        <v>1973697.9749749005</v>
      </c>
      <c r="F9" s="3"/>
      <c r="G9" s="29">
        <v>5.91</v>
      </c>
      <c r="H9" s="10"/>
      <c r="I9" s="10">
        <f t="shared" si="5"/>
        <v>1930.8042312492928</v>
      </c>
      <c r="J9" s="10">
        <f t="shared" si="3"/>
        <v>140890838836.17081</v>
      </c>
      <c r="K9" s="11">
        <f t="shared" si="4"/>
        <v>8.8542979999999938E-2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70996330.035068288</v>
      </c>
      <c r="D10" s="11">
        <v>2.7699999999999999E-2</v>
      </c>
      <c r="E10" s="10">
        <f t="shared" si="2"/>
        <v>1913591.8477876782</v>
      </c>
      <c r="F10" s="3"/>
      <c r="G10" s="29">
        <v>-1.1200000000000001</v>
      </c>
      <c r="H10" s="10"/>
      <c r="I10" s="10">
        <f t="shared" si="5"/>
        <v>1823.0613079494788</v>
      </c>
      <c r="J10" s="10">
        <f t="shared" si="3"/>
        <v>129430662293.34445</v>
      </c>
      <c r="K10" s="11">
        <f t="shared" si="4"/>
        <v>1.6189760000000053E-2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69082738.18728061</v>
      </c>
      <c r="D11" s="11">
        <v>2.76E-2</v>
      </c>
      <c r="E11" s="10">
        <f t="shared" si="2"/>
        <v>1855472.5320834517</v>
      </c>
      <c r="F11" s="3"/>
      <c r="G11" s="29">
        <v>10.92</v>
      </c>
      <c r="H11" s="10"/>
      <c r="I11" s="10">
        <f t="shared" si="5"/>
        <v>1843.7108696900068</v>
      </c>
      <c r="J11" s="10">
        <f t="shared" si="3"/>
        <v>127368595303.83818</v>
      </c>
      <c r="K11" s="11">
        <f t="shared" si="4"/>
        <v>0.13981392000000015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67227265.655197158</v>
      </c>
      <c r="D12" s="11">
        <v>2.7699999999999999E-2</v>
      </c>
      <c r="E12" s="10">
        <f t="shared" si="2"/>
        <v>1812002.7815986797</v>
      </c>
      <c r="F12" s="3"/>
      <c r="G12" s="29">
        <v>-6.8</v>
      </c>
      <c r="H12" s="10"/>
      <c r="I12" s="10">
        <f t="shared" si="5"/>
        <v>1662.1987645961115</v>
      </c>
      <c r="J12" s="10">
        <f t="shared" si="3"/>
        <v>111745077919.24332</v>
      </c>
      <c r="K12" s="11">
        <f t="shared" si="4"/>
        <v>-4.2183599999999877E-2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65415262.873598479</v>
      </c>
      <c r="D13" s="11">
        <v>2.7699999999999999E-2</v>
      </c>
      <c r="E13" s="10">
        <f t="shared" si="2"/>
        <v>1763163.1620109752</v>
      </c>
      <c r="F13" s="3"/>
      <c r="G13" s="29">
        <v>13.13</v>
      </c>
      <c r="H13" s="10"/>
      <c r="I13" s="10">
        <f t="shared" si="5"/>
        <v>1783.4750693091326</v>
      </c>
      <c r="J13" s="10">
        <f t="shared" si="3"/>
        <v>116666490487.36617</v>
      </c>
      <c r="K13" s="11">
        <f t="shared" si="4"/>
        <v>0.16263700999999986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63652099.711587504</v>
      </c>
      <c r="D14" s="11">
        <v>2.76E-2</v>
      </c>
      <c r="E14" s="10">
        <f t="shared" si="2"/>
        <v>1709612.6430905238</v>
      </c>
      <c r="F14" s="3"/>
      <c r="G14" s="29">
        <v>4.2</v>
      </c>
      <c r="H14" s="10"/>
      <c r="I14" s="10">
        <f t="shared" si="5"/>
        <v>1576.4828686547623</v>
      </c>
      <c r="J14" s="10">
        <f t="shared" si="3"/>
        <v>100346444749.22244</v>
      </c>
      <c r="K14" s="11">
        <f t="shared" si="4"/>
        <v>7.0759200000000133E-2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61942487.06849698</v>
      </c>
      <c r="D15" s="11">
        <v>2.7400000000000001E-2</v>
      </c>
      <c r="E15" s="10">
        <f t="shared" si="2"/>
        <v>1651960.4298976287</v>
      </c>
      <c r="F15" s="3"/>
      <c r="G15" s="29">
        <v>6.76</v>
      </c>
      <c r="H15" s="10"/>
      <c r="I15" s="10">
        <f t="shared" si="5"/>
        <v>1512.9394132963171</v>
      </c>
      <c r="J15" s="10">
        <f t="shared" si="3"/>
        <v>93715230043.526535</v>
      </c>
      <c r="K15" s="11">
        <f t="shared" si="4"/>
        <v>9.6852240000000478E-2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60290526.638599351</v>
      </c>
      <c r="D16" s="11">
        <v>2.7199999999999998E-2</v>
      </c>
      <c r="E16" s="10">
        <f t="shared" si="2"/>
        <v>1596478.1197136864</v>
      </c>
      <c r="F16" s="3"/>
      <c r="G16" s="29">
        <v>-5.76</v>
      </c>
      <c r="H16" s="10"/>
      <c r="I16" s="10">
        <f t="shared" si="5"/>
        <v>1417.1407018511773</v>
      </c>
      <c r="J16" s="10">
        <f t="shared" si="3"/>
        <v>85440159235.601776</v>
      </c>
      <c r="K16" s="11">
        <f t="shared" si="4"/>
        <v>-3.1966720000000004E-2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58694048.518885665</v>
      </c>
      <c r="D17" s="11">
        <v>2.6700000000000002E-2</v>
      </c>
      <c r="E17" s="10">
        <f t="shared" si="2"/>
        <v>1526376.8339867964</v>
      </c>
      <c r="F17" s="3"/>
      <c r="G17" s="29">
        <v>6.02</v>
      </c>
      <c r="H17" s="10"/>
      <c r="I17" s="10">
        <f t="shared" si="5"/>
        <v>1503.7571114719622</v>
      </c>
      <c r="J17" s="10">
        <f t="shared" si="3"/>
        <v>88261592861.354706</v>
      </c>
      <c r="K17" s="11">
        <f t="shared" si="4"/>
        <v>8.8507340000000045E-2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57167671.684898868</v>
      </c>
      <c r="D18" s="11">
        <v>2.64E-2</v>
      </c>
      <c r="E18" s="10">
        <f t="shared" si="2"/>
        <v>1470407.767421402</v>
      </c>
      <c r="F18" s="3"/>
      <c r="G18" s="29">
        <v>9.0399999999999991</v>
      </c>
      <c r="H18" s="10"/>
      <c r="I18" s="10">
        <f t="shared" si="5"/>
        <v>1418.3711672061518</v>
      </c>
      <c r="J18" s="10">
        <f t="shared" si="3"/>
        <v>81084977214.168076</v>
      </c>
      <c r="K18" s="11">
        <f t="shared" si="4"/>
        <v>0.11918655999999994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55697263.917477466</v>
      </c>
      <c r="D19" s="11">
        <v>2.6100000000000002E-2</v>
      </c>
      <c r="E19" s="10">
        <f t="shared" si="2"/>
        <v>1416722.1403821856</v>
      </c>
      <c r="F19" s="3"/>
      <c r="G19" s="29">
        <v>-5.23</v>
      </c>
      <c r="H19" s="10"/>
      <c r="I19" s="10">
        <f t="shared" si="5"/>
        <v>1300.7806008860525</v>
      </c>
      <c r="J19" s="10">
        <f t="shared" si="3"/>
        <v>72449920426.285385</v>
      </c>
      <c r="K19" s="11">
        <f t="shared" si="4"/>
        <v>-2.7565030000000212E-2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54280541.777095281</v>
      </c>
      <c r="D20" s="11">
        <v>2.5999999999999999E-2</v>
      </c>
      <c r="E20" s="10">
        <f t="shared" si="2"/>
        <v>1375530.2984449118</v>
      </c>
      <c r="F20" s="3"/>
      <c r="G20" s="29">
        <v>11.16</v>
      </c>
      <c r="H20" s="10"/>
      <c r="I20" s="10">
        <f t="shared" si="5"/>
        <v>1372.5657917970377</v>
      </c>
      <c r="J20" s="10">
        <f t="shared" si="3"/>
        <v>74503614803.450974</v>
      </c>
      <c r="K20" s="11">
        <f t="shared" si="4"/>
        <v>0.14050160000000012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52905011.478650369</v>
      </c>
      <c r="D21" s="11">
        <v>2.6100000000000002E-2</v>
      </c>
      <c r="E21" s="10">
        <f t="shared" si="2"/>
        <v>1345698.0797122866</v>
      </c>
      <c r="F21" s="3"/>
      <c r="G21" s="29">
        <v>5.39</v>
      </c>
      <c r="H21" s="10"/>
      <c r="I21" s="10">
        <f t="shared" si="5"/>
        <v>1234.7659156144637</v>
      </c>
      <c r="J21" s="10">
        <f t="shared" si="3"/>
        <v>65325304939.029434</v>
      </c>
      <c r="K21" s="11">
        <f t="shared" si="4"/>
        <v>8.1406790000000173E-2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51559313.398938082</v>
      </c>
      <c r="D22" s="11">
        <v>2.64E-2</v>
      </c>
      <c r="E22" s="10">
        <f t="shared" si="2"/>
        <v>1326155.371913448</v>
      </c>
      <c r="F22" s="3"/>
      <c r="G22" s="29">
        <v>3.36</v>
      </c>
      <c r="H22" s="10"/>
      <c r="I22" s="10">
        <f t="shared" si="5"/>
        <v>1171.6158227673059</v>
      </c>
      <c r="J22" s="10">
        <f t="shared" si="3"/>
        <v>60407707389.214218</v>
      </c>
      <c r="K22" s="11">
        <f t="shared" si="4"/>
        <v>6.0887039999999892E-2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50233158.027024634</v>
      </c>
      <c r="D23" s="11">
        <v>2.64E-2</v>
      </c>
      <c r="E23" s="10">
        <f t="shared" si="2"/>
        <v>1292045.3740388229</v>
      </c>
      <c r="F23" s="3"/>
      <c r="G23" s="29">
        <v>14.24</v>
      </c>
      <c r="H23" s="10"/>
      <c r="I23" s="10">
        <f t="shared" si="5"/>
        <v>1133.529240293446</v>
      </c>
      <c r="J23" s="10">
        <f t="shared" si="3"/>
        <v>56940753455.913857</v>
      </c>
      <c r="K23" s="11">
        <f t="shared" si="4"/>
        <v>0.17255936000000016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48941112.652985811</v>
      </c>
      <c r="D24" s="11">
        <v>2.6499999999999999E-2</v>
      </c>
      <c r="E24" s="10">
        <f t="shared" si="2"/>
        <v>1263457.852220282</v>
      </c>
      <c r="F24" s="3"/>
      <c r="G24" s="29">
        <v>25.01</v>
      </c>
      <c r="H24" s="10"/>
      <c r="I24" s="10">
        <f t="shared" si="5"/>
        <v>992.23497924846458</v>
      </c>
      <c r="J24" s="10">
        <f t="shared" si="3"/>
        <v>48561083897.632141</v>
      </c>
      <c r="K24" s="11">
        <f t="shared" si="4"/>
        <v>0.2832276499999995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47677654.800765529</v>
      </c>
      <c r="D25" s="11">
        <v>2.63E-2</v>
      </c>
      <c r="E25" s="10">
        <f t="shared" si="2"/>
        <v>1221789.2636267468</v>
      </c>
      <c r="F25" s="3"/>
      <c r="G25" s="29">
        <v>24.2</v>
      </c>
      <c r="H25" s="10"/>
      <c r="I25" s="10">
        <f t="shared" si="5"/>
        <v>793.72448543993653</v>
      </c>
      <c r="J25" s="10">
        <f t="shared" si="3"/>
        <v>37842922023.720543</v>
      </c>
      <c r="K25" s="11">
        <f t="shared" si="4"/>
        <v>0.27466460000000015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46455865.537138782</v>
      </c>
      <c r="D26" s="11">
        <v>2.64E-2</v>
      </c>
      <c r="E26" s="10">
        <f t="shared" si="2"/>
        <v>1194889.7605031803</v>
      </c>
      <c r="F26" s="3"/>
      <c r="G26" s="29">
        <v>-1.25</v>
      </c>
      <c r="H26" s="10"/>
      <c r="I26" s="10">
        <f t="shared" si="5"/>
        <v>639.0696340096107</v>
      </c>
      <c r="J26" s="10">
        <f t="shared" si="3"/>
        <v>29688532986.418968</v>
      </c>
      <c r="K26" s="11">
        <f t="shared" si="4"/>
        <v>1.3570000000000082E-2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45260975.776635602</v>
      </c>
      <c r="D27" s="11">
        <v>2.7E-2</v>
      </c>
      <c r="E27" s="10">
        <f t="shared" si="2"/>
        <v>1189918.5452474728</v>
      </c>
      <c r="F27" s="3"/>
      <c r="G27" s="29">
        <v>-15.74</v>
      </c>
      <c r="H27" s="10"/>
      <c r="I27" s="10">
        <f t="shared" si="5"/>
        <v>647.159123047707</v>
      </c>
      <c r="J27" s="10">
        <f t="shared" si="3"/>
        <v>29291053391.891006</v>
      </c>
      <c r="K27" s="11">
        <f t="shared" si="4"/>
        <v>-0.13464980000000004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44071057.231388129</v>
      </c>
      <c r="D28" s="11">
        <v>2.69E-2</v>
      </c>
      <c r="E28" s="10">
        <f t="shared" si="2"/>
        <v>1154456.5581111461</v>
      </c>
      <c r="F28" s="3"/>
      <c r="G28" s="29">
        <v>-4.25</v>
      </c>
      <c r="H28" s="10"/>
      <c r="I28" s="10">
        <f t="shared" si="5"/>
        <v>768.05022910955017</v>
      </c>
      <c r="J28" s="10">
        <f t="shared" si="3"/>
        <v>33848785603.667751</v>
      </c>
      <c r="K28" s="11">
        <f t="shared" si="4"/>
        <v>-1.6743250000000098E-2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42916600.673276983</v>
      </c>
      <c r="D29" s="11">
        <v>2.6700000000000002E-2</v>
      </c>
      <c r="E29" s="10">
        <f t="shared" si="2"/>
        <v>1116074.0605595559</v>
      </c>
      <c r="F29" s="3"/>
      <c r="G29" s="29">
        <v>4.88</v>
      </c>
      <c r="H29" s="10"/>
      <c r="I29" s="10">
        <f t="shared" si="5"/>
        <v>802.14123144600535</v>
      </c>
      <c r="J29" s="10">
        <f t="shared" si="3"/>
        <v>34425174913.538864</v>
      </c>
      <c r="K29" s="11">
        <f t="shared" si="4"/>
        <v>7.6802959999999976E-2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41800526.612717427</v>
      </c>
      <c r="D30" s="11">
        <v>2.6599999999999999E-2</v>
      </c>
      <c r="E30" s="10">
        <f t="shared" si="2"/>
        <v>1083083.9741849601</v>
      </c>
      <c r="F30" s="3"/>
      <c r="G30" s="29">
        <v>4.95</v>
      </c>
      <c r="H30" s="10"/>
      <c r="I30" s="10">
        <f t="shared" si="5"/>
        <v>764.81810778604631</v>
      </c>
      <c r="J30" s="10">
        <f t="shared" si="3"/>
        <v>31969799668.398815</v>
      </c>
      <c r="K30" s="11">
        <f t="shared" si="4"/>
        <v>7.7416699999999894E-2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40717442.638532467</v>
      </c>
      <c r="D31" s="11">
        <v>2.7199999999999998E-2</v>
      </c>
      <c r="E31" s="10">
        <f t="shared" si="2"/>
        <v>1078187.7334190831</v>
      </c>
      <c r="F31" s="3"/>
      <c r="G31" s="29">
        <v>8.58</v>
      </c>
      <c r="H31" s="10"/>
      <c r="I31" s="10">
        <f t="shared" si="5"/>
        <v>728.74521942453191</v>
      </c>
      <c r="J31" s="10">
        <f t="shared" si="3"/>
        <v>29672641670.023136</v>
      </c>
      <c r="K31" s="11">
        <f t="shared" si="4"/>
        <v>0.11533376000000017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39639254.905113384</v>
      </c>
      <c r="D32" s="11">
        <v>2.8299999999999999E-2</v>
      </c>
      <c r="E32" s="10">
        <f t="shared" si="2"/>
        <v>1090917.9362196922</v>
      </c>
      <c r="F32" s="3"/>
      <c r="G32" s="29">
        <v>4.0999999999999996</v>
      </c>
      <c r="H32" s="10"/>
      <c r="I32" s="10">
        <f t="shared" si="5"/>
        <v>671.15971580818916</v>
      </c>
      <c r="J32" s="10">
        <f t="shared" si="3"/>
        <v>26604271056.964268</v>
      </c>
      <c r="K32" s="11">
        <f t="shared" si="4"/>
        <v>7.046029999999992E-2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38548336.968893692</v>
      </c>
      <c r="D33" s="11">
        <v>2.5600000000000001E-2</v>
      </c>
      <c r="E33" s="10">
        <f t="shared" si="2"/>
        <v>962204.97894274443</v>
      </c>
      <c r="F33" s="3"/>
      <c r="G33" s="29">
        <v>0.19</v>
      </c>
      <c r="H33" s="10"/>
      <c r="I33" s="10">
        <f t="shared" si="5"/>
        <v>644.7259517850041</v>
      </c>
      <c r="J33" s="10">
        <f t="shared" si="3"/>
        <v>24853113241.999046</v>
      </c>
      <c r="K33" s="11">
        <f t="shared" si="4"/>
        <v>2.7548640000000013E-2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37586131.989950947</v>
      </c>
      <c r="D34" s="11">
        <v>2.5899999999999999E-2</v>
      </c>
      <c r="E34" s="10">
        <f t="shared" si="2"/>
        <v>948904.19976579398</v>
      </c>
      <c r="F34" s="3"/>
      <c r="G34" s="30">
        <v>3.16</v>
      </c>
      <c r="H34" s="10"/>
      <c r="I34" s="10">
        <f t="shared" si="5"/>
        <v>643.50329552350945</v>
      </c>
      <c r="J34" s="10">
        <f t="shared" ref="J34:J65" si="6">IF(I34="","",I34*C34)</f>
        <v>24186799801.515038</v>
      </c>
      <c r="K34" s="11">
        <f t="shared" ref="K34:K65" si="7">IFERROR(J34/J35-1,"")</f>
        <v>7.1655140000000062E-2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36637227.790185153</v>
      </c>
      <c r="D35" s="11">
        <v>2.9899999999999999E-2</v>
      </c>
      <c r="E35" s="10">
        <f t="shared" si="2"/>
        <v>1063649.9766254351</v>
      </c>
      <c r="F35" s="3"/>
      <c r="G35" s="30">
        <v>1.7</v>
      </c>
      <c r="H35" s="10"/>
      <c r="I35" s="10">
        <f t="shared" ref="I35:I66" si="8">IF(H35&lt;&gt;"",H35,I34/(1+IF(G34="",0,G34)/100))</f>
        <v>616.02842765030584</v>
      </c>
      <c r="J35" s="10">
        <f t="shared" si="6"/>
        <v>22569573829.053848</v>
      </c>
      <c r="K35" s="11">
        <f t="shared" si="7"/>
        <v>7.5215599999999938E-2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35573577.813559718</v>
      </c>
      <c r="D36" s="11">
        <v>3.0700000000000002E-2</v>
      </c>
      <c r="E36" s="10">
        <f t="shared" si="2"/>
        <v>1059579.7408327162</v>
      </c>
      <c r="F36" s="3"/>
      <c r="G36" s="30">
        <v>-5.99</v>
      </c>
      <c r="H36" s="10"/>
      <c r="I36" s="10">
        <f t="shared" si="8"/>
        <v>590.06554372634662</v>
      </c>
      <c r="J36" s="10">
        <f t="shared" si="6"/>
        <v>20990742534.849617</v>
      </c>
      <c r="K36" s="11">
        <f t="shared" si="7"/>
        <v>1.8434669999999764E-2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34513998.072727002</v>
      </c>
      <c r="D37" s="11">
        <v>3.1199999999999999E-2</v>
      </c>
      <c r="E37" s="10">
        <f t="shared" si="2"/>
        <v>1044255.9541011229</v>
      </c>
      <c r="F37" s="3"/>
      <c r="G37" s="30">
        <v>-1.27</v>
      </c>
      <c r="H37" s="10"/>
      <c r="I37" s="10">
        <f t="shared" si="8"/>
        <v>597.17188920792091</v>
      </c>
      <c r="J37" s="10">
        <f t="shared" si="6"/>
        <v>20610789433.208927</v>
      </c>
      <c r="K37" s="11">
        <f t="shared" si="7"/>
        <v>7.2757359999999771E-2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33469742.118625879</v>
      </c>
      <c r="D38" s="11">
        <v>3.0800000000000001E-2</v>
      </c>
      <c r="E38" s="10">
        <f t="shared" si="2"/>
        <v>1000066.0237230062</v>
      </c>
      <c r="F38" s="3"/>
      <c r="G38" s="30">
        <v>-6</v>
      </c>
      <c r="H38" s="10"/>
      <c r="I38" s="10">
        <f t="shared" si="8"/>
        <v>574.03815169462746</v>
      </c>
      <c r="J38" s="10">
        <f t="shared" si="6"/>
        <v>19212908903.471825</v>
      </c>
      <c r="K38" s="11">
        <f t="shared" si="7"/>
        <v>7.0915999999998647E-3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32469676.094902873</v>
      </c>
      <c r="D39" s="11">
        <v>3.0599999999999999E-2</v>
      </c>
      <c r="E39" s="10">
        <f t="shared" si="2"/>
        <v>964071.50058609247</v>
      </c>
      <c r="F39" s="3"/>
      <c r="G39" s="30">
        <v>2.7</v>
      </c>
      <c r="H39" s="10"/>
      <c r="I39" s="10">
        <f t="shared" si="8"/>
        <v>587.55184410913762</v>
      </c>
      <c r="J39" s="10">
        <f t="shared" si="6"/>
        <v>19077618067.186565</v>
      </c>
      <c r="K39" s="11">
        <f t="shared" si="7"/>
        <v>5.8426199999999984E-2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31505604.594316781</v>
      </c>
      <c r="D40" s="11">
        <v>2.98E-2</v>
      </c>
      <c r="E40" s="10">
        <f t="shared" si="2"/>
        <v>911698.40445780009</v>
      </c>
      <c r="F40" s="3"/>
      <c r="G40" s="30">
        <v>7.34</v>
      </c>
      <c r="H40" s="10"/>
      <c r="I40" s="10">
        <f t="shared" si="8"/>
        <v>572.1050088696569</v>
      </c>
      <c r="J40" s="10">
        <f t="shared" si="6"/>
        <v>18024514195.875504</v>
      </c>
      <c r="K40" s="11">
        <f t="shared" si="7"/>
        <v>0.10538731999999995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30593906.18985898</v>
      </c>
      <c r="D41" s="11">
        <v>2.87E-2</v>
      </c>
      <c r="E41" s="10">
        <f t="shared" si="2"/>
        <v>853548.27223578468</v>
      </c>
      <c r="F41" s="3"/>
      <c r="G41" s="30">
        <v>2.37</v>
      </c>
      <c r="H41" s="10"/>
      <c r="I41" s="10">
        <f t="shared" si="8"/>
        <v>532.98398441369193</v>
      </c>
      <c r="J41" s="10">
        <f t="shared" si="6"/>
        <v>16306062019.849752</v>
      </c>
      <c r="K41" s="11">
        <f t="shared" si="7"/>
        <v>5.3080189999999972E-2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29740357.917623196</v>
      </c>
      <c r="D42" s="11">
        <v>2.7699999999999999E-2</v>
      </c>
      <c r="E42" s="10">
        <f t="shared" si="2"/>
        <v>801603.49743910134</v>
      </c>
      <c r="F42" s="3"/>
      <c r="G42" s="30">
        <v>-7.14</v>
      </c>
      <c r="H42" s="10"/>
      <c r="I42" s="10">
        <f>IF(H42&lt;&gt;"",H42,I41/(1+IF(G41="",0,G41)/100))</f>
        <v>520.64470490738688</v>
      </c>
      <c r="J42" s="10">
        <f t="shared" si="6"/>
        <v>15484159871.860996</v>
      </c>
      <c r="K42" s="11">
        <f t="shared" si="7"/>
        <v>-4.5677780000000001E-2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28938754.420184094</v>
      </c>
      <c r="D43" s="11">
        <v>2.6200000000000001E-2</v>
      </c>
      <c r="E43" s="10">
        <f t="shared" si="2"/>
        <v>738837.81505439803</v>
      </c>
      <c r="F43" s="3"/>
      <c r="G43" s="30">
        <v>7.47</v>
      </c>
      <c r="H43" s="10"/>
      <c r="I43" s="10">
        <f t="shared" si="8"/>
        <v>560.67704599115541</v>
      </c>
      <c r="J43" s="10">
        <f t="shared" si="6"/>
        <v>16225295342.972309</v>
      </c>
      <c r="K43" s="11">
        <f t="shared" si="7"/>
        <v>0.10285714000000001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28199916.605129696</v>
      </c>
      <c r="D44" s="11">
        <v>2.4899999999999999E-2</v>
      </c>
      <c r="E44" s="10">
        <f t="shared" si="2"/>
        <v>685118.47347812355</v>
      </c>
      <c r="F44" s="3"/>
      <c r="G44" s="26">
        <v>8.86</v>
      </c>
      <c r="H44" s="10"/>
      <c r="I44" s="10">
        <f t="shared" si="8"/>
        <v>521.70563505271741</v>
      </c>
      <c r="J44" s="10">
        <f t="shared" si="6"/>
        <v>14712055400.912859</v>
      </c>
      <c r="K44" s="11">
        <f t="shared" si="7"/>
        <v>0.11570614000000012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27514798.131651573</v>
      </c>
      <c r="D45" s="11">
        <v>2.4E-2</v>
      </c>
      <c r="E45" s="10">
        <f t="shared" si="2"/>
        <v>644878.08121058345</v>
      </c>
      <c r="F45" s="3"/>
      <c r="G45" s="26">
        <v>8.43</v>
      </c>
      <c r="H45" s="10"/>
      <c r="I45" s="10">
        <f t="shared" si="8"/>
        <v>479.24456646400643</v>
      </c>
      <c r="J45" s="10">
        <f t="shared" si="6"/>
        <v>13186317501.948011</v>
      </c>
      <c r="K45" s="11">
        <f t="shared" si="7"/>
        <v>0.11032320000000007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26869920.050440989</v>
      </c>
      <c r="D46" s="11">
        <v>2.3400000000000001E-2</v>
      </c>
      <c r="E46" s="10">
        <f t="shared" si="2"/>
        <v>614379.64547617733</v>
      </c>
      <c r="F46" s="3"/>
      <c r="G46" s="26">
        <v>10.8</v>
      </c>
      <c r="H46" s="10"/>
      <c r="I46" s="10">
        <f t="shared" si="8"/>
        <v>441.98521300747615</v>
      </c>
      <c r="J46" s="10">
        <f t="shared" si="6"/>
        <v>11876107336.988014</v>
      </c>
      <c r="K46" s="11">
        <f t="shared" si="7"/>
        <v>0.13392720000000002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26255540.404964812</v>
      </c>
      <c r="D47" s="11">
        <v>2.2800000000000001E-2</v>
      </c>
      <c r="E47" s="10">
        <f t="shared" si="2"/>
        <v>585281.89404888079</v>
      </c>
      <c r="F47" s="3"/>
      <c r="G47" s="26">
        <v>9.4499999999999993</v>
      </c>
      <c r="H47" s="10"/>
      <c r="I47" s="10">
        <f t="shared" si="8"/>
        <v>398.90362184790263</v>
      </c>
      <c r="J47" s="10">
        <f t="shared" si="6"/>
        <v>10473430161.114412</v>
      </c>
      <c r="K47" s="11">
        <f t="shared" si="7"/>
        <v>0.11945460000000008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25670258.510915931</v>
      </c>
      <c r="D48" s="11">
        <v>2.2200000000000001E-2</v>
      </c>
      <c r="E48" s="10">
        <f t="shared" si="2"/>
        <v>557503.16859942675</v>
      </c>
      <c r="F48" s="3"/>
      <c r="G48" s="26">
        <v>-4.8</v>
      </c>
      <c r="H48" s="10"/>
      <c r="I48" s="10">
        <f t="shared" si="8"/>
        <v>364.46196605564421</v>
      </c>
      <c r="J48" s="10">
        <f t="shared" si="6"/>
        <v>9355832886.0450535</v>
      </c>
      <c r="K48" s="11">
        <f t="shared" si="7"/>
        <v>-2.6865600000000156E-2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25112755.342316505</v>
      </c>
      <c r="D49" s="11">
        <v>2.1600000000000001E-2</v>
      </c>
      <c r="E49" s="10">
        <f t="shared" si="2"/>
        <v>530966.636055246</v>
      </c>
      <c r="F49" s="3"/>
      <c r="G49" s="26">
        <v>6.21</v>
      </c>
      <c r="H49" s="10"/>
      <c r="I49" s="10">
        <f t="shared" si="8"/>
        <v>382.83819963828176</v>
      </c>
      <c r="J49" s="10">
        <f t="shared" si="6"/>
        <v>9614122043.2090931</v>
      </c>
      <c r="K49" s="11">
        <f t="shared" si="7"/>
        <v>8.5041360000000399E-2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24581788.706261259</v>
      </c>
      <c r="D50" s="11">
        <v>2.1399999999999999E-2</v>
      </c>
      <c r="E50" s="10">
        <f t="shared" si="2"/>
        <v>515028.6648854427</v>
      </c>
      <c r="F50" s="3"/>
      <c r="G50" s="26">
        <v>5.84</v>
      </c>
      <c r="H50" s="10"/>
      <c r="I50" s="10">
        <f t="shared" si="8"/>
        <v>360.45400587353521</v>
      </c>
      <c r="J50" s="10">
        <f t="shared" si="6"/>
        <v>8860604210.7086964</v>
      </c>
      <c r="K50" s="11">
        <f t="shared" si="7"/>
        <v>8.1049759999999971E-2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24066760.041375816</v>
      </c>
      <c r="D51" s="11">
        <v>2.18E-2</v>
      </c>
      <c r="E51" s="10">
        <f t="shared" si="2"/>
        <v>513461.8994930461</v>
      </c>
      <c r="F51" s="3"/>
      <c r="G51" s="26">
        <v>34.31</v>
      </c>
      <c r="H51" s="10"/>
      <c r="I51" s="10">
        <f t="shared" si="8"/>
        <v>340.56500932873695</v>
      </c>
      <c r="J51" s="10">
        <f t="shared" si="6"/>
        <v>8196296358.0036287</v>
      </c>
      <c r="K51" s="11">
        <f t="shared" si="7"/>
        <v>0.37237958000000004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23553298.14188277</v>
      </c>
      <c r="D52" s="11">
        <v>2.1700000000000001E-2</v>
      </c>
      <c r="E52" s="10">
        <f t="shared" si="2"/>
        <v>500251.12036689743</v>
      </c>
      <c r="F52" s="3"/>
      <c r="G52" s="26">
        <v>-3.69</v>
      </c>
      <c r="H52" s="10"/>
      <c r="I52" s="10">
        <f t="shared" si="8"/>
        <v>253.56638323932467</v>
      </c>
      <c r="J52" s="10">
        <f t="shared" si="6"/>
        <v>5972324623.1947203</v>
      </c>
      <c r="K52" s="11">
        <f t="shared" si="7"/>
        <v>-1.6000729999999797E-2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23053047.021515872</v>
      </c>
      <c r="D53" s="11">
        <v>2.1399999999999999E-2</v>
      </c>
      <c r="E53" s="10">
        <f t="shared" si="2"/>
        <v>482999.02708090842</v>
      </c>
      <c r="F53" s="3"/>
      <c r="G53" s="26">
        <v>13.61</v>
      </c>
      <c r="H53" s="10"/>
      <c r="I53" s="10">
        <f t="shared" si="8"/>
        <v>263.28146946249058</v>
      </c>
      <c r="J53" s="10">
        <f t="shared" si="6"/>
        <v>6069440095.41259</v>
      </c>
      <c r="K53" s="11">
        <f t="shared" si="7"/>
        <v>0.16041253999999983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22570047.994434964</v>
      </c>
      <c r="D54" s="11">
        <v>2.12E-2</v>
      </c>
      <c r="E54" s="10">
        <f t="shared" si="2"/>
        <v>468551.72099689022</v>
      </c>
      <c r="F54" s="3"/>
      <c r="G54" s="26">
        <v>6.8</v>
      </c>
      <c r="H54" s="10"/>
      <c r="I54" s="10">
        <f t="shared" si="8"/>
        <v>231.7414571450494</v>
      </c>
      <c r="J54" s="10">
        <f t="shared" si="6"/>
        <v>5230415810.0640583</v>
      </c>
      <c r="K54" s="11">
        <f t="shared" si="7"/>
        <v>9.0641600000000322E-2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22101496.273438074</v>
      </c>
      <c r="D55" s="11">
        <v>2.1000000000000001E-2</v>
      </c>
      <c r="E55" s="10">
        <f t="shared" si="2"/>
        <v>454585.13392967358</v>
      </c>
      <c r="F55" s="3"/>
      <c r="G55" s="26">
        <v>11.56</v>
      </c>
      <c r="H55" s="10"/>
      <c r="I55" s="10">
        <f t="shared" si="8"/>
        <v>216.98638309461552</v>
      </c>
      <c r="J55" s="10">
        <f t="shared" si="6"/>
        <v>4795723737.3524513</v>
      </c>
      <c r="K55" s="11">
        <f t="shared" si="7"/>
        <v>0.13902759999999992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21646911.1395084</v>
      </c>
      <c r="D56" s="11">
        <v>2.06E-2</v>
      </c>
      <c r="E56" s="10">
        <f t="shared" si="2"/>
        <v>436925.70005278289</v>
      </c>
      <c r="F56" s="3"/>
      <c r="G56" s="26">
        <v>7.2</v>
      </c>
      <c r="H56" s="10"/>
      <c r="I56" s="10">
        <f t="shared" si="8"/>
        <v>194.50195687936136</v>
      </c>
      <c r="J56" s="10">
        <f t="shared" si="6"/>
        <v>4210366577.0280299</v>
      </c>
      <c r="K56" s="11">
        <f t="shared" si="7"/>
        <v>9.4083199999999811E-2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21209985.439455617</v>
      </c>
      <c r="D57" s="11">
        <v>0.02</v>
      </c>
      <c r="E57" s="10">
        <f t="shared" si="2"/>
        <v>415882.06744030491</v>
      </c>
      <c r="F57" s="3"/>
      <c r="G57" s="26">
        <v>5.67</v>
      </c>
      <c r="H57" s="10"/>
      <c r="I57" s="10">
        <f t="shared" si="8"/>
        <v>181.43839261134454</v>
      </c>
      <c r="J57" s="10">
        <f t="shared" si="6"/>
        <v>3848305665.4448495</v>
      </c>
      <c r="K57" s="11">
        <f t="shared" si="7"/>
        <v>7.7833999999999959E-2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20794103.372015312</v>
      </c>
      <c r="D58" s="11">
        <v>0.02</v>
      </c>
      <c r="E58" s="10">
        <f t="shared" si="2"/>
        <v>407727.51709834114</v>
      </c>
      <c r="F58" s="3"/>
      <c r="G58" s="26">
        <v>6.49</v>
      </c>
      <c r="H58" s="10"/>
      <c r="I58" s="10">
        <f t="shared" si="8"/>
        <v>171.70284149838605</v>
      </c>
      <c r="J58" s="10">
        <f t="shared" si="6"/>
        <v>3570406635.3862</v>
      </c>
      <c r="K58" s="11">
        <f t="shared" si="7"/>
        <v>8.6197999999999997E-2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20386375.854916971</v>
      </c>
      <c r="D59" s="11">
        <v>0.02</v>
      </c>
      <c r="E59" s="10">
        <f t="shared" si="2"/>
        <v>399732.85990033299</v>
      </c>
      <c r="F59" s="3"/>
      <c r="G59" s="26">
        <v>10.77</v>
      </c>
      <c r="H59" s="10"/>
      <c r="I59" s="10">
        <f t="shared" si="8"/>
        <v>161.23846511257963</v>
      </c>
      <c r="J59" s="10">
        <f t="shared" si="6"/>
        <v>3287067952.054966</v>
      </c>
      <c r="K59" s="11">
        <f t="shared" si="7"/>
        <v>0.12985399999999991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19986642.995016638</v>
      </c>
      <c r="D60" s="11">
        <v>1.9E-2</v>
      </c>
      <c r="E60" s="10">
        <f t="shared" si="2"/>
        <v>372665.57105526328</v>
      </c>
      <c r="F60" s="3"/>
      <c r="G60" s="26">
        <v>9.41</v>
      </c>
      <c r="H60" s="10"/>
      <c r="I60" s="10">
        <f t="shared" si="8"/>
        <v>145.5614923829373</v>
      </c>
      <c r="J60" s="10">
        <f t="shared" si="6"/>
        <v>2909285582.0796018</v>
      </c>
      <c r="K60" s="11">
        <f t="shared" si="7"/>
        <v>0.11488789999999982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19613977.423961375</v>
      </c>
      <c r="D61" s="11">
        <v>1.9E-2</v>
      </c>
      <c r="E61" s="10">
        <f t="shared" si="2"/>
        <v>365716.94902381301</v>
      </c>
      <c r="F61" s="3"/>
      <c r="G61" s="26">
        <v>11.84</v>
      </c>
      <c r="H61" s="10"/>
      <c r="I61" s="10">
        <f t="shared" si="8"/>
        <v>133.04221952558021</v>
      </c>
      <c r="J61" s="10">
        <f t="shared" si="6"/>
        <v>2609487090.2084436</v>
      </c>
      <c r="K61" s="11">
        <f t="shared" si="7"/>
        <v>0.13964960000000004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19248260.474937562</v>
      </c>
      <c r="D62" s="11">
        <v>1.9E-2</v>
      </c>
      <c r="E62" s="10">
        <f t="shared" si="2"/>
        <v>358897.8891303353</v>
      </c>
      <c r="F62" s="3"/>
      <c r="G62" s="26">
        <v>0.36</v>
      </c>
      <c r="H62" s="10"/>
      <c r="I62" s="10">
        <f t="shared" si="8"/>
        <v>118.95763548424553</v>
      </c>
      <c r="J62" s="10">
        <f t="shared" si="6"/>
        <v>2289727553.2834334</v>
      </c>
      <c r="K62" s="11">
        <f t="shared" si="7"/>
        <v>2.2668400000000144E-2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18889362.585807227</v>
      </c>
      <c r="D63" s="11">
        <v>1.7999999999999999E-2</v>
      </c>
      <c r="E63" s="10">
        <f t="shared" si="2"/>
        <v>333996.5879612267</v>
      </c>
      <c r="F63" s="3"/>
      <c r="G63" s="26">
        <v>9.59</v>
      </c>
      <c r="H63" s="10"/>
      <c r="I63" s="10">
        <f t="shared" si="8"/>
        <v>118.53092415727932</v>
      </c>
      <c r="J63" s="10">
        <f t="shared" si="6"/>
        <v>2238973604.0376658</v>
      </c>
      <c r="K63" s="11">
        <f t="shared" si="7"/>
        <v>0.1156261999999999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18555365.997846</v>
      </c>
      <c r="D64" s="11">
        <v>1.7999999999999999E-2</v>
      </c>
      <c r="E64" s="10">
        <f t="shared" si="2"/>
        <v>328090.95084600151</v>
      </c>
      <c r="F64" s="3"/>
      <c r="G64" s="26">
        <v>2.2999999999999998</v>
      </c>
      <c r="H64" s="10"/>
      <c r="I64" s="10">
        <f t="shared" si="8"/>
        <v>108.15852190645069</v>
      </c>
      <c r="J64" s="10">
        <f t="shared" si="6"/>
        <v>2006920959.7602367</v>
      </c>
      <c r="K64" s="11">
        <f t="shared" si="7"/>
        <v>4.141399999999984E-2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18227275.046999998</v>
      </c>
      <c r="D65" s="11">
        <v>1.7000000000000001E-2</v>
      </c>
      <c r="E65" s="10">
        <f t="shared" si="2"/>
        <v>304684.04699999839</v>
      </c>
      <c r="F65" s="3"/>
      <c r="G65" s="26">
        <v>2.17</v>
      </c>
      <c r="H65" s="10"/>
      <c r="I65" s="10">
        <f t="shared" si="8"/>
        <v>105.72680538264976</v>
      </c>
      <c r="J65" s="10">
        <f t="shared" si="6"/>
        <v>1927111561.5501971</v>
      </c>
      <c r="K65" s="11">
        <f t="shared" si="7"/>
        <v>3.9068899999999962E-2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17922591</v>
      </c>
      <c r="D66" s="11">
        <v>1.7000000000000001E-2</v>
      </c>
      <c r="E66" s="10">
        <f t="shared" si="2"/>
        <v>299591</v>
      </c>
      <c r="F66" s="23">
        <f>SUM(F2)</f>
        <v>88057485</v>
      </c>
      <c r="G66" s="26">
        <v>2.37</v>
      </c>
      <c r="H66" s="10"/>
      <c r="I66" s="10">
        <f t="shared" si="8"/>
        <v>103.48126199730817</v>
      </c>
      <c r="J66" s="10">
        <f t="shared" ref="J66:J67" si="9">IF(I66="","",I66*C66)</f>
        <v>1854652334.9415975</v>
      </c>
      <c r="K66" s="11">
        <f t="shared" ref="K66" si="10">IFERROR(J66/J67-1,"")</f>
        <v>4.1102900000000053E-2</v>
      </c>
    </row>
    <row r="67" spans="1:11" ht="22.5" customHeight="1">
      <c r="A67" s="3">
        <f t="shared" si="0"/>
        <v>1950</v>
      </c>
      <c r="B67" s="3">
        <v>1700</v>
      </c>
      <c r="C67" s="10">
        <v>17623000</v>
      </c>
      <c r="D67" s="11">
        <v>1.6E-2</v>
      </c>
      <c r="E67" s="3" t="s">
        <v>72</v>
      </c>
      <c r="F67" s="10">
        <f>SUM(C2)</f>
        <v>88058371.691850409</v>
      </c>
      <c r="G67" s="26">
        <v>5.3</v>
      </c>
      <c r="H67" s="10"/>
      <c r="I67" s="10">
        <f t="shared" ref="I67" si="11">IF(H67&lt;&gt;"",H67,I66/(1+IF(G66="",0,G66)/100))</f>
        <v>101.08553482202615</v>
      </c>
      <c r="J67" s="10">
        <f t="shared" si="9"/>
        <v>1781430380.1685667</v>
      </c>
      <c r="K67" s="11"/>
    </row>
  </sheetData>
  <dataValidations count="1">
    <dataValidation type="custom" allowBlank="1" showDropDown="1" sqref="D2:D67" xr:uid="{00000000-0002-0000-6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 summaryRight="0"/>
  </sheetPr>
  <dimension ref="A1:M67"/>
  <sheetViews>
    <sheetView topLeftCell="A18" workbookViewId="0">
      <selection activeCell="I34" sqref="I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347520788.88603979</v>
      </c>
      <c r="D2" s="11">
        <v>2.3999999999999998E-3</v>
      </c>
      <c r="E2" s="10">
        <f t="shared" ref="E2:E66" si="2">SUM(C2-C3)</f>
        <v>832052.96620756388</v>
      </c>
      <c r="F2" s="14">
        <v>347520587</v>
      </c>
      <c r="G2" s="26">
        <v>6.98</v>
      </c>
      <c r="H2" s="10"/>
      <c r="I2" s="10">
        <f>IF(H2&lt;&gt;"",H2,94888)</f>
        <v>11861</v>
      </c>
      <c r="J2" s="10">
        <f t="shared" ref="J2:J33" si="3">IF(I2="","",I2*C2)</f>
        <v>4121944076977.3179</v>
      </c>
      <c r="K2" s="11">
        <f t="shared" ref="K2:K33" si="4">IFERROR(J2/J3-1,"")</f>
        <v>7.2367520000000018E-2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346688735.91983223</v>
      </c>
      <c r="D3" s="11">
        <v>2.3999999999999998E-3</v>
      </c>
      <c r="E3" s="10">
        <f t="shared" si="2"/>
        <v>830060.82023900747</v>
      </c>
      <c r="F3" s="3"/>
      <c r="G3" s="26">
        <v>7.46</v>
      </c>
      <c r="H3" s="10"/>
      <c r="I3" s="10">
        <f t="shared" ref="I3:I34" si="5">IF(H3&lt;&gt;"",H3,I2/(1+IF(G2="",0,G2)/100))</f>
        <v>11087.119087679939</v>
      </c>
      <c r="J3" s="10">
        <f t="shared" si="3"/>
        <v>3843779301500.4019</v>
      </c>
      <c r="K3" s="11">
        <f t="shared" si="4"/>
        <v>7.7179040000000088E-2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345858675.09959322</v>
      </c>
      <c r="D4" s="11">
        <v>2.3E-3</v>
      </c>
      <c r="E4" s="10">
        <f t="shared" si="2"/>
        <v>793649.5587439537</v>
      </c>
      <c r="F4" s="3"/>
      <c r="G4" s="26">
        <v>7.78</v>
      </c>
      <c r="H4" s="10"/>
      <c r="I4" s="10">
        <f t="shared" si="5"/>
        <v>10317.438198101563</v>
      </c>
      <c r="J4" s="10">
        <f t="shared" si="3"/>
        <v>3568375505617.3408</v>
      </c>
      <c r="K4" s="11">
        <f t="shared" si="4"/>
        <v>8.0278940000000132E-2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345065025.54084927</v>
      </c>
      <c r="D5" s="11">
        <v>3.7000000000000002E-3</v>
      </c>
      <c r="E5" s="10">
        <f t="shared" si="2"/>
        <v>1272034.0684478879</v>
      </c>
      <c r="F5" s="3"/>
      <c r="G5" s="26">
        <v>7.86</v>
      </c>
      <c r="H5" s="10"/>
      <c r="I5" s="10">
        <f t="shared" si="5"/>
        <v>9572.6834274462435</v>
      </c>
      <c r="J5" s="10">
        <f t="shared" si="3"/>
        <v>3303198251386.2026</v>
      </c>
      <c r="K5" s="11">
        <f t="shared" si="4"/>
        <v>8.2590819999999843E-2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343792991.47240138</v>
      </c>
      <c r="D6" s="11">
        <v>2.5000000000000001E-3</v>
      </c>
      <c r="E6" s="10">
        <f t="shared" si="2"/>
        <v>857339.13085383177</v>
      </c>
      <c r="F6" s="3"/>
      <c r="G6" s="26">
        <v>9.4600000000000009</v>
      </c>
      <c r="H6" s="10"/>
      <c r="I6" s="10">
        <f t="shared" si="5"/>
        <v>8875.1005260951642</v>
      </c>
      <c r="J6" s="10">
        <f t="shared" si="3"/>
        <v>3051197359484.54</v>
      </c>
      <c r="K6" s="11">
        <f t="shared" si="4"/>
        <v>9.7336499999999937E-2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342935652.34154755</v>
      </c>
      <c r="D7" s="11">
        <v>1.6999999999999999E-3</v>
      </c>
      <c r="E7" s="10">
        <f t="shared" si="2"/>
        <v>582001.20692884922</v>
      </c>
      <c r="F7" s="3"/>
      <c r="G7" s="26">
        <v>8.59</v>
      </c>
      <c r="H7" s="10"/>
      <c r="I7" s="10">
        <f t="shared" si="5"/>
        <v>8108.076490128964</v>
      </c>
      <c r="J7" s="10">
        <f t="shared" si="3"/>
        <v>2780548500377.5415</v>
      </c>
      <c r="K7" s="11">
        <f t="shared" si="4"/>
        <v>8.7746030000000141E-2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342353651.1346187</v>
      </c>
      <c r="D8" s="11">
        <v>3.5000000000000001E-3</v>
      </c>
      <c r="E8" s="10">
        <f t="shared" si="2"/>
        <v>1194058.5739623308</v>
      </c>
      <c r="F8" s="3"/>
      <c r="G8" s="26">
        <v>9.41</v>
      </c>
      <c r="H8" s="10"/>
      <c r="I8" s="10">
        <f t="shared" si="5"/>
        <v>7466.6879916465268</v>
      </c>
      <c r="J8" s="10">
        <f t="shared" si="3"/>
        <v>2556247895823.2017</v>
      </c>
      <c r="K8" s="11">
        <f t="shared" si="4"/>
        <v>9.7929350000000248E-2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341159592.56065637</v>
      </c>
      <c r="D9" s="11">
        <v>3.3E-3</v>
      </c>
      <c r="E9" s="10">
        <f t="shared" si="2"/>
        <v>1122123.6474137306</v>
      </c>
      <c r="F9" s="3"/>
      <c r="G9" s="26">
        <v>9.67</v>
      </c>
      <c r="H9" s="10"/>
      <c r="I9" s="10">
        <f t="shared" si="5"/>
        <v>6824.5023230477345</v>
      </c>
      <c r="J9" s="10">
        <f t="shared" si="3"/>
        <v>2328244431960.2178</v>
      </c>
      <c r="K9" s="11">
        <f t="shared" si="4"/>
        <v>0.10031910999999982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340037468.91324264</v>
      </c>
      <c r="D10" s="11">
        <v>3.5999999999999999E-3</v>
      </c>
      <c r="E10" s="10">
        <f t="shared" si="2"/>
        <v>1219743.8103703856</v>
      </c>
      <c r="F10" s="3"/>
      <c r="G10" s="26">
        <v>6.45</v>
      </c>
      <c r="H10" s="10"/>
      <c r="I10" s="10">
        <f t="shared" si="5"/>
        <v>6222.7613048670873</v>
      </c>
      <c r="J10" s="10">
        <f t="shared" si="3"/>
        <v>2115972003758.2715</v>
      </c>
      <c r="K10" s="11">
        <f t="shared" si="4"/>
        <v>6.8332200000000176E-2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338817725.10287225</v>
      </c>
      <c r="D11" s="11">
        <v>4.4999999999999997E-3</v>
      </c>
      <c r="E11" s="10">
        <f t="shared" si="2"/>
        <v>1517849.4404807687</v>
      </c>
      <c r="F11" s="3"/>
      <c r="G11" s="26">
        <v>13.2</v>
      </c>
      <c r="H11" s="10"/>
      <c r="I11" s="10">
        <f t="shared" si="5"/>
        <v>5845.7128274937413</v>
      </c>
      <c r="J11" s="10">
        <f t="shared" si="3"/>
        <v>1980631121816.1086</v>
      </c>
      <c r="K11" s="11">
        <f t="shared" si="4"/>
        <v>0.13709400000000027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337299875.66239148</v>
      </c>
      <c r="D12" s="11">
        <v>3.3999999999999998E-3</v>
      </c>
      <c r="E12" s="10">
        <f t="shared" si="2"/>
        <v>1142933.6030019522</v>
      </c>
      <c r="F12" s="3"/>
      <c r="G12" s="26">
        <v>10.43</v>
      </c>
      <c r="H12" s="10"/>
      <c r="I12" s="10">
        <f t="shared" si="5"/>
        <v>5164.0572681040112</v>
      </c>
      <c r="J12" s="10">
        <f t="shared" si="3"/>
        <v>1741835874444.9519</v>
      </c>
      <c r="K12" s="11">
        <f t="shared" si="4"/>
        <v>0.10805461999999988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336156942.05938953</v>
      </c>
      <c r="D13" s="11">
        <v>3.5999999999999999E-3</v>
      </c>
      <c r="E13" s="10">
        <f t="shared" si="2"/>
        <v>1205824.0249240994</v>
      </c>
      <c r="F13" s="3"/>
      <c r="G13" s="26">
        <v>7.89</v>
      </c>
      <c r="H13" s="10"/>
      <c r="I13" s="10">
        <f t="shared" si="5"/>
        <v>4676.3173667517985</v>
      </c>
      <c r="J13" s="10">
        <f t="shared" si="3"/>
        <v>1571976546106.5015</v>
      </c>
      <c r="K13" s="11">
        <f t="shared" si="4"/>
        <v>8.278404000000017E-2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334951118.03446543</v>
      </c>
      <c r="D14" s="11">
        <v>3.5999999999999999E-3</v>
      </c>
      <c r="E14" s="10">
        <f t="shared" si="2"/>
        <v>1201498.6298565865</v>
      </c>
      <c r="F14" s="3"/>
      <c r="G14" s="26">
        <v>6.4</v>
      </c>
      <c r="H14" s="10"/>
      <c r="I14" s="10">
        <f t="shared" si="5"/>
        <v>4334.3380913447018</v>
      </c>
      <c r="J14" s="10">
        <f t="shared" si="3"/>
        <v>1451791389635.2788</v>
      </c>
      <c r="K14" s="11">
        <f t="shared" si="4"/>
        <v>6.7830400000000068E-2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333749619.40460885</v>
      </c>
      <c r="D15" s="11">
        <v>5.0000000000000001E-3</v>
      </c>
      <c r="E15" s="10">
        <f t="shared" si="2"/>
        <v>1660445.8676846027</v>
      </c>
      <c r="F15" s="3"/>
      <c r="G15" s="26">
        <v>2.1</v>
      </c>
      <c r="H15" s="10"/>
      <c r="I15" s="10">
        <f t="shared" si="5"/>
        <v>4073.6260256999076</v>
      </c>
      <c r="J15" s="10">
        <f t="shared" si="3"/>
        <v>1359571135674.0535</v>
      </c>
      <c r="K15" s="11">
        <f t="shared" si="4"/>
        <v>2.6104999999999823E-2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332089173.53692424</v>
      </c>
      <c r="D16" s="11">
        <v>5.7000000000000002E-3</v>
      </c>
      <c r="E16" s="10">
        <f t="shared" si="2"/>
        <v>1882179.8639360666</v>
      </c>
      <c r="F16" s="3"/>
      <c r="G16" s="26">
        <v>-3.5</v>
      </c>
      <c r="H16" s="10"/>
      <c r="I16" s="10">
        <f t="shared" si="5"/>
        <v>3989.8393983348756</v>
      </c>
      <c r="J16" s="10">
        <f t="shared" si="3"/>
        <v>1324982468338.0879</v>
      </c>
      <c r="K16" s="11">
        <f t="shared" si="4"/>
        <v>-2.9499499999999901E-2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330206993.67298818</v>
      </c>
      <c r="D17" s="11">
        <v>4.4000000000000003E-3</v>
      </c>
      <c r="E17" s="10">
        <f t="shared" si="2"/>
        <v>1446545.9698935747</v>
      </c>
      <c r="F17" s="3"/>
      <c r="G17" s="26">
        <v>-19.2</v>
      </c>
      <c r="H17" s="10"/>
      <c r="I17" s="10">
        <f t="shared" si="5"/>
        <v>4134.5485993107523</v>
      </c>
      <c r="J17" s="10">
        <f t="shared" si="3"/>
        <v>1365256863173.2676</v>
      </c>
      <c r="K17" s="11">
        <f t="shared" si="4"/>
        <v>-0.18844480000000008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328760447.7030946</v>
      </c>
      <c r="D18" s="11">
        <v>7.1999999999999998E-3</v>
      </c>
      <c r="E18" s="10">
        <f t="shared" si="2"/>
        <v>2350154.1138426661</v>
      </c>
      <c r="F18" s="3"/>
      <c r="G18" s="26">
        <v>7.74</v>
      </c>
      <c r="H18" s="10"/>
      <c r="I18" s="10">
        <f t="shared" si="5"/>
        <v>5117.0155932063763</v>
      </c>
      <c r="J18" s="10">
        <f t="shared" si="3"/>
        <v>1682272337326.2444</v>
      </c>
      <c r="K18" s="11">
        <f t="shared" si="4"/>
        <v>8.5157280000000002E-2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326410293.58925194</v>
      </c>
      <c r="D19" s="11">
        <v>6.7999999999999996E-3</v>
      </c>
      <c r="E19" s="10">
        <f t="shared" si="2"/>
        <v>2204598.7250763774</v>
      </c>
      <c r="F19" s="3"/>
      <c r="G19" s="26">
        <v>7.92</v>
      </c>
      <c r="H19" s="10"/>
      <c r="I19" s="10">
        <f t="shared" si="5"/>
        <v>4749.411168745477</v>
      </c>
      <c r="J19" s="10">
        <f t="shared" si="3"/>
        <v>1550256693966.2832</v>
      </c>
      <c r="K19" s="11">
        <f t="shared" si="4"/>
        <v>8.6538559999999931E-2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324205694.86417556</v>
      </c>
      <c r="D20" s="11">
        <v>8.0999999999999996E-3</v>
      </c>
      <c r="E20" s="10">
        <f t="shared" si="2"/>
        <v>2604965.9045727849</v>
      </c>
      <c r="F20" s="3"/>
      <c r="G20" s="26">
        <v>9.3000000000000007</v>
      </c>
      <c r="H20" s="10"/>
      <c r="I20" s="10">
        <f t="shared" si="5"/>
        <v>4400.8628324179736</v>
      </c>
      <c r="J20" s="10">
        <f t="shared" si="3"/>
        <v>1426784792585.9929</v>
      </c>
      <c r="K20" s="11">
        <f t="shared" si="4"/>
        <v>0.10185329999999992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321600728.95960277</v>
      </c>
      <c r="D21" s="11">
        <v>8.0000000000000002E-3</v>
      </c>
      <c r="E21" s="10">
        <f t="shared" si="2"/>
        <v>2552386.7377746105</v>
      </c>
      <c r="F21" s="3"/>
      <c r="G21" s="26">
        <v>9.9700000000000006</v>
      </c>
      <c r="H21" s="10"/>
      <c r="I21" s="10">
        <f t="shared" si="5"/>
        <v>4026.4069829990608</v>
      </c>
      <c r="J21" s="10">
        <f t="shared" si="3"/>
        <v>1294895420820.533</v>
      </c>
      <c r="K21" s="11">
        <f t="shared" si="4"/>
        <v>0.10849759999999997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319048342.22182816</v>
      </c>
      <c r="D22" s="11">
        <v>8.0999999999999996E-3</v>
      </c>
      <c r="E22" s="10">
        <f t="shared" si="2"/>
        <v>2563527.003270328</v>
      </c>
      <c r="F22" s="3"/>
      <c r="G22" s="26">
        <v>7.4</v>
      </c>
      <c r="H22" s="10"/>
      <c r="I22" s="10">
        <f t="shared" si="5"/>
        <v>3661.3685396008559</v>
      </c>
      <c r="J22" s="10">
        <f t="shared" si="3"/>
        <v>1168153562822.8091</v>
      </c>
      <c r="K22" s="11">
        <f t="shared" si="4"/>
        <v>8.269940000000009E-2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316484815.21855783</v>
      </c>
      <c r="D23" s="11">
        <v>8.3999999999999995E-3</v>
      </c>
      <c r="E23" s="10">
        <f t="shared" si="2"/>
        <v>2636327.298528254</v>
      </c>
      <c r="F23" s="3"/>
      <c r="G23" s="26">
        <v>4.7</v>
      </c>
      <c r="H23" s="10"/>
      <c r="I23" s="10">
        <f t="shared" si="5"/>
        <v>3409.0954744886926</v>
      </c>
      <c r="J23" s="10">
        <f t="shared" si="3"/>
        <v>1078926951305.9756</v>
      </c>
      <c r="K23" s="11">
        <f t="shared" si="4"/>
        <v>5.5794799999999922E-2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313848487.92002958</v>
      </c>
      <c r="D24" s="11">
        <v>8.8000000000000005E-3</v>
      </c>
      <c r="E24" s="10">
        <f t="shared" si="2"/>
        <v>2737774.2800319791</v>
      </c>
      <c r="F24" s="3"/>
      <c r="G24" s="26">
        <v>4.2</v>
      </c>
      <c r="H24" s="10"/>
      <c r="I24" s="10">
        <f t="shared" si="5"/>
        <v>3256.0606251085892</v>
      </c>
      <c r="J24" s="10">
        <f t="shared" si="3"/>
        <v>1021909703766.277</v>
      </c>
      <c r="K24" s="11">
        <f t="shared" si="4"/>
        <v>5.1169599999999926E-2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311110713.6399976</v>
      </c>
      <c r="D25" s="11">
        <v>9.4999999999999998E-3</v>
      </c>
      <c r="E25" s="10">
        <f t="shared" si="2"/>
        <v>2927738.2660524845</v>
      </c>
      <c r="F25" s="3"/>
      <c r="G25" s="26">
        <v>7.4</v>
      </c>
      <c r="H25" s="10"/>
      <c r="I25" s="10">
        <f t="shared" si="5"/>
        <v>3124.8182582616018</v>
      </c>
      <c r="J25" s="10">
        <f t="shared" si="3"/>
        <v>972164438323.06128</v>
      </c>
      <c r="K25" s="11">
        <f t="shared" si="4"/>
        <v>8.4203000000000028E-2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308182975.37394512</v>
      </c>
      <c r="D26" s="11">
        <v>9.7000000000000003E-3</v>
      </c>
      <c r="E26" s="10">
        <f t="shared" si="2"/>
        <v>2960656.4931437969</v>
      </c>
      <c r="F26" s="3"/>
      <c r="G26" s="26">
        <v>3.4</v>
      </c>
      <c r="H26" s="10"/>
      <c r="I26" s="10">
        <f t="shared" si="5"/>
        <v>2909.5142069474878</v>
      </c>
      <c r="J26" s="10">
        <f t="shared" si="3"/>
        <v>896662745189.84106</v>
      </c>
      <c r="K26" s="11">
        <f t="shared" si="4"/>
        <v>4.4029800000000119E-2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305222318.88080132</v>
      </c>
      <c r="D27" s="11">
        <v>8.3999999999999995E-3</v>
      </c>
      <c r="E27" s="10">
        <f t="shared" si="2"/>
        <v>2542510.3913117051</v>
      </c>
      <c r="F27" s="3"/>
      <c r="G27" s="26">
        <v>-4.2</v>
      </c>
      <c r="H27" s="10"/>
      <c r="I27" s="10">
        <f t="shared" si="5"/>
        <v>2813.8435270285181</v>
      </c>
      <c r="J27" s="10">
        <f t="shared" si="3"/>
        <v>858847846287.37708</v>
      </c>
      <c r="K27" s="11">
        <f t="shared" si="4"/>
        <v>-3.3952800000000005E-2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302679808.48948961</v>
      </c>
      <c r="D28" s="11">
        <v>8.8000000000000005E-3</v>
      </c>
      <c r="E28" s="10">
        <f t="shared" si="2"/>
        <v>2640347.2588297725</v>
      </c>
      <c r="F28" s="3"/>
      <c r="G28" s="26">
        <v>4.21</v>
      </c>
      <c r="H28" s="10"/>
      <c r="I28" s="10">
        <f t="shared" si="5"/>
        <v>2937.2061868773676</v>
      </c>
      <c r="J28" s="10">
        <f t="shared" si="3"/>
        <v>889033006138.18567</v>
      </c>
      <c r="K28" s="11">
        <f t="shared" si="4"/>
        <v>5.1270479999999896E-2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300039461.23065984</v>
      </c>
      <c r="D29" s="11">
        <v>1.04E-2</v>
      </c>
      <c r="E29" s="10">
        <f t="shared" si="2"/>
        <v>3088292.1583520174</v>
      </c>
      <c r="F29" s="3"/>
      <c r="G29" s="26">
        <v>11.22</v>
      </c>
      <c r="H29" s="10"/>
      <c r="I29" s="10">
        <f t="shared" si="5"/>
        <v>2818.5454245056785</v>
      </c>
      <c r="J29" s="10">
        <f t="shared" si="3"/>
        <v>845674850622.8252</v>
      </c>
      <c r="K29" s="11">
        <f t="shared" si="4"/>
        <v>0.12376688000000002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296951169.07230783</v>
      </c>
      <c r="D30" s="11">
        <v>1.0200000000000001E-2</v>
      </c>
      <c r="E30" s="10">
        <f t="shared" si="2"/>
        <v>2998319.0700232983</v>
      </c>
      <c r="F30" s="3"/>
      <c r="G30" s="26">
        <v>7.2</v>
      </c>
      <c r="H30" s="10"/>
      <c r="I30" s="10">
        <f t="shared" si="5"/>
        <v>2534.2073588434441</v>
      </c>
      <c r="J30" s="10">
        <f t="shared" si="3"/>
        <v>752535837880.2063</v>
      </c>
      <c r="K30" s="11">
        <f t="shared" si="4"/>
        <v>8.2934400000000075E-2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293952850.00228453</v>
      </c>
      <c r="D31" s="11">
        <v>1.29E-2</v>
      </c>
      <c r="E31" s="10">
        <f t="shared" si="2"/>
        <v>3743698.0600547194</v>
      </c>
      <c r="F31" s="3"/>
      <c r="G31" s="26">
        <v>4.5</v>
      </c>
      <c r="H31" s="10"/>
      <c r="I31" s="10">
        <f t="shared" si="5"/>
        <v>2363.9994019061978</v>
      </c>
      <c r="J31" s="10">
        <f t="shared" si="3"/>
        <v>694904361594.02295</v>
      </c>
      <c r="K31" s="11">
        <f t="shared" si="4"/>
        <v>5.8480499999999713E-2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290209151.94222981</v>
      </c>
      <c r="D32" s="11">
        <v>1.2999999999999999E-2</v>
      </c>
      <c r="E32" s="10">
        <f t="shared" si="2"/>
        <v>3724303.0357837677</v>
      </c>
      <c r="F32" s="3"/>
      <c r="G32" s="26">
        <v>6.3</v>
      </c>
      <c r="H32" s="10"/>
      <c r="I32" s="10">
        <f t="shared" si="5"/>
        <v>2262.2003845992326</v>
      </c>
      <c r="J32" s="10">
        <f t="shared" si="3"/>
        <v>656511255137.92944</v>
      </c>
      <c r="K32" s="11">
        <f t="shared" si="4"/>
        <v>7.6818999999999971E-2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286484848.90644604</v>
      </c>
      <c r="D33" s="11">
        <v>1.43E-2</v>
      </c>
      <c r="E33" s="10">
        <f t="shared" si="2"/>
        <v>4038975.9828079939</v>
      </c>
      <c r="F33" s="3"/>
      <c r="G33" s="26">
        <v>8.4</v>
      </c>
      <c r="H33" s="10"/>
      <c r="I33" s="10">
        <f t="shared" si="5"/>
        <v>2128.1283015985255</v>
      </c>
      <c r="J33" s="10">
        <f t="shared" si="3"/>
        <v>609676514936.98523</v>
      </c>
      <c r="K33" s="11">
        <f t="shared" si="4"/>
        <v>9.9501199999999956E-2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282445872.92363805</v>
      </c>
      <c r="D34" s="11">
        <v>1.5299999999999999E-2</v>
      </c>
      <c r="E34" s="10">
        <f t="shared" si="2"/>
        <v>4256300.4587133527</v>
      </c>
      <c r="F34" s="3"/>
      <c r="G34" s="26">
        <v>3</v>
      </c>
      <c r="H34" s="10"/>
      <c r="I34" s="10">
        <f t="shared" si="5"/>
        <v>1963.2179904045436</v>
      </c>
      <c r="J34" s="10">
        <f t="shared" ref="J34:J65" si="6">IF(I34="","",I34*C34)</f>
        <v>554502819039.20178</v>
      </c>
      <c r="K34" s="11">
        <f t="shared" ref="K34:K65" si="7">IFERROR(J34/J35-1,"")</f>
        <v>5.8957900000000008E-2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278189572.46492469</v>
      </c>
      <c r="D35" s="11">
        <v>1.6299999999999999E-2</v>
      </c>
      <c r="E35" s="10">
        <f t="shared" si="2"/>
        <v>4461763.2895584702</v>
      </c>
      <c r="F35" s="3"/>
      <c r="G35" s="26">
        <v>6.32</v>
      </c>
      <c r="H35" s="10"/>
      <c r="I35" s="10">
        <f t="shared" ref="I35:I66" si="8">IF(H35&lt;&gt;"",H35,I34/(1+IF(G34="",0,G34)/100))</f>
        <v>1882.279952449227</v>
      </c>
      <c r="J35" s="10">
        <f t="shared" si="6"/>
        <v>523630655231.14923</v>
      </c>
      <c r="K35" s="11">
        <f t="shared" si="7"/>
        <v>0.1079702600000001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273727809.17536622</v>
      </c>
      <c r="D36" s="11">
        <v>1.72E-2</v>
      </c>
      <c r="E36" s="10">
        <f t="shared" si="2"/>
        <v>4628507.9805508256</v>
      </c>
      <c r="F36" s="3"/>
      <c r="G36" s="26">
        <v>0.31</v>
      </c>
      <c r="H36" s="10"/>
      <c r="I36" s="10">
        <f t="shared" si="8"/>
        <v>1726.5455443489516</v>
      </c>
      <c r="J36" s="10">
        <f t="shared" si="6"/>
        <v>472603529296.1286</v>
      </c>
      <c r="K36" s="11">
        <f t="shared" si="7"/>
        <v>6.91789199999997E-2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269099301.1948154</v>
      </c>
      <c r="D37" s="11">
        <v>1.8599999999999998E-2</v>
      </c>
      <c r="E37" s="10">
        <f t="shared" si="2"/>
        <v>4913849.4033217728</v>
      </c>
      <c r="F37" s="3"/>
      <c r="G37" s="26">
        <v>-0.96</v>
      </c>
      <c r="H37" s="10"/>
      <c r="I37" s="10">
        <f t="shared" si="8"/>
        <v>1642.6082621529367</v>
      </c>
      <c r="J37" s="10">
        <f t="shared" si="6"/>
        <v>442024735482.18542</v>
      </c>
      <c r="K37" s="11">
        <f t="shared" si="7"/>
        <v>6.2807240000000153E-2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264185451.79149362</v>
      </c>
      <c r="D38" s="11">
        <v>2.06E-2</v>
      </c>
      <c r="E38" s="10">
        <f t="shared" si="2"/>
        <v>5332373.4145647287</v>
      </c>
      <c r="F38" s="3"/>
      <c r="G38" s="26">
        <v>2.7</v>
      </c>
      <c r="H38" s="10"/>
      <c r="I38" s="10">
        <f t="shared" si="8"/>
        <v>1574.2843225540892</v>
      </c>
      <c r="J38" s="10">
        <f t="shared" si="6"/>
        <v>415903015002.21753</v>
      </c>
      <c r="K38" s="11">
        <f t="shared" si="7"/>
        <v>8.5918400000000172E-2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258853078.3769289</v>
      </c>
      <c r="D39" s="11">
        <v>2.06E-2</v>
      </c>
      <c r="E39" s="10">
        <f t="shared" si="2"/>
        <v>5224743.6944588721</v>
      </c>
      <c r="F39" s="3"/>
      <c r="G39" s="26">
        <v>11.33</v>
      </c>
      <c r="H39" s="10"/>
      <c r="I39" s="10">
        <f t="shared" si="8"/>
        <v>1479.5905287162491</v>
      </c>
      <c r="J39" s="10">
        <f t="shared" si="6"/>
        <v>382996563095.54889</v>
      </c>
      <c r="K39" s="11">
        <f t="shared" si="7"/>
        <v>0.13623397999999987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253628334.68247002</v>
      </c>
      <c r="D40" s="11">
        <v>2.0500000000000001E-2</v>
      </c>
      <c r="E40" s="10">
        <f t="shared" si="2"/>
        <v>5094934.6996478438</v>
      </c>
      <c r="F40" s="3"/>
      <c r="G40" s="26">
        <v>7.57</v>
      </c>
      <c r="H40" s="10"/>
      <c r="I40" s="10">
        <f t="shared" si="8"/>
        <v>1329.0133196050024</v>
      </c>
      <c r="J40" s="10">
        <f t="shared" si="6"/>
        <v>337075435022.23804</v>
      </c>
      <c r="K40" s="11">
        <f t="shared" si="7"/>
        <v>9.7751850000000085E-2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248533399.98282218</v>
      </c>
      <c r="D41" s="11">
        <v>2.0899999999999998E-2</v>
      </c>
      <c r="E41" s="10">
        <f t="shared" si="2"/>
        <v>5088008.678265214</v>
      </c>
      <c r="F41" s="3"/>
      <c r="G41" s="26">
        <v>7.42</v>
      </c>
      <c r="H41" s="10"/>
      <c r="I41" s="10">
        <f t="shared" si="8"/>
        <v>1235.48695696291</v>
      </c>
      <c r="J41" s="10">
        <f t="shared" si="6"/>
        <v>307059774048.42273</v>
      </c>
      <c r="K41" s="11">
        <f t="shared" si="7"/>
        <v>9.6650780000000047E-2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243445391.30455697</v>
      </c>
      <c r="D42" s="11">
        <v>1.61E-2</v>
      </c>
      <c r="E42" s="10">
        <f t="shared" si="2"/>
        <v>3857367.1882721782</v>
      </c>
      <c r="F42" s="3"/>
      <c r="G42" s="26">
        <v>8.7200000000000006</v>
      </c>
      <c r="H42" s="10"/>
      <c r="I42" s="10">
        <f t="shared" si="8"/>
        <v>1150.1461152140289</v>
      </c>
      <c r="J42" s="10">
        <f t="shared" si="6"/>
        <v>279997771075.69531</v>
      </c>
      <c r="K42" s="11">
        <f t="shared" si="7"/>
        <v>0.10470391999999995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239588024.11628479</v>
      </c>
      <c r="D43" s="11">
        <v>1.8800000000000001E-2</v>
      </c>
      <c r="E43" s="10">
        <f t="shared" si="2"/>
        <v>4421137.4689695239</v>
      </c>
      <c r="F43" s="3"/>
      <c r="G43" s="26">
        <v>2.31</v>
      </c>
      <c r="H43" s="10"/>
      <c r="I43" s="10">
        <f t="shared" si="8"/>
        <v>1057.8974569665461</v>
      </c>
      <c r="J43" s="10">
        <f t="shared" si="6"/>
        <v>253459561432.2572</v>
      </c>
      <c r="K43" s="11">
        <f t="shared" si="7"/>
        <v>4.2334279999999946E-2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235166886.64731526</v>
      </c>
      <c r="D44" s="11">
        <v>2.01E-2</v>
      </c>
      <c r="E44" s="10">
        <f t="shared" si="2"/>
        <v>4633716.7156269252</v>
      </c>
      <c r="F44" s="3"/>
      <c r="G44" s="26">
        <v>7.76</v>
      </c>
      <c r="H44" s="10"/>
      <c r="I44" s="10">
        <f t="shared" si="8"/>
        <v>1034.0117847390736</v>
      </c>
      <c r="J44" s="10">
        <f t="shared" si="6"/>
        <v>243165332173.72186</v>
      </c>
      <c r="K44" s="11">
        <f t="shared" si="7"/>
        <v>9.9259759999999808E-2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230533169.93168834</v>
      </c>
      <c r="D45" s="11">
        <v>2.1100000000000001E-2</v>
      </c>
      <c r="E45" s="10">
        <f t="shared" si="2"/>
        <v>4763735.0754662752</v>
      </c>
      <c r="F45" s="3"/>
      <c r="G45" s="26">
        <v>3.81</v>
      </c>
      <c r="H45" s="10"/>
      <c r="I45" s="10">
        <f t="shared" si="8"/>
        <v>959.55065398948932</v>
      </c>
      <c r="J45" s="10">
        <f t="shared" si="6"/>
        <v>221208253974.22162</v>
      </c>
      <c r="K45" s="11">
        <f t="shared" si="7"/>
        <v>6.0003910000000049E-2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225769434.85622206</v>
      </c>
      <c r="D46" s="11">
        <v>2.1999999999999999E-2</v>
      </c>
      <c r="E46" s="10">
        <f t="shared" si="2"/>
        <v>4860007.403949976</v>
      </c>
      <c r="F46" s="3"/>
      <c r="G46" s="26">
        <v>3.69</v>
      </c>
      <c r="H46" s="10"/>
      <c r="I46" s="10">
        <f t="shared" si="8"/>
        <v>924.33354589104067</v>
      </c>
      <c r="J46" s="10">
        <f t="shared" si="6"/>
        <v>208686262274.46805</v>
      </c>
      <c r="K46" s="11">
        <f t="shared" si="7"/>
        <v>5.9711799999999871E-2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220909427.45227209</v>
      </c>
      <c r="D47" s="11">
        <v>1.8800000000000001E-2</v>
      </c>
      <c r="E47" s="10">
        <f t="shared" si="2"/>
        <v>4076459.7920128703</v>
      </c>
      <c r="F47" s="3"/>
      <c r="G47" s="26">
        <v>1.82</v>
      </c>
      <c r="H47" s="10"/>
      <c r="I47" s="10">
        <f t="shared" si="8"/>
        <v>891.43943089115703</v>
      </c>
      <c r="J47" s="10">
        <f t="shared" si="6"/>
        <v>196927374286.54477</v>
      </c>
      <c r="K47" s="11">
        <f t="shared" si="7"/>
        <v>3.7342160000000124E-2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216832967.66025922</v>
      </c>
      <c r="D48" s="11">
        <v>2.1100000000000001E-2</v>
      </c>
      <c r="E48" s="10">
        <f t="shared" si="2"/>
        <v>4480634.2352673113</v>
      </c>
      <c r="F48" s="3"/>
      <c r="G48" s="26">
        <v>5.31</v>
      </c>
      <c r="H48" s="10"/>
      <c r="I48" s="10">
        <f t="shared" si="8"/>
        <v>875.50523560317913</v>
      </c>
      <c r="J48" s="10">
        <f t="shared" si="6"/>
        <v>189838398437.93176</v>
      </c>
      <c r="K48" s="11">
        <f t="shared" si="7"/>
        <v>7.5320409999999782E-2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212352333.42499191</v>
      </c>
      <c r="D49" s="11">
        <v>2.18E-2</v>
      </c>
      <c r="E49" s="10">
        <f t="shared" si="2"/>
        <v>4530515.627974987</v>
      </c>
      <c r="F49" s="3"/>
      <c r="G49" s="26">
        <v>6.1</v>
      </c>
      <c r="H49" s="10"/>
      <c r="I49" s="10">
        <f t="shared" si="8"/>
        <v>831.36001861473665</v>
      </c>
      <c r="J49" s="10">
        <f t="shared" si="6"/>
        <v>176541239869.08405</v>
      </c>
      <c r="K49" s="11">
        <f t="shared" si="7"/>
        <v>8.4129800000000143E-2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207821817.79701692</v>
      </c>
      <c r="D50" s="11">
        <v>2.29E-2</v>
      </c>
      <c r="E50" s="10">
        <f t="shared" si="2"/>
        <v>4652575.6452748775</v>
      </c>
      <c r="F50" s="3"/>
      <c r="G50" s="26">
        <v>6.54</v>
      </c>
      <c r="H50" s="10"/>
      <c r="I50" s="10">
        <f t="shared" si="8"/>
        <v>783.5626942645963</v>
      </c>
      <c r="J50" s="10">
        <f t="shared" si="6"/>
        <v>162841423479.99661</v>
      </c>
      <c r="K50" s="11">
        <f t="shared" si="7"/>
        <v>8.9797659999999668E-2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203169242.15174204</v>
      </c>
      <c r="D51" s="11">
        <v>3.0300000000000001E-2</v>
      </c>
      <c r="E51" s="10">
        <f t="shared" si="2"/>
        <v>5974985.9625330269</v>
      </c>
      <c r="F51" s="3"/>
      <c r="G51" s="26">
        <v>7.18</v>
      </c>
      <c r="H51" s="10"/>
      <c r="I51" s="10">
        <f t="shared" si="8"/>
        <v>735.46338864707752</v>
      </c>
      <c r="J51" s="10">
        <f t="shared" si="6"/>
        <v>149423539301.77887</v>
      </c>
      <c r="K51" s="11">
        <f t="shared" si="7"/>
        <v>0.10427554000000017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197194256.18920901</v>
      </c>
      <c r="D52" s="11">
        <v>3.1699999999999999E-2</v>
      </c>
      <c r="E52" s="10">
        <f t="shared" si="2"/>
        <v>6058988.0015488267</v>
      </c>
      <c r="F52" s="3"/>
      <c r="G52" s="26">
        <v>5.98</v>
      </c>
      <c r="H52" s="10"/>
      <c r="I52" s="10">
        <f t="shared" si="8"/>
        <v>686.19461527064516</v>
      </c>
      <c r="J52" s="10">
        <f t="shared" si="6"/>
        <v>135313636759.33531</v>
      </c>
      <c r="K52" s="11">
        <f t="shared" si="7"/>
        <v>9.3395660000000102E-2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191135268.18766019</v>
      </c>
      <c r="D53" s="11">
        <v>3.3099999999999997E-2</v>
      </c>
      <c r="E53" s="10">
        <f t="shared" si="2"/>
        <v>6123877.0467636585</v>
      </c>
      <c r="F53" s="3"/>
      <c r="G53" s="26">
        <v>3.27</v>
      </c>
      <c r="H53" s="10"/>
      <c r="I53" s="10">
        <f t="shared" si="8"/>
        <v>647.47557583567198</v>
      </c>
      <c r="J53" s="10">
        <f t="shared" si="6"/>
        <v>123755417832.31087</v>
      </c>
      <c r="K53" s="11">
        <f t="shared" si="7"/>
        <v>6.6882369999999636E-2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185011391.14089653</v>
      </c>
      <c r="D54" s="11">
        <v>3.44E-2</v>
      </c>
      <c r="E54" s="10">
        <f t="shared" si="2"/>
        <v>6152737.6790862679</v>
      </c>
      <c r="F54" s="3"/>
      <c r="G54" s="26">
        <v>2.8</v>
      </c>
      <c r="H54" s="10"/>
      <c r="I54" s="10">
        <f t="shared" si="8"/>
        <v>626.97354104354804</v>
      </c>
      <c r="J54" s="10">
        <f t="shared" si="6"/>
        <v>115997247037.00081</v>
      </c>
      <c r="K54" s="11">
        <f t="shared" si="7"/>
        <v>6.3363199999999953E-2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178858653.46181026</v>
      </c>
      <c r="D55" s="11">
        <v>3.5099999999999999E-2</v>
      </c>
      <c r="E55" s="10">
        <f t="shared" si="2"/>
        <v>6065055.2956328094</v>
      </c>
      <c r="F55" s="3"/>
      <c r="G55" s="26">
        <v>5.61</v>
      </c>
      <c r="H55" s="10"/>
      <c r="I55" s="10">
        <f t="shared" si="8"/>
        <v>609.89644070384054</v>
      </c>
      <c r="J55" s="10">
        <f t="shared" si="6"/>
        <v>109085256135.43973</v>
      </c>
      <c r="K55" s="11">
        <f t="shared" si="7"/>
        <v>9.3169109999999833E-2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172793598.16617745</v>
      </c>
      <c r="D56" s="11">
        <v>3.5799999999999998E-2</v>
      </c>
      <c r="E56" s="10">
        <f t="shared" si="2"/>
        <v>5972205.8450947702</v>
      </c>
      <c r="F56" s="3"/>
      <c r="G56" s="26">
        <v>6.2</v>
      </c>
      <c r="H56" s="10"/>
      <c r="I56" s="10">
        <f t="shared" si="8"/>
        <v>577.49876025361289</v>
      </c>
      <c r="J56" s="10">
        <f t="shared" si="6"/>
        <v>99788088720.728439</v>
      </c>
      <c r="K56" s="11">
        <f t="shared" si="7"/>
        <v>0.10001960000000021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166821392.32108268</v>
      </c>
      <c r="D57" s="11">
        <v>3.6600000000000001E-2</v>
      </c>
      <c r="E57" s="10">
        <f t="shared" si="2"/>
        <v>5890085.8180123568</v>
      </c>
      <c r="F57" s="3"/>
      <c r="G57" s="26">
        <v>8.2100000000000009</v>
      </c>
      <c r="H57" s="10"/>
      <c r="I57" s="10">
        <f t="shared" si="8"/>
        <v>543.78414336498383</v>
      </c>
      <c r="J57" s="10">
        <f t="shared" si="6"/>
        <v>90714827918.273834</v>
      </c>
      <c r="K57" s="11">
        <f t="shared" si="7"/>
        <v>0.12170485999999991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160931306.50307032</v>
      </c>
      <c r="D58" s="11">
        <v>3.7600000000000001E-2</v>
      </c>
      <c r="E58" s="10">
        <f t="shared" si="2"/>
        <v>5831743.5664181411</v>
      </c>
      <c r="F58" s="3"/>
      <c r="G58" s="26">
        <v>5.42</v>
      </c>
      <c r="H58" s="10"/>
      <c r="I58" s="10">
        <f t="shared" si="8"/>
        <v>502.52670119673212</v>
      </c>
      <c r="J58" s="10">
        <f t="shared" si="6"/>
        <v>80872278576.268127</v>
      </c>
      <c r="K58" s="11">
        <f t="shared" si="7"/>
        <v>9.383792000000013E-2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155099562.93665218</v>
      </c>
      <c r="D59" s="11">
        <v>3.8699999999999998E-2</v>
      </c>
      <c r="E59" s="10">
        <f t="shared" si="2"/>
        <v>5778716.7475194335</v>
      </c>
      <c r="F59" s="3"/>
      <c r="G59" s="26">
        <v>6.22</v>
      </c>
      <c r="H59" s="10"/>
      <c r="I59" s="10">
        <f t="shared" si="8"/>
        <v>476.69009789103785</v>
      </c>
      <c r="J59" s="10">
        <f t="shared" si="6"/>
        <v>73934425839.129913</v>
      </c>
      <c r="K59" s="11">
        <f t="shared" si="7"/>
        <v>0.10330714000000008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149320846.18913275</v>
      </c>
      <c r="D60" s="11">
        <v>4.0099999999999997E-2</v>
      </c>
      <c r="E60" s="10">
        <f t="shared" si="2"/>
        <v>5756913.6930912733</v>
      </c>
      <c r="F60" s="3"/>
      <c r="G60" s="26">
        <v>5.36</v>
      </c>
      <c r="H60" s="10"/>
      <c r="I60" s="10">
        <f t="shared" si="8"/>
        <v>448.77621718229886</v>
      </c>
      <c r="J60" s="10">
        <f t="shared" si="6"/>
        <v>67011644499.21888</v>
      </c>
      <c r="K60" s="11">
        <f t="shared" si="7"/>
        <v>9.5849360000000106E-2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143563932.49604148</v>
      </c>
      <c r="D61" s="11">
        <v>3.9600000000000003E-2</v>
      </c>
      <c r="E61" s="10">
        <f t="shared" si="2"/>
        <v>5468576.1127772629</v>
      </c>
      <c r="F61" s="3"/>
      <c r="G61" s="26">
        <v>5.89</v>
      </c>
      <c r="H61" s="10"/>
      <c r="I61" s="10">
        <f t="shared" si="8"/>
        <v>425.94553642966861</v>
      </c>
      <c r="J61" s="10">
        <f t="shared" si="6"/>
        <v>61150416238.979118</v>
      </c>
      <c r="K61" s="11">
        <f t="shared" si="7"/>
        <v>0.1008324399999998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138095356.38326421</v>
      </c>
      <c r="D62" s="11">
        <v>3.8300000000000001E-2</v>
      </c>
      <c r="E62" s="10">
        <f t="shared" si="2"/>
        <v>5093953.7219291329</v>
      </c>
      <c r="F62" s="3"/>
      <c r="G62" s="26">
        <v>9.06</v>
      </c>
      <c r="H62" s="10"/>
      <c r="I62" s="10">
        <f t="shared" si="8"/>
        <v>402.25284392262597</v>
      </c>
      <c r="J62" s="10">
        <f t="shared" si="6"/>
        <v>55549249837.67659</v>
      </c>
      <c r="K62" s="11">
        <f t="shared" si="7"/>
        <v>0.13236998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133001402.66133508</v>
      </c>
      <c r="D63" s="11">
        <v>3.6999999999999998E-2</v>
      </c>
      <c r="E63" s="10">
        <f t="shared" si="2"/>
        <v>4745469.5260071307</v>
      </c>
      <c r="F63" s="3"/>
      <c r="G63" s="26">
        <v>5.57</v>
      </c>
      <c r="H63" s="10"/>
      <c r="I63" s="10">
        <f t="shared" si="8"/>
        <v>368.83627720761598</v>
      </c>
      <c r="J63" s="10">
        <f t="shared" si="6"/>
        <v>49055742220.99794</v>
      </c>
      <c r="K63" s="11">
        <f t="shared" si="7"/>
        <v>9.4760900000000037E-2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128255933.13532795</v>
      </c>
      <c r="D64" s="11">
        <v>3.6499999999999998E-2</v>
      </c>
      <c r="E64" s="10">
        <f t="shared" si="2"/>
        <v>4516489.6859039664</v>
      </c>
      <c r="F64" s="3"/>
      <c r="G64" s="26">
        <v>1.1599999999999999</v>
      </c>
      <c r="H64" s="10"/>
      <c r="I64" s="10">
        <f t="shared" si="8"/>
        <v>349.3760322133333</v>
      </c>
      <c r="J64" s="10">
        <f t="shared" si="6"/>
        <v>44809549026.639458</v>
      </c>
      <c r="K64" s="11">
        <f t="shared" si="7"/>
        <v>4.8523399999999883E-2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123739443.44942398</v>
      </c>
      <c r="D65" s="11">
        <v>3.6299999999999999E-2</v>
      </c>
      <c r="E65" s="10">
        <f t="shared" si="2"/>
        <v>4334402.9694239944</v>
      </c>
      <c r="F65" s="3"/>
      <c r="G65" s="26">
        <v>3.52</v>
      </c>
      <c r="H65" s="10"/>
      <c r="I65" s="10">
        <f t="shared" si="8"/>
        <v>345.36974319230256</v>
      </c>
      <c r="J65" s="10">
        <f t="shared" si="6"/>
        <v>42735859806.886009</v>
      </c>
      <c r="K65" s="11">
        <f t="shared" si="7"/>
        <v>7.2777759999999914E-2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119405040.47999999</v>
      </c>
      <c r="D66" s="11">
        <v>3.5200000000000002E-2</v>
      </c>
      <c r="E66" s="10">
        <f t="shared" si="2"/>
        <v>4060140.4799999893</v>
      </c>
      <c r="F66" s="23">
        <f>SUM(F2)</f>
        <v>347520587</v>
      </c>
      <c r="G66" s="26">
        <v>5.19</v>
      </c>
      <c r="H66" s="10"/>
      <c r="I66" s="10">
        <f t="shared" si="8"/>
        <v>333.62610432023047</v>
      </c>
      <c r="J66" s="10">
        <f t="shared" ref="J66:J67" si="9">IF(I66="","",I66*C66)</f>
        <v>39836638491.541817</v>
      </c>
      <c r="K66" s="11">
        <f t="shared" ref="K66" si="10">IFERROR(J66/J67-1,"")</f>
        <v>8.8926880000000041E-2</v>
      </c>
    </row>
    <row r="67" spans="1:11" ht="22.5" customHeight="1">
      <c r="A67" s="3">
        <f t="shared" si="0"/>
        <v>1950</v>
      </c>
      <c r="B67" s="3">
        <v>1700</v>
      </c>
      <c r="C67" s="10">
        <v>115344900</v>
      </c>
      <c r="D67" s="11">
        <v>3.3700000000000001E-2</v>
      </c>
      <c r="E67" s="3" t="s">
        <v>72</v>
      </c>
      <c r="F67" s="10">
        <f>SUM(C2)</f>
        <v>347520788.88603979</v>
      </c>
      <c r="G67" s="26">
        <v>5.13</v>
      </c>
      <c r="H67" s="10"/>
      <c r="I67" s="10">
        <f t="shared" ref="I67" si="11">IF(H67&lt;&gt;"",H67,I66/(1+IF(G66="",0,G66)/100))</f>
        <v>317.16522893833104</v>
      </c>
      <c r="J67" s="10">
        <f t="shared" si="9"/>
        <v>36583391615.368896</v>
      </c>
      <c r="K67" s="11"/>
    </row>
  </sheetData>
  <dataValidations count="1">
    <dataValidation type="custom" allowBlank="1" showDropDown="1" sqref="D2:D67" xr:uid="{00000000-0002-0000-6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 summaryRight="0"/>
  </sheetPr>
  <dimension ref="A1:M67"/>
  <sheetViews>
    <sheetView topLeftCell="A36"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2646557.5766727393</v>
      </c>
      <c r="D2" s="11">
        <v>1.9300000000000001E-2</v>
      </c>
      <c r="E2" s="10">
        <f t="shared" ref="E2:E66" si="2">SUM(C2-C3)</f>
        <v>50111.410997531842</v>
      </c>
      <c r="F2" s="14">
        <v>2646840</v>
      </c>
      <c r="G2" s="29">
        <v>2.39</v>
      </c>
      <c r="H2" s="10"/>
      <c r="I2" s="10">
        <f>IF(H2&lt;&gt;"",H2,323808)</f>
        <v>40476</v>
      </c>
      <c r="J2" s="10">
        <f t="shared" ref="J2:J33" si="3">IF(I2="","",I2*C2)</f>
        <v>107122064473.40579</v>
      </c>
      <c r="K2" s="11">
        <f t="shared" ref="K2:K33" si="4">IFERROR(J2/J3-1,"")</f>
        <v>4.3661270000000085E-2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2596446.1656752075</v>
      </c>
      <c r="D3" s="11">
        <v>1.9199999999999998E-2</v>
      </c>
      <c r="E3" s="10">
        <f t="shared" si="2"/>
        <v>48912.643623394892</v>
      </c>
      <c r="F3" s="3"/>
      <c r="G3" s="29">
        <v>2.76</v>
      </c>
      <c r="H3" s="10"/>
      <c r="I3" s="10">
        <f t="shared" ref="I3:I34" si="5">IF(H3&lt;&gt;"",H3,I2/(1+IF(G2="",0,G2)/100))</f>
        <v>39531.204219162028</v>
      </c>
      <c r="J3" s="10">
        <f t="shared" si="3"/>
        <v>102640643619.36684</v>
      </c>
      <c r="K3" s="11">
        <f t="shared" si="4"/>
        <v>4.7329920000000136E-2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2547533.5220518126</v>
      </c>
      <c r="D4" s="11">
        <v>1.9099999999999999E-2</v>
      </c>
      <c r="E4" s="10">
        <f t="shared" si="2"/>
        <v>47745.942764389329</v>
      </c>
      <c r="F4" s="3"/>
      <c r="G4" s="29">
        <v>3.1</v>
      </c>
      <c r="H4" s="10"/>
      <c r="I4" s="10">
        <f t="shared" si="5"/>
        <v>38469.447469017148</v>
      </c>
      <c r="J4" s="10">
        <f t="shared" si="3"/>
        <v>98002207002.132446</v>
      </c>
      <c r="K4" s="11">
        <f t="shared" si="4"/>
        <v>5.0692099999999796E-2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2499787.5792874233</v>
      </c>
      <c r="D5" s="11">
        <v>1.9099999999999999E-2</v>
      </c>
      <c r="E5" s="10">
        <f t="shared" si="2"/>
        <v>46851.087002639193</v>
      </c>
      <c r="F5" s="3"/>
      <c r="G5" s="29">
        <v>-1.7</v>
      </c>
      <c r="H5" s="10"/>
      <c r="I5" s="10">
        <f t="shared" si="5"/>
        <v>37312.75215229598</v>
      </c>
      <c r="J5" s="10">
        <f t="shared" si="3"/>
        <v>93273954379.339554</v>
      </c>
      <c r="K5" s="11">
        <f t="shared" si="4"/>
        <v>1.7752999999998131E-3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2452936.4922847841</v>
      </c>
      <c r="D6" s="11">
        <v>2.1600000000000001E-2</v>
      </c>
      <c r="E6" s="10">
        <f t="shared" si="2"/>
        <v>51863.183470391203</v>
      </c>
      <c r="F6" s="3"/>
      <c r="G6" s="29">
        <v>4.8099999999999996</v>
      </c>
      <c r="H6" s="10"/>
      <c r="I6" s="10">
        <f t="shared" si="5"/>
        <v>37958.038812101709</v>
      </c>
      <c r="J6" s="10">
        <f t="shared" si="3"/>
        <v>93108658577.766464</v>
      </c>
      <c r="K6" s="11">
        <f t="shared" si="4"/>
        <v>7.0738960000000128E-2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2401073.3088143929</v>
      </c>
      <c r="D7" s="11">
        <v>2.35E-2</v>
      </c>
      <c r="E7" s="10">
        <f t="shared" si="2"/>
        <v>55129.675385577139</v>
      </c>
      <c r="F7" s="3"/>
      <c r="G7" s="29">
        <v>1.77</v>
      </c>
      <c r="H7" s="10"/>
      <c r="I7" s="10">
        <f t="shared" si="5"/>
        <v>36216.046953632009</v>
      </c>
      <c r="J7" s="10">
        <f t="shared" si="3"/>
        <v>86957383691.134628</v>
      </c>
      <c r="K7" s="11">
        <f t="shared" si="4"/>
        <v>4.1615949999999957E-2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2345943.6334288158</v>
      </c>
      <c r="D8" s="11">
        <v>2.4400000000000002E-2</v>
      </c>
      <c r="E8" s="10">
        <f t="shared" si="2"/>
        <v>55877.610948519316</v>
      </c>
      <c r="F8" s="3"/>
      <c r="G8" s="29">
        <v>2.46</v>
      </c>
      <c r="H8" s="10"/>
      <c r="I8" s="10">
        <f t="shared" si="5"/>
        <v>35586.171714289092</v>
      </c>
      <c r="J8" s="10">
        <f t="shared" si="3"/>
        <v>83483152971.241104</v>
      </c>
      <c r="K8" s="11">
        <f t="shared" si="4"/>
        <v>4.9600239999999962E-2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2290066.0224802964</v>
      </c>
      <c r="D9" s="11">
        <v>2.5499999999999998E-2</v>
      </c>
      <c r="E9" s="10">
        <f t="shared" si="2"/>
        <v>56944.596365917008</v>
      </c>
      <c r="F9" s="3"/>
      <c r="G9" s="29">
        <v>2.13</v>
      </c>
      <c r="H9" s="10"/>
      <c r="I9" s="10">
        <f t="shared" si="5"/>
        <v>34731.770168152543</v>
      </c>
      <c r="J9" s="10">
        <f t="shared" si="3"/>
        <v>79538046762.680908</v>
      </c>
      <c r="K9" s="11">
        <f t="shared" si="4"/>
        <v>4.7343150000000112E-2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2233121.4261143794</v>
      </c>
      <c r="D10" s="11">
        <v>2.6100000000000002E-2</v>
      </c>
      <c r="E10" s="10">
        <f t="shared" si="2"/>
        <v>56801.938623511698</v>
      </c>
      <c r="F10" s="3"/>
      <c r="G10" s="29">
        <v>1.46</v>
      </c>
      <c r="H10" s="10"/>
      <c r="I10" s="10">
        <f t="shared" si="5"/>
        <v>34007.41228645113</v>
      </c>
      <c r="J10" s="10">
        <f t="shared" si="3"/>
        <v>75942681023.579422</v>
      </c>
      <c r="K10" s="11">
        <f t="shared" si="4"/>
        <v>4.1081060000000003E-2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2176319.4874908677</v>
      </c>
      <c r="D11" s="11">
        <v>2.64E-2</v>
      </c>
      <c r="E11" s="10">
        <f t="shared" si="2"/>
        <v>55977.04059797246</v>
      </c>
      <c r="F11" s="3"/>
      <c r="G11" s="29">
        <v>2.0299999999999998</v>
      </c>
      <c r="H11" s="10"/>
      <c r="I11" s="10">
        <f t="shared" si="5"/>
        <v>33518.048774345683</v>
      </c>
      <c r="J11" s="10">
        <f t="shared" si="3"/>
        <v>72945982730.277908</v>
      </c>
      <c r="K11" s="11">
        <f t="shared" si="4"/>
        <v>4.7235920000000098E-2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2120342.4468928953</v>
      </c>
      <c r="D12" s="11">
        <v>2.6700000000000002E-2</v>
      </c>
      <c r="E12" s="10">
        <f t="shared" si="2"/>
        <v>55140.8817882929</v>
      </c>
      <c r="F12" s="3"/>
      <c r="G12" s="29">
        <v>1.32</v>
      </c>
      <c r="H12" s="10"/>
      <c r="I12" s="10">
        <f t="shared" si="5"/>
        <v>32851.170022881197</v>
      </c>
      <c r="J12" s="10">
        <f t="shared" si="3"/>
        <v>69655730229.610443</v>
      </c>
      <c r="K12" s="11">
        <f t="shared" si="4"/>
        <v>4.0252439999999945E-2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2065201.5651046024</v>
      </c>
      <c r="D13" s="11">
        <v>2.7300000000000001E-2</v>
      </c>
      <c r="E13" s="10">
        <f t="shared" si="2"/>
        <v>54881.731458537746</v>
      </c>
      <c r="F13" s="3"/>
      <c r="G13" s="29">
        <v>2.7</v>
      </c>
      <c r="H13" s="10"/>
      <c r="I13" s="10">
        <f t="shared" si="5"/>
        <v>32423.183994158306</v>
      </c>
      <c r="J13" s="10">
        <f t="shared" si="3"/>
        <v>66960410330.410225</v>
      </c>
      <c r="K13" s="11">
        <f t="shared" si="4"/>
        <v>5.5037099999999839E-2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2010319.8336460646</v>
      </c>
      <c r="D14" s="11">
        <v>2.8000000000000001E-2</v>
      </c>
      <c r="E14" s="10">
        <f t="shared" si="2"/>
        <v>54755.793134328676</v>
      </c>
      <c r="F14" s="3"/>
      <c r="G14" s="29">
        <v>3.06</v>
      </c>
      <c r="H14" s="10"/>
      <c r="I14" s="10">
        <f t="shared" si="5"/>
        <v>31570.773119920457</v>
      </c>
      <c r="J14" s="10">
        <f t="shared" si="3"/>
        <v>63467351366.516144</v>
      </c>
      <c r="K14" s="11">
        <f t="shared" si="4"/>
        <v>5.9456800000000198E-2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1955564.0405117359</v>
      </c>
      <c r="D15" s="11">
        <v>2.8400000000000002E-2</v>
      </c>
      <c r="E15" s="10">
        <f t="shared" si="2"/>
        <v>54004.29672358348</v>
      </c>
      <c r="F15" s="3"/>
      <c r="G15" s="29">
        <v>1.66</v>
      </c>
      <c r="H15" s="10"/>
      <c r="I15" s="10">
        <f t="shared" si="5"/>
        <v>30633.39134477048</v>
      </c>
      <c r="J15" s="10">
        <f t="shared" si="3"/>
        <v>59905558552.756599</v>
      </c>
      <c r="K15" s="11">
        <f t="shared" si="4"/>
        <v>4.5471439999999808E-2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1901559.7437881525</v>
      </c>
      <c r="D16" s="11">
        <v>1.9800000000000002E-2</v>
      </c>
      <c r="E16" s="10">
        <f t="shared" si="2"/>
        <v>36919.869510693708</v>
      </c>
      <c r="F16" s="3"/>
      <c r="G16" s="29">
        <v>-0.56000000000000005</v>
      </c>
      <c r="H16" s="10"/>
      <c r="I16" s="10">
        <f t="shared" si="5"/>
        <v>30133.18054767901</v>
      </c>
      <c r="J16" s="10">
        <f t="shared" si="3"/>
        <v>57300043081.76664</v>
      </c>
      <c r="K16" s="11">
        <f t="shared" si="4"/>
        <v>1.4089119999999955E-2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1864639.8742774588</v>
      </c>
      <c r="D17" s="11">
        <v>1.5599999999999999E-2</v>
      </c>
      <c r="E17" s="10">
        <f t="shared" si="2"/>
        <v>28641.573492249474</v>
      </c>
      <c r="F17" s="3"/>
      <c r="G17" s="29">
        <v>7.66</v>
      </c>
      <c r="H17" s="10"/>
      <c r="I17" s="10">
        <f t="shared" si="5"/>
        <v>30302.876656957978</v>
      </c>
      <c r="J17" s="10">
        <f t="shared" si="3"/>
        <v>56503952119.875465</v>
      </c>
      <c r="K17" s="11">
        <f t="shared" si="4"/>
        <v>9.3394960000000138E-2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1835998.3007852093</v>
      </c>
      <c r="D18" s="11">
        <v>1.7000000000000001E-2</v>
      </c>
      <c r="E18" s="10">
        <f t="shared" si="2"/>
        <v>30690.237082938431</v>
      </c>
      <c r="F18" s="3"/>
      <c r="G18" s="29">
        <v>2.5099999999999998</v>
      </c>
      <c r="H18" s="10"/>
      <c r="I18" s="10">
        <f t="shared" si="5"/>
        <v>28146.829516030073</v>
      </c>
      <c r="J18" s="10">
        <f t="shared" si="3"/>
        <v>51677531163.922188</v>
      </c>
      <c r="K18" s="11">
        <f t="shared" si="4"/>
        <v>4.2526699999999806E-2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1805308.0637022709</v>
      </c>
      <c r="D19" s="11">
        <v>1.7899999999999999E-2</v>
      </c>
      <c r="E19" s="10">
        <f t="shared" si="2"/>
        <v>31746.747558965115</v>
      </c>
      <c r="F19" s="3"/>
      <c r="G19" s="29">
        <v>5.88</v>
      </c>
      <c r="H19" s="10"/>
      <c r="I19" s="10">
        <f t="shared" si="5"/>
        <v>27457.642684645474</v>
      </c>
      <c r="J19" s="10">
        <f t="shared" si="3"/>
        <v>49569503748.846146</v>
      </c>
      <c r="K19" s="11">
        <f t="shared" si="4"/>
        <v>7.7752519999999992E-2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1773561.3161433057</v>
      </c>
      <c r="D20" s="11">
        <v>1.9E-2</v>
      </c>
      <c r="E20" s="10">
        <f t="shared" si="2"/>
        <v>33069.347406008514</v>
      </c>
      <c r="F20" s="3"/>
      <c r="G20" s="29">
        <v>5.0999999999999996</v>
      </c>
      <c r="H20" s="10"/>
      <c r="I20" s="10">
        <f t="shared" si="5"/>
        <v>25932.794375373513</v>
      </c>
      <c r="J20" s="10">
        <f t="shared" si="3"/>
        <v>45993400923.661163</v>
      </c>
      <c r="K20" s="11">
        <f t="shared" si="4"/>
        <v>7.0968999999999838E-2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1740491.9687372972</v>
      </c>
      <c r="D21" s="11">
        <v>2.01E-2</v>
      </c>
      <c r="E21" s="10">
        <f t="shared" si="2"/>
        <v>34294.567759650759</v>
      </c>
      <c r="F21" s="3"/>
      <c r="G21" s="29">
        <v>4.26</v>
      </c>
      <c r="H21" s="10"/>
      <c r="I21" s="10">
        <f t="shared" si="5"/>
        <v>24674.399976568518</v>
      </c>
      <c r="J21" s="10">
        <f t="shared" si="3"/>
        <v>42945594992.629265</v>
      </c>
      <c r="K21" s="11">
        <f t="shared" si="4"/>
        <v>6.355625999999992E-2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1706197.4009776465</v>
      </c>
      <c r="D22" s="11">
        <v>2.1299999999999999E-2</v>
      </c>
      <c r="E22" s="10">
        <f t="shared" si="2"/>
        <v>35584.064076005016</v>
      </c>
      <c r="F22" s="3"/>
      <c r="G22" s="29">
        <v>2.37</v>
      </c>
      <c r="H22" s="10"/>
      <c r="I22" s="10">
        <f t="shared" si="5"/>
        <v>23666.219045241243</v>
      </c>
      <c r="J22" s="10">
        <f t="shared" si="3"/>
        <v>40379241425.95829</v>
      </c>
      <c r="K22" s="11">
        <f t="shared" si="4"/>
        <v>4.5504809999999951E-2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1670613.3369016415</v>
      </c>
      <c r="D23" s="11">
        <v>2.2200000000000001E-2</v>
      </c>
      <c r="E23" s="10">
        <f t="shared" si="2"/>
        <v>36282.152298196452</v>
      </c>
      <c r="F23" s="3"/>
      <c r="G23" s="29">
        <v>6.04</v>
      </c>
      <c r="H23" s="10"/>
      <c r="I23" s="10">
        <f t="shared" si="5"/>
        <v>23118.31498021026</v>
      </c>
      <c r="J23" s="10">
        <f t="shared" si="3"/>
        <v>38621765332.632271</v>
      </c>
      <c r="K23" s="11">
        <f t="shared" si="4"/>
        <v>8.3940880000000107E-2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1634331.184603445</v>
      </c>
      <c r="D24" s="11">
        <v>2.3400000000000001E-2</v>
      </c>
      <c r="E24" s="10">
        <f t="shared" si="2"/>
        <v>37368.9170605049</v>
      </c>
      <c r="F24" s="3"/>
      <c r="G24" s="29">
        <v>6.2</v>
      </c>
      <c r="H24" s="10"/>
      <c r="I24" s="10">
        <f t="shared" si="5"/>
        <v>21801.504130715068</v>
      </c>
      <c r="J24" s="10">
        <f t="shared" si="3"/>
        <v>35630878072.088455</v>
      </c>
      <c r="K24" s="11">
        <f t="shared" si="4"/>
        <v>8.6850800000000117E-2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1596962.2675429401</v>
      </c>
      <c r="D25" s="11">
        <v>2.4799999999999999E-2</v>
      </c>
      <c r="E25" s="10">
        <f t="shared" si="2"/>
        <v>38646.237543974305</v>
      </c>
      <c r="F25" s="3"/>
      <c r="G25" s="29">
        <v>10.24</v>
      </c>
      <c r="H25" s="10"/>
      <c r="I25" s="10">
        <f t="shared" si="5"/>
        <v>20528.723286925673</v>
      </c>
      <c r="J25" s="10">
        <f t="shared" si="3"/>
        <v>32783596490.050381</v>
      </c>
      <c r="K25" s="11">
        <f t="shared" si="4"/>
        <v>0.12973952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1558316.0299989658</v>
      </c>
      <c r="D26" s="11">
        <v>2.9700000000000001E-2</v>
      </c>
      <c r="E26" s="10">
        <f t="shared" si="2"/>
        <v>44947.058454860002</v>
      </c>
      <c r="F26" s="3"/>
      <c r="G26" s="29">
        <v>12.7</v>
      </c>
      <c r="H26" s="10"/>
      <c r="I26" s="10">
        <f t="shared" si="5"/>
        <v>18621.846232697451</v>
      </c>
      <c r="J26" s="10">
        <f t="shared" si="3"/>
        <v>29018721492.588291</v>
      </c>
      <c r="K26" s="11">
        <f t="shared" si="4"/>
        <v>0.16047190000000033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1513368.9715441058</v>
      </c>
      <c r="D27" s="11">
        <v>3.2899999999999999E-2</v>
      </c>
      <c r="E27" s="10">
        <f t="shared" si="2"/>
        <v>48203.929871043656</v>
      </c>
      <c r="F27" s="3"/>
      <c r="G27" s="29">
        <v>-13.83</v>
      </c>
      <c r="H27" s="10"/>
      <c r="I27" s="10">
        <f t="shared" si="5"/>
        <v>16523.377313839796</v>
      </c>
      <c r="J27" s="10">
        <f t="shared" si="3"/>
        <v>25005966531.880939</v>
      </c>
      <c r="K27" s="11">
        <f t="shared" si="4"/>
        <v>-0.10995007000000012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1465165.0416730621</v>
      </c>
      <c r="D28" s="11">
        <v>3.61E-2</v>
      </c>
      <c r="E28" s="10">
        <f t="shared" si="2"/>
        <v>51049.568578706356</v>
      </c>
      <c r="F28" s="3"/>
      <c r="G28" s="29">
        <v>2.2799999999999998</v>
      </c>
      <c r="H28" s="10"/>
      <c r="I28" s="10">
        <f t="shared" si="5"/>
        <v>19175.324723035621</v>
      </c>
      <c r="J28" s="10">
        <f t="shared" si="3"/>
        <v>28095015446.920986</v>
      </c>
      <c r="K28" s="11">
        <f t="shared" si="4"/>
        <v>5.9723079999999928E-2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1414115.4730943558</v>
      </c>
      <c r="D29" s="11">
        <v>3.7900000000000003E-2</v>
      </c>
      <c r="E29" s="10">
        <f t="shared" si="2"/>
        <v>51637.900019535795</v>
      </c>
      <c r="F29" s="3"/>
      <c r="G29" s="29">
        <v>8.51</v>
      </c>
      <c r="H29" s="10"/>
      <c r="I29" s="10">
        <f t="shared" si="5"/>
        <v>18747.873213761854</v>
      </c>
      <c r="J29" s="10">
        <f t="shared" si="3"/>
        <v>26511657599.191845</v>
      </c>
      <c r="K29" s="11">
        <f t="shared" si="4"/>
        <v>0.12622529000000005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1362477.57307482</v>
      </c>
      <c r="D30" s="11">
        <v>3.8699999999999998E-2</v>
      </c>
      <c r="E30" s="10">
        <f t="shared" si="2"/>
        <v>50763.340789444046</v>
      </c>
      <c r="F30" s="3"/>
      <c r="G30" s="29">
        <v>13.4</v>
      </c>
      <c r="H30" s="10"/>
      <c r="I30" s="10">
        <f t="shared" si="5"/>
        <v>17277.553417898678</v>
      </c>
      <c r="J30" s="10">
        <f t="shared" si="3"/>
        <v>23540279049.489151</v>
      </c>
      <c r="K30" s="11">
        <f t="shared" si="4"/>
        <v>0.17788579999999987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1311714.2322853759</v>
      </c>
      <c r="D31" s="11">
        <v>3.8699999999999998E-2</v>
      </c>
      <c r="E31" s="10">
        <f t="shared" si="2"/>
        <v>48871.994598482735</v>
      </c>
      <c r="F31" s="3"/>
      <c r="G31" s="29">
        <v>11.06</v>
      </c>
      <c r="H31" s="10"/>
      <c r="I31" s="10">
        <f t="shared" si="5"/>
        <v>15235.937758288077</v>
      </c>
      <c r="J31" s="10">
        <f t="shared" si="3"/>
        <v>19985196399.760616</v>
      </c>
      <c r="K31" s="11">
        <f t="shared" si="4"/>
        <v>0.15358022000000005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1262842.2376868932</v>
      </c>
      <c r="D32" s="11">
        <v>3.7999999999999999E-2</v>
      </c>
      <c r="E32" s="10">
        <f t="shared" si="2"/>
        <v>46231.218720714794</v>
      </c>
      <c r="F32" s="3"/>
      <c r="G32" s="29">
        <v>0.76</v>
      </c>
      <c r="H32" s="10"/>
      <c r="I32" s="10">
        <f t="shared" si="5"/>
        <v>13718.654563558506</v>
      </c>
      <c r="J32" s="10">
        <f t="shared" si="3"/>
        <v>17324496427.097733</v>
      </c>
      <c r="K32" s="11">
        <f t="shared" si="4"/>
        <v>4.5888800000000174E-2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1216611.0189661784</v>
      </c>
      <c r="D33" s="11">
        <v>3.6999999999999998E-2</v>
      </c>
      <c r="E33" s="10">
        <f t="shared" si="2"/>
        <v>43408.493444309104</v>
      </c>
      <c r="F33" s="3"/>
      <c r="G33" s="29">
        <v>9.9700000000000006</v>
      </c>
      <c r="H33" s="10"/>
      <c r="I33" s="10">
        <f t="shared" si="5"/>
        <v>13615.179201626146</v>
      </c>
      <c r="J33" s="10">
        <f t="shared" si="3"/>
        <v>16564377041.897505</v>
      </c>
      <c r="K33" s="11">
        <f t="shared" si="4"/>
        <v>0.14038889999999982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1173202.5255218693</v>
      </c>
      <c r="D34" s="11">
        <v>3.5999999999999997E-2</v>
      </c>
      <c r="E34" s="10">
        <f t="shared" si="2"/>
        <v>40767.655327014858</v>
      </c>
      <c r="F34" s="3"/>
      <c r="G34" s="29">
        <v>4.68</v>
      </c>
      <c r="H34" s="10"/>
      <c r="I34" s="10">
        <f t="shared" si="5"/>
        <v>12380.812222993678</v>
      </c>
      <c r="J34" s="10">
        <f t="shared" ref="J34:J65" si="6">IF(I34="","",I34*C34)</f>
        <v>14525200168.028212</v>
      </c>
      <c r="K34" s="11">
        <f t="shared" ref="K34:K65" si="7">IFERROR(J34/J35-1,"")</f>
        <v>9.7952800000000062E-2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1132434.8701948544</v>
      </c>
      <c r="D35" s="11">
        <v>3.5099999999999999E-2</v>
      </c>
      <c r="E35" s="10">
        <f t="shared" si="2"/>
        <v>38400.602786049014</v>
      </c>
      <c r="F35" s="3"/>
      <c r="G35" s="29">
        <v>0.25</v>
      </c>
      <c r="H35" s="10"/>
      <c r="I35" s="10">
        <f t="shared" ref="I35:I66" si="8">IF(H35&lt;&gt;"",H35,I34/(1+IF(G34="",0,G34)/100))</f>
        <v>11682.215722771916</v>
      </c>
      <c r="J35" s="10">
        <f t="shared" si="6"/>
        <v>13229348445.605503</v>
      </c>
      <c r="K35" s="11">
        <f t="shared" si="7"/>
        <v>6.563545000000004E-2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1094034.2674088054</v>
      </c>
      <c r="D36" s="11">
        <v>3.1399999999999997E-2</v>
      </c>
      <c r="E36" s="10">
        <f t="shared" si="2"/>
        <v>33306.841183475452</v>
      </c>
      <c r="F36" s="3"/>
      <c r="G36" s="29">
        <v>4.46</v>
      </c>
      <c r="H36" s="10"/>
      <c r="I36" s="10">
        <f t="shared" si="8"/>
        <v>11347.465490793507</v>
      </c>
      <c r="J36" s="10">
        <f t="shared" si="6"/>
        <v>12414516095.166975</v>
      </c>
      <c r="K36" s="11">
        <f t="shared" si="7"/>
        <v>0.12690763999999999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1060727.42622533</v>
      </c>
      <c r="D37" s="11">
        <v>1.9800000000000002E-2</v>
      </c>
      <c r="E37" s="10">
        <f t="shared" si="2"/>
        <v>20594.62937758537</v>
      </c>
      <c r="F37" s="3"/>
      <c r="G37" s="29">
        <v>4.81</v>
      </c>
      <c r="H37" s="10"/>
      <c r="I37" s="10">
        <f t="shared" si="8"/>
        <v>10385.745461096016</v>
      </c>
      <c r="J37" s="10">
        <f t="shared" si="6"/>
        <v>11016445052.37978</v>
      </c>
      <c r="K37" s="11">
        <f t="shared" si="7"/>
        <v>0.12290178000000007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1040132.7968477446</v>
      </c>
      <c r="D38" s="11">
        <v>2.0799999999999999E-2</v>
      </c>
      <c r="E38" s="10">
        <f t="shared" si="2"/>
        <v>21193.928462414769</v>
      </c>
      <c r="F38" s="3"/>
      <c r="G38" s="29">
        <v>7.86</v>
      </c>
      <c r="H38" s="10"/>
      <c r="I38" s="10">
        <f t="shared" si="8"/>
        <v>9432.1546281863739</v>
      </c>
      <c r="J38" s="10">
        <f t="shared" si="6"/>
        <v>9810693373.7158909</v>
      </c>
      <c r="K38" s="11">
        <f t="shared" si="7"/>
        <v>0.1388044799999999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1018938.8683853298</v>
      </c>
      <c r="D39" s="11">
        <v>2.06E-2</v>
      </c>
      <c r="E39" s="10">
        <f t="shared" si="2"/>
        <v>20566.471378343878</v>
      </c>
      <c r="F39" s="3"/>
      <c r="G39" s="29">
        <v>8.26</v>
      </c>
      <c r="H39" s="10"/>
      <c r="I39" s="10">
        <f t="shared" si="8"/>
        <v>8454.781846707041</v>
      </c>
      <c r="J39" s="10">
        <f t="shared" si="6"/>
        <v>8614905847.3285007</v>
      </c>
      <c r="K39" s="11">
        <f t="shared" si="7"/>
        <v>0.10490155999999984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998372.39700698596</v>
      </c>
      <c r="D40" s="11">
        <v>1.9300000000000001E-2</v>
      </c>
      <c r="E40" s="10">
        <f t="shared" si="2"/>
        <v>18903.744984042947</v>
      </c>
      <c r="F40" s="3"/>
      <c r="G40" s="29">
        <v>11.73</v>
      </c>
      <c r="H40" s="10"/>
      <c r="I40" s="10">
        <f t="shared" si="8"/>
        <v>7809.7005788906717</v>
      </c>
      <c r="J40" s="10">
        <f t="shared" si="6"/>
        <v>7796989486.8539257</v>
      </c>
      <c r="K40" s="11">
        <f t="shared" si="7"/>
        <v>0.13886388999999988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979468.65202294302</v>
      </c>
      <c r="D41" s="11">
        <v>1.6899999999999998E-2</v>
      </c>
      <c r="E41" s="10">
        <f t="shared" si="2"/>
        <v>16277.923315161373</v>
      </c>
      <c r="F41" s="3"/>
      <c r="G41" s="29">
        <v>16.16</v>
      </c>
      <c r="H41" s="10"/>
      <c r="I41" s="10">
        <f t="shared" si="8"/>
        <v>6989.797349763423</v>
      </c>
      <c r="J41" s="10">
        <f t="shared" si="6"/>
        <v>6846287388.0863199</v>
      </c>
      <c r="K41" s="11">
        <f t="shared" si="7"/>
        <v>0.1812310399999999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963190.72870778164</v>
      </c>
      <c r="D42" s="11">
        <v>1.35E-2</v>
      </c>
      <c r="E42" s="10">
        <f t="shared" si="2"/>
        <v>12829.871571341995</v>
      </c>
      <c r="F42" s="3"/>
      <c r="G42" s="29">
        <v>0.49</v>
      </c>
      <c r="H42" s="10"/>
      <c r="I42" s="10">
        <f t="shared" si="8"/>
        <v>6017.3875256227821</v>
      </c>
      <c r="J42" s="10">
        <f t="shared" si="6"/>
        <v>5795891875.7217226</v>
      </c>
      <c r="K42" s="11">
        <f t="shared" si="7"/>
        <v>1.8466149999999848E-2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950360.85713643965</v>
      </c>
      <c r="D43" s="11">
        <v>9.4000000000000004E-3</v>
      </c>
      <c r="E43" s="10">
        <f t="shared" si="2"/>
        <v>8850.2001754335361</v>
      </c>
      <c r="F43" s="3"/>
      <c r="G43" s="29">
        <v>2.42</v>
      </c>
      <c r="H43" s="10"/>
      <c r="I43" s="10">
        <f>IF(H43&lt;&gt;"",H43,I42/(1+IF(G42="",0,G42)/100))</f>
        <v>5988.0460997340861</v>
      </c>
      <c r="J43" s="10">
        <f t="shared" si="6"/>
        <v>5690804623.9158001</v>
      </c>
      <c r="K43" s="11">
        <f t="shared" si="7"/>
        <v>3.3827480000000021E-2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941510.65696100611</v>
      </c>
      <c r="D44" s="11">
        <v>0.02</v>
      </c>
      <c r="E44" s="10">
        <f t="shared" si="2"/>
        <v>18460.993273745291</v>
      </c>
      <c r="F44" s="3"/>
      <c r="G44" s="29">
        <v>12.28</v>
      </c>
      <c r="H44" s="10"/>
      <c r="I44" s="10">
        <f t="shared" si="8"/>
        <v>5846.5593631459542</v>
      </c>
      <c r="J44" s="10">
        <f t="shared" si="6"/>
        <v>5504597946.9570684</v>
      </c>
      <c r="K44" s="11">
        <f t="shared" si="7"/>
        <v>0.14525600000000005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923049.66368726082</v>
      </c>
      <c r="D45" s="11">
        <v>5.21E-2</v>
      </c>
      <c r="E45" s="10">
        <f t="shared" si="2"/>
        <v>45709.426364515093</v>
      </c>
      <c r="F45" s="3"/>
      <c r="G45" s="29">
        <v>10.61</v>
      </c>
      <c r="H45" s="10"/>
      <c r="I45" s="10">
        <f t="shared" si="8"/>
        <v>5207.1244773298486</v>
      </c>
      <c r="J45" s="10">
        <f t="shared" si="6"/>
        <v>4806434497.5770206</v>
      </c>
      <c r="K45" s="11">
        <f t="shared" si="7"/>
        <v>0.16372781000000036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877340.23732274573</v>
      </c>
      <c r="D46" s="11">
        <v>1.9800000000000002E-2</v>
      </c>
      <c r="E46" s="10">
        <f t="shared" si="2"/>
        <v>17034.062266121153</v>
      </c>
      <c r="F46" s="3"/>
      <c r="G46" s="29">
        <v>7.29</v>
      </c>
      <c r="H46" s="10"/>
      <c r="I46" s="10">
        <f t="shared" si="8"/>
        <v>4707.6435017899357</v>
      </c>
      <c r="J46" s="10">
        <f t="shared" si="6"/>
        <v>4130205067.0912638</v>
      </c>
      <c r="K46" s="11">
        <f t="shared" si="7"/>
        <v>9.4143419999999756E-2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860306.17505662458</v>
      </c>
      <c r="D47" s="11">
        <v>2.69E-2</v>
      </c>
      <c r="E47" s="10">
        <f t="shared" si="2"/>
        <v>22536.017245129216</v>
      </c>
      <c r="F47" s="3"/>
      <c r="G47" s="29">
        <v>9.2100000000000009</v>
      </c>
      <c r="H47" s="10"/>
      <c r="I47" s="10">
        <f t="shared" si="8"/>
        <v>4387.7747243824551</v>
      </c>
      <c r="J47" s="10">
        <f t="shared" si="6"/>
        <v>3774829690.1436052</v>
      </c>
      <c r="K47" s="11">
        <f t="shared" si="7"/>
        <v>0.12147749000000019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837770.15781149536</v>
      </c>
      <c r="D48" s="11">
        <v>-1.0800000000000001E-2</v>
      </c>
      <c r="E48" s="10">
        <f t="shared" si="2"/>
        <v>-9146.7020869026892</v>
      </c>
      <c r="F48" s="3"/>
      <c r="G48" s="29">
        <v>11.34</v>
      </c>
      <c r="H48" s="10"/>
      <c r="I48" s="10">
        <f t="shared" si="8"/>
        <v>4017.7407969805463</v>
      </c>
      <c r="J48" s="10">
        <f t="shared" si="6"/>
        <v>3365943341.5320754</v>
      </c>
      <c r="K48" s="11">
        <f t="shared" si="7"/>
        <v>0.10137528000000007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846916.85989839805</v>
      </c>
      <c r="D49" s="11">
        <v>-9.7000000000000003E-3</v>
      </c>
      <c r="E49" s="10">
        <f t="shared" si="2"/>
        <v>-8295.5604776476976</v>
      </c>
      <c r="F49" s="3"/>
      <c r="G49" s="29">
        <v>3.4</v>
      </c>
      <c r="H49" s="10"/>
      <c r="I49" s="10">
        <f t="shared" si="8"/>
        <v>3608.5331390161186</v>
      </c>
      <c r="J49" s="10">
        <f t="shared" si="6"/>
        <v>3056127554.9348407</v>
      </c>
      <c r="K49" s="11">
        <f t="shared" si="7"/>
        <v>2.3970199999999942E-2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855212.42037604575</v>
      </c>
      <c r="D50" s="11">
        <v>-9.4999999999999998E-3</v>
      </c>
      <c r="E50" s="10">
        <f t="shared" si="2"/>
        <v>-8202.4411848282907</v>
      </c>
      <c r="F50" s="3"/>
      <c r="G50" s="29">
        <v>1.6</v>
      </c>
      <c r="H50" s="10"/>
      <c r="I50" s="10">
        <f t="shared" si="8"/>
        <v>3489.8773104604629</v>
      </c>
      <c r="J50" s="10">
        <f t="shared" si="6"/>
        <v>2984586421.4943376</v>
      </c>
      <c r="K50" s="11">
        <f t="shared" si="7"/>
        <v>6.3480000000002423E-3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863414.86156087404</v>
      </c>
      <c r="D51" s="11">
        <v>-9.7999999999999997E-3</v>
      </c>
      <c r="E51" s="10">
        <f t="shared" si="2"/>
        <v>-8545.2086884432938</v>
      </c>
      <c r="F51" s="3"/>
      <c r="G51" s="29">
        <v>1.79</v>
      </c>
      <c r="H51" s="10"/>
      <c r="I51" s="10">
        <f t="shared" si="8"/>
        <v>3434.9186126579357</v>
      </c>
      <c r="J51" s="10">
        <f t="shared" si="6"/>
        <v>2965759778.4209208</v>
      </c>
      <c r="K51" s="11">
        <f t="shared" si="7"/>
        <v>7.9245799999998479E-3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871960.07024931733</v>
      </c>
      <c r="D52" s="11">
        <v>-1.06E-2</v>
      </c>
      <c r="E52" s="10">
        <f t="shared" si="2"/>
        <v>-9341.7998227641219</v>
      </c>
      <c r="F52" s="3"/>
      <c r="G52" s="29">
        <v>14.64</v>
      </c>
      <c r="H52" s="10"/>
      <c r="I52" s="10">
        <f t="shared" si="8"/>
        <v>3374.5147977777146</v>
      </c>
      <c r="J52" s="10">
        <f t="shared" si="6"/>
        <v>2942442160.1276169</v>
      </c>
      <c r="K52" s="11">
        <f t="shared" si="7"/>
        <v>0.13424816000000006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881301.87007208145</v>
      </c>
      <c r="D53" s="11">
        <v>0.1</v>
      </c>
      <c r="E53" s="10">
        <f t="shared" si="2"/>
        <v>80118.351824734709</v>
      </c>
      <c r="F53" s="3"/>
      <c r="G53" s="29">
        <v>8.6300000000000008</v>
      </c>
      <c r="H53" s="10"/>
      <c r="I53" s="10">
        <f t="shared" si="8"/>
        <v>2943.5753644257802</v>
      </c>
      <c r="J53" s="10">
        <f t="shared" si="6"/>
        <v>2594178473.3665485</v>
      </c>
      <c r="K53" s="11">
        <f t="shared" si="7"/>
        <v>0.19493000000000005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801183.51824734674</v>
      </c>
      <c r="D54" s="11">
        <v>2.35E-2</v>
      </c>
      <c r="E54" s="10">
        <f t="shared" si="2"/>
        <v>18395.518005679245</v>
      </c>
      <c r="F54" s="3"/>
      <c r="G54" s="29">
        <v>15.76</v>
      </c>
      <c r="H54" s="10"/>
      <c r="I54" s="10">
        <f t="shared" si="8"/>
        <v>2709.7260097816256</v>
      </c>
      <c r="J54" s="10">
        <f t="shared" si="6"/>
        <v>2170987818.0031872</v>
      </c>
      <c r="K54" s="11">
        <f t="shared" si="7"/>
        <v>0.18480359999999996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782788.0002416675</v>
      </c>
      <c r="D55" s="11">
        <v>2.46E-2</v>
      </c>
      <c r="E55" s="10">
        <f t="shared" si="2"/>
        <v>18794.246345837368</v>
      </c>
      <c r="F55" s="3"/>
      <c r="G55" s="29">
        <v>14.29</v>
      </c>
      <c r="H55" s="10"/>
      <c r="I55" s="10">
        <f t="shared" si="8"/>
        <v>2340.8137610414874</v>
      </c>
      <c r="J55" s="10">
        <f t="shared" si="6"/>
        <v>1832360922.9438424</v>
      </c>
      <c r="K55" s="11">
        <f t="shared" si="7"/>
        <v>0.17101534000000007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763993.75389583013</v>
      </c>
      <c r="D56" s="11">
        <v>2.6599999999999999E-2</v>
      </c>
      <c r="E56" s="10">
        <f t="shared" si="2"/>
        <v>19795.669056720333</v>
      </c>
      <c r="F56" s="3"/>
      <c r="G56" s="30">
        <v>8.93</v>
      </c>
      <c r="H56" s="10"/>
      <c r="I56" s="10">
        <f t="shared" si="8"/>
        <v>2048.1352358399572</v>
      </c>
      <c r="J56" s="10">
        <f t="shared" si="6"/>
        <v>1564762527.3156903</v>
      </c>
      <c r="K56" s="11">
        <f t="shared" si="7"/>
        <v>0.11827537999999982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744198.0848391098</v>
      </c>
      <c r="D57" s="11">
        <v>-2.6499999999999999E-2</v>
      </c>
      <c r="E57" s="10">
        <f t="shared" si="2"/>
        <v>-20258.088596031186</v>
      </c>
      <c r="F57" s="3"/>
      <c r="G57" s="30">
        <v>6.33</v>
      </c>
      <c r="H57" s="10"/>
      <c r="I57" s="10">
        <f t="shared" si="8"/>
        <v>1880.2306397135383</v>
      </c>
      <c r="J57" s="10">
        <f t="shared" si="6"/>
        <v>1399264041.1306295</v>
      </c>
      <c r="K57" s="11">
        <f t="shared" si="7"/>
        <v>3.5122550000000086E-2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764456.17343514098</v>
      </c>
      <c r="D58" s="11">
        <v>-3.1600000000000003E-2</v>
      </c>
      <c r="E58" s="10">
        <f t="shared" si="2"/>
        <v>-24945.079595776973</v>
      </c>
      <c r="F58" s="3"/>
      <c r="G58" s="30">
        <v>7.42</v>
      </c>
      <c r="H58" s="10"/>
      <c r="I58" s="10">
        <f t="shared" si="8"/>
        <v>1768.2974134426206</v>
      </c>
      <c r="J58" s="10">
        <f t="shared" si="6"/>
        <v>1351785874.1756032</v>
      </c>
      <c r="K58" s="11">
        <f t="shared" si="7"/>
        <v>4.0255280000000004E-2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789401.25303091796</v>
      </c>
      <c r="D59" s="11">
        <v>-2.64E-2</v>
      </c>
      <c r="E59" s="10">
        <f t="shared" si="2"/>
        <v>-21405.292810205603</v>
      </c>
      <c r="F59" s="3"/>
      <c r="G59" s="30">
        <v>8.25</v>
      </c>
      <c r="H59" s="10"/>
      <c r="I59" s="10">
        <f t="shared" si="8"/>
        <v>1646.1528704548693</v>
      </c>
      <c r="J59" s="10">
        <f t="shared" si="6"/>
        <v>1299475138.6175163</v>
      </c>
      <c r="K59" s="11">
        <f t="shared" si="7"/>
        <v>5.3922000000000248E-2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810806.54584112356</v>
      </c>
      <c r="D60" s="11">
        <v>-2.23E-2</v>
      </c>
      <c r="E60" s="10">
        <f t="shared" si="2"/>
        <v>-18493.388536623796</v>
      </c>
      <c r="F60" s="3"/>
      <c r="G60" s="30">
        <v>8.74</v>
      </c>
      <c r="H60" s="10"/>
      <c r="I60" s="10">
        <f t="shared" si="8"/>
        <v>1520.6954923370618</v>
      </c>
      <c r="J60" s="10">
        <f t="shared" si="6"/>
        <v>1232989859.4179797</v>
      </c>
      <c r="K60" s="11">
        <f t="shared" si="7"/>
        <v>6.3150979999999635E-2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829299.93437774736</v>
      </c>
      <c r="D61" s="11">
        <v>-1.9699999999999999E-2</v>
      </c>
      <c r="E61" s="10">
        <f t="shared" si="2"/>
        <v>-16665.519440213917</v>
      </c>
      <c r="F61" s="3"/>
      <c r="G61" s="30">
        <v>8.93</v>
      </c>
      <c r="H61" s="10"/>
      <c r="I61" s="10">
        <f t="shared" si="8"/>
        <v>1398.4692774848832</v>
      </c>
      <c r="J61" s="10">
        <f t="shared" si="6"/>
        <v>1159750480.0475094</v>
      </c>
      <c r="K61" s="11">
        <f t="shared" si="7"/>
        <v>6.7840789999999762E-2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845965.45381796127</v>
      </c>
      <c r="D62" s="11">
        <v>-1.4E-2</v>
      </c>
      <c r="E62" s="10">
        <f t="shared" si="2"/>
        <v>-12011.679871654604</v>
      </c>
      <c r="F62" s="3"/>
      <c r="G62" s="30">
        <v>8.8000000000000007</v>
      </c>
      <c r="H62" s="10"/>
      <c r="I62" s="10">
        <f t="shared" si="8"/>
        <v>1283.8238111492549</v>
      </c>
      <c r="J62" s="10">
        <f t="shared" si="6"/>
        <v>1086070593.021184</v>
      </c>
      <c r="K62" s="11">
        <f t="shared" si="7"/>
        <v>7.2768000000000166E-2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857977.13368961588</v>
      </c>
      <c r="D63" s="11">
        <v>-1.0699999999999999E-2</v>
      </c>
      <c r="E63" s="10">
        <f t="shared" si="2"/>
        <v>-9279.6475593640935</v>
      </c>
      <c r="F63" s="3"/>
      <c r="G63" s="30">
        <v>8.5399999999999991</v>
      </c>
      <c r="H63" s="10"/>
      <c r="I63" s="10">
        <f t="shared" si="8"/>
        <v>1179.9851205415944</v>
      </c>
      <c r="J63" s="10">
        <f t="shared" si="6"/>
        <v>1012400251.5186731</v>
      </c>
      <c r="K63" s="11">
        <f t="shared" si="7"/>
        <v>7.3786219999999902E-2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867256.78124897997</v>
      </c>
      <c r="D64" s="11">
        <v>-6.6E-3</v>
      </c>
      <c r="E64" s="10">
        <f t="shared" si="2"/>
        <v>-5761.9234510200331</v>
      </c>
      <c r="F64" s="3"/>
      <c r="G64" s="30">
        <v>8.3800000000000008</v>
      </c>
      <c r="H64" s="10"/>
      <c r="I64" s="10">
        <f t="shared" si="8"/>
        <v>1087.1430998172052</v>
      </c>
      <c r="J64" s="10">
        <f t="shared" si="6"/>
        <v>942832225.5045079</v>
      </c>
      <c r="K64" s="11">
        <f t="shared" si="7"/>
        <v>7.6646919999999952E-2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873018.7047</v>
      </c>
      <c r="D65" s="11">
        <v>-1.5E-3</v>
      </c>
      <c r="E65" s="10">
        <f t="shared" si="2"/>
        <v>-1311.4952999999514</v>
      </c>
      <c r="F65" s="3"/>
      <c r="G65" s="30">
        <v>8.9600000000000009</v>
      </c>
      <c r="H65" s="10"/>
      <c r="I65" s="10">
        <f t="shared" si="8"/>
        <v>1003.0846095379269</v>
      </c>
      <c r="J65" s="10">
        <f t="shared" si="6"/>
        <v>875711626.52330625</v>
      </c>
      <c r="K65" s="11">
        <f t="shared" si="7"/>
        <v>8.7965599999999977E-2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874330.2</v>
      </c>
      <c r="D66" s="11">
        <v>4.4000000000000003E-3</v>
      </c>
      <c r="E66" s="10">
        <f t="shared" si="2"/>
        <v>3830.1999999999534</v>
      </c>
      <c r="F66" s="23">
        <f>SUM(F2)</f>
        <v>2646840</v>
      </c>
      <c r="G66" s="30">
        <v>8.93</v>
      </c>
      <c r="H66" s="10"/>
      <c r="I66" s="10">
        <f t="shared" si="8"/>
        <v>920.59894414273765</v>
      </c>
      <c r="J66" s="10">
        <f t="shared" ref="J66:J67" si="9">IF(I66="","",I66*C66)</f>
        <v>804907458.95210862</v>
      </c>
      <c r="K66" s="11">
        <f t="shared" ref="K66" si="10">IFERROR(J66/J67-1,"")</f>
        <v>9.4092920000000024E-2</v>
      </c>
    </row>
    <row r="67" spans="1:11" ht="22.5" customHeight="1">
      <c r="A67" s="3">
        <f t="shared" si="0"/>
        <v>1950</v>
      </c>
      <c r="B67" s="3">
        <v>1700</v>
      </c>
      <c r="C67" s="10">
        <v>870500</v>
      </c>
      <c r="D67" s="11">
        <v>3.0700000000000002E-2</v>
      </c>
      <c r="E67" s="3" t="s">
        <v>72</v>
      </c>
      <c r="F67" s="10">
        <f>SUM(C2)</f>
        <v>2646557.5766727393</v>
      </c>
      <c r="G67" s="30">
        <v>8.93</v>
      </c>
      <c r="H67" s="10"/>
      <c r="I67" s="10">
        <f t="shared" ref="I67" si="11">IF(H67&lt;&gt;"",H67,I66/(1+IF(G66="",0,G66)/100))</f>
        <v>845.12893063686556</v>
      </c>
      <c r="J67" s="10">
        <f t="shared" si="9"/>
        <v>735684734.11939144</v>
      </c>
      <c r="K67" s="11"/>
    </row>
  </sheetData>
  <dataValidations count="1">
    <dataValidation type="custom" allowBlank="1" showDropDown="1" sqref="D2:D67" xr:uid="{00000000-0002-0000-6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 summaryRight="0"/>
  </sheetPr>
  <dimension ref="A1:M67"/>
  <sheetViews>
    <sheetView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26782262.780115496</v>
      </c>
      <c r="D2" s="11">
        <v>1.4800000000000001E-2</v>
      </c>
      <c r="E2" s="10">
        <f t="shared" ref="E2:E66" si="2">SUM(C2-C3)</f>
        <v>390596.65859844908</v>
      </c>
      <c r="F2" s="14">
        <v>27120468</v>
      </c>
      <c r="G2" s="29">
        <v>2.09</v>
      </c>
      <c r="H2" s="10"/>
      <c r="I2" s="10">
        <f>IF(H2&lt;&gt;"",H2,14920)</f>
        <v>1865</v>
      </c>
      <c r="J2" s="10">
        <f t="shared" ref="J2:J33" si="3">IF(I2="","",I2*C2)</f>
        <v>49948920084.915398</v>
      </c>
      <c r="K2" s="11">
        <f t="shared" ref="K2:K33" si="4">IFERROR(J2/J3-1,"")</f>
        <v>3.6009319999999789E-2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26391666.121517047</v>
      </c>
      <c r="D3" s="11">
        <v>1.6400000000000001E-2</v>
      </c>
      <c r="E3" s="10">
        <f t="shared" si="2"/>
        <v>425839.55567973107</v>
      </c>
      <c r="F3" s="3"/>
      <c r="G3" s="29">
        <v>2.0099999999999998</v>
      </c>
      <c r="H3" s="10"/>
      <c r="I3" s="10">
        <f t="shared" ref="I3:I34" si="5">IF(H3&lt;&gt;"",H3,I2/(1+IF(G2="",0,G2)/100))</f>
        <v>1826.8194730140074</v>
      </c>
      <c r="J3" s="10">
        <f t="shared" si="3"/>
        <v>48212809596.071404</v>
      </c>
      <c r="K3" s="11">
        <f t="shared" si="4"/>
        <v>3.6829639999999886E-2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25965826.565837316</v>
      </c>
      <c r="D4" s="11">
        <v>1.8800000000000001E-2</v>
      </c>
      <c r="E4" s="10">
        <f t="shared" si="2"/>
        <v>479149.52830559388</v>
      </c>
      <c r="F4" s="3"/>
      <c r="G4" s="29">
        <v>4.6900000000000004</v>
      </c>
      <c r="H4" s="10"/>
      <c r="I4" s="10">
        <f t="shared" si="5"/>
        <v>1790.8239123752646</v>
      </c>
      <c r="J4" s="10">
        <f t="shared" si="3"/>
        <v>46500223118.690361</v>
      </c>
      <c r="K4" s="11">
        <f t="shared" si="4"/>
        <v>6.6581719999999622E-2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25486677.037531722</v>
      </c>
      <c r="D5" s="11">
        <v>1.9400000000000001E-2</v>
      </c>
      <c r="E5" s="10">
        <f t="shared" si="2"/>
        <v>485031.91536993906</v>
      </c>
      <c r="F5" s="3"/>
      <c r="G5" s="29">
        <v>5.47</v>
      </c>
      <c r="H5" s="10"/>
      <c r="I5" s="10">
        <f t="shared" si="5"/>
        <v>1710.5969169693999</v>
      </c>
      <c r="J5" s="10">
        <f t="shared" si="3"/>
        <v>43597431164.196564</v>
      </c>
      <c r="K5" s="11">
        <f t="shared" si="4"/>
        <v>7.516118000000005E-2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25001645.122161783</v>
      </c>
      <c r="D6" s="11">
        <v>1.9599999999999999E-2</v>
      </c>
      <c r="E6" s="10">
        <f t="shared" si="2"/>
        <v>480612.24440405145</v>
      </c>
      <c r="F6" s="3"/>
      <c r="G6" s="29">
        <v>5.29</v>
      </c>
      <c r="H6" s="10"/>
      <c r="I6" s="10">
        <f t="shared" si="5"/>
        <v>1621.8800767700768</v>
      </c>
      <c r="J6" s="10">
        <f t="shared" si="3"/>
        <v>40549670110.10997</v>
      </c>
      <c r="K6" s="11">
        <f t="shared" si="4"/>
        <v>7.3536839999999826E-2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24521032.877757732</v>
      </c>
      <c r="D7" s="11">
        <v>2.0500000000000001E-2</v>
      </c>
      <c r="E7" s="10">
        <f t="shared" si="2"/>
        <v>492583.21802452952</v>
      </c>
      <c r="F7" s="3"/>
      <c r="G7" s="29">
        <v>2.42</v>
      </c>
      <c r="H7" s="10"/>
      <c r="I7" s="10">
        <f t="shared" si="5"/>
        <v>1540.393272647048</v>
      </c>
      <c r="J7" s="10">
        <f t="shared" si="3"/>
        <v>37772034083.255096</v>
      </c>
      <c r="K7" s="11">
        <f t="shared" si="4"/>
        <v>4.5196100000000072E-2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24028449.659733202</v>
      </c>
      <c r="D8" s="11">
        <v>1.7999999999999999E-2</v>
      </c>
      <c r="E8" s="10">
        <f t="shared" si="2"/>
        <v>424864.5322939083</v>
      </c>
      <c r="F8" s="3"/>
      <c r="G8" s="29">
        <v>3.51</v>
      </c>
      <c r="H8" s="10"/>
      <c r="I8" s="10">
        <f t="shared" si="5"/>
        <v>1503.9965559920406</v>
      </c>
      <c r="J8" s="10">
        <f t="shared" si="3"/>
        <v>36138705534.066856</v>
      </c>
      <c r="K8" s="11">
        <f t="shared" si="4"/>
        <v>5.3731799999999996E-2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23603585.127439294</v>
      </c>
      <c r="D9" s="11">
        <v>1.77E-2</v>
      </c>
      <c r="E9" s="10">
        <f t="shared" si="2"/>
        <v>410517.3005361855</v>
      </c>
      <c r="F9" s="3"/>
      <c r="G9" s="29">
        <v>4.83</v>
      </c>
      <c r="H9" s="10"/>
      <c r="I9" s="10">
        <f t="shared" si="5"/>
        <v>1452.9963829504788</v>
      </c>
      <c r="J9" s="10">
        <f t="shared" si="3"/>
        <v>34295923814.833012</v>
      </c>
      <c r="K9" s="11">
        <f t="shared" si="4"/>
        <v>6.685490999999999E-2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23193067.826903109</v>
      </c>
      <c r="D10" s="11">
        <v>1.7299999999999999E-2</v>
      </c>
      <c r="E10" s="10">
        <f t="shared" si="2"/>
        <v>394416.66509921104</v>
      </c>
      <c r="F10" s="3"/>
      <c r="G10" s="29">
        <v>6.3</v>
      </c>
      <c r="H10" s="10"/>
      <c r="I10" s="10">
        <f t="shared" si="5"/>
        <v>1386.0501602122283</v>
      </c>
      <c r="J10" s="10">
        <f t="shared" si="3"/>
        <v>32146755377.292133</v>
      </c>
      <c r="K10" s="11">
        <f t="shared" si="4"/>
        <v>8.1389900000000237E-2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22798651.161803897</v>
      </c>
      <c r="D11" s="11">
        <v>1.6799999999999999E-2</v>
      </c>
      <c r="E11" s="10">
        <f t="shared" si="2"/>
        <v>376688.96490785107</v>
      </c>
      <c r="F11" s="3"/>
      <c r="G11" s="29">
        <v>5.58</v>
      </c>
      <c r="H11" s="10"/>
      <c r="I11" s="10">
        <f t="shared" si="5"/>
        <v>1303.9041958722751</v>
      </c>
      <c r="J11" s="10">
        <f t="shared" si="3"/>
        <v>29727256910.10442</v>
      </c>
      <c r="K11" s="11">
        <f t="shared" si="4"/>
        <v>7.3537439999999954E-2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22421962.196896046</v>
      </c>
      <c r="D12" s="11">
        <v>1.8599999999999998E-2</v>
      </c>
      <c r="E12" s="10">
        <f t="shared" si="2"/>
        <v>409433.04227593169</v>
      </c>
      <c r="F12" s="3"/>
      <c r="G12" s="29">
        <v>5.33</v>
      </c>
      <c r="H12" s="10"/>
      <c r="I12" s="10">
        <f t="shared" si="5"/>
        <v>1234.9916611785138</v>
      </c>
      <c r="J12" s="10">
        <f t="shared" si="3"/>
        <v>27690936340.426487</v>
      </c>
      <c r="K12" s="11">
        <f t="shared" si="4"/>
        <v>7.2891379999999728E-2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22012529.154620115</v>
      </c>
      <c r="D13" s="11">
        <v>1.9400000000000001E-2</v>
      </c>
      <c r="E13" s="10">
        <f t="shared" si="2"/>
        <v>418916.09338790551</v>
      </c>
      <c r="F13" s="3"/>
      <c r="G13" s="29">
        <v>6.78</v>
      </c>
      <c r="H13" s="10"/>
      <c r="I13" s="10">
        <f t="shared" si="5"/>
        <v>1172.4975421803038</v>
      </c>
      <c r="J13" s="10">
        <f t="shared" si="3"/>
        <v>25809636330.964363</v>
      </c>
      <c r="K13" s="11">
        <f t="shared" si="4"/>
        <v>8.8515319999999953E-2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21593613.061232209</v>
      </c>
      <c r="D14" s="11">
        <v>1.9800000000000002E-2</v>
      </c>
      <c r="E14" s="10">
        <f t="shared" si="2"/>
        <v>419252.34223612398</v>
      </c>
      <c r="F14" s="3"/>
      <c r="G14" s="29">
        <v>5.79</v>
      </c>
      <c r="H14" s="10"/>
      <c r="I14" s="10">
        <f t="shared" si="5"/>
        <v>1098.0497679156244</v>
      </c>
      <c r="J14" s="10">
        <f t="shared" si="3"/>
        <v>23710861810.345825</v>
      </c>
      <c r="K14" s="11">
        <f t="shared" si="4"/>
        <v>7.8846420000000084E-2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21174360.718996085</v>
      </c>
      <c r="D15" s="11">
        <v>2.0299999999999999E-2</v>
      </c>
      <c r="E15" s="10">
        <f t="shared" si="2"/>
        <v>421287.38860689849</v>
      </c>
      <c r="F15" s="3"/>
      <c r="G15" s="29">
        <v>5.39</v>
      </c>
      <c r="H15" s="10"/>
      <c r="I15" s="10">
        <f t="shared" si="5"/>
        <v>1037.9523281176146</v>
      </c>
      <c r="J15" s="10">
        <f t="shared" si="3"/>
        <v>21977977004.684155</v>
      </c>
      <c r="K15" s="11">
        <f t="shared" si="4"/>
        <v>7.5294169999999827E-2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20753073.330389187</v>
      </c>
      <c r="D16" s="11">
        <v>2.2100000000000002E-2</v>
      </c>
      <c r="E16" s="10">
        <f t="shared" si="2"/>
        <v>448726.07435828447</v>
      </c>
      <c r="F16" s="3"/>
      <c r="G16" s="29">
        <v>0.52</v>
      </c>
      <c r="H16" s="10"/>
      <c r="I16" s="10">
        <f t="shared" si="5"/>
        <v>984.86794583700021</v>
      </c>
      <c r="J16" s="10">
        <f t="shared" si="3"/>
        <v>20439036700.705032</v>
      </c>
      <c r="K16" s="11">
        <f t="shared" si="4"/>
        <v>2.7414920000000231E-2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20304347.256030902</v>
      </c>
      <c r="D17" s="11">
        <v>2.3800000000000002E-2</v>
      </c>
      <c r="E17" s="10">
        <f t="shared" si="2"/>
        <v>472009.63537168875</v>
      </c>
      <c r="F17" s="3"/>
      <c r="G17" s="29">
        <v>8.86</v>
      </c>
      <c r="H17" s="10"/>
      <c r="I17" s="10">
        <f t="shared" si="5"/>
        <v>979.77312558396352</v>
      </c>
      <c r="J17" s="10">
        <f t="shared" si="3"/>
        <v>19893653773.98357</v>
      </c>
      <c r="K17" s="11">
        <f t="shared" si="4"/>
        <v>0.11450867999999992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19832337.620659214</v>
      </c>
      <c r="D18" s="11">
        <v>2.5600000000000001E-2</v>
      </c>
      <c r="E18" s="10">
        <f t="shared" si="2"/>
        <v>495034.94840959087</v>
      </c>
      <c r="F18" s="3"/>
      <c r="G18" s="29">
        <v>6.14</v>
      </c>
      <c r="H18" s="10"/>
      <c r="I18" s="10">
        <f t="shared" si="5"/>
        <v>900.03042952780038</v>
      </c>
      <c r="J18" s="10">
        <f t="shared" si="3"/>
        <v>17849707347.262268</v>
      </c>
      <c r="K18" s="11">
        <f t="shared" si="4"/>
        <v>8.8571839999999957E-2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19337302.672249623</v>
      </c>
      <c r="D19" s="11">
        <v>2.5100000000000001E-2</v>
      </c>
      <c r="E19" s="10">
        <f t="shared" si="2"/>
        <v>473481.90134958923</v>
      </c>
      <c r="F19" s="3"/>
      <c r="G19" s="29">
        <v>-7.36</v>
      </c>
      <c r="H19" s="10"/>
      <c r="I19" s="10">
        <f t="shared" si="5"/>
        <v>847.96535663067687</v>
      </c>
      <c r="J19" s="10">
        <f t="shared" si="3"/>
        <v>16397362756.749493</v>
      </c>
      <c r="K19" s="11">
        <f t="shared" si="4"/>
        <v>-5.0347359999999952E-2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18863820.770900033</v>
      </c>
      <c r="D20" s="11">
        <v>2.35E-2</v>
      </c>
      <c r="E20" s="10">
        <f t="shared" si="2"/>
        <v>433121.43440757319</v>
      </c>
      <c r="F20" s="3"/>
      <c r="G20" s="29">
        <v>7.32</v>
      </c>
      <c r="H20" s="10"/>
      <c r="I20" s="10">
        <f t="shared" si="5"/>
        <v>915.33393418682738</v>
      </c>
      <c r="J20" s="10">
        <f t="shared" si="3"/>
        <v>17266695280.023117</v>
      </c>
      <c r="K20" s="11">
        <f t="shared" si="4"/>
        <v>9.8420199999999847E-2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18430699.33649246</v>
      </c>
      <c r="D21" s="11">
        <v>2.3E-2</v>
      </c>
      <c r="E21" s="10">
        <f t="shared" si="2"/>
        <v>414375.44940305501</v>
      </c>
      <c r="F21" s="3"/>
      <c r="G21" s="29">
        <v>10</v>
      </c>
      <c r="H21" s="10"/>
      <c r="I21" s="10">
        <f t="shared" si="5"/>
        <v>852.90154135932482</v>
      </c>
      <c r="J21" s="10">
        <f t="shared" si="3"/>
        <v>15719571872.424706</v>
      </c>
      <c r="K21" s="11">
        <f t="shared" si="4"/>
        <v>0.12530000000000019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18016323.887089405</v>
      </c>
      <c r="D22" s="11">
        <v>2.1899999999999999E-2</v>
      </c>
      <c r="E22" s="10">
        <f t="shared" si="2"/>
        <v>386101.86234197021</v>
      </c>
      <c r="F22" s="3"/>
      <c r="G22" s="29">
        <v>9.83</v>
      </c>
      <c r="H22" s="10"/>
      <c r="I22" s="10">
        <f t="shared" si="5"/>
        <v>775.36503759938614</v>
      </c>
      <c r="J22" s="10">
        <f t="shared" si="3"/>
        <v>13969227648.115795</v>
      </c>
      <c r="K22" s="11">
        <f t="shared" si="4"/>
        <v>0.12235277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17630222.024747435</v>
      </c>
      <c r="D23" s="11">
        <v>2.18E-2</v>
      </c>
      <c r="E23" s="10">
        <f t="shared" si="2"/>
        <v>376139.00972743705</v>
      </c>
      <c r="F23" s="3"/>
      <c r="G23" s="29">
        <v>9.2100000000000009</v>
      </c>
      <c r="H23" s="10"/>
      <c r="I23" s="10">
        <f t="shared" si="5"/>
        <v>705.96834890229093</v>
      </c>
      <c r="J23" s="10">
        <f t="shared" si="3"/>
        <v>12446378733.591751</v>
      </c>
      <c r="K23" s="11">
        <f t="shared" si="4"/>
        <v>0.11590778000000013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17254083.015019998</v>
      </c>
      <c r="D24" s="11">
        <v>2.4E-2</v>
      </c>
      <c r="E24" s="10">
        <f t="shared" si="2"/>
        <v>404392.57066453248</v>
      </c>
      <c r="F24" s="3"/>
      <c r="G24" s="29">
        <v>9.89</v>
      </c>
      <c r="H24" s="10"/>
      <c r="I24" s="10">
        <f t="shared" si="5"/>
        <v>646.43196493204914</v>
      </c>
      <c r="J24" s="10">
        <f t="shared" si="3"/>
        <v>11153590786.500072</v>
      </c>
      <c r="K24" s="11">
        <f t="shared" si="4"/>
        <v>0.1252736000000001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16849690.444355465</v>
      </c>
      <c r="D25" s="11">
        <v>2.3699999999999999E-2</v>
      </c>
      <c r="E25" s="10">
        <f t="shared" si="2"/>
        <v>390092.4719461035</v>
      </c>
      <c r="F25" s="3"/>
      <c r="G25" s="29">
        <v>8.89</v>
      </c>
      <c r="H25" s="10"/>
      <c r="I25" s="10">
        <f t="shared" si="5"/>
        <v>588.25367634184101</v>
      </c>
      <c r="J25" s="10">
        <f t="shared" si="3"/>
        <v>9911892349.1140919</v>
      </c>
      <c r="K25" s="11">
        <f t="shared" si="4"/>
        <v>0.1147069300000001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16459597.972409362</v>
      </c>
      <c r="D26" s="11">
        <v>2.4E-2</v>
      </c>
      <c r="E26" s="10">
        <f t="shared" si="2"/>
        <v>385771.82747834548</v>
      </c>
      <c r="F26" s="3"/>
      <c r="G26" s="29">
        <v>9.5500000000000007</v>
      </c>
      <c r="H26" s="10"/>
      <c r="I26" s="10">
        <f t="shared" si="5"/>
        <v>540.22745554398114</v>
      </c>
      <c r="J26" s="10">
        <f t="shared" si="3"/>
        <v>8891926731.911581</v>
      </c>
      <c r="K26" s="11">
        <f t="shared" si="4"/>
        <v>0.12179200000000012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16073826.144931016</v>
      </c>
      <c r="D27" s="11">
        <v>2.5600000000000001E-2</v>
      </c>
      <c r="E27" s="10">
        <f t="shared" si="2"/>
        <v>401218.74932745285</v>
      </c>
      <c r="F27" s="3"/>
      <c r="G27" s="29">
        <v>1.2010000000000001</v>
      </c>
      <c r="H27" s="10"/>
      <c r="I27" s="10">
        <f t="shared" si="5"/>
        <v>493.13323189774638</v>
      </c>
      <c r="J27" s="10">
        <f t="shared" si="3"/>
        <v>7926537835.8123255</v>
      </c>
      <c r="K27" s="11">
        <f t="shared" si="4"/>
        <v>3.7917456000000183E-2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15672607.395603564</v>
      </c>
      <c r="D28" s="11">
        <v>2.52E-2</v>
      </c>
      <c r="E28" s="10">
        <f t="shared" si="2"/>
        <v>385241.61760554835</v>
      </c>
      <c r="F28" s="3"/>
      <c r="G28" s="29">
        <v>9.06</v>
      </c>
      <c r="H28" s="10"/>
      <c r="I28" s="10">
        <f t="shared" si="5"/>
        <v>487.28098724098214</v>
      </c>
      <c r="J28" s="10">
        <f t="shared" si="3"/>
        <v>7636963604.3700228</v>
      </c>
      <c r="K28" s="11">
        <f t="shared" si="4"/>
        <v>0.1180831200000001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15287365.777998015</v>
      </c>
      <c r="D29" s="11">
        <v>2.6800000000000001E-2</v>
      </c>
      <c r="E29" s="10">
        <f t="shared" si="2"/>
        <v>399007.98875179701</v>
      </c>
      <c r="F29" s="3"/>
      <c r="G29" s="29">
        <v>9.94</v>
      </c>
      <c r="H29" s="10"/>
      <c r="I29" s="10">
        <f t="shared" si="5"/>
        <v>446.80083187326437</v>
      </c>
      <c r="J29" s="10">
        <f t="shared" si="3"/>
        <v>6830407746.7603865</v>
      </c>
      <c r="K29" s="11">
        <f t="shared" si="4"/>
        <v>0.12886391999999969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14888357.789246218</v>
      </c>
      <c r="D30" s="11">
        <v>2.63E-2</v>
      </c>
      <c r="E30" s="10">
        <f t="shared" si="2"/>
        <v>381529.58185440488</v>
      </c>
      <c r="F30" s="3"/>
      <c r="G30" s="29">
        <v>5.19</v>
      </c>
      <c r="H30" s="10"/>
      <c r="I30" s="10">
        <f t="shared" si="5"/>
        <v>406.40424947540879</v>
      </c>
      <c r="J30" s="10">
        <f t="shared" si="3"/>
        <v>6050691873.2599659</v>
      </c>
      <c r="K30" s="11">
        <f t="shared" si="4"/>
        <v>7.956497000000029E-2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14506828.207391813</v>
      </c>
      <c r="D31" s="11">
        <v>2.5600000000000001E-2</v>
      </c>
      <c r="E31" s="10">
        <f t="shared" si="2"/>
        <v>362104.91625315137</v>
      </c>
      <c r="F31" s="3"/>
      <c r="G31" s="29">
        <v>1.24</v>
      </c>
      <c r="H31" s="10"/>
      <c r="I31" s="10">
        <f t="shared" si="5"/>
        <v>386.35255202529589</v>
      </c>
      <c r="J31" s="10">
        <f t="shared" si="3"/>
        <v>5604750099.7183752</v>
      </c>
      <c r="K31" s="11">
        <f t="shared" si="4"/>
        <v>3.8317440000000147E-2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14144723.291138662</v>
      </c>
      <c r="D32" s="11">
        <v>2.7300000000000001E-2</v>
      </c>
      <c r="E32" s="10">
        <f t="shared" si="2"/>
        <v>375889.17146703601</v>
      </c>
      <c r="F32" s="3"/>
      <c r="G32" s="29">
        <v>-1.03</v>
      </c>
      <c r="H32" s="10"/>
      <c r="I32" s="10">
        <f t="shared" si="5"/>
        <v>381.62045834185687</v>
      </c>
      <c r="J32" s="10">
        <f t="shared" si="3"/>
        <v>5397915785.4830742</v>
      </c>
      <c r="K32" s="11">
        <f t="shared" si="4"/>
        <v>1.6718809999999973E-2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13768834.119671626</v>
      </c>
      <c r="D33" s="11">
        <v>2.8899999999999999E-2</v>
      </c>
      <c r="E33" s="10">
        <f t="shared" si="2"/>
        <v>386742.44927447662</v>
      </c>
      <c r="F33" s="3"/>
      <c r="G33" s="29">
        <v>-0.76</v>
      </c>
      <c r="H33" s="10"/>
      <c r="I33" s="10">
        <f t="shared" si="5"/>
        <v>385.59205652405461</v>
      </c>
      <c r="J33" s="10">
        <f t="shared" si="3"/>
        <v>5309153064.1427536</v>
      </c>
      <c r="K33" s="11">
        <f t="shared" si="4"/>
        <v>2.108036000000002E-2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13382091.670397149</v>
      </c>
      <c r="D34" s="11">
        <v>2.9100000000000001E-2</v>
      </c>
      <c r="E34" s="10">
        <f t="shared" si="2"/>
        <v>378407.21757706255</v>
      </c>
      <c r="F34" s="3"/>
      <c r="G34" s="29">
        <v>-0.05</v>
      </c>
      <c r="H34" s="10"/>
      <c r="I34" s="10">
        <f t="shared" si="5"/>
        <v>388.54499851275153</v>
      </c>
      <c r="J34" s="10">
        <f t="shared" ref="J34:J65" si="6">IF(I34="","",I34*C34)</f>
        <v>5199544788.1719646</v>
      </c>
      <c r="K34" s="11">
        <f t="shared" ref="K34:K65" si="7">IFERROR(J34/J35-1,"")</f>
        <v>4.1963749999999855E-2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13003684.452820087</v>
      </c>
      <c r="D35" s="11">
        <v>2.7699999999999999E-2</v>
      </c>
      <c r="E35" s="10">
        <f t="shared" si="2"/>
        <v>350493.3923743479</v>
      </c>
      <c r="F35" s="3"/>
      <c r="G35" s="29">
        <v>0.24</v>
      </c>
      <c r="H35" s="10"/>
      <c r="I35" s="10">
        <f t="shared" ref="I35:I66" si="8">IF(H35&lt;&gt;"",H35,I34/(1+IF(G34="",0,G34)/100))</f>
        <v>383.7481466792608</v>
      </c>
      <c r="J35" s="10">
        <f t="shared" si="6"/>
        <v>4990139808.7716255</v>
      </c>
      <c r="K35" s="11">
        <f t="shared" si="7"/>
        <v>5.7914380000000154E-2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12653191.060445739</v>
      </c>
      <c r="D36" s="11">
        <v>2.6100000000000002E-2</v>
      </c>
      <c r="E36" s="10">
        <f t="shared" si="2"/>
        <v>321848.05250719562</v>
      </c>
      <c r="F36" s="3"/>
      <c r="G36" s="29">
        <v>-2.86</v>
      </c>
      <c r="H36" s="10"/>
      <c r="I36" s="10">
        <f t="shared" si="8"/>
        <v>372.78817435327448</v>
      </c>
      <c r="J36" s="10">
        <f t="shared" si="6"/>
        <v>4716959995.1667404</v>
      </c>
      <c r="K36" s="11">
        <f t="shared" si="7"/>
        <v>4.6006340000000145E-2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12331343.007938543</v>
      </c>
      <c r="D37" s="11">
        <v>2.6100000000000002E-2</v>
      </c>
      <c r="E37" s="10">
        <f t="shared" si="2"/>
        <v>313661.48767877929</v>
      </c>
      <c r="F37" s="3"/>
      <c r="G37" s="29">
        <v>-4.86</v>
      </c>
      <c r="H37" s="10"/>
      <c r="I37" s="10">
        <f t="shared" si="8"/>
        <v>365.69371625787176</v>
      </c>
      <c r="J37" s="10">
        <f t="shared" si="6"/>
        <v>4509494651.0235682</v>
      </c>
      <c r="K37" s="11">
        <f t="shared" si="7"/>
        <v>3.0614839999999921E-2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12017681.520259764</v>
      </c>
      <c r="D38" s="11">
        <v>2.6700000000000002E-2</v>
      </c>
      <c r="E38" s="10">
        <f t="shared" si="2"/>
        <v>312527.60941943526</v>
      </c>
      <c r="F38" s="3"/>
      <c r="G38" s="29">
        <v>-1.35</v>
      </c>
      <c r="H38" s="10"/>
      <c r="I38" s="10">
        <f t="shared" si="8"/>
        <v>364.09171272189542</v>
      </c>
      <c r="J38" s="10">
        <f t="shared" si="6"/>
        <v>4375538247.657649</v>
      </c>
      <c r="K38" s="11">
        <f t="shared" si="7"/>
        <v>5.0827449999999885E-2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11705153.910840329</v>
      </c>
      <c r="D39" s="11">
        <v>2.6800000000000001E-2</v>
      </c>
      <c r="E39" s="10">
        <f t="shared" si="2"/>
        <v>305510.44488753378</v>
      </c>
      <c r="F39" s="3"/>
      <c r="G39" s="29">
        <v>6.65</v>
      </c>
      <c r="H39" s="10"/>
      <c r="I39" s="10">
        <f t="shared" si="8"/>
        <v>355.73201047571604</v>
      </c>
      <c r="J39" s="10">
        <f t="shared" si="6"/>
        <v>4163897933.6309204</v>
      </c>
      <c r="K39" s="11">
        <f t="shared" si="7"/>
        <v>9.5082200000000006E-2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11399643.465952795</v>
      </c>
      <c r="D40" s="11">
        <v>2.6599999999999999E-2</v>
      </c>
      <c r="E40" s="10">
        <f t="shared" si="2"/>
        <v>295373.57899312675</v>
      </c>
      <c r="F40" s="3"/>
      <c r="G40" s="29">
        <v>7.75</v>
      </c>
      <c r="H40" s="10"/>
      <c r="I40" s="10">
        <f t="shared" si="8"/>
        <v>333.55087714553775</v>
      </c>
      <c r="J40" s="10">
        <f t="shared" si="6"/>
        <v>3802361077.2149529</v>
      </c>
      <c r="K40" s="11">
        <f t="shared" si="7"/>
        <v>0.1061614999999998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11104269.886959668</v>
      </c>
      <c r="D41" s="11">
        <v>2.53E-2</v>
      </c>
      <c r="E41" s="10">
        <f t="shared" si="2"/>
        <v>274005.68432661705</v>
      </c>
      <c r="F41" s="3"/>
      <c r="G41" s="29">
        <v>11.56</v>
      </c>
      <c r="H41" s="10"/>
      <c r="I41" s="10">
        <f t="shared" si="8"/>
        <v>309.55997878936222</v>
      </c>
      <c r="J41" s="10">
        <f t="shared" si="6"/>
        <v>3437437550.6785884</v>
      </c>
      <c r="K41" s="11">
        <f t="shared" si="7"/>
        <v>0.14382468000000004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10830264.202633051</v>
      </c>
      <c r="D42" s="11">
        <v>2.2700000000000001E-2</v>
      </c>
      <c r="E42" s="10">
        <f t="shared" si="2"/>
        <v>240390.1411946509</v>
      </c>
      <c r="F42" s="3"/>
      <c r="G42" s="29">
        <v>-5.8</v>
      </c>
      <c r="H42" s="10"/>
      <c r="I42" s="10">
        <f t="shared" si="8"/>
        <v>277.48294979326124</v>
      </c>
      <c r="J42" s="10">
        <f t="shared" si="6"/>
        <v>3005213657.9869814</v>
      </c>
      <c r="K42" s="11">
        <f t="shared" si="7"/>
        <v>-3.6616600000000221E-2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10589874.0614384</v>
      </c>
      <c r="D43" s="11">
        <v>2.1600000000000001E-2</v>
      </c>
      <c r="E43" s="10">
        <f t="shared" si="2"/>
        <v>223904.93317058496</v>
      </c>
      <c r="F43" s="3"/>
      <c r="G43" s="29">
        <v>8.32</v>
      </c>
      <c r="H43" s="10"/>
      <c r="I43" s="10">
        <f t="shared" si="8"/>
        <v>294.56788725399286</v>
      </c>
      <c r="J43" s="10">
        <f t="shared" si="6"/>
        <v>3119436828.5637703</v>
      </c>
      <c r="K43" s="11">
        <f t="shared" si="7"/>
        <v>0.10659711999999999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10365969.128267815</v>
      </c>
      <c r="D44" s="11">
        <v>2.2200000000000001E-2</v>
      </c>
      <c r="E44" s="10">
        <f t="shared" si="2"/>
        <v>225126.70186611824</v>
      </c>
      <c r="F44" s="3"/>
      <c r="G44" s="29">
        <v>11.7</v>
      </c>
      <c r="H44" s="10"/>
      <c r="I44" s="10">
        <f t="shared" si="8"/>
        <v>271.94228882384868</v>
      </c>
      <c r="J44" s="10">
        <f t="shared" si="6"/>
        <v>2818945370.618505</v>
      </c>
      <c r="K44" s="11">
        <f t="shared" si="7"/>
        <v>0.14179739999999996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10140842.426401697</v>
      </c>
      <c r="D45" s="11">
        <v>2.2800000000000001E-2</v>
      </c>
      <c r="E45" s="10">
        <f t="shared" si="2"/>
        <v>226057.10532064736</v>
      </c>
      <c r="F45" s="3"/>
      <c r="G45" s="29">
        <v>9.39</v>
      </c>
      <c r="H45" s="10"/>
      <c r="I45" s="10">
        <f t="shared" si="8"/>
        <v>243.45773395152077</v>
      </c>
      <c r="J45" s="10">
        <f t="shared" si="6"/>
        <v>2468866517.4911985</v>
      </c>
      <c r="K45" s="11">
        <f t="shared" si="7"/>
        <v>0.11884092000000002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9914785.3210810497</v>
      </c>
      <c r="D46" s="11">
        <v>2.35E-2</v>
      </c>
      <c r="E46" s="10">
        <f t="shared" si="2"/>
        <v>227647.73331256025</v>
      </c>
      <c r="F46" s="3"/>
      <c r="G46" s="29">
        <v>10.029999999999999</v>
      </c>
      <c r="H46" s="10"/>
      <c r="I46" s="10">
        <f t="shared" si="8"/>
        <v>222.55940575145877</v>
      </c>
      <c r="J46" s="10">
        <f t="shared" si="6"/>
        <v>2206628729.2130847</v>
      </c>
      <c r="K46" s="11">
        <f t="shared" si="7"/>
        <v>0.12615704999999999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9687137.5877684895</v>
      </c>
      <c r="D47" s="11">
        <v>2.5899999999999999E-2</v>
      </c>
      <c r="E47" s="10">
        <f t="shared" si="2"/>
        <v>244562.68985593505</v>
      </c>
      <c r="F47" s="3"/>
      <c r="G47" s="29">
        <v>5.99</v>
      </c>
      <c r="H47" s="10"/>
      <c r="I47" s="10">
        <f t="shared" si="8"/>
        <v>202.27156752836387</v>
      </c>
      <c r="J47" s="10">
        <f t="shared" si="6"/>
        <v>1959432504.7408659</v>
      </c>
      <c r="K47" s="11">
        <f t="shared" si="7"/>
        <v>8.7351410000000129E-2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9442574.8979125544</v>
      </c>
      <c r="D48" s="11">
        <v>2.8299999999999999E-2</v>
      </c>
      <c r="E48" s="10">
        <f t="shared" si="2"/>
        <v>259870.53351252154</v>
      </c>
      <c r="F48" s="3"/>
      <c r="G48" s="29">
        <v>4.8899999999999997</v>
      </c>
      <c r="H48" s="10"/>
      <c r="I48" s="10">
        <f t="shared" si="8"/>
        <v>190.84023731329737</v>
      </c>
      <c r="J48" s="10">
        <f t="shared" si="6"/>
        <v>1802023234.3662164</v>
      </c>
      <c r="K48" s="11">
        <f t="shared" si="7"/>
        <v>7.8583869999999889E-2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9182704.3644000329</v>
      </c>
      <c r="D49" s="11">
        <v>2.9000000000000001E-2</v>
      </c>
      <c r="E49" s="10">
        <f t="shared" si="2"/>
        <v>258793.4174612239</v>
      </c>
      <c r="F49" s="3"/>
      <c r="G49" s="29">
        <v>7.98</v>
      </c>
      <c r="H49" s="10"/>
      <c r="I49" s="10">
        <f t="shared" si="8"/>
        <v>181.94321414176505</v>
      </c>
      <c r="J49" s="10">
        <f t="shared" si="6"/>
        <v>1670730746.5725558</v>
      </c>
      <c r="K49" s="11">
        <f t="shared" si="7"/>
        <v>0.11111419999999983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8923910.946938809</v>
      </c>
      <c r="D50" s="11">
        <v>2.9399999999999999E-2</v>
      </c>
      <c r="E50" s="10">
        <f t="shared" si="2"/>
        <v>254869.80944239534</v>
      </c>
      <c r="F50" s="3"/>
      <c r="G50" s="29">
        <v>3.86</v>
      </c>
      <c r="H50" s="10"/>
      <c r="I50" s="10">
        <f t="shared" si="8"/>
        <v>168.49714219463331</v>
      </c>
      <c r="J50" s="10">
        <f t="shared" si="6"/>
        <v>1503653491.7585933</v>
      </c>
      <c r="K50" s="11">
        <f t="shared" si="7"/>
        <v>6.9134840000000253E-2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8669041.1374964137</v>
      </c>
      <c r="D51" s="11">
        <v>2.9899999999999999E-2</v>
      </c>
      <c r="E51" s="10">
        <f t="shared" si="2"/>
        <v>251679.12419763394</v>
      </c>
      <c r="F51" s="3"/>
      <c r="G51" s="29">
        <v>7.82</v>
      </c>
      <c r="H51" s="10"/>
      <c r="I51" s="10">
        <f t="shared" si="8"/>
        <v>162.23487598173821</v>
      </c>
      <c r="J51" s="10">
        <f t="shared" si="6"/>
        <v>1406420813.8223174</v>
      </c>
      <c r="K51" s="11">
        <f t="shared" si="7"/>
        <v>0.11043818000000005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8417362.0132987797</v>
      </c>
      <c r="D52" s="11">
        <v>3.0599999999999999E-2</v>
      </c>
      <c r="E52" s="10">
        <f t="shared" si="2"/>
        <v>249923.61498830095</v>
      </c>
      <c r="F52" s="3"/>
      <c r="G52" s="29">
        <v>7.68</v>
      </c>
      <c r="H52" s="10"/>
      <c r="I52" s="10">
        <f t="shared" si="8"/>
        <v>150.46825819118735</v>
      </c>
      <c r="J52" s="10">
        <f t="shared" si="6"/>
        <v>1266545800.7057333</v>
      </c>
      <c r="K52" s="11">
        <f t="shared" si="7"/>
        <v>0.10975007999999997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8167438.3983104788</v>
      </c>
      <c r="D53" s="11">
        <v>3.1099999999999999E-2</v>
      </c>
      <c r="E53" s="10">
        <f t="shared" si="2"/>
        <v>246345.97438410949</v>
      </c>
      <c r="F53" s="3"/>
      <c r="G53" s="29">
        <v>5.36</v>
      </c>
      <c r="H53" s="10"/>
      <c r="I53" s="10">
        <f t="shared" si="8"/>
        <v>139.73649534842806</v>
      </c>
      <c r="J53" s="10">
        <f t="shared" si="6"/>
        <v>1141289217.7540851</v>
      </c>
      <c r="K53" s="11">
        <f t="shared" si="7"/>
        <v>8.6366960000000326E-2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7921092.4239263693</v>
      </c>
      <c r="D54" s="11">
        <v>3.15E-2</v>
      </c>
      <c r="E54" s="10">
        <f t="shared" si="2"/>
        <v>241894.72743934207</v>
      </c>
      <c r="F54" s="3"/>
      <c r="G54" s="29">
        <v>7.34</v>
      </c>
      <c r="H54" s="10"/>
      <c r="I54" s="10">
        <f t="shared" si="8"/>
        <v>132.62765314011773</v>
      </c>
      <c r="J54" s="10">
        <f t="shared" si="6"/>
        <v>1050555898.4913208</v>
      </c>
      <c r="K54" s="11">
        <f t="shared" si="7"/>
        <v>0.10721209999999992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7679197.6964870272</v>
      </c>
      <c r="D55" s="11">
        <v>3.1800000000000002E-2</v>
      </c>
      <c r="E55" s="10">
        <f t="shared" si="2"/>
        <v>236672.30737380125</v>
      </c>
      <c r="F55" s="3"/>
      <c r="G55" s="29">
        <v>6.42</v>
      </c>
      <c r="H55" s="10"/>
      <c r="I55" s="10">
        <f t="shared" si="8"/>
        <v>123.55846202731297</v>
      </c>
      <c r="J55" s="10">
        <f t="shared" si="6"/>
        <v>948829856.98162162</v>
      </c>
      <c r="K55" s="11">
        <f t="shared" si="7"/>
        <v>9.8041560000000194E-2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7442525.389113226</v>
      </c>
      <c r="D56" s="11">
        <v>3.1800000000000002E-2</v>
      </c>
      <c r="E56" s="10">
        <f t="shared" si="2"/>
        <v>229378.08429327514</v>
      </c>
      <c r="F56" s="3"/>
      <c r="G56" s="29">
        <v>7.6</v>
      </c>
      <c r="H56" s="10"/>
      <c r="I56" s="10">
        <f t="shared" si="8"/>
        <v>116.10454992230123</v>
      </c>
      <c r="J56" s="10">
        <f t="shared" si="6"/>
        <v>864111060.58829093</v>
      </c>
      <c r="K56" s="11">
        <f t="shared" si="7"/>
        <v>0.11021680000000011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7213147.3048199508</v>
      </c>
      <c r="D57" s="11">
        <v>3.2000000000000001E-2</v>
      </c>
      <c r="E57" s="10">
        <f t="shared" si="2"/>
        <v>223663.48231999855</v>
      </c>
      <c r="F57" s="3"/>
      <c r="G57" s="30">
        <v>7.28</v>
      </c>
      <c r="H57" s="10"/>
      <c r="I57" s="10">
        <f t="shared" si="8"/>
        <v>107.90385680511267</v>
      </c>
      <c r="J57" s="10">
        <f t="shared" si="6"/>
        <v>778326413.89347637</v>
      </c>
      <c r="K57" s="11">
        <f t="shared" si="7"/>
        <v>0.10712960000000016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6989483.8224999523</v>
      </c>
      <c r="D58" s="11">
        <v>3.2000000000000001E-2</v>
      </c>
      <c r="E58" s="10">
        <f t="shared" si="2"/>
        <v>216728.1805426348</v>
      </c>
      <c r="F58" s="3"/>
      <c r="G58" s="30">
        <v>6.81</v>
      </c>
      <c r="H58" s="10"/>
      <c r="I58" s="10">
        <f t="shared" si="8"/>
        <v>100.5815220032743</v>
      </c>
      <c r="J58" s="10">
        <f t="shared" si="6"/>
        <v>703012920.8843087</v>
      </c>
      <c r="K58" s="11">
        <f t="shared" si="7"/>
        <v>0.10227920000000013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6772755.6419573175</v>
      </c>
      <c r="D59" s="11">
        <v>3.2000000000000001E-2</v>
      </c>
      <c r="E59" s="10">
        <f t="shared" si="2"/>
        <v>210007.92688239738</v>
      </c>
      <c r="F59" s="3"/>
      <c r="G59" s="30">
        <v>-0.04</v>
      </c>
      <c r="H59" s="10"/>
      <c r="I59" s="10">
        <f t="shared" si="8"/>
        <v>94.16863777106478</v>
      </c>
      <c r="J59" s="10">
        <f t="shared" si="6"/>
        <v>637781172.75941396</v>
      </c>
      <c r="K59" s="11">
        <f t="shared" si="7"/>
        <v>3.1587199999999926E-2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6562747.7150749201</v>
      </c>
      <c r="D60" s="11">
        <v>3.2000000000000001E-2</v>
      </c>
      <c r="E60" s="10">
        <f t="shared" si="2"/>
        <v>203496.05318061821</v>
      </c>
      <c r="F60" s="3"/>
      <c r="G60" s="30">
        <v>-0.51</v>
      </c>
      <c r="H60" s="10"/>
      <c r="I60" s="10">
        <f t="shared" si="8"/>
        <v>94.206320299184455</v>
      </c>
      <c r="J60" s="10">
        <f t="shared" si="6"/>
        <v>618252313.28908885</v>
      </c>
      <c r="K60" s="11">
        <f t="shared" si="7"/>
        <v>2.6736800000000116E-2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6359251.6618943019</v>
      </c>
      <c r="D61" s="11">
        <v>3.2000000000000001E-2</v>
      </c>
      <c r="E61" s="10">
        <f t="shared" si="2"/>
        <v>197186.09804323409</v>
      </c>
      <c r="F61" s="3"/>
      <c r="G61" s="30">
        <v>6.03</v>
      </c>
      <c r="H61" s="10"/>
      <c r="I61" s="10">
        <f t="shared" si="8"/>
        <v>94.689235399723046</v>
      </c>
      <c r="J61" s="10">
        <f t="shared" si="6"/>
        <v>602152677.57918954</v>
      </c>
      <c r="K61" s="11">
        <f t="shared" si="7"/>
        <v>9.4229600000000024E-2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6162065.5638510678</v>
      </c>
      <c r="D62" s="11">
        <v>3.1E-2</v>
      </c>
      <c r="E62" s="10">
        <f t="shared" si="2"/>
        <v>185280.34188106935</v>
      </c>
      <c r="F62" s="3"/>
      <c r="G62" s="30">
        <v>0.65</v>
      </c>
      <c r="H62" s="10"/>
      <c r="I62" s="10">
        <f t="shared" si="8"/>
        <v>89.304192586742474</v>
      </c>
      <c r="J62" s="10">
        <f t="shared" si="6"/>
        <v>550298289.84628963</v>
      </c>
      <c r="K62" s="11">
        <f t="shared" si="7"/>
        <v>3.7701499999999832E-2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5976785.2219699984</v>
      </c>
      <c r="D63" s="11">
        <v>3.1E-2</v>
      </c>
      <c r="E63" s="10">
        <f t="shared" si="2"/>
        <v>179709.35196999926</v>
      </c>
      <c r="F63" s="3"/>
      <c r="G63" s="30">
        <v>6.3</v>
      </c>
      <c r="H63" s="10"/>
      <c r="I63" s="10">
        <f t="shared" si="8"/>
        <v>88.72746407028562</v>
      </c>
      <c r="J63" s="10">
        <f t="shared" si="6"/>
        <v>530304996.03815711</v>
      </c>
      <c r="K63" s="11">
        <f t="shared" si="7"/>
        <v>9.5952999999999955E-2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5797075.8699999992</v>
      </c>
      <c r="D64" s="11">
        <v>3.1E-2</v>
      </c>
      <c r="E64" s="10">
        <f t="shared" si="2"/>
        <v>174305.86999999918</v>
      </c>
      <c r="F64" s="3"/>
      <c r="G64" s="30">
        <v>0.49</v>
      </c>
      <c r="H64" s="10"/>
      <c r="I64" s="10">
        <f t="shared" si="8"/>
        <v>83.468921985216951</v>
      </c>
      <c r="J64" s="10">
        <f t="shared" si="6"/>
        <v>483875673.53541362</v>
      </c>
      <c r="K64" s="11">
        <f t="shared" si="7"/>
        <v>3.6051899999999693E-2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5622770</v>
      </c>
      <c r="D65" s="11">
        <v>0.03</v>
      </c>
      <c r="E65" s="10">
        <f t="shared" si="2"/>
        <v>163770</v>
      </c>
      <c r="F65" s="3"/>
      <c r="G65" s="30">
        <v>4.76</v>
      </c>
      <c r="H65" s="10"/>
      <c r="I65" s="10">
        <f t="shared" si="8"/>
        <v>83.061918584154597</v>
      </c>
      <c r="J65" s="10">
        <f t="shared" si="6"/>
        <v>467038063.95742697</v>
      </c>
      <c r="K65" s="11">
        <f t="shared" si="7"/>
        <v>7.9028000000000098E-2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5459000</v>
      </c>
      <c r="D66" s="11">
        <v>0.03</v>
      </c>
      <c r="E66" s="10">
        <f t="shared" si="2"/>
        <v>159000</v>
      </c>
      <c r="F66" s="23">
        <f>SUM(F2)</f>
        <v>27120468</v>
      </c>
      <c r="G66" s="30">
        <v>-5.52</v>
      </c>
      <c r="H66" s="10"/>
      <c r="I66" s="10">
        <f t="shared" si="8"/>
        <v>79.287818427028057</v>
      </c>
      <c r="J66" s="10">
        <f t="shared" ref="J66:J67" si="9">IF(I66="","",I66*C66)</f>
        <v>432832200.79314619</v>
      </c>
      <c r="K66" s="11">
        <f t="shared" ref="K66" si="10">IFERROR(J66/J67-1,"")</f>
        <v>-2.6855999999999991E-2</v>
      </c>
    </row>
    <row r="67" spans="1:11" ht="22.5" customHeight="1">
      <c r="A67" s="3">
        <f t="shared" si="0"/>
        <v>1950</v>
      </c>
      <c r="B67" s="3">
        <v>1700</v>
      </c>
      <c r="C67" s="10">
        <v>5300000</v>
      </c>
      <c r="D67" s="11">
        <v>2.9000000000000001E-2</v>
      </c>
      <c r="E67" s="3" t="s">
        <v>72</v>
      </c>
      <c r="F67" s="10">
        <f>SUM(C2)</f>
        <v>26782262.780115496</v>
      </c>
      <c r="G67" s="30">
        <v>8.11</v>
      </c>
      <c r="H67" s="10"/>
      <c r="I67" s="10">
        <f t="shared" ref="I67" si="11">IF(H67&lt;&gt;"",H67,I66/(1+IF(G66="",0,G66)/100))</f>
        <v>83.92021425384003</v>
      </c>
      <c r="J67" s="10">
        <f t="shared" si="9"/>
        <v>444777135.54535216</v>
      </c>
      <c r="K67" s="11"/>
    </row>
  </sheetData>
  <dataValidations count="1">
    <dataValidation type="custom" allowBlank="1" showDropDown="1" sqref="D2:D67" xr:uid="{00000000-0002-0000-6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 summaryRight="0"/>
  </sheetPr>
  <dimension ref="A1:M67"/>
  <sheetViews>
    <sheetView workbookViewId="0">
      <selection activeCell="L23" sqref="L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39228163.544304334</v>
      </c>
      <c r="D2" s="11">
        <v>8.0000000000000002E-3</v>
      </c>
      <c r="E2" s="10">
        <f t="shared" ref="E2:E66" si="2">SUM(C2-C3)</f>
        <v>311334.6313040033</v>
      </c>
      <c r="F2" s="14">
        <v>39227750</v>
      </c>
      <c r="G2" s="26">
        <v>4.0599999999999996</v>
      </c>
      <c r="H2" s="10"/>
      <c r="I2" s="10">
        <f>IF(H2&lt;&gt;"",H2,113336)</f>
        <v>14167</v>
      </c>
      <c r="J2" s="10">
        <f t="shared" ref="J2:J33" si="3">IF(I2="","",I2*C2)</f>
        <v>555745392932.15955</v>
      </c>
      <c r="K2" s="11">
        <f t="shared" ref="K2:K33" si="4">IFERROR(J2/J3-1,"")</f>
        <v>4.8924800000000213E-2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38916828.91300033</v>
      </c>
      <c r="D3" s="11">
        <v>8.0000000000000002E-3</v>
      </c>
      <c r="E3" s="10">
        <f t="shared" si="2"/>
        <v>308863.72153174877</v>
      </c>
      <c r="F3" s="3"/>
      <c r="G3" s="26">
        <v>1.52</v>
      </c>
      <c r="H3" s="10"/>
      <c r="I3" s="10">
        <f t="shared" ref="I3:I34" si="5">IF(H3&lt;&gt;"",H3,I2/(1+IF(G2="",0,G2)/100))</f>
        <v>13614.261003267346</v>
      </c>
      <c r="J3" s="10">
        <f t="shared" si="3"/>
        <v>529823866241.08752</v>
      </c>
      <c r="K3" s="11">
        <f t="shared" si="4"/>
        <v>2.3321600000000053E-2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38607965.191468582</v>
      </c>
      <c r="D4" s="11">
        <v>7.6E-3</v>
      </c>
      <c r="E4" s="10">
        <f t="shared" si="2"/>
        <v>291207.35952278972</v>
      </c>
      <c r="F4" s="3"/>
      <c r="G4" s="26">
        <v>-1.43</v>
      </c>
      <c r="H4" s="10"/>
      <c r="I4" s="10">
        <f t="shared" si="5"/>
        <v>13410.422580050576</v>
      </c>
      <c r="J4" s="10">
        <f t="shared" si="3"/>
        <v>517749128173.47693</v>
      </c>
      <c r="K4" s="11">
        <f t="shared" si="4"/>
        <v>-6.8086799999999004E-3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38316757.831945792</v>
      </c>
      <c r="D5" s="11">
        <v>8.0000000000000002E-3</v>
      </c>
      <c r="E5" s="10">
        <f t="shared" si="2"/>
        <v>304101.25263448805</v>
      </c>
      <c r="F5" s="3"/>
      <c r="G5" s="26">
        <v>1.2</v>
      </c>
      <c r="H5" s="10"/>
      <c r="I5" s="10">
        <f t="shared" si="5"/>
        <v>13604.973704018033</v>
      </c>
      <c r="J5" s="10">
        <f t="shared" si="3"/>
        <v>521298482726.84955</v>
      </c>
      <c r="K5" s="11">
        <f t="shared" si="4"/>
        <v>2.0096000000000114E-2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38012656.579311304</v>
      </c>
      <c r="D6" s="11">
        <v>7.9000000000000008E-3</v>
      </c>
      <c r="E6" s="10">
        <f t="shared" si="2"/>
        <v>297946.211902529</v>
      </c>
      <c r="F6" s="3"/>
      <c r="G6" s="26">
        <v>-0.64</v>
      </c>
      <c r="H6" s="10"/>
      <c r="I6" s="10">
        <f t="shared" si="5"/>
        <v>13443.649905156159</v>
      </c>
      <c r="J6" s="10">
        <f t="shared" si="3"/>
        <v>511028847017.19202</v>
      </c>
      <c r="K6" s="11">
        <f t="shared" si="4"/>
        <v>1.449440000000024E-3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37714710.367408775</v>
      </c>
      <c r="D7" s="11">
        <v>8.5000000000000006E-3</v>
      </c>
      <c r="E7" s="10">
        <f t="shared" si="2"/>
        <v>317873.11663160473</v>
      </c>
      <c r="F7" s="3"/>
      <c r="G7" s="26">
        <v>0.09</v>
      </c>
      <c r="H7" s="10"/>
      <c r="I7" s="10">
        <f t="shared" si="5"/>
        <v>13530.243463321414</v>
      </c>
      <c r="J7" s="10">
        <f t="shared" si="3"/>
        <v>510289213419.69293</v>
      </c>
      <c r="K7" s="11">
        <f t="shared" si="4"/>
        <v>9.4076499999997676E-3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37396837.25077717</v>
      </c>
      <c r="D8" s="11">
        <v>8.8000000000000005E-3</v>
      </c>
      <c r="E8" s="10">
        <f t="shared" si="2"/>
        <v>326221.4193168506</v>
      </c>
      <c r="F8" s="3"/>
      <c r="G8" s="26">
        <v>-3.77</v>
      </c>
      <c r="H8" s="10"/>
      <c r="I8" s="10">
        <f t="shared" si="5"/>
        <v>13518.077193846953</v>
      </c>
      <c r="J8" s="10">
        <f t="shared" si="3"/>
        <v>505533332761.73706</v>
      </c>
      <c r="K8" s="11">
        <f t="shared" si="4"/>
        <v>-2.923175999999994E-2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37070615.831460319</v>
      </c>
      <c r="D9" s="11">
        <v>9.4999999999999998E-3</v>
      </c>
      <c r="E9" s="10">
        <f t="shared" si="2"/>
        <v>348856.71163830906</v>
      </c>
      <c r="F9" s="3"/>
      <c r="G9" s="26">
        <v>0.77</v>
      </c>
      <c r="H9" s="10"/>
      <c r="I9" s="10">
        <f t="shared" si="5"/>
        <v>14047.674523378315</v>
      </c>
      <c r="J9" s="10">
        <f t="shared" si="3"/>
        <v>520755945581.54999</v>
      </c>
      <c r="K9" s="11">
        <f t="shared" si="4"/>
        <v>1.727315000000007E-2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36721759.11982201</v>
      </c>
      <c r="D10" s="11">
        <v>9.4999999999999998E-3</v>
      </c>
      <c r="E10" s="10">
        <f t="shared" si="2"/>
        <v>345573.7609096691</v>
      </c>
      <c r="F10" s="3"/>
      <c r="G10" s="26">
        <v>3.53</v>
      </c>
      <c r="H10" s="10"/>
      <c r="I10" s="10">
        <f t="shared" si="5"/>
        <v>13940.333951948312</v>
      </c>
      <c r="J10" s="10">
        <f t="shared" si="3"/>
        <v>511913585433.32233</v>
      </c>
      <c r="K10" s="11">
        <f t="shared" si="4"/>
        <v>4.5135350000000019E-2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36376185.358912341</v>
      </c>
      <c r="D11" s="11">
        <v>9.5999999999999992E-3</v>
      </c>
      <c r="E11" s="10">
        <f t="shared" si="2"/>
        <v>345890.82750154287</v>
      </c>
      <c r="F11" s="3"/>
      <c r="G11" s="26">
        <v>4.04</v>
      </c>
      <c r="H11" s="10"/>
      <c r="I11" s="10">
        <f t="shared" si="5"/>
        <v>13465.018788706959</v>
      </c>
      <c r="J11" s="10">
        <f t="shared" si="3"/>
        <v>489806019319.24164</v>
      </c>
      <c r="K11" s="11">
        <f t="shared" si="4"/>
        <v>5.0387839999999962E-2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36030294.531410798</v>
      </c>
      <c r="D12" s="11">
        <v>9.1999999999999998E-3</v>
      </c>
      <c r="E12" s="10">
        <f t="shared" si="2"/>
        <v>328456.90615238249</v>
      </c>
      <c r="F12" s="3"/>
      <c r="G12" s="26">
        <v>3.55</v>
      </c>
      <c r="H12" s="10"/>
      <c r="I12" s="10">
        <f t="shared" si="5"/>
        <v>12942.155698488043</v>
      </c>
      <c r="J12" s="10">
        <f t="shared" si="3"/>
        <v>466309681687.90082</v>
      </c>
      <c r="K12" s="11">
        <f t="shared" si="4"/>
        <v>4.5026600000000139E-2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35701837.625258416</v>
      </c>
      <c r="D13" s="11">
        <v>9.2999999999999992E-3</v>
      </c>
      <c r="E13" s="10">
        <f t="shared" si="2"/>
        <v>328967.69039423764</v>
      </c>
      <c r="F13" s="3"/>
      <c r="G13" s="26">
        <v>3.11</v>
      </c>
      <c r="H13" s="10"/>
      <c r="I13" s="10">
        <f t="shared" si="5"/>
        <v>12498.460355855183</v>
      </c>
      <c r="J13" s="10">
        <f t="shared" si="3"/>
        <v>446218002190.47125</v>
      </c>
      <c r="K13" s="11">
        <f t="shared" si="4"/>
        <v>4.068922999999991E-2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35372869.934864178</v>
      </c>
      <c r="D14" s="11">
        <v>1.1599999999999999E-2</v>
      </c>
      <c r="E14" s="10">
        <f t="shared" si="2"/>
        <v>405620.09810639173</v>
      </c>
      <c r="F14" s="3"/>
      <c r="G14" s="26">
        <v>2.94</v>
      </c>
      <c r="H14" s="10"/>
      <c r="I14" s="10">
        <f t="shared" si="5"/>
        <v>12121.482257642501</v>
      </c>
      <c r="J14" s="10">
        <f t="shared" si="3"/>
        <v>428771615317.35199</v>
      </c>
      <c r="K14" s="11">
        <f t="shared" si="4"/>
        <v>4.1341040000000051E-2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34967249.836757787</v>
      </c>
      <c r="D15" s="11">
        <v>1.23E-2</v>
      </c>
      <c r="E15" s="10">
        <f t="shared" si="2"/>
        <v>424871.25653671473</v>
      </c>
      <c r="F15" s="3"/>
      <c r="G15" s="26">
        <v>2.76</v>
      </c>
      <c r="H15" s="10"/>
      <c r="I15" s="10">
        <f t="shared" si="5"/>
        <v>11775.288767867205</v>
      </c>
      <c r="J15" s="10">
        <f t="shared" si="3"/>
        <v>411749464245.98035</v>
      </c>
      <c r="K15" s="11">
        <f t="shared" si="4"/>
        <v>4.0239480000000105E-2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34542378.580221072</v>
      </c>
      <c r="D16" s="11">
        <v>1.49E-2</v>
      </c>
      <c r="E16" s="10">
        <f t="shared" si="2"/>
        <v>507125.2742588371</v>
      </c>
      <c r="F16" s="3"/>
      <c r="G16" s="26">
        <v>3.92</v>
      </c>
      <c r="H16" s="10"/>
      <c r="I16" s="10">
        <f t="shared" si="5"/>
        <v>11459.019820812771</v>
      </c>
      <c r="J16" s="10">
        <f t="shared" si="3"/>
        <v>395821800808.77179</v>
      </c>
      <c r="K16" s="11">
        <f t="shared" si="4"/>
        <v>5.4684079999999913E-2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34035253.305962235</v>
      </c>
      <c r="D17" s="11">
        <v>1.41E-2</v>
      </c>
      <c r="E17" s="10">
        <f t="shared" si="2"/>
        <v>473224.60468796641</v>
      </c>
      <c r="F17" s="3"/>
      <c r="G17" s="26">
        <v>5.2</v>
      </c>
      <c r="H17" s="10"/>
      <c r="I17" s="10">
        <f t="shared" si="5"/>
        <v>11026.770420335617</v>
      </c>
      <c r="J17" s="10">
        <f t="shared" si="3"/>
        <v>375298924402.81439</v>
      </c>
      <c r="K17" s="11">
        <f t="shared" si="4"/>
        <v>6.6833200000000037E-2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33562028.701274268</v>
      </c>
      <c r="D18" s="11">
        <v>1.1650000000000001E-2</v>
      </c>
      <c r="E18" s="10">
        <f t="shared" si="2"/>
        <v>386494.96799273044</v>
      </c>
      <c r="F18" s="3"/>
      <c r="G18" s="26">
        <v>4.41</v>
      </c>
      <c r="H18" s="10"/>
      <c r="I18" s="10">
        <f t="shared" si="5"/>
        <v>10481.720931877962</v>
      </c>
      <c r="J18" s="10">
        <f t="shared" si="3"/>
        <v>351787818754.43542</v>
      </c>
      <c r="K18" s="11">
        <f t="shared" si="4"/>
        <v>5.6263764999999966E-2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33175533.733281538</v>
      </c>
      <c r="D19" s="11">
        <v>1.77E-2</v>
      </c>
      <c r="E19" s="10">
        <f t="shared" si="2"/>
        <v>576994.15061322972</v>
      </c>
      <c r="F19" s="3"/>
      <c r="G19" s="26">
        <v>4.3</v>
      </c>
      <c r="H19" s="10"/>
      <c r="I19" s="10">
        <f t="shared" si="5"/>
        <v>10039.000988294189</v>
      </c>
      <c r="J19" s="10">
        <f t="shared" si="3"/>
        <v>333049215935.60052</v>
      </c>
      <c r="K19" s="11">
        <f t="shared" si="4"/>
        <v>6.1461100000000046E-2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32598539.582668308</v>
      </c>
      <c r="D20" s="11">
        <v>1.7000000000000001E-2</v>
      </c>
      <c r="E20" s="10">
        <f t="shared" si="2"/>
        <v>544911.674439881</v>
      </c>
      <c r="F20" s="3"/>
      <c r="G20" s="26">
        <v>3.59</v>
      </c>
      <c r="H20" s="10"/>
      <c r="I20" s="10">
        <f t="shared" si="5"/>
        <v>9625.1207941459143</v>
      </c>
      <c r="J20" s="10">
        <f t="shared" si="3"/>
        <v>313764881195.92938</v>
      </c>
      <c r="K20" s="11">
        <f t="shared" si="4"/>
        <v>5.3510300000000122E-2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32053627.908228427</v>
      </c>
      <c r="D21" s="11">
        <v>1.66E-2</v>
      </c>
      <c r="E21" s="10">
        <f t="shared" si="2"/>
        <v>523401.75415757298</v>
      </c>
      <c r="F21" s="3"/>
      <c r="G21" s="26">
        <v>2.61</v>
      </c>
      <c r="H21" s="10"/>
      <c r="I21" s="10">
        <f t="shared" si="5"/>
        <v>9291.5540053537152</v>
      </c>
      <c r="J21" s="10">
        <f t="shared" si="3"/>
        <v>297828014776.81744</v>
      </c>
      <c r="K21" s="11">
        <f t="shared" si="4"/>
        <v>4.313325999999984E-2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31530226.154070854</v>
      </c>
      <c r="D22" s="11">
        <v>1.6900000000000002E-2</v>
      </c>
      <c r="E22" s="10">
        <f t="shared" si="2"/>
        <v>524005.13521860167</v>
      </c>
      <c r="F22" s="3"/>
      <c r="G22" s="26">
        <v>2.76</v>
      </c>
      <c r="H22" s="10"/>
      <c r="I22" s="10">
        <f t="shared" si="5"/>
        <v>9055.2129474259</v>
      </c>
      <c r="J22" s="10">
        <f t="shared" si="3"/>
        <v>285512912105.60913</v>
      </c>
      <c r="K22" s="11">
        <f t="shared" si="4"/>
        <v>4.496643999999983E-2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31006221.018852253</v>
      </c>
      <c r="D23" s="11">
        <v>1.7299999999999999E-2</v>
      </c>
      <c r="E23" s="10">
        <f t="shared" si="2"/>
        <v>527285.58303956315</v>
      </c>
      <c r="F23" s="3"/>
      <c r="G23" s="26">
        <v>2.38</v>
      </c>
      <c r="H23" s="10"/>
      <c r="I23" s="10">
        <f t="shared" si="5"/>
        <v>8812.001700492312</v>
      </c>
      <c r="J23" s="10">
        <f t="shared" si="3"/>
        <v>273226872343.96652</v>
      </c>
      <c r="K23" s="11">
        <f t="shared" si="4"/>
        <v>4.1511740000000241E-2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30478935.435812689</v>
      </c>
      <c r="D24" s="11">
        <v>1.8200000000000001E-2</v>
      </c>
      <c r="E24" s="10">
        <f t="shared" si="2"/>
        <v>544801.24232153967</v>
      </c>
      <c r="F24" s="3"/>
      <c r="G24" s="26">
        <v>3.2</v>
      </c>
      <c r="H24" s="10"/>
      <c r="I24" s="10">
        <f t="shared" si="5"/>
        <v>8607.1514949133725</v>
      </c>
      <c r="J24" s="10">
        <f t="shared" si="3"/>
        <v>262336814699.72336</v>
      </c>
      <c r="K24" s="11">
        <f t="shared" si="4"/>
        <v>5.0782400000000116E-2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29934134.19349115</v>
      </c>
      <c r="D25" s="11">
        <v>1.89E-2</v>
      </c>
      <c r="E25" s="10">
        <f t="shared" si="2"/>
        <v>555260.7088595368</v>
      </c>
      <c r="F25" s="3"/>
      <c r="G25" s="26">
        <v>0.93</v>
      </c>
      <c r="H25" s="10"/>
      <c r="I25" s="10">
        <f t="shared" si="5"/>
        <v>8340.2630764664464</v>
      </c>
      <c r="J25" s="10">
        <f t="shared" si="3"/>
        <v>249658554139.96594</v>
      </c>
      <c r="K25" s="11">
        <f t="shared" si="4"/>
        <v>2.8375770000000244E-2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29378873.484631613</v>
      </c>
      <c r="D26" s="11">
        <v>1.84E-2</v>
      </c>
      <c r="E26" s="10">
        <f t="shared" si="2"/>
        <v>530804.46987158433</v>
      </c>
      <c r="F26" s="3"/>
      <c r="G26" s="26">
        <v>0.2</v>
      </c>
      <c r="H26" s="10"/>
      <c r="I26" s="10">
        <f t="shared" si="5"/>
        <v>8263.4133324744325</v>
      </c>
      <c r="J26" s="10">
        <f t="shared" si="3"/>
        <v>242769774845.98447</v>
      </c>
      <c r="K26" s="11">
        <f t="shared" si="4"/>
        <v>2.0436800000000144E-2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28848069.014760029</v>
      </c>
      <c r="D27" s="11">
        <v>1.6299999999999999E-2</v>
      </c>
      <c r="E27" s="10">
        <f t="shared" si="2"/>
        <v>462681.81141453236</v>
      </c>
      <c r="F27" s="3"/>
      <c r="G27" s="26">
        <v>-2.1</v>
      </c>
      <c r="H27" s="10"/>
      <c r="I27" s="10">
        <f t="shared" si="5"/>
        <v>8246.9194934874577</v>
      </c>
      <c r="J27" s="10">
        <f t="shared" si="3"/>
        <v>237907702707.29599</v>
      </c>
      <c r="K27" s="11">
        <f t="shared" si="4"/>
        <v>-5.042299999999944E-3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28385387.203345496</v>
      </c>
      <c r="D28" s="11">
        <v>1.44E-2</v>
      </c>
      <c r="E28" s="10">
        <f t="shared" si="2"/>
        <v>402947.13695600629</v>
      </c>
      <c r="F28" s="3"/>
      <c r="G28" s="26">
        <v>4.83</v>
      </c>
      <c r="H28" s="10"/>
      <c r="I28" s="10">
        <f t="shared" si="5"/>
        <v>8423.8197073416322</v>
      </c>
      <c r="J28" s="10">
        <f t="shared" si="3"/>
        <v>239113384124.06476</v>
      </c>
      <c r="K28" s="11">
        <f t="shared" si="4"/>
        <v>6.3395519999999816E-2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27982440.06638949</v>
      </c>
      <c r="D29" s="11">
        <v>1.4100000000000001E-2</v>
      </c>
      <c r="E29" s="10">
        <f t="shared" si="2"/>
        <v>389066.56635054946</v>
      </c>
      <c r="F29" s="3"/>
      <c r="G29" s="26">
        <v>5.09</v>
      </c>
      <c r="H29" s="10"/>
      <c r="I29" s="10">
        <f t="shared" si="5"/>
        <v>8035.6956094072611</v>
      </c>
      <c r="J29" s="10">
        <f t="shared" si="3"/>
        <v>224858370781.98785</v>
      </c>
      <c r="K29" s="11">
        <f t="shared" si="4"/>
        <v>6.5717689999999829E-2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27593373.50003894</v>
      </c>
      <c r="D30" s="11">
        <v>1.3899999999999999E-2</v>
      </c>
      <c r="E30" s="10">
        <f t="shared" si="2"/>
        <v>378289.66530283168</v>
      </c>
      <c r="F30" s="3"/>
      <c r="G30" s="26">
        <v>5.55</v>
      </c>
      <c r="H30" s="10"/>
      <c r="I30" s="10">
        <f t="shared" si="5"/>
        <v>7646.4893038417185</v>
      </c>
      <c r="J30" s="10">
        <f t="shared" si="3"/>
        <v>210992435324.95728</v>
      </c>
      <c r="K30" s="11">
        <f t="shared" si="4"/>
        <v>7.0171449999999913E-2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27215083.834736109</v>
      </c>
      <c r="D31" s="11">
        <v>1.4200000000000001E-2</v>
      </c>
      <c r="E31" s="10">
        <f t="shared" si="2"/>
        <v>381043.37453485653</v>
      </c>
      <c r="F31" s="3"/>
      <c r="G31" s="26">
        <v>3.25</v>
      </c>
      <c r="H31" s="10"/>
      <c r="I31" s="10">
        <f t="shared" si="5"/>
        <v>7244.4237838386716</v>
      </c>
      <c r="J31" s="10">
        <f t="shared" si="3"/>
        <v>197157600611.52563</v>
      </c>
      <c r="K31" s="11">
        <f t="shared" si="4"/>
        <v>4.7161499999999856E-2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26834040.460201252</v>
      </c>
      <c r="D32" s="11">
        <v>1.89E-2</v>
      </c>
      <c r="E32" s="10">
        <f t="shared" si="2"/>
        <v>497755.78044734523</v>
      </c>
      <c r="F32" s="3"/>
      <c r="G32" s="26">
        <v>2.3199999999999998</v>
      </c>
      <c r="H32" s="10"/>
      <c r="I32" s="10">
        <f t="shared" si="5"/>
        <v>7016.3910739357598</v>
      </c>
      <c r="J32" s="10">
        <f t="shared" si="3"/>
        <v>188278121962.5871</v>
      </c>
      <c r="K32" s="11">
        <f t="shared" si="4"/>
        <v>4.2538479999999934E-2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26336284.679753907</v>
      </c>
      <c r="D33" s="11">
        <v>1.37E-2</v>
      </c>
      <c r="E33" s="10">
        <f t="shared" si="2"/>
        <v>355930.84750185534</v>
      </c>
      <c r="F33" s="3"/>
      <c r="G33" s="26">
        <v>1.78</v>
      </c>
      <c r="H33" s="10"/>
      <c r="I33" s="10">
        <f t="shared" si="5"/>
        <v>6857.3016750740417</v>
      </c>
      <c r="J33" s="10">
        <f t="shared" si="3"/>
        <v>180595849049.70328</v>
      </c>
      <c r="K33" s="11">
        <f t="shared" si="4"/>
        <v>3.1743860000000179E-2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25980353.832252052</v>
      </c>
      <c r="D34" s="11">
        <v>1.4100000000000001E-2</v>
      </c>
      <c r="E34" s="10">
        <f t="shared" si="2"/>
        <v>361229.65095626935</v>
      </c>
      <c r="F34" s="3"/>
      <c r="G34" s="26">
        <v>0.47</v>
      </c>
      <c r="H34" s="10"/>
      <c r="I34" s="10">
        <f t="shared" si="5"/>
        <v>6737.3763755885648</v>
      </c>
      <c r="J34" s="10">
        <f t="shared" ref="J34:J65" si="6">IF(I34="","",I34*C34)</f>
        <v>175039422138.8468</v>
      </c>
      <c r="K34" s="11">
        <f t="shared" ref="K34:K65" si="7">IFERROR(J34/J35-1,"")</f>
        <v>3.2049570000000083E-2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25619124.181295782</v>
      </c>
      <c r="D35" s="11">
        <v>1.4499999999999999E-2</v>
      </c>
      <c r="E35" s="10">
        <f t="shared" si="2"/>
        <v>366167.86656361446</v>
      </c>
      <c r="F35" s="3"/>
      <c r="G35" s="26">
        <v>-1.45</v>
      </c>
      <c r="H35" s="10"/>
      <c r="I35" s="10">
        <f t="shared" ref="I35:I66" si="8">IF(H35&lt;&gt;"",H35,I34/(1+IF(G34="",0,G34)/100))</f>
        <v>6620.1988558401927</v>
      </c>
      <c r="J35" s="10">
        <f t="shared" si="6"/>
        <v>169603696592.64215</v>
      </c>
      <c r="K35" s="11">
        <f t="shared" si="7"/>
        <v>2.7181249999999935E-2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25252956.314732168</v>
      </c>
      <c r="D36" s="11">
        <v>1.4800000000000001E-2</v>
      </c>
      <c r="E36" s="10">
        <f t="shared" si="2"/>
        <v>368293.01680925861</v>
      </c>
      <c r="F36" s="3"/>
      <c r="G36" s="26">
        <v>-4.93</v>
      </c>
      <c r="H36" s="10"/>
      <c r="I36" s="10">
        <f t="shared" si="8"/>
        <v>6538.4680057680916</v>
      </c>
      <c r="J36" s="10">
        <f t="shared" si="6"/>
        <v>165115646914.93558</v>
      </c>
      <c r="K36" s="11">
        <f t="shared" si="7"/>
        <v>1.3480759999999981E-2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24884663.297922909</v>
      </c>
      <c r="D37" s="11">
        <v>1.4599999999999998E-2</v>
      </c>
      <c r="E37" s="10">
        <f t="shared" si="2"/>
        <v>358087.99935903028</v>
      </c>
      <c r="F37" s="3"/>
      <c r="G37" s="26">
        <v>-4.63</v>
      </c>
      <c r="H37" s="10"/>
      <c r="I37" s="10">
        <f t="shared" si="8"/>
        <v>6546.9790785702326</v>
      </c>
      <c r="J37" s="10">
        <f t="shared" si="6"/>
        <v>162919369988.76581</v>
      </c>
      <c r="K37" s="11">
        <f t="shared" si="7"/>
        <v>2.139781999999979E-2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24526575.298563879</v>
      </c>
      <c r="D38" s="11">
        <v>1.6E-2</v>
      </c>
      <c r="E38" s="10">
        <f t="shared" si="2"/>
        <v>386245.28029234335</v>
      </c>
      <c r="F38" s="3"/>
      <c r="G38" s="26">
        <v>-4.9</v>
      </c>
      <c r="H38" s="10"/>
      <c r="I38" s="10">
        <f t="shared" si="8"/>
        <v>6503.4062566506736</v>
      </c>
      <c r="J38" s="10">
        <f t="shared" si="6"/>
        <v>159506283250.8942</v>
      </c>
      <c r="K38" s="11">
        <f t="shared" si="7"/>
        <v>3.8080000000000336E-3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24140330.018271536</v>
      </c>
      <c r="D39" s="11">
        <v>1.5599999999999999E-2</v>
      </c>
      <c r="E39" s="10">
        <f t="shared" si="2"/>
        <v>370804.59657841548</v>
      </c>
      <c r="F39" s="3"/>
      <c r="G39" s="26">
        <v>1.46</v>
      </c>
      <c r="H39" s="10"/>
      <c r="I39" s="10">
        <f t="shared" si="8"/>
        <v>6582.3949966099935</v>
      </c>
      <c r="J39" s="10">
        <f t="shared" si="6"/>
        <v>158901187528.78458</v>
      </c>
      <c r="K39" s="11">
        <f t="shared" si="7"/>
        <v>3.0427760000000026E-2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23769525.42169312</v>
      </c>
      <c r="D40" s="11">
        <v>1.5099999999999999E-2</v>
      </c>
      <c r="E40" s="10">
        <f t="shared" si="2"/>
        <v>353580.76432623714</v>
      </c>
      <c r="F40" s="3"/>
      <c r="G40" s="26">
        <v>2.84</v>
      </c>
      <c r="H40" s="10"/>
      <c r="I40" s="10">
        <f t="shared" si="8"/>
        <v>6487.6749424502204</v>
      </c>
      <c r="J40" s="10">
        <f t="shared" si="6"/>
        <v>154208954472.25195</v>
      </c>
      <c r="K40" s="11">
        <f t="shared" si="7"/>
        <v>4.3928839999999747E-2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23415944.657366883</v>
      </c>
      <c r="D41" s="11">
        <v>1.4499999999999999E-2</v>
      </c>
      <c r="E41" s="10">
        <f t="shared" si="2"/>
        <v>334678.36129307002</v>
      </c>
      <c r="F41" s="3"/>
      <c r="G41" s="26">
        <v>3.3</v>
      </c>
      <c r="H41" s="10"/>
      <c r="I41" s="10">
        <f t="shared" si="8"/>
        <v>6308.5131684657918</v>
      </c>
      <c r="J41" s="10">
        <f t="shared" si="6"/>
        <v>147719795223.06519</v>
      </c>
      <c r="K41" s="11">
        <f t="shared" si="7"/>
        <v>4.7978499999999924E-2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23081266.296073813</v>
      </c>
      <c r="D42" s="11">
        <v>1.9900000000000001E-2</v>
      </c>
      <c r="E42" s="10">
        <f t="shared" si="2"/>
        <v>450355.13216184825</v>
      </c>
      <c r="F42" s="3"/>
      <c r="G42" s="26">
        <v>-4.3</v>
      </c>
      <c r="H42" s="10"/>
      <c r="I42" s="10">
        <f t="shared" si="8"/>
        <v>6106.9827381082214</v>
      </c>
      <c r="J42" s="10">
        <f t="shared" si="6"/>
        <v>140956894843.80185</v>
      </c>
      <c r="K42" s="11">
        <f t="shared" si="7"/>
        <v>-2.3955700000000135E-2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22630911.163911965</v>
      </c>
      <c r="D43" s="11">
        <v>1.4100000000000001E-2</v>
      </c>
      <c r="E43" s="10">
        <f t="shared" si="2"/>
        <v>314659.15334893763</v>
      </c>
      <c r="F43" s="3"/>
      <c r="G43" s="26">
        <v>5.62</v>
      </c>
      <c r="H43" s="10"/>
      <c r="I43" s="10">
        <f t="shared" si="8"/>
        <v>6381.3821714819451</v>
      </c>
      <c r="J43" s="10">
        <f t="shared" si="6"/>
        <v>144416493025.77954</v>
      </c>
      <c r="K43" s="11">
        <f t="shared" si="7"/>
        <v>7.1092420000000045E-2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22316252.010563027</v>
      </c>
      <c r="D44" s="11">
        <v>1.4499999999999999E-2</v>
      </c>
      <c r="E44" s="10">
        <f t="shared" si="2"/>
        <v>318960.7236600928</v>
      </c>
      <c r="F44" s="3"/>
      <c r="G44" s="26">
        <v>7.79</v>
      </c>
      <c r="H44" s="10"/>
      <c r="I44" s="10">
        <f t="shared" si="8"/>
        <v>6041.8312549535549</v>
      </c>
      <c r="J44" s="10">
        <f t="shared" si="6"/>
        <v>134831028890.83981</v>
      </c>
      <c r="K44" s="11">
        <f t="shared" si="7"/>
        <v>9.3529550000000183E-2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21997291.286902934</v>
      </c>
      <c r="D45" s="11">
        <v>1.5699999999999999E-2</v>
      </c>
      <c r="E45" s="10">
        <f t="shared" si="2"/>
        <v>340019.17220082507</v>
      </c>
      <c r="F45" s="3"/>
      <c r="G45" s="26">
        <v>8.15</v>
      </c>
      <c r="H45" s="10"/>
      <c r="I45" s="10">
        <f t="shared" si="8"/>
        <v>5605.1871740918032</v>
      </c>
      <c r="J45" s="10">
        <f t="shared" si="6"/>
        <v>123298934986.1097</v>
      </c>
      <c r="K45" s="11">
        <f t="shared" si="7"/>
        <v>9.8479549999999971E-2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21657272.114702109</v>
      </c>
      <c r="D46" s="11">
        <v>1.7600000000000001E-2</v>
      </c>
      <c r="E46" s="10">
        <f t="shared" si="2"/>
        <v>374575.46110333875</v>
      </c>
      <c r="F46" s="3"/>
      <c r="G46" s="26">
        <v>4.6500000000000004</v>
      </c>
      <c r="H46" s="10"/>
      <c r="I46" s="10">
        <f t="shared" si="8"/>
        <v>5182.7898049854866</v>
      </c>
      <c r="J46" s="10">
        <f t="shared" si="6"/>
        <v>112245089119.87456</v>
      </c>
      <c r="K46" s="11">
        <f t="shared" si="7"/>
        <v>6.4918400000000043E-2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21282696.65359877</v>
      </c>
      <c r="D47" s="11">
        <v>1.67E-2</v>
      </c>
      <c r="E47" s="10">
        <f t="shared" si="2"/>
        <v>349582.99804770201</v>
      </c>
      <c r="F47" s="3"/>
      <c r="G47" s="26">
        <v>4.24</v>
      </c>
      <c r="H47" s="10"/>
      <c r="I47" s="10">
        <f t="shared" si="8"/>
        <v>4952.498619193012</v>
      </c>
      <c r="J47" s="10">
        <f t="shared" si="6"/>
        <v>105402525789.65164</v>
      </c>
      <c r="K47" s="11">
        <f t="shared" si="7"/>
        <v>5.9808080000000041E-2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20933113.655551068</v>
      </c>
      <c r="D48" s="11">
        <v>1.4800000000000001E-2</v>
      </c>
      <c r="E48" s="10">
        <f t="shared" si="2"/>
        <v>305291.76399502903</v>
      </c>
      <c r="F48" s="3"/>
      <c r="G48" s="26">
        <v>8.91</v>
      </c>
      <c r="H48" s="10"/>
      <c r="I48" s="10">
        <f t="shared" si="8"/>
        <v>4751.0539324568417</v>
      </c>
      <c r="J48" s="10">
        <f t="shared" si="6"/>
        <v>99454351951.771912</v>
      </c>
      <c r="K48" s="11">
        <f t="shared" si="7"/>
        <v>0.1052186799999999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20627821.891556039</v>
      </c>
      <c r="D49" s="11">
        <v>1.4999999999999999E-2</v>
      </c>
      <c r="E49" s="10">
        <f t="shared" si="2"/>
        <v>304844.65849589929</v>
      </c>
      <c r="F49" s="3"/>
      <c r="G49" s="26">
        <v>6.6</v>
      </c>
      <c r="H49" s="10"/>
      <c r="I49" s="10">
        <f t="shared" si="8"/>
        <v>4362.3670300769827</v>
      </c>
      <c r="J49" s="10">
        <f t="shared" si="6"/>
        <v>89986130122.024292</v>
      </c>
      <c r="K49" s="11">
        <f t="shared" si="7"/>
        <v>8.1990000000000007E-2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20322977.23306014</v>
      </c>
      <c r="D50" s="11">
        <v>2.0900000000000002E-2</v>
      </c>
      <c r="E50" s="10">
        <f t="shared" si="2"/>
        <v>416054.68133113533</v>
      </c>
      <c r="F50" s="3"/>
      <c r="G50" s="26">
        <v>4.34</v>
      </c>
      <c r="H50" s="10"/>
      <c r="I50" s="10">
        <f t="shared" si="8"/>
        <v>4092.2767636744675</v>
      </c>
      <c r="J50" s="10">
        <f t="shared" si="6"/>
        <v>83167247499.537231</v>
      </c>
      <c r="K50" s="11">
        <f t="shared" si="7"/>
        <v>6.5207060000000094E-2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19906922.551729005</v>
      </c>
      <c r="D51" s="11">
        <v>1.6500000000000001E-2</v>
      </c>
      <c r="E51" s="10">
        <f t="shared" si="2"/>
        <v>323132.53527154773</v>
      </c>
      <c r="F51" s="3"/>
      <c r="G51" s="26">
        <v>7.25</v>
      </c>
      <c r="H51" s="10"/>
      <c r="I51" s="10">
        <f t="shared" si="8"/>
        <v>3922.0593863086706</v>
      </c>
      <c r="J51" s="10">
        <f t="shared" si="6"/>
        <v>78076132446.528488</v>
      </c>
      <c r="K51" s="11">
        <f t="shared" si="7"/>
        <v>9.0196249999999978E-2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19583790.016457457</v>
      </c>
      <c r="D52" s="11">
        <v>1.7500000000000002E-2</v>
      </c>
      <c r="E52" s="10">
        <f t="shared" si="2"/>
        <v>336821.94131499529</v>
      </c>
      <c r="F52" s="3"/>
      <c r="G52" s="26">
        <v>6.25</v>
      </c>
      <c r="H52" s="10"/>
      <c r="I52" s="10">
        <f t="shared" si="8"/>
        <v>3656.931828726033</v>
      </c>
      <c r="J52" s="10">
        <f t="shared" si="6"/>
        <v>71616585038.270401</v>
      </c>
      <c r="K52" s="11">
        <f t="shared" si="7"/>
        <v>8.1093750000000187E-2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19246968.075142462</v>
      </c>
      <c r="D53" s="11">
        <v>1.89E-2</v>
      </c>
      <c r="E53" s="10">
        <f t="shared" si="2"/>
        <v>357020.01827479899</v>
      </c>
      <c r="F53" s="3"/>
      <c r="G53" s="26">
        <v>5.31</v>
      </c>
      <c r="H53" s="10"/>
      <c r="I53" s="10">
        <f t="shared" si="8"/>
        <v>3441.8181917421489</v>
      </c>
      <c r="J53" s="10">
        <f t="shared" si="6"/>
        <v>66244564856.905693</v>
      </c>
      <c r="K53" s="11">
        <f t="shared" si="7"/>
        <v>7.3003589999999896E-2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18889948.056867663</v>
      </c>
      <c r="D54" s="11">
        <v>1.9400000000000001E-2</v>
      </c>
      <c r="E54" s="10">
        <f t="shared" si="2"/>
        <v>359490.86943617091</v>
      </c>
      <c r="F54" s="3"/>
      <c r="G54" s="26">
        <v>9.6</v>
      </c>
      <c r="H54" s="10"/>
      <c r="I54" s="10">
        <f t="shared" si="8"/>
        <v>3268.2729007142239</v>
      </c>
      <c r="J54" s="10">
        <f t="shared" si="6"/>
        <v>61737505330.159889</v>
      </c>
      <c r="K54" s="11">
        <f t="shared" si="7"/>
        <v>0.11726239999999999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18530457.187431492</v>
      </c>
      <c r="D55" s="11">
        <v>2.0400000000000001E-2</v>
      </c>
      <c r="E55" s="10">
        <f t="shared" si="2"/>
        <v>370463.86380204186</v>
      </c>
      <c r="F55" s="3"/>
      <c r="G55" s="26">
        <v>9.9499999999999993</v>
      </c>
      <c r="H55" s="10"/>
      <c r="I55" s="10">
        <f t="shared" si="8"/>
        <v>2982.0008218195471</v>
      </c>
      <c r="J55" s="10">
        <f t="shared" si="6"/>
        <v>55257838561.61264</v>
      </c>
      <c r="K55" s="11">
        <f t="shared" si="7"/>
        <v>0.12192979999999998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18159993.32362945</v>
      </c>
      <c r="D56" s="11">
        <v>2.1600000000000001E-2</v>
      </c>
      <c r="E56" s="10">
        <f t="shared" si="2"/>
        <v>383962.2707423605</v>
      </c>
      <c r="F56" s="3"/>
      <c r="G56" s="26">
        <v>11.84</v>
      </c>
      <c r="H56" s="10"/>
      <c r="I56" s="10">
        <f t="shared" si="8"/>
        <v>2712.1426301223714</v>
      </c>
      <c r="J56" s="10">
        <f t="shared" si="6"/>
        <v>49252492055.753082</v>
      </c>
      <c r="K56" s="11">
        <f t="shared" si="7"/>
        <v>0.14255744000000004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17776031.05288709</v>
      </c>
      <c r="D57" s="11">
        <v>2.2000000000000002E-2</v>
      </c>
      <c r="E57" s="10">
        <f t="shared" si="2"/>
        <v>382654.2888097018</v>
      </c>
      <c r="F57" s="3"/>
      <c r="G57" s="26">
        <v>-0.06</v>
      </c>
      <c r="H57" s="10"/>
      <c r="I57" s="10">
        <f t="shared" si="8"/>
        <v>2425.0202343726496</v>
      </c>
      <c r="J57" s="10">
        <f t="shared" si="6"/>
        <v>43107234990.087746</v>
      </c>
      <c r="K57" s="11">
        <f t="shared" si="7"/>
        <v>2.1386799999999928E-2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17393376.764077388</v>
      </c>
      <c r="D58" s="11">
        <v>2.2000000000000002E-2</v>
      </c>
      <c r="E58" s="10">
        <f t="shared" si="2"/>
        <v>374417.11233825982</v>
      </c>
      <c r="F58" s="3"/>
      <c r="G58" s="26">
        <v>-0.86</v>
      </c>
      <c r="H58" s="10"/>
      <c r="I58" s="10">
        <f t="shared" si="8"/>
        <v>2426.4761200446765</v>
      </c>
      <c r="J58" s="10">
        <f t="shared" si="6"/>
        <v>42204613364.973732</v>
      </c>
      <c r="K58" s="11">
        <f t="shared" si="7"/>
        <v>1.3210799999999967E-2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17018959.651739128</v>
      </c>
      <c r="D59" s="11">
        <v>2.2000000000000002E-2</v>
      </c>
      <c r="E59" s="10">
        <f t="shared" si="2"/>
        <v>366357.2527771648</v>
      </c>
      <c r="F59" s="3"/>
      <c r="G59" s="26">
        <v>6.56</v>
      </c>
      <c r="H59" s="10"/>
      <c r="I59" s="10">
        <f t="shared" si="8"/>
        <v>2447.5248336137547</v>
      </c>
      <c r="J59" s="10">
        <f t="shared" si="6"/>
        <v>41654326389.902016</v>
      </c>
      <c r="K59" s="11">
        <f t="shared" si="7"/>
        <v>8.90432000000001E-2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16652602.398961963</v>
      </c>
      <c r="D60" s="11">
        <v>2.3E-2</v>
      </c>
      <c r="E60" s="10">
        <f t="shared" si="2"/>
        <v>374398.68541165628</v>
      </c>
      <c r="F60" s="3"/>
      <c r="G60" s="26">
        <v>3.63</v>
      </c>
      <c r="H60" s="10"/>
      <c r="I60" s="10">
        <f t="shared" si="8"/>
        <v>2296.8513828957912</v>
      </c>
      <c r="J60" s="10">
        <f t="shared" si="6"/>
        <v>38248552848.869553</v>
      </c>
      <c r="K60" s="11">
        <f t="shared" si="7"/>
        <v>6.0134899999999991E-2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16278203.713550307</v>
      </c>
      <c r="D61" s="11">
        <v>2.3E-2</v>
      </c>
      <c r="E61" s="10">
        <f t="shared" si="2"/>
        <v>365981.11965948716</v>
      </c>
      <c r="F61" s="3"/>
      <c r="G61" s="26">
        <v>8.33</v>
      </c>
      <c r="H61" s="10"/>
      <c r="I61" s="10">
        <f t="shared" si="8"/>
        <v>2216.3962008065146</v>
      </c>
      <c r="J61" s="10">
        <f t="shared" si="6"/>
        <v>36078948866.667397</v>
      </c>
      <c r="K61" s="11">
        <f t="shared" si="7"/>
        <v>0.10821589999999981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15912222.59389082</v>
      </c>
      <c r="D62" s="11">
        <v>2.3E-2</v>
      </c>
      <c r="E62" s="10">
        <f t="shared" si="2"/>
        <v>357752.8051412385</v>
      </c>
      <c r="F62" s="3"/>
      <c r="G62" s="26">
        <v>3.57</v>
      </c>
      <c r="H62" s="10"/>
      <c r="I62" s="10">
        <f t="shared" si="8"/>
        <v>2045.967138194881</v>
      </c>
      <c r="J62" s="10">
        <f t="shared" si="6"/>
        <v>32555884522.742725</v>
      </c>
      <c r="K62" s="11">
        <f t="shared" si="7"/>
        <v>5.9521099999999993E-2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15554469.788749581</v>
      </c>
      <c r="D63" s="11">
        <v>2.3E-2</v>
      </c>
      <c r="E63" s="10">
        <f t="shared" si="2"/>
        <v>349709.48694158345</v>
      </c>
      <c r="F63" s="3"/>
      <c r="G63" s="26">
        <v>7.35</v>
      </c>
      <c r="H63" s="10"/>
      <c r="I63" s="10">
        <f t="shared" si="8"/>
        <v>1975.4437947232605</v>
      </c>
      <c r="J63" s="10">
        <f t="shared" si="6"/>
        <v>30726980824.395782</v>
      </c>
      <c r="K63" s="11">
        <f t="shared" si="7"/>
        <v>9.8190499999999847E-2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15204760.301807998</v>
      </c>
      <c r="D64" s="11">
        <v>2.3E-2</v>
      </c>
      <c r="E64" s="10">
        <f t="shared" si="2"/>
        <v>341847.00580799952</v>
      </c>
      <c r="F64" s="3"/>
      <c r="G64" s="26">
        <v>-0.03</v>
      </c>
      <c r="H64" s="10"/>
      <c r="I64" s="10">
        <f t="shared" si="8"/>
        <v>1840.1898413817053</v>
      </c>
      <c r="J64" s="10">
        <f t="shared" si="6"/>
        <v>27979645448.030907</v>
      </c>
      <c r="K64" s="11">
        <f t="shared" si="7"/>
        <v>2.2693099999999911E-2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14862913.295999998</v>
      </c>
      <c r="D65" s="11">
        <v>2.3E-2</v>
      </c>
      <c r="E65" s="10">
        <f t="shared" si="2"/>
        <v>334161.29599999823</v>
      </c>
      <c r="F65" s="3"/>
      <c r="G65" s="26">
        <v>9.24</v>
      </c>
      <c r="H65" s="10"/>
      <c r="I65" s="10">
        <f t="shared" si="8"/>
        <v>1840.7420640009054</v>
      </c>
      <c r="J65" s="10">
        <f t="shared" si="6"/>
        <v>27358789697.545536</v>
      </c>
      <c r="K65" s="11">
        <f t="shared" si="7"/>
        <v>0.1175252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14528752</v>
      </c>
      <c r="D66" s="11">
        <v>2.2000000000000002E-2</v>
      </c>
      <c r="E66" s="10">
        <f t="shared" si="2"/>
        <v>312752</v>
      </c>
      <c r="F66" s="23">
        <f>SUM(F2)</f>
        <v>39227750</v>
      </c>
      <c r="G66" s="26">
        <v>10.36</v>
      </c>
      <c r="H66" s="10"/>
      <c r="I66" s="10">
        <f t="shared" si="8"/>
        <v>1685.0439985361638</v>
      </c>
      <c r="J66" s="10">
        <f t="shared" ref="J66:J67" si="9">IF(I66="","",I66*C66)</f>
        <v>24481586363.820286</v>
      </c>
      <c r="K66" s="11">
        <f t="shared" ref="K66" si="10">IFERROR(J66/J67-1,"")</f>
        <v>0.12787919999999997</v>
      </c>
    </row>
    <row r="67" spans="1:11" ht="22.5" customHeight="1">
      <c r="A67" s="3">
        <f t="shared" si="0"/>
        <v>1950</v>
      </c>
      <c r="B67" s="3">
        <v>1700</v>
      </c>
      <c r="C67" s="10">
        <v>14216000</v>
      </c>
      <c r="D67" s="11">
        <v>2.2000000000000002E-2</v>
      </c>
      <c r="E67" s="3" t="s">
        <v>72</v>
      </c>
      <c r="F67" s="10">
        <f>SUM(C2)</f>
        <v>39228163.544304334</v>
      </c>
      <c r="G67" s="26">
        <v>2.34</v>
      </c>
      <c r="H67" s="10"/>
      <c r="I67" s="10">
        <f t="shared" ref="I67" si="11">IF(H67&lt;&gt;"",H67,I66/(1+IF(G66="",0,G66)/100))</f>
        <v>1526.8611802611126</v>
      </c>
      <c r="J67" s="10">
        <f t="shared" si="9"/>
        <v>21705858538.591976</v>
      </c>
      <c r="K67" s="11"/>
    </row>
  </sheetData>
  <dataValidations count="1">
    <dataValidation type="custom" allowBlank="1" showDropDown="1" sqref="D2:D67" xr:uid="{00000000-0002-0000-6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 summaryRight="0"/>
  </sheetPr>
  <dimension ref="A1:M67"/>
  <sheetViews>
    <sheetView topLeftCell="A36" workbookViewId="0">
      <selection activeCell="G61" sqref="G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6835350.6596222483</v>
      </c>
      <c r="D2" s="11">
        <v>3.2000000000000002E-3</v>
      </c>
      <c r="E2" s="10">
        <f t="shared" ref="E2:E66" si="2">SUM(C2-C3)</f>
        <v>21803.351386355236</v>
      </c>
      <c r="F2" s="14">
        <v>6835852</v>
      </c>
      <c r="G2" s="29">
        <v>2.15</v>
      </c>
      <c r="H2" s="10"/>
      <c r="I2" s="10">
        <f>IF(H2&lt;&gt;"",H2,57776)</f>
        <v>7222</v>
      </c>
      <c r="J2" s="10">
        <f t="shared" ref="J2:J33" si="3">IF(I2="","",I2*C2)</f>
        <v>49364902463.791878</v>
      </c>
      <c r="K2" s="11">
        <f t="shared" ref="K2:K33" si="4">IFERROR(J2/J3-1,"")</f>
        <v>2.4768800000000146E-2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6813547.308235893</v>
      </c>
      <c r="D3" s="11">
        <v>3.5999999999999999E-3</v>
      </c>
      <c r="E3" s="10">
        <f t="shared" si="2"/>
        <v>24440.783489088528</v>
      </c>
      <c r="F3" s="3"/>
      <c r="G3" s="29">
        <v>1.79</v>
      </c>
      <c r="H3" s="10"/>
      <c r="I3" s="10">
        <f t="shared" ref="I3:I34" si="5">IF(H3&lt;&gt;"",H3,I2/(1+IF(G2="",0,G2)/100))</f>
        <v>7069.9951052373954</v>
      </c>
      <c r="J3" s="10">
        <f t="shared" si="3"/>
        <v>48171746118.531197</v>
      </c>
      <c r="K3" s="11">
        <f t="shared" si="4"/>
        <v>2.1564440000000129E-2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6789106.5247468045</v>
      </c>
      <c r="D4" s="11">
        <v>4.0000000000000001E-3</v>
      </c>
      <c r="E4" s="10">
        <f t="shared" si="2"/>
        <v>27048.233166322112</v>
      </c>
      <c r="F4" s="3"/>
      <c r="G4" s="29">
        <v>3.31</v>
      </c>
      <c r="H4" s="10"/>
      <c r="I4" s="10">
        <f t="shared" si="5"/>
        <v>6945.6676542267369</v>
      </c>
      <c r="J4" s="10">
        <f t="shared" si="3"/>
        <v>47154877590.033569</v>
      </c>
      <c r="K4" s="11">
        <f t="shared" si="4"/>
        <v>3.7232399999999943E-2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6762058.2915804824</v>
      </c>
      <c r="D5" s="11">
        <v>5.4000000000000003E-3</v>
      </c>
      <c r="E5" s="10">
        <f t="shared" si="2"/>
        <v>36318.992216565646</v>
      </c>
      <c r="F5" s="3"/>
      <c r="G5" s="29">
        <v>6.16</v>
      </c>
      <c r="H5" s="10"/>
      <c r="I5" s="10">
        <f t="shared" si="5"/>
        <v>6723.131985506473</v>
      </c>
      <c r="J5" s="10">
        <f t="shared" si="3"/>
        <v>45462210387.984001</v>
      </c>
      <c r="K5" s="11">
        <f t="shared" si="4"/>
        <v>6.7332640000000277E-2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6725739.2993639167</v>
      </c>
      <c r="D6" s="11">
        <v>7.7999999999999996E-3</v>
      </c>
      <c r="E6" s="10">
        <f t="shared" si="2"/>
        <v>52054.739566420205</v>
      </c>
      <c r="F6" s="3"/>
      <c r="G6" s="29">
        <v>6.22</v>
      </c>
      <c r="H6" s="10"/>
      <c r="I6" s="10">
        <f t="shared" si="5"/>
        <v>6333.0180722555315</v>
      </c>
      <c r="J6" s="10">
        <f t="shared" si="3"/>
        <v>42594228532.15094</v>
      </c>
      <c r="K6" s="11">
        <f t="shared" si="4"/>
        <v>7.0485160000000047E-2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6673684.5597974965</v>
      </c>
      <c r="D7" s="11">
        <v>5.7999999999999996E-3</v>
      </c>
      <c r="E7" s="10">
        <f t="shared" si="2"/>
        <v>38484.162305453792</v>
      </c>
      <c r="F7" s="3"/>
      <c r="G7" s="29">
        <v>5.85</v>
      </c>
      <c r="H7" s="10"/>
      <c r="I7" s="10">
        <f t="shared" si="5"/>
        <v>5962.1710339442016</v>
      </c>
      <c r="J7" s="10">
        <f t="shared" si="3"/>
        <v>39789648772.105293</v>
      </c>
      <c r="K7" s="11">
        <f t="shared" si="4"/>
        <v>6.4639299999999844E-2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6635200.3974920427</v>
      </c>
      <c r="D8" s="11">
        <v>1.1999999999999999E-3</v>
      </c>
      <c r="E8" s="10">
        <f t="shared" si="2"/>
        <v>7952.6972403023392</v>
      </c>
      <c r="F8" s="3"/>
      <c r="G8" s="29">
        <v>3.12</v>
      </c>
      <c r="H8" s="10"/>
      <c r="I8" s="10">
        <f t="shared" si="5"/>
        <v>5632.6604005141253</v>
      </c>
      <c r="J8" s="10">
        <f t="shared" si="3"/>
        <v>37373830528.429016</v>
      </c>
      <c r="K8" s="11">
        <f t="shared" si="4"/>
        <v>3.243744000000004E-2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6627247.7002517404</v>
      </c>
      <c r="D9" s="11">
        <v>4.1000000000000003E-3</v>
      </c>
      <c r="E9" s="10">
        <f t="shared" si="2"/>
        <v>27060.766428674571</v>
      </c>
      <c r="F9" s="3"/>
      <c r="G9" s="29">
        <v>3.79</v>
      </c>
      <c r="H9" s="10"/>
      <c r="I9" s="10">
        <f t="shared" si="5"/>
        <v>5462.2385575195167</v>
      </c>
      <c r="J9" s="10">
        <f t="shared" si="3"/>
        <v>36199607918.5476</v>
      </c>
      <c r="K9" s="11">
        <f t="shared" si="4"/>
        <v>4.2155390000000015E-2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6600186.9338230658</v>
      </c>
      <c r="D10" s="11">
        <v>4.0000000000000001E-3</v>
      </c>
      <c r="E10" s="10">
        <f t="shared" si="2"/>
        <v>26295.565473399125</v>
      </c>
      <c r="F10" s="3"/>
      <c r="G10" s="29">
        <v>5.17</v>
      </c>
      <c r="H10" s="10"/>
      <c r="I10" s="10">
        <f t="shared" si="5"/>
        <v>5262.7792248959595</v>
      </c>
      <c r="J10" s="10">
        <f t="shared" si="3"/>
        <v>34735326675.753792</v>
      </c>
      <c r="K10" s="11">
        <f t="shared" si="4"/>
        <v>5.5906800000000034E-2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6573891.3683496667</v>
      </c>
      <c r="D11" s="11">
        <v>2.7000000000000001E-3</v>
      </c>
      <c r="E11" s="10">
        <f t="shared" si="2"/>
        <v>17701.712071949616</v>
      </c>
      <c r="F11" s="3"/>
      <c r="G11" s="29">
        <v>6.05</v>
      </c>
      <c r="H11" s="10"/>
      <c r="I11" s="10">
        <f t="shared" si="5"/>
        <v>5004.0688645963291</v>
      </c>
      <c r="J11" s="10">
        <f t="shared" si="3"/>
        <v>32896205115.597126</v>
      </c>
      <c r="K11" s="11">
        <f t="shared" si="4"/>
        <v>6.3363349999999929E-2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6556189.6562777171</v>
      </c>
      <c r="D12" s="11">
        <v>2.2000000000000001E-3</v>
      </c>
      <c r="E12" s="10">
        <f t="shared" si="2"/>
        <v>14391.954942936078</v>
      </c>
      <c r="F12" s="3"/>
      <c r="G12" s="29">
        <v>5.84</v>
      </c>
      <c r="H12" s="10"/>
      <c r="I12" s="10">
        <f t="shared" si="5"/>
        <v>4718.5939317268549</v>
      </c>
      <c r="J12" s="10">
        <f t="shared" si="3"/>
        <v>30935996727.362411</v>
      </c>
      <c r="K12" s="11">
        <f t="shared" si="4"/>
        <v>6.0728480000000085E-2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6541797.701334781</v>
      </c>
      <c r="D13" s="11">
        <v>5.0000000000000001E-3</v>
      </c>
      <c r="E13" s="10">
        <f t="shared" si="2"/>
        <v>32546.257220569998</v>
      </c>
      <c r="F13" s="3"/>
      <c r="G13" s="29">
        <v>6.67</v>
      </c>
      <c r="H13" s="10"/>
      <c r="I13" s="10">
        <f t="shared" si="5"/>
        <v>4458.2331176557582</v>
      </c>
      <c r="J13" s="10">
        <f t="shared" si="3"/>
        <v>29164859161.095032</v>
      </c>
      <c r="K13" s="11">
        <f t="shared" si="4"/>
        <v>7.2033499999999639E-2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6509251.444114211</v>
      </c>
      <c r="D14" s="11">
        <v>5.0000000000000001E-3</v>
      </c>
      <c r="E14" s="10">
        <f t="shared" si="2"/>
        <v>32384.335542855784</v>
      </c>
      <c r="F14" s="3"/>
      <c r="G14" s="29">
        <v>4.72</v>
      </c>
      <c r="H14" s="10"/>
      <c r="I14" s="10">
        <f t="shared" si="5"/>
        <v>4179.4629395854117</v>
      </c>
      <c r="J14" s="10">
        <f t="shared" si="3"/>
        <v>27205175175.118168</v>
      </c>
      <c r="K14" s="11">
        <f t="shared" si="4"/>
        <v>5.2435999999999927E-2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6476867.1085713552</v>
      </c>
      <c r="D15" s="11">
        <v>4.7999999999999996E-3</v>
      </c>
      <c r="E15" s="10">
        <f t="shared" si="2"/>
        <v>30940.447970882058</v>
      </c>
      <c r="F15" s="3"/>
      <c r="G15" s="29">
        <v>3.2</v>
      </c>
      <c r="H15" s="10"/>
      <c r="I15" s="10">
        <f t="shared" si="5"/>
        <v>3991.0837849364134</v>
      </c>
      <c r="J15" s="10">
        <f t="shared" si="3"/>
        <v>25849719294.207127</v>
      </c>
      <c r="K15" s="11">
        <f t="shared" si="4"/>
        <v>3.695359999999992E-2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6445926.6606004732</v>
      </c>
      <c r="D16" s="11">
        <v>4.4000000000000003E-3</v>
      </c>
      <c r="E16" s="10">
        <f t="shared" si="2"/>
        <v>28237.830850898288</v>
      </c>
      <c r="F16" s="3"/>
      <c r="G16" s="29">
        <v>3.15</v>
      </c>
      <c r="H16" s="10"/>
      <c r="I16" s="10">
        <f t="shared" si="5"/>
        <v>3867.3292489693927</v>
      </c>
      <c r="J16" s="10">
        <f t="shared" si="3"/>
        <v>24928520711.251812</v>
      </c>
      <c r="K16" s="11">
        <f t="shared" si="4"/>
        <v>3.6038600000000143E-2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6417688.8297495749</v>
      </c>
      <c r="D17" s="11">
        <v>3.8E-3</v>
      </c>
      <c r="E17" s="10">
        <f t="shared" si="2"/>
        <v>24294.896944658831</v>
      </c>
      <c r="F17" s="3"/>
      <c r="G17" s="29">
        <v>4.97</v>
      </c>
      <c r="H17" s="10"/>
      <c r="I17" s="10">
        <f t="shared" si="5"/>
        <v>3749.2285496552518</v>
      </c>
      <c r="J17" s="10">
        <f t="shared" si="3"/>
        <v>24061382183.300709</v>
      </c>
      <c r="K17" s="11">
        <f t="shared" si="4"/>
        <v>5.368886000000006E-2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6393393.9328049161</v>
      </c>
      <c r="D18" s="11">
        <v>3.3999999999999998E-3</v>
      </c>
      <c r="E18" s="10">
        <f t="shared" si="2"/>
        <v>21663.882172151469</v>
      </c>
      <c r="F18" s="3"/>
      <c r="G18" s="29">
        <v>-0.27</v>
      </c>
      <c r="H18" s="10"/>
      <c r="I18" s="10">
        <f t="shared" si="5"/>
        <v>3571.7143466278476</v>
      </c>
      <c r="J18" s="10">
        <f t="shared" si="3"/>
        <v>22835376833.442757</v>
      </c>
      <c r="K18" s="11">
        <f t="shared" si="4"/>
        <v>6.9081999999998089E-4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6371730.0506327646</v>
      </c>
      <c r="D19" s="11">
        <v>3.3999999999999998E-3</v>
      </c>
      <c r="E19" s="10">
        <f t="shared" si="2"/>
        <v>21590.474558652379</v>
      </c>
      <c r="F19" s="3"/>
      <c r="G19" s="29">
        <v>4.18</v>
      </c>
      <c r="H19" s="10"/>
      <c r="I19" s="10">
        <f t="shared" si="5"/>
        <v>3581.3840836537129</v>
      </c>
      <c r="J19" s="10">
        <f t="shared" si="3"/>
        <v>22819612588.674248</v>
      </c>
      <c r="K19" s="11">
        <f t="shared" si="4"/>
        <v>4.5342120000000152E-2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6350139.5760741122</v>
      </c>
      <c r="D20" s="11">
        <v>3.8E-3</v>
      </c>
      <c r="E20" s="10">
        <f t="shared" si="2"/>
        <v>24039.181499384344</v>
      </c>
      <c r="F20" s="3"/>
      <c r="G20" s="29">
        <v>7.39</v>
      </c>
      <c r="H20" s="10"/>
      <c r="I20" s="10">
        <f t="shared" si="5"/>
        <v>3437.6886961544565</v>
      </c>
      <c r="J20" s="10">
        <f t="shared" si="3"/>
        <v>21829803039.673027</v>
      </c>
      <c r="K20" s="11">
        <f t="shared" si="4"/>
        <v>7.7980820000000062E-2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6326100.3945747279</v>
      </c>
      <c r="D21" s="11">
        <v>4.4000000000000003E-3</v>
      </c>
      <c r="E21" s="10">
        <f t="shared" si="2"/>
        <v>27712.904954329133</v>
      </c>
      <c r="F21" s="3"/>
      <c r="G21" s="29">
        <v>7.11</v>
      </c>
      <c r="H21" s="10"/>
      <c r="I21" s="10">
        <f t="shared" si="5"/>
        <v>3201.1255202108728</v>
      </c>
      <c r="J21" s="10">
        <f t="shared" si="3"/>
        <v>20250641416.489235</v>
      </c>
      <c r="K21" s="11">
        <f t="shared" si="4"/>
        <v>7.581283999999977E-2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6298387.4896203987</v>
      </c>
      <c r="D22" s="11">
        <v>5.3E-3</v>
      </c>
      <c r="E22" s="10">
        <f t="shared" si="2"/>
        <v>33205.464731909335</v>
      </c>
      <c r="F22" s="3"/>
      <c r="G22" s="29">
        <v>9.26</v>
      </c>
      <c r="H22" s="10"/>
      <c r="I22" s="10">
        <f t="shared" si="5"/>
        <v>2988.6336665212148</v>
      </c>
      <c r="J22" s="10">
        <f t="shared" si="3"/>
        <v>18823572896.275562</v>
      </c>
      <c r="K22" s="11">
        <f t="shared" si="4"/>
        <v>9.8390780000000122E-2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6265182.0248884894</v>
      </c>
      <c r="D23" s="11">
        <v>6.1000000000000004E-3</v>
      </c>
      <c r="E23" s="10">
        <f t="shared" si="2"/>
        <v>37985.896383877844</v>
      </c>
      <c r="F23" s="3"/>
      <c r="G23" s="29">
        <v>5.08</v>
      </c>
      <c r="H23" s="10"/>
      <c r="I23" s="10">
        <f t="shared" si="5"/>
        <v>2735.341082300215</v>
      </c>
      <c r="J23" s="10">
        <f t="shared" si="3"/>
        <v>17137409780.766333</v>
      </c>
      <c r="K23" s="11">
        <f t="shared" si="4"/>
        <v>5.7209879999999824E-2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6227196.1285046116</v>
      </c>
      <c r="D24" s="11">
        <v>6.8999999999999999E-3</v>
      </c>
      <c r="E24" s="10">
        <f t="shared" si="2"/>
        <v>42673.208150443621</v>
      </c>
      <c r="F24" s="3"/>
      <c r="G24" s="29">
        <v>6.69</v>
      </c>
      <c r="H24" s="10"/>
      <c r="I24" s="10">
        <f t="shared" si="5"/>
        <v>2603.1034281501857</v>
      </c>
      <c r="J24" s="10">
        <f t="shared" si="3"/>
        <v>16210035589.873919</v>
      </c>
      <c r="K24" s="11">
        <f t="shared" si="4"/>
        <v>7.4261609999999756E-2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6184522.9203541679</v>
      </c>
      <c r="D25" s="11">
        <v>7.4999999999999997E-3</v>
      </c>
      <c r="E25" s="10">
        <f t="shared" si="2"/>
        <v>46038.632161445916</v>
      </c>
      <c r="F25" s="3"/>
      <c r="G25" s="29">
        <v>11.5</v>
      </c>
      <c r="H25" s="10"/>
      <c r="I25" s="10">
        <f t="shared" si="5"/>
        <v>2439.8757410724397</v>
      </c>
      <c r="J25" s="10">
        <f t="shared" si="3"/>
        <v>15089467443.478615</v>
      </c>
      <c r="K25" s="11">
        <f t="shared" si="4"/>
        <v>0.12336250000000004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6138484.288192722</v>
      </c>
      <c r="D26" s="11">
        <v>7.9000000000000008E-3</v>
      </c>
      <c r="E26" s="10">
        <f t="shared" si="2"/>
        <v>48113.925862409174</v>
      </c>
      <c r="F26" s="3"/>
      <c r="G26" s="29">
        <v>7.76</v>
      </c>
      <c r="H26" s="10"/>
      <c r="I26" s="10">
        <f t="shared" si="5"/>
        <v>2188.2293641905289</v>
      </c>
      <c r="J26" s="10">
        <f t="shared" si="3"/>
        <v>13432411571.045511</v>
      </c>
      <c r="K26" s="11">
        <f t="shared" si="4"/>
        <v>8.6113039999999863E-2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6090370.3623303128</v>
      </c>
      <c r="D27" s="11">
        <v>8.5000000000000006E-3</v>
      </c>
      <c r="E27" s="10">
        <f t="shared" si="2"/>
        <v>51331.82754566893</v>
      </c>
      <c r="F27" s="3"/>
      <c r="G27" s="29">
        <v>-3.6</v>
      </c>
      <c r="H27" s="10"/>
      <c r="I27" s="10">
        <f t="shared" si="5"/>
        <v>2030.6508576378333</v>
      </c>
      <c r="J27" s="10">
        <f t="shared" si="3"/>
        <v>12367415799.598091</v>
      </c>
      <c r="K27" s="11">
        <f t="shared" si="4"/>
        <v>-2.7806000000000108E-2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6039038.5347846439</v>
      </c>
      <c r="D28" s="11">
        <v>9.2999999999999992E-3</v>
      </c>
      <c r="E28" s="10">
        <f t="shared" si="2"/>
        <v>55645.554714651778</v>
      </c>
      <c r="F28" s="3"/>
      <c r="G28" s="29">
        <v>10.36</v>
      </c>
      <c r="H28" s="10"/>
      <c r="I28" s="10">
        <f t="shared" si="5"/>
        <v>2106.4842921554286</v>
      </c>
      <c r="J28" s="10">
        <f t="shared" si="3"/>
        <v>12721139813.245188</v>
      </c>
      <c r="K28" s="11">
        <f t="shared" si="4"/>
        <v>0.11386348000000002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5983392.9800699921</v>
      </c>
      <c r="D29" s="11">
        <v>1.04E-2</v>
      </c>
      <c r="E29" s="10">
        <f t="shared" si="2"/>
        <v>61586.784434608184</v>
      </c>
      <c r="F29" s="3"/>
      <c r="G29" s="29">
        <v>7.35</v>
      </c>
      <c r="H29" s="10"/>
      <c r="I29" s="10">
        <f t="shared" si="5"/>
        <v>1908.73893816186</v>
      </c>
      <c r="J29" s="10">
        <f t="shared" si="3"/>
        <v>11420735163.383924</v>
      </c>
      <c r="K29" s="11">
        <f t="shared" si="4"/>
        <v>8.4664400000000084E-2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5921806.1956353839</v>
      </c>
      <c r="D30" s="11">
        <v>1.18E-2</v>
      </c>
      <c r="E30" s="10">
        <f t="shared" si="2"/>
        <v>69062.377059198916</v>
      </c>
      <c r="F30" s="3"/>
      <c r="G30" s="29">
        <v>6.74</v>
      </c>
      <c r="H30" s="10"/>
      <c r="I30" s="10">
        <f t="shared" si="5"/>
        <v>1778.0521082085329</v>
      </c>
      <c r="J30" s="10">
        <f t="shared" si="3"/>
        <v>10529279990.551846</v>
      </c>
      <c r="K30" s="11">
        <f t="shared" si="4"/>
        <v>7.999531999999987E-2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5852743.818576185</v>
      </c>
      <c r="D31" s="11">
        <v>1.32E-2</v>
      </c>
      <c r="E31" s="10">
        <f t="shared" si="2"/>
        <v>76249.722073831595</v>
      </c>
      <c r="F31" s="3"/>
      <c r="G31" s="29">
        <v>5.41</v>
      </c>
      <c r="H31" s="10"/>
      <c r="I31" s="10">
        <f t="shared" si="5"/>
        <v>1665.7786286383109</v>
      </c>
      <c r="J31" s="10">
        <f t="shared" si="3"/>
        <v>9749375571.8791885</v>
      </c>
      <c r="K31" s="11">
        <f t="shared" si="4"/>
        <v>6.8014119999999956E-2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5776494.0965023534</v>
      </c>
      <c r="D32" s="11">
        <v>1.2200000000000001E-2</v>
      </c>
      <c r="E32" s="10">
        <f t="shared" si="2"/>
        <v>69623.817404988222</v>
      </c>
      <c r="F32" s="3"/>
      <c r="G32" s="29">
        <v>3.55</v>
      </c>
      <c r="H32" s="10"/>
      <c r="I32" s="10">
        <f t="shared" si="5"/>
        <v>1580.2851993532975</v>
      </c>
      <c r="J32" s="10">
        <f t="shared" si="3"/>
        <v>9128508124.8543682</v>
      </c>
      <c r="K32" s="11">
        <f t="shared" si="4"/>
        <v>4.8133100000000262E-2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5706870.2790973652</v>
      </c>
      <c r="D33" s="11">
        <v>1.0699999999999999E-2</v>
      </c>
      <c r="E33" s="10">
        <f t="shared" si="2"/>
        <v>60417.049556091428</v>
      </c>
      <c r="F33" s="3"/>
      <c r="G33" s="29">
        <v>3.98</v>
      </c>
      <c r="H33" s="10"/>
      <c r="I33" s="10">
        <f t="shared" si="5"/>
        <v>1526.1083528279066</v>
      </c>
      <c r="J33" s="10">
        <f t="shared" si="3"/>
        <v>8709302401.4358158</v>
      </c>
      <c r="K33" s="11">
        <f t="shared" si="4"/>
        <v>5.0925859999999989E-2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5646453.2295412738</v>
      </c>
      <c r="D34" s="11">
        <v>1.09E-2</v>
      </c>
      <c r="E34" s="10">
        <f t="shared" si="2"/>
        <v>60882.71856959071</v>
      </c>
      <c r="F34" s="3"/>
      <c r="G34" s="29">
        <v>-6.24</v>
      </c>
      <c r="H34" s="10"/>
      <c r="I34" s="10">
        <f t="shared" si="5"/>
        <v>1467.6941265896389</v>
      </c>
      <c r="J34" s="10">
        <f t="shared" ref="J34:J65" si="6">IF(I34="","",I34*C34)</f>
        <v>8287266241.0608263</v>
      </c>
      <c r="K34" s="11">
        <f t="shared" ref="K34:K65" si="7">IFERROR(J34/J35-1,"")</f>
        <v>-3.9038459999999886E-2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5585570.5109716831</v>
      </c>
      <c r="D35" s="11">
        <v>1.12E-2</v>
      </c>
      <c r="E35" s="10">
        <f t="shared" si="2"/>
        <v>61865.496165825985</v>
      </c>
      <c r="F35" s="3"/>
      <c r="G35" s="29">
        <v>-14.2</v>
      </c>
      <c r="H35" s="10"/>
      <c r="I35" s="10">
        <f t="shared" ref="I35:I66" si="8">IF(H35&lt;&gt;"",H35,I34/(1+IF(G34="",0,G34)/100))</f>
        <v>1543.9660494315578</v>
      </c>
      <c r="J35" s="10">
        <f t="shared" si="6"/>
        <v>8623931235.6463566</v>
      </c>
      <c r="K35" s="11">
        <f t="shared" si="7"/>
        <v>-0.10508799999999996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5523705.0148058571</v>
      </c>
      <c r="D36" s="11">
        <v>1.1900000000000001E-2</v>
      </c>
      <c r="E36" s="10">
        <f t="shared" si="2"/>
        <v>64959.076663889922</v>
      </c>
      <c r="F36" s="3"/>
      <c r="G36" s="29">
        <v>-7.52</v>
      </c>
      <c r="H36" s="10"/>
      <c r="I36" s="10">
        <f t="shared" si="8"/>
        <v>1744.5944061373534</v>
      </c>
      <c r="J36" s="10">
        <f t="shared" si="6"/>
        <v>9636624869.9831448</v>
      </c>
      <c r="K36" s="11">
        <f t="shared" si="7"/>
        <v>-1.5623679999999918E-2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5458745.9381419672</v>
      </c>
      <c r="D37" s="11">
        <v>1.2699999999999999E-2</v>
      </c>
      <c r="E37" s="10">
        <f t="shared" si="2"/>
        <v>68456.673658934422</v>
      </c>
      <c r="F37" s="3"/>
      <c r="G37" s="29">
        <v>-3.13</v>
      </c>
      <c r="H37" s="10"/>
      <c r="I37" s="10">
        <f t="shared" si="8"/>
        <v>1793.3741839405359</v>
      </c>
      <c r="J37" s="10">
        <f t="shared" si="6"/>
        <v>9789574042.1540661</v>
      </c>
      <c r="K37" s="11">
        <f t="shared" si="7"/>
        <v>3.46755900000002E-2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5390289.2644830327</v>
      </c>
      <c r="D38" s="11">
        <v>1.2999999999999999E-2</v>
      </c>
      <c r="E38" s="10">
        <f t="shared" si="2"/>
        <v>69174.49204173591</v>
      </c>
      <c r="F38" s="3"/>
      <c r="G38" s="29">
        <v>4.74</v>
      </c>
      <c r="H38" s="10"/>
      <c r="I38" s="10">
        <f t="shared" si="8"/>
        <v>1755.284510071974</v>
      </c>
      <c r="J38" s="10">
        <f t="shared" si="6"/>
        <v>9461491250.7543201</v>
      </c>
      <c r="K38" s="11">
        <f t="shared" si="7"/>
        <v>9.8497199999999729E-2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5321114.7724412968</v>
      </c>
      <c r="D39" s="11">
        <v>1.2699999999999999E-2</v>
      </c>
      <c r="E39" s="10">
        <f t="shared" si="2"/>
        <v>66730.67799941171</v>
      </c>
      <c r="F39" s="3"/>
      <c r="G39" s="29">
        <v>8.0299999999999994</v>
      </c>
      <c r="H39" s="10"/>
      <c r="I39" s="10">
        <f t="shared" si="8"/>
        <v>1618.6688584212227</v>
      </c>
      <c r="J39" s="10">
        <f t="shared" si="6"/>
        <v>8613122774.2358589</v>
      </c>
      <c r="K39" s="11">
        <f t="shared" si="7"/>
        <v>9.4019810000000037E-2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5254384.0944418851</v>
      </c>
      <c r="D40" s="11">
        <v>1.23E-2</v>
      </c>
      <c r="E40" s="10">
        <f t="shared" si="2"/>
        <v>63843.647497416474</v>
      </c>
      <c r="F40" s="3"/>
      <c r="G40" s="29">
        <v>11.15</v>
      </c>
      <c r="H40" s="10"/>
      <c r="I40" s="10">
        <f t="shared" si="8"/>
        <v>1498.3512528197932</v>
      </c>
      <c r="J40" s="10">
        <f t="shared" si="6"/>
        <v>7872912990.703393</v>
      </c>
      <c r="K40" s="11">
        <f t="shared" si="7"/>
        <v>0.12517144999999963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5190540.4469444687</v>
      </c>
      <c r="D41" s="11">
        <v>1.21E-2</v>
      </c>
      <c r="E41" s="10">
        <f t="shared" si="2"/>
        <v>62054.677806568332</v>
      </c>
      <c r="F41" s="3"/>
      <c r="G41" s="29">
        <v>3.6</v>
      </c>
      <c r="H41" s="10"/>
      <c r="I41" s="10">
        <f t="shared" si="8"/>
        <v>1348.0443120286041</v>
      </c>
      <c r="J41" s="10">
        <f t="shared" si="6"/>
        <v>6997078525.8578997</v>
      </c>
      <c r="K41" s="11">
        <f t="shared" si="7"/>
        <v>4.8535599999999901E-2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5128485.7691379003</v>
      </c>
      <c r="D42" s="11">
        <v>1.21E-2</v>
      </c>
      <c r="E42" s="10">
        <f t="shared" si="2"/>
        <v>61312.793011133559</v>
      </c>
      <c r="F42" s="3"/>
      <c r="G42" s="29">
        <v>-12.27</v>
      </c>
      <c r="H42" s="10"/>
      <c r="I42" s="10">
        <f t="shared" si="8"/>
        <v>1301.2010733866834</v>
      </c>
      <c r="J42" s="10">
        <f t="shared" si="6"/>
        <v>6673191187.6505671</v>
      </c>
      <c r="K42" s="11">
        <f t="shared" si="7"/>
        <v>-0.11208467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5067172.9761267668</v>
      </c>
      <c r="D43" s="11">
        <v>1.2500000000000001E-2</v>
      </c>
      <c r="E43" s="10">
        <f t="shared" si="2"/>
        <v>62557.691063293256</v>
      </c>
      <c r="F43" s="3"/>
      <c r="G43" s="29">
        <v>1.25</v>
      </c>
      <c r="H43" s="10"/>
      <c r="I43" s="10">
        <f t="shared" si="8"/>
        <v>1483.1882746913068</v>
      </c>
      <c r="J43" s="10">
        <f t="shared" si="6"/>
        <v>7515571544.0238733</v>
      </c>
      <c r="K43" s="11">
        <f t="shared" si="7"/>
        <v>2.5156249999999991E-2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5004615.2850634735</v>
      </c>
      <c r="D44" s="11">
        <v>1.2699999999999999E-2</v>
      </c>
      <c r="E44" s="10">
        <f t="shared" si="2"/>
        <v>62761.542530172504</v>
      </c>
      <c r="F44" s="3"/>
      <c r="G44" s="29">
        <v>-5.04</v>
      </c>
      <c r="H44" s="10"/>
      <c r="I44" s="10">
        <f t="shared" si="8"/>
        <v>1464.8773083370932</v>
      </c>
      <c r="J44" s="10">
        <f t="shared" si="6"/>
        <v>7331147368.0464554</v>
      </c>
      <c r="K44" s="11">
        <f t="shared" si="7"/>
        <v>-3.834008000000011E-2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4941853.742533301</v>
      </c>
      <c r="D45" s="11">
        <v>1.2200000000000001E-2</v>
      </c>
      <c r="E45" s="10">
        <f t="shared" si="2"/>
        <v>59563.935644049197</v>
      </c>
      <c r="F45" s="3"/>
      <c r="G45" s="29">
        <v>-0.71</v>
      </c>
      <c r="H45" s="10"/>
      <c r="I45" s="10">
        <f t="shared" si="8"/>
        <v>1542.6256406245716</v>
      </c>
      <c r="J45" s="10">
        <f t="shared" si="6"/>
        <v>7623430295.44837</v>
      </c>
      <c r="K45" s="11">
        <f t="shared" si="7"/>
        <v>5.0133800000000672E-3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4882289.8068892518</v>
      </c>
      <c r="D46" s="11">
        <v>1.11E-2</v>
      </c>
      <c r="E46" s="10">
        <f t="shared" si="2"/>
        <v>53598.47379732132</v>
      </c>
      <c r="F46" s="3"/>
      <c r="G46" s="29">
        <v>9.57</v>
      </c>
      <c r="H46" s="10"/>
      <c r="I46" s="10">
        <f t="shared" si="8"/>
        <v>1553.6566025023383</v>
      </c>
      <c r="J46" s="10">
        <f t="shared" si="6"/>
        <v>7585401793.8033524</v>
      </c>
      <c r="K46" s="11">
        <f t="shared" si="7"/>
        <v>0.10786227000000026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4828691.3330919305</v>
      </c>
      <c r="D47" s="11">
        <v>1.09E-2</v>
      </c>
      <c r="E47" s="10">
        <f t="shared" si="2"/>
        <v>52065.224582749419</v>
      </c>
      <c r="F47" s="3"/>
      <c r="G47" s="29">
        <v>1.69</v>
      </c>
      <c r="H47" s="10"/>
      <c r="I47" s="10">
        <f t="shared" si="8"/>
        <v>1417.9580199893569</v>
      </c>
      <c r="J47" s="10">
        <f t="shared" si="6"/>
        <v>6846881601.8108015</v>
      </c>
      <c r="K47" s="11">
        <f t="shared" si="7"/>
        <v>2.7984209999999621E-2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4776626.1085091811</v>
      </c>
      <c r="D48" s="11">
        <v>1.2E-2</v>
      </c>
      <c r="E48" s="10">
        <f t="shared" si="2"/>
        <v>56639.835278765298</v>
      </c>
      <c r="F48" s="3"/>
      <c r="G48" s="29">
        <v>4.0999999999999996</v>
      </c>
      <c r="H48" s="10"/>
      <c r="I48" s="10">
        <f t="shared" si="8"/>
        <v>1394.3927819739965</v>
      </c>
      <c r="J48" s="10">
        <f t="shared" si="6"/>
        <v>6660492967.8937416</v>
      </c>
      <c r="K48" s="11">
        <f t="shared" si="7"/>
        <v>5.3491999999999873E-2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4719986.2732304158</v>
      </c>
      <c r="D49" s="11">
        <v>1.3100000000000001E-2</v>
      </c>
      <c r="E49" s="10">
        <f t="shared" si="2"/>
        <v>61032.297087472863</v>
      </c>
      <c r="F49" s="3"/>
      <c r="G49" s="29">
        <v>3.57</v>
      </c>
      <c r="H49" s="10"/>
      <c r="I49" s="10">
        <f t="shared" si="8"/>
        <v>1339.474334268969</v>
      </c>
      <c r="J49" s="10">
        <f t="shared" si="6"/>
        <v>6322300471.0939827</v>
      </c>
      <c r="K49" s="11">
        <f t="shared" si="7"/>
        <v>4.9267670000000097E-2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4658953.9761429429</v>
      </c>
      <c r="D50" s="11">
        <v>1.4200000000000001E-2</v>
      </c>
      <c r="E50" s="10">
        <f t="shared" si="2"/>
        <v>65230.868133731186</v>
      </c>
      <c r="F50" s="3"/>
      <c r="G50" s="29">
        <v>3.59</v>
      </c>
      <c r="H50" s="10"/>
      <c r="I50" s="10">
        <f t="shared" si="8"/>
        <v>1293.3034027893877</v>
      </c>
      <c r="J50" s="10">
        <f t="shared" si="6"/>
        <v>6025441030.7848158</v>
      </c>
      <c r="K50" s="11">
        <f t="shared" si="7"/>
        <v>5.0609780000000049E-2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4593723.1080092117</v>
      </c>
      <c r="D51" s="11">
        <v>1.55E-2</v>
      </c>
      <c r="E51" s="10">
        <f t="shared" si="2"/>
        <v>70115.911545192823</v>
      </c>
      <c r="F51" s="3"/>
      <c r="G51" s="29">
        <v>11.46</v>
      </c>
      <c r="H51" s="10"/>
      <c r="I51" s="10">
        <f t="shared" si="8"/>
        <v>1248.4828678341421</v>
      </c>
      <c r="J51" s="10">
        <f t="shared" si="6"/>
        <v>5735184599.9233093</v>
      </c>
      <c r="K51" s="11">
        <f t="shared" si="7"/>
        <v>0.13187630000000006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4523607.1964640189</v>
      </c>
      <c r="D52" s="11">
        <v>1.6799999999999999E-2</v>
      </c>
      <c r="E52" s="10">
        <f t="shared" si="2"/>
        <v>74740.952892009169</v>
      </c>
      <c r="F52" s="3"/>
      <c r="G52" s="29">
        <v>0.67</v>
      </c>
      <c r="H52" s="10"/>
      <c r="I52" s="10">
        <f t="shared" si="8"/>
        <v>1120.1174123758676</v>
      </c>
      <c r="J52" s="10">
        <f t="shared" si="6"/>
        <v>5066971187.5081301</v>
      </c>
      <c r="K52" s="11">
        <f t="shared" si="7"/>
        <v>2.3612559999999894E-2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4448866.2435720097</v>
      </c>
      <c r="D53" s="11">
        <v>1.7899999999999999E-2</v>
      </c>
      <c r="E53" s="10">
        <f t="shared" si="2"/>
        <v>78234.311582610011</v>
      </c>
      <c r="F53" s="3"/>
      <c r="G53" s="29">
        <v>2.46</v>
      </c>
      <c r="H53" s="10"/>
      <c r="I53" s="10">
        <f t="shared" si="8"/>
        <v>1112.6625731358574</v>
      </c>
      <c r="J53" s="10">
        <f t="shared" si="6"/>
        <v>4950086962.1100883</v>
      </c>
      <c r="K53" s="11">
        <f t="shared" si="7"/>
        <v>4.294033999999991E-2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4370631.9319893997</v>
      </c>
      <c r="D54" s="11">
        <v>1.8700000000000001E-2</v>
      </c>
      <c r="E54" s="10">
        <f t="shared" si="2"/>
        <v>80230.506653775461</v>
      </c>
      <c r="F54" s="3"/>
      <c r="G54" s="29">
        <v>5.69</v>
      </c>
      <c r="H54" s="10"/>
      <c r="I54" s="10">
        <f t="shared" si="8"/>
        <v>1085.9482462774326</v>
      </c>
      <c r="J54" s="10">
        <f t="shared" si="6"/>
        <v>4746280081.6680355</v>
      </c>
      <c r="K54" s="11">
        <f t="shared" si="7"/>
        <v>7.6664029999999661E-2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4290401.4253356243</v>
      </c>
      <c r="D55" s="11">
        <v>1.9599999999999999E-2</v>
      </c>
      <c r="E55" s="10">
        <f t="shared" si="2"/>
        <v>82475.351055882871</v>
      </c>
      <c r="F55" s="3"/>
      <c r="G55" s="29">
        <v>3.93</v>
      </c>
      <c r="H55" s="10"/>
      <c r="I55" s="10">
        <f t="shared" si="8"/>
        <v>1027.4843847832649</v>
      </c>
      <c r="J55" s="10">
        <f t="shared" si="6"/>
        <v>4408320468.9842167</v>
      </c>
      <c r="K55" s="11">
        <f t="shared" si="7"/>
        <v>5.9670279999999964E-2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4207926.0742797414</v>
      </c>
      <c r="D56" s="11">
        <v>2.1299999999999999E-2</v>
      </c>
      <c r="E56" s="10">
        <f t="shared" si="2"/>
        <v>87759.547030411195</v>
      </c>
      <c r="F56" s="3"/>
      <c r="G56" s="29">
        <v>5.52</v>
      </c>
      <c r="H56" s="10"/>
      <c r="I56" s="10">
        <f t="shared" si="8"/>
        <v>988.63117943160296</v>
      </c>
      <c r="J56" s="10">
        <f t="shared" si="6"/>
        <v>4160086917.7761755</v>
      </c>
      <c r="K56" s="11">
        <f t="shared" si="7"/>
        <v>7.7675759999999983E-2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4120166.5272493302</v>
      </c>
      <c r="D57" s="11">
        <v>2.1999999999999999E-2</v>
      </c>
      <c r="E57" s="10">
        <f t="shared" si="2"/>
        <v>88692.430136482697</v>
      </c>
      <c r="F57" s="3"/>
      <c r="G57" s="30">
        <v>8.4600000000000009</v>
      </c>
      <c r="H57" s="10"/>
      <c r="I57" s="10">
        <f t="shared" si="8"/>
        <v>936.91355139461996</v>
      </c>
      <c r="J57" s="10">
        <f t="shared" si="6"/>
        <v>3860239853.3824081</v>
      </c>
      <c r="K57" s="11">
        <f t="shared" si="7"/>
        <v>0.10846120000000004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4031474.0971128475</v>
      </c>
      <c r="D58" s="11">
        <v>2.4E-2</v>
      </c>
      <c r="E58" s="10">
        <f t="shared" si="2"/>
        <v>94487.674151082523</v>
      </c>
      <c r="F58" s="3"/>
      <c r="G58" s="30">
        <v>-5.59</v>
      </c>
      <c r="H58" s="10"/>
      <c r="I58" s="10">
        <f t="shared" si="8"/>
        <v>863.8332577859303</v>
      </c>
      <c r="J58" s="10">
        <f t="shared" si="6"/>
        <v>3482521402.9885831</v>
      </c>
      <c r="K58" s="11">
        <f t="shared" si="7"/>
        <v>-3.324159999999976E-2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3936986.422961765</v>
      </c>
      <c r="D59" s="11">
        <v>2.5999999999999999E-2</v>
      </c>
      <c r="E59" s="10">
        <f t="shared" si="2"/>
        <v>99767.687131584622</v>
      </c>
      <c r="F59" s="3"/>
      <c r="G59" s="30">
        <v>5.46</v>
      </c>
      <c r="H59" s="10"/>
      <c r="I59" s="10">
        <f t="shared" si="8"/>
        <v>914.98067766754605</v>
      </c>
      <c r="J59" s="10">
        <f t="shared" si="6"/>
        <v>3602266505.2494836</v>
      </c>
      <c r="K59" s="11">
        <f t="shared" si="7"/>
        <v>8.2019599999999748E-2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3837218.7358301803</v>
      </c>
      <c r="D60" s="11">
        <v>2.8000000000000001E-2</v>
      </c>
      <c r="E60" s="10">
        <f t="shared" si="2"/>
        <v>104515.68541171728</v>
      </c>
      <c r="F60" s="3"/>
      <c r="G60" s="30">
        <v>10.02</v>
      </c>
      <c r="H60" s="10"/>
      <c r="I60" s="10">
        <f t="shared" si="8"/>
        <v>867.60921455295477</v>
      </c>
      <c r="J60" s="10">
        <f t="shared" si="6"/>
        <v>3329206333.4615049</v>
      </c>
      <c r="K60" s="11">
        <f t="shared" si="7"/>
        <v>0.13100560000000017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3732703.0504184631</v>
      </c>
      <c r="D61" s="11">
        <v>2.8000000000000001E-2</v>
      </c>
      <c r="E61" s="10">
        <f t="shared" si="2"/>
        <v>101668.95468065841</v>
      </c>
      <c r="F61" s="3"/>
      <c r="G61" s="30">
        <v>1.26</v>
      </c>
      <c r="H61" s="10"/>
      <c r="I61" s="10">
        <f t="shared" si="8"/>
        <v>788.59226918101683</v>
      </c>
      <c r="J61" s="10">
        <f t="shared" si="6"/>
        <v>2943580768.7083993</v>
      </c>
      <c r="K61" s="11">
        <f t="shared" si="7"/>
        <v>4.0952800000000122E-2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3631034.0957378047</v>
      </c>
      <c r="D62" s="11">
        <v>2.8000000000000001E-2</v>
      </c>
      <c r="E62" s="10">
        <f t="shared" si="2"/>
        <v>98899.761362508405</v>
      </c>
      <c r="F62" s="3"/>
      <c r="G62" s="30">
        <v>3.68</v>
      </c>
      <c r="H62" s="10"/>
      <c r="I62" s="10">
        <f t="shared" si="8"/>
        <v>778.77964564587876</v>
      </c>
      <c r="J62" s="10">
        <f t="shared" si="6"/>
        <v>2827775446.4067912</v>
      </c>
      <c r="K62" s="11">
        <f t="shared" si="7"/>
        <v>6.5830399999999845E-2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3532134.3343752963</v>
      </c>
      <c r="D63" s="11">
        <v>2.8000000000000001E-2</v>
      </c>
      <c r="E63" s="10">
        <f t="shared" si="2"/>
        <v>96205.993543296121</v>
      </c>
      <c r="F63" s="3"/>
      <c r="G63" s="30">
        <v>-3.5</v>
      </c>
      <c r="H63" s="10"/>
      <c r="I63" s="10">
        <f t="shared" si="8"/>
        <v>751.13777550721341</v>
      </c>
      <c r="J63" s="10">
        <f t="shared" si="6"/>
        <v>2653119526.715312</v>
      </c>
      <c r="K63" s="11">
        <f t="shared" si="7"/>
        <v>-7.9799999999999871E-3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3435928.3408320001</v>
      </c>
      <c r="D64" s="11">
        <v>2.8000000000000001E-2</v>
      </c>
      <c r="E64" s="10">
        <f t="shared" si="2"/>
        <v>93585.596832000185</v>
      </c>
      <c r="F64" s="3"/>
      <c r="G64" s="30">
        <v>7.18</v>
      </c>
      <c r="H64" s="10"/>
      <c r="I64" s="10">
        <f t="shared" si="8"/>
        <v>778.38111451524708</v>
      </c>
      <c r="J64" s="10">
        <f t="shared" si="6"/>
        <v>2674461731.331336</v>
      </c>
      <c r="K64" s="11">
        <f t="shared" si="7"/>
        <v>0.10181040000000019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3342342.7439999999</v>
      </c>
      <c r="D65" s="11">
        <v>2.7E-2</v>
      </c>
      <c r="E65" s="10">
        <f t="shared" si="2"/>
        <v>87870.743999999948</v>
      </c>
      <c r="F65" s="3"/>
      <c r="G65" s="30">
        <v>6.28</v>
      </c>
      <c r="H65" s="10"/>
      <c r="I65" s="10">
        <f t="shared" si="8"/>
        <v>726.23727795787181</v>
      </c>
      <c r="J65" s="10">
        <f t="shared" si="6"/>
        <v>2427333896.4048038</v>
      </c>
      <c r="K65" s="11">
        <f t="shared" si="7"/>
        <v>9.1495599999999788E-2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3254472</v>
      </c>
      <c r="D66" s="11">
        <v>2.5999999999999999E-2</v>
      </c>
      <c r="E66" s="10">
        <f t="shared" si="2"/>
        <v>82472</v>
      </c>
      <c r="F66" s="23">
        <f>SUM(F2)</f>
        <v>6835852</v>
      </c>
      <c r="G66" s="30">
        <v>4.76</v>
      </c>
      <c r="H66" s="10"/>
      <c r="I66" s="10">
        <f t="shared" si="8"/>
        <v>683.32449939581466</v>
      </c>
      <c r="J66" s="10">
        <f t="shared" ref="J66:J67" si="9">IF(I66="","",I66*C66)</f>
        <v>2223860450.1976957</v>
      </c>
      <c r="K66" s="11">
        <f t="shared" ref="K66" si="10">IFERROR(J66/J67-1,"")</f>
        <v>7.4837599999999949E-2</v>
      </c>
    </row>
    <row r="67" spans="1:11" ht="22.5" customHeight="1">
      <c r="A67" s="3">
        <f t="shared" si="0"/>
        <v>1950</v>
      </c>
      <c r="B67" s="3">
        <v>1700</v>
      </c>
      <c r="C67" s="10">
        <v>3172000</v>
      </c>
      <c r="D67" s="11">
        <v>2.5000000000000001E-2</v>
      </c>
      <c r="E67" s="3" t="s">
        <v>72</v>
      </c>
      <c r="F67" s="10">
        <f>SUM(C2)</f>
        <v>6835350.6596222483</v>
      </c>
      <c r="G67" s="30">
        <v>5.08</v>
      </c>
      <c r="H67" s="10"/>
      <c r="I67" s="10">
        <f t="shared" ref="I67" si="11">IF(H67&lt;&gt;"",H67,I66/(1+IF(G66="",0,G66)/100))</f>
        <v>652.27615444426749</v>
      </c>
      <c r="J67" s="10">
        <f t="shared" si="9"/>
        <v>2069019961.8972166</v>
      </c>
      <c r="K67" s="11"/>
    </row>
  </sheetData>
  <dataValidations count="1">
    <dataValidation type="custom" allowBlank="1" showDropDown="1" sqref="D2:D67" xr:uid="{00000000-0002-0000-7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 summaryRight="0"/>
  </sheetPr>
  <dimension ref="A1:M67"/>
  <sheetViews>
    <sheetView topLeftCell="A10" workbookViewId="0">
      <selection activeCell="L42" sqref="L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3307276.8290600143</v>
      </c>
      <c r="D2" s="11">
        <v>1.2999999999999999E-3</v>
      </c>
      <c r="E2" s="10">
        <f t="shared" ref="E2:E66" si="2">SUM(C2-C3)</f>
        <v>4293.8778365906328</v>
      </c>
      <c r="F2" s="14">
        <v>3307617</v>
      </c>
      <c r="G2" s="29">
        <v>5.38</v>
      </c>
      <c r="H2" s="10"/>
      <c r="I2" s="10">
        <f>IF(H2&lt;&gt;"",H2,13616)</f>
        <v>1702</v>
      </c>
      <c r="J2" s="10">
        <f t="shared" ref="J2:J33" si="3">IF(I2="","",I2*C2)</f>
        <v>5628985163.0601444</v>
      </c>
      <c r="K2" s="11">
        <f t="shared" ref="K2:K33" si="4">IFERROR(J2/J3-1,"")</f>
        <v>5.5169940000000084E-2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3302982.9512234237</v>
      </c>
      <c r="D3" s="11">
        <v>-4.1999999999999997E-3</v>
      </c>
      <c r="E3" s="10">
        <f t="shared" si="2"/>
        <v>-13931.038757921662</v>
      </c>
      <c r="F3" s="3"/>
      <c r="G3" s="29">
        <v>4.2699999999999996</v>
      </c>
      <c r="H3" s="10"/>
      <c r="I3" s="10">
        <f t="shared" ref="I3:I34" si="5">IF(H3&lt;&gt;"",H3,I2/(1+IF(G2="",0,G2)/100))</f>
        <v>1615.1072309736192</v>
      </c>
      <c r="J3" s="10">
        <f t="shared" si="3"/>
        <v>5334671648.3035364</v>
      </c>
      <c r="K3" s="11">
        <f t="shared" si="4"/>
        <v>3.8320659999999895E-2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3316913.9899813454</v>
      </c>
      <c r="D4" s="11">
        <v>6.7999999999999996E-3</v>
      </c>
      <c r="E4" s="10">
        <f t="shared" si="2"/>
        <v>22402.676928757224</v>
      </c>
      <c r="F4" s="3"/>
      <c r="G4" s="29">
        <v>4.1500000000000004</v>
      </c>
      <c r="H4" s="10"/>
      <c r="I4" s="10">
        <f t="shared" si="5"/>
        <v>1548.9663670985128</v>
      </c>
      <c r="J4" s="10">
        <f t="shared" si="3"/>
        <v>5137788213.0396376</v>
      </c>
      <c r="K4" s="11">
        <f t="shared" si="4"/>
        <v>4.858220000000002E-2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3294511.3130525881</v>
      </c>
      <c r="D5" s="11">
        <v>0.01</v>
      </c>
      <c r="E5" s="10">
        <f t="shared" si="2"/>
        <v>32618.92389161</v>
      </c>
      <c r="F5" s="3"/>
      <c r="G5" s="29">
        <v>4.47</v>
      </c>
      <c r="H5" s="10"/>
      <c r="I5" s="10">
        <f t="shared" si="5"/>
        <v>1487.2456717220477</v>
      </c>
      <c r="J5" s="10">
        <f t="shared" si="3"/>
        <v>4899747690.776782</v>
      </c>
      <c r="K5" s="11">
        <f t="shared" si="4"/>
        <v>5.5147000000000057E-2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3261892.3891609781</v>
      </c>
      <c r="D6" s="11">
        <v>1.5900000000000001E-2</v>
      </c>
      <c r="E6" s="10">
        <f t="shared" si="2"/>
        <v>51052.35651900759</v>
      </c>
      <c r="F6" s="3"/>
      <c r="G6" s="29">
        <v>4.17</v>
      </c>
      <c r="H6" s="10"/>
      <c r="I6" s="10">
        <f t="shared" si="5"/>
        <v>1423.6102916837826</v>
      </c>
      <c r="J6" s="10">
        <f t="shared" si="3"/>
        <v>4643663575.5745707</v>
      </c>
      <c r="K6" s="11">
        <f t="shared" si="4"/>
        <v>5.8263029999999993E-2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3210840.0326419706</v>
      </c>
      <c r="D7" s="11">
        <v>-8.0000000000000002E-3</v>
      </c>
      <c r="E7" s="10">
        <f t="shared" si="2"/>
        <v>-25893.871230983641</v>
      </c>
      <c r="F7" s="3"/>
      <c r="G7" s="29">
        <v>2.62</v>
      </c>
      <c r="H7" s="10"/>
      <c r="I7" s="10">
        <f t="shared" si="5"/>
        <v>1366.6221481076918</v>
      </c>
      <c r="J7" s="10">
        <f t="shared" si="3"/>
        <v>4388005102.6393414</v>
      </c>
      <c r="K7" s="11">
        <f t="shared" si="4"/>
        <v>1.7990400000000184E-2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3236733.9038729542</v>
      </c>
      <c r="D8" s="11">
        <v>-6.6E-3</v>
      </c>
      <c r="E8" s="10">
        <f t="shared" si="2"/>
        <v>-21504.372624885757</v>
      </c>
      <c r="F8" s="3"/>
      <c r="G8" s="29">
        <v>0.1</v>
      </c>
      <c r="H8" s="10"/>
      <c r="I8" s="10">
        <f t="shared" si="5"/>
        <v>1331.73080111839</v>
      </c>
      <c r="J8" s="10">
        <f t="shared" si="3"/>
        <v>4310458234.8117828</v>
      </c>
      <c r="K8" s="11">
        <f t="shared" si="4"/>
        <v>-5.6066000000002392E-3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3258238.27649784</v>
      </c>
      <c r="D9" s="11">
        <v>2.1299999999999999E-2</v>
      </c>
      <c r="E9" s="10">
        <f t="shared" si="2"/>
        <v>67953.074796244502</v>
      </c>
      <c r="F9" s="3"/>
      <c r="G9" s="29">
        <v>0.33</v>
      </c>
      <c r="H9" s="10"/>
      <c r="I9" s="10">
        <f t="shared" si="5"/>
        <v>1330.4004007176725</v>
      </c>
      <c r="J9" s="10">
        <f t="shared" si="3"/>
        <v>4334761508.6863852</v>
      </c>
      <c r="K9" s="11">
        <f t="shared" si="4"/>
        <v>2.4670290000000428E-2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3190285.2017015954</v>
      </c>
      <c r="D10" s="11">
        <v>1.9300000000000001E-2</v>
      </c>
      <c r="E10" s="10">
        <f t="shared" si="2"/>
        <v>60406.655933327973</v>
      </c>
      <c r="F10" s="3"/>
      <c r="G10" s="29">
        <v>1.97</v>
      </c>
      <c r="H10" s="10"/>
      <c r="I10" s="10">
        <f t="shared" si="5"/>
        <v>1326.0245198023247</v>
      </c>
      <c r="J10" s="10">
        <f t="shared" si="3"/>
        <v>4230396402.6188207</v>
      </c>
      <c r="K10" s="11">
        <f t="shared" si="4"/>
        <v>3.9380210000000249E-2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3129878.5457682675</v>
      </c>
      <c r="D11" s="11">
        <v>2.0500000000000001E-2</v>
      </c>
      <c r="E11" s="10">
        <f t="shared" si="2"/>
        <v>62873.601360362023</v>
      </c>
      <c r="F11" s="3"/>
      <c r="G11" s="29">
        <v>18.329999999999998</v>
      </c>
      <c r="H11" s="10"/>
      <c r="I11" s="10">
        <f t="shared" si="5"/>
        <v>1300.4065115252768</v>
      </c>
      <c r="J11" s="10">
        <f t="shared" si="3"/>
        <v>4070114441.2003188</v>
      </c>
      <c r="K11" s="11">
        <f t="shared" si="4"/>
        <v>0.20755764999999982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3067004.9444079055</v>
      </c>
      <c r="D12" s="11">
        <v>2.2599999999999999E-2</v>
      </c>
      <c r="E12" s="10">
        <f t="shared" si="2"/>
        <v>67782.428851572797</v>
      </c>
      <c r="F12" s="3"/>
      <c r="G12" s="29">
        <v>8.57</v>
      </c>
      <c r="H12" s="10"/>
      <c r="I12" s="10">
        <f t="shared" si="5"/>
        <v>1098.966036951979</v>
      </c>
      <c r="J12" s="10">
        <f t="shared" si="3"/>
        <v>3370534269.0680809</v>
      </c>
      <c r="K12" s="11">
        <f t="shared" si="4"/>
        <v>0.11023682000000012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2999222.5155563327</v>
      </c>
      <c r="D13" s="11">
        <v>2.1600000000000001E-2</v>
      </c>
      <c r="E13" s="10">
        <f t="shared" si="2"/>
        <v>63413.475270180963</v>
      </c>
      <c r="F13" s="3"/>
      <c r="G13" s="29">
        <v>4.7300000000000004</v>
      </c>
      <c r="H13" s="10"/>
      <c r="I13" s="10">
        <f t="shared" si="5"/>
        <v>1012.2188790199677</v>
      </c>
      <c r="J13" s="10">
        <f t="shared" si="3"/>
        <v>3035869652.6278787</v>
      </c>
      <c r="K13" s="11">
        <f t="shared" si="4"/>
        <v>6.9921679999999764E-2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2935809.0402861517</v>
      </c>
      <c r="D14" s="11">
        <v>2.3900000000000001E-2</v>
      </c>
      <c r="E14" s="10">
        <f t="shared" si="2"/>
        <v>68528.016469224822</v>
      </c>
      <c r="F14" s="3"/>
      <c r="G14" s="29">
        <v>6.93</v>
      </c>
      <c r="H14" s="10"/>
      <c r="I14" s="10">
        <f t="shared" si="5"/>
        <v>966.50327415255208</v>
      </c>
      <c r="J14" s="10">
        <f t="shared" si="3"/>
        <v>2837469049.7232275</v>
      </c>
      <c r="K14" s="11">
        <f t="shared" si="4"/>
        <v>9.4856270000000187E-2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2867281.0238169269</v>
      </c>
      <c r="D15" s="11">
        <v>2.1899999999999999E-2</v>
      </c>
      <c r="E15" s="10">
        <f t="shared" si="2"/>
        <v>61447.748724523932</v>
      </c>
      <c r="F15" s="3"/>
      <c r="G15" s="29">
        <v>1.38</v>
      </c>
      <c r="H15" s="10"/>
      <c r="I15" s="10">
        <f t="shared" si="5"/>
        <v>903.86540180730583</v>
      </c>
      <c r="J15" s="10">
        <f t="shared" si="3"/>
        <v>2591636114.6867499</v>
      </c>
      <c r="K15" s="11">
        <f t="shared" si="4"/>
        <v>3.6002220000000085E-2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2805833.2750924029</v>
      </c>
      <c r="D16" s="11">
        <v>2.2200000000000001E-2</v>
      </c>
      <c r="E16" s="10">
        <f t="shared" si="2"/>
        <v>60936.703880895395</v>
      </c>
      <c r="F16" s="3"/>
      <c r="G16" s="29">
        <v>0.8</v>
      </c>
      <c r="H16" s="10"/>
      <c r="I16" s="10">
        <f t="shared" si="5"/>
        <v>891.5618483007554</v>
      </c>
      <c r="J16" s="10">
        <f t="shared" si="3"/>
        <v>2501573900.7651448</v>
      </c>
      <c r="K16" s="11">
        <f t="shared" si="4"/>
        <v>3.0377600000000005E-2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2744896.5712115075</v>
      </c>
      <c r="D17" s="11">
        <v>2.75E-2</v>
      </c>
      <c r="E17" s="10">
        <f t="shared" si="2"/>
        <v>73464.385117582977</v>
      </c>
      <c r="F17" s="3"/>
      <c r="G17" s="29">
        <v>3.92</v>
      </c>
      <c r="H17" s="10"/>
      <c r="I17" s="10">
        <f t="shared" si="5"/>
        <v>884.48596061582873</v>
      </c>
      <c r="J17" s="10">
        <f t="shared" si="3"/>
        <v>2427822480.5791049</v>
      </c>
      <c r="K17" s="11">
        <f t="shared" si="4"/>
        <v>6.7777999999999894E-2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2671432.1860939246</v>
      </c>
      <c r="D18" s="11">
        <v>2.7400000000000001E-2</v>
      </c>
      <c r="E18" s="10">
        <f t="shared" si="2"/>
        <v>71245.125461333431</v>
      </c>
      <c r="F18" s="3"/>
      <c r="G18" s="29">
        <v>3.67</v>
      </c>
      <c r="H18" s="10"/>
      <c r="I18" s="10">
        <f t="shared" si="5"/>
        <v>851.12197903755657</v>
      </c>
      <c r="J18" s="10">
        <f t="shared" si="3"/>
        <v>2273714649.0928874</v>
      </c>
      <c r="K18" s="11">
        <f t="shared" si="4"/>
        <v>6.5105580000000218E-2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2600187.0606325911</v>
      </c>
      <c r="D19" s="11">
        <v>2.7099999999999999E-2</v>
      </c>
      <c r="E19" s="10">
        <f t="shared" si="2"/>
        <v>68605.850786820054</v>
      </c>
      <c r="F19" s="3"/>
      <c r="G19" s="29">
        <v>2.78</v>
      </c>
      <c r="H19" s="10"/>
      <c r="I19" s="10">
        <f t="shared" si="5"/>
        <v>820.99158776652519</v>
      </c>
      <c r="J19" s="10">
        <f t="shared" si="3"/>
        <v>2134731703.398725</v>
      </c>
      <c r="K19" s="11">
        <f t="shared" si="4"/>
        <v>5.5653379999999864E-2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2531581.2098457711</v>
      </c>
      <c r="D20" s="11">
        <v>2.75E-2</v>
      </c>
      <c r="E20" s="10">
        <f t="shared" si="2"/>
        <v>67755.214862052351</v>
      </c>
      <c r="F20" s="3"/>
      <c r="G20" s="29">
        <v>-4.04</v>
      </c>
      <c r="H20" s="10"/>
      <c r="I20" s="10">
        <f t="shared" si="5"/>
        <v>798.78535490029685</v>
      </c>
      <c r="J20" s="10">
        <f t="shared" si="3"/>
        <v>2022189995.1655772</v>
      </c>
      <c r="K20" s="11">
        <f t="shared" si="4"/>
        <v>-1.4010999999999996E-2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2463825.9949837187</v>
      </c>
      <c r="D21" s="11">
        <v>2.5899999999999999E-2</v>
      </c>
      <c r="E21" s="10">
        <f t="shared" si="2"/>
        <v>62202.059918196872</v>
      </c>
      <c r="F21" s="3"/>
      <c r="G21" s="29">
        <v>5.82</v>
      </c>
      <c r="H21" s="10"/>
      <c r="I21" s="10">
        <f t="shared" si="5"/>
        <v>832.41491757013011</v>
      </c>
      <c r="J21" s="10">
        <f t="shared" si="3"/>
        <v>2050925512.5215161</v>
      </c>
      <c r="K21" s="11">
        <f t="shared" si="4"/>
        <v>8.56073799999999E-2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2401623.9350655219</v>
      </c>
      <c r="D22" s="11">
        <v>2.7300000000000001E-2</v>
      </c>
      <c r="E22" s="10">
        <f t="shared" si="2"/>
        <v>63821.993017900269</v>
      </c>
      <c r="F22" s="3"/>
      <c r="G22" s="29">
        <v>9.82</v>
      </c>
      <c r="H22" s="10"/>
      <c r="I22" s="10">
        <f t="shared" si="5"/>
        <v>786.63288373665671</v>
      </c>
      <c r="J22" s="10">
        <f t="shared" si="3"/>
        <v>1889196361.6915686</v>
      </c>
      <c r="K22" s="11">
        <f t="shared" si="4"/>
        <v>0.12818086000000006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2337801.9420476216</v>
      </c>
      <c r="D23" s="11">
        <v>3.1199999999999999E-2</v>
      </c>
      <c r="E23" s="10">
        <f t="shared" si="2"/>
        <v>70732.564577080775</v>
      </c>
      <c r="F23" s="3"/>
      <c r="G23" s="29">
        <v>-3.06</v>
      </c>
      <c r="H23" s="10"/>
      <c r="I23" s="10">
        <f t="shared" si="5"/>
        <v>716.2929190827324</v>
      </c>
      <c r="J23" s="10">
        <f t="shared" si="3"/>
        <v>1674550977.3065717</v>
      </c>
      <c r="K23" s="11">
        <f t="shared" si="4"/>
        <v>-3.5471999999991954E-4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2267069.3774705408</v>
      </c>
      <c r="D24" s="11">
        <v>3.1899999999999998E-2</v>
      </c>
      <c r="E24" s="10">
        <f t="shared" si="2"/>
        <v>70083.838687188923</v>
      </c>
      <c r="F24" s="3"/>
      <c r="G24" s="29">
        <v>5.87</v>
      </c>
      <c r="H24" s="10"/>
      <c r="I24" s="10">
        <f t="shared" si="5"/>
        <v>738.90336195866757</v>
      </c>
      <c r="J24" s="10">
        <f t="shared" si="3"/>
        <v>1675145184.8065262</v>
      </c>
      <c r="K24" s="11">
        <f t="shared" si="4"/>
        <v>9.2472529999999997E-2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2196985.5387833519</v>
      </c>
      <c r="D25" s="11">
        <v>3.1800000000000002E-2</v>
      </c>
      <c r="E25" s="10">
        <f t="shared" si="2"/>
        <v>67710.932480433024</v>
      </c>
      <c r="F25" s="3"/>
      <c r="G25" s="29">
        <v>1.87</v>
      </c>
      <c r="H25" s="10"/>
      <c r="I25" s="10">
        <f t="shared" si="5"/>
        <v>697.93460088662277</v>
      </c>
      <c r="J25" s="10">
        <f t="shared" si="3"/>
        <v>1533352225.1644406</v>
      </c>
      <c r="K25" s="11">
        <f t="shared" si="4"/>
        <v>5.109466000000018E-2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2129274.6063029189</v>
      </c>
      <c r="D26" s="11">
        <v>3.1300000000000001E-2</v>
      </c>
      <c r="E26" s="10">
        <f t="shared" si="2"/>
        <v>64623.577210590243</v>
      </c>
      <c r="F26" s="3"/>
      <c r="G26" s="29">
        <v>1.79</v>
      </c>
      <c r="H26" s="10"/>
      <c r="I26" s="10">
        <f t="shared" si="5"/>
        <v>685.12280444352882</v>
      </c>
      <c r="J26" s="10">
        <f t="shared" si="3"/>
        <v>1458814589.7006464</v>
      </c>
      <c r="K26" s="11">
        <f t="shared" si="4"/>
        <v>4.9760270000000162E-2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2064651.0290923286</v>
      </c>
      <c r="D27" s="11">
        <v>3.1099999999999999E-2</v>
      </c>
      <c r="E27" s="10">
        <f t="shared" si="2"/>
        <v>62273.927848677384</v>
      </c>
      <c r="F27" s="3"/>
      <c r="G27" s="29">
        <v>-1.77</v>
      </c>
      <c r="H27" s="10"/>
      <c r="I27" s="10">
        <f t="shared" si="5"/>
        <v>673.07476612980531</v>
      </c>
      <c r="J27" s="10">
        <f t="shared" si="3"/>
        <v>1389664508.5459809</v>
      </c>
      <c r="K27" s="11">
        <f t="shared" si="4"/>
        <v>1.2849529999999998E-2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2002377.1012436512</v>
      </c>
      <c r="D28" s="11">
        <v>2.5499999999999998E-2</v>
      </c>
      <c r="E28" s="10">
        <f t="shared" si="2"/>
        <v>49790.946934873937</v>
      </c>
      <c r="F28" s="3"/>
      <c r="G28" s="29">
        <v>14.78</v>
      </c>
      <c r="H28" s="10"/>
      <c r="I28" s="10">
        <f t="shared" si="5"/>
        <v>685.20285669327632</v>
      </c>
      <c r="J28" s="10">
        <f t="shared" si="3"/>
        <v>1372034509.9493515</v>
      </c>
      <c r="K28" s="11">
        <f t="shared" si="4"/>
        <v>0.17706889999999986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1952586.1543087773</v>
      </c>
      <c r="D29" s="11">
        <v>1.66E-2</v>
      </c>
      <c r="E29" s="10">
        <f t="shared" si="2"/>
        <v>31883.661382574821</v>
      </c>
      <c r="F29" s="3"/>
      <c r="G29" s="29">
        <v>1.72</v>
      </c>
      <c r="H29" s="10"/>
      <c r="I29" s="10">
        <f t="shared" si="5"/>
        <v>596.97060175403067</v>
      </c>
      <c r="J29" s="10">
        <f t="shared" si="3"/>
        <v>1165636531.5142994</v>
      </c>
      <c r="K29" s="11">
        <f t="shared" si="4"/>
        <v>3.4085520000000091E-2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1920702.4929262025</v>
      </c>
      <c r="D30" s="11">
        <v>1.32E-2</v>
      </c>
      <c r="E30" s="10">
        <f t="shared" si="2"/>
        <v>25022.969706500182</v>
      </c>
      <c r="F30" s="3"/>
      <c r="G30" s="29">
        <v>1.9</v>
      </c>
      <c r="H30" s="10"/>
      <c r="I30" s="10">
        <f t="shared" si="5"/>
        <v>586.87632889700217</v>
      </c>
      <c r="J30" s="10">
        <f t="shared" si="3"/>
        <v>1127214827.9518499</v>
      </c>
      <c r="K30" s="11">
        <f t="shared" si="4"/>
        <v>3.2450799999999669E-2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1895679.5232197023</v>
      </c>
      <c r="D31" s="11">
        <v>1.2699999999999999E-2</v>
      </c>
      <c r="E31" s="10">
        <f t="shared" si="2"/>
        <v>23773.210175659275</v>
      </c>
      <c r="F31" s="3"/>
      <c r="G31" s="29">
        <v>5.71</v>
      </c>
      <c r="H31" s="10"/>
      <c r="I31" s="10">
        <f t="shared" si="5"/>
        <v>575.9335906741926</v>
      </c>
      <c r="J31" s="10">
        <f t="shared" si="3"/>
        <v>1091785514.5754647</v>
      </c>
      <c r="K31" s="11">
        <f t="shared" si="4"/>
        <v>7.0525170000000026E-2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1871906.313044043</v>
      </c>
      <c r="D32" s="11">
        <v>1.2500000000000001E-2</v>
      </c>
      <c r="E32" s="10">
        <f t="shared" si="2"/>
        <v>23109.954482025234</v>
      </c>
      <c r="F32" s="3"/>
      <c r="G32" s="29">
        <v>2.99</v>
      </c>
      <c r="H32" s="10"/>
      <c r="I32" s="10">
        <f t="shared" si="5"/>
        <v>544.82413269718347</v>
      </c>
      <c r="J32" s="10">
        <f t="shared" si="3"/>
        <v>1019859733.4946032</v>
      </c>
      <c r="K32" s="11">
        <f t="shared" si="4"/>
        <v>4.2773750000000055E-2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1848796.3585620178</v>
      </c>
      <c r="D33" s="11">
        <v>1.2200000000000001E-2</v>
      </c>
      <c r="E33" s="10">
        <f t="shared" si="2"/>
        <v>22283.45739424671</v>
      </c>
      <c r="F33" s="3"/>
      <c r="G33" s="29">
        <v>-3.23</v>
      </c>
      <c r="H33" s="10"/>
      <c r="I33" s="10">
        <f t="shared" si="5"/>
        <v>529.00682852430668</v>
      </c>
      <c r="J33" s="10">
        <f t="shared" si="3"/>
        <v>978025898.23017991</v>
      </c>
      <c r="K33" s="11">
        <f t="shared" si="4"/>
        <v>-2.0494060000000092E-2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1826512.9011677711</v>
      </c>
      <c r="D34" s="11">
        <v>1.1900000000000001E-2</v>
      </c>
      <c r="E34" s="10">
        <f t="shared" si="2"/>
        <v>21479.892799581401</v>
      </c>
      <c r="F34" s="3"/>
      <c r="G34" s="29">
        <v>2.44</v>
      </c>
      <c r="H34" s="10"/>
      <c r="I34" s="10">
        <f t="shared" si="5"/>
        <v>546.66407825184115</v>
      </c>
      <c r="J34" s="10">
        <f t="shared" ref="J34:J65" si="6">IF(I34="","",I34*C34)</f>
        <v>998488991.53197575</v>
      </c>
      <c r="K34" s="11">
        <f t="shared" ref="K34:K65" si="7">IFERROR(J34/J35-1,"")</f>
        <v>4.9745060000000008E-2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1805033.0083681897</v>
      </c>
      <c r="D35" s="11">
        <v>1.1599999999999999E-2</v>
      </c>
      <c r="E35" s="10">
        <f t="shared" si="2"/>
        <v>20698.282816400751</v>
      </c>
      <c r="F35" s="3"/>
      <c r="G35" s="29">
        <v>-5.04</v>
      </c>
      <c r="H35" s="10"/>
      <c r="I35" s="10">
        <f t="shared" ref="I35:I66" si="8">IF(H35&lt;&gt;"",H35,I34/(1+IF(G34="",0,G34)/100))</f>
        <v>526.95592659710917</v>
      </c>
      <c r="J35" s="10">
        <f t="shared" si="6"/>
        <v>951172841.46302688</v>
      </c>
      <c r="K35" s="11">
        <f t="shared" si="7"/>
        <v>-1.2071440000000044E-2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1784334.7255517889</v>
      </c>
      <c r="D36" s="11">
        <v>1.1299999999999999E-2</v>
      </c>
      <c r="E36" s="10">
        <f t="shared" si="2"/>
        <v>19937.686540824128</v>
      </c>
      <c r="F36" s="3"/>
      <c r="G36" s="29">
        <v>-1.35</v>
      </c>
      <c r="H36" s="10"/>
      <c r="I36" s="10">
        <f t="shared" si="8"/>
        <v>539.58214888092277</v>
      </c>
      <c r="J36" s="10">
        <f t="shared" si="6"/>
        <v>962795165.53608584</v>
      </c>
      <c r="K36" s="11">
        <f t="shared" si="7"/>
        <v>4.6189849999999977E-2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1764397.0390109648</v>
      </c>
      <c r="D37" s="11">
        <v>1.0999999999999999E-2</v>
      </c>
      <c r="E37" s="10">
        <f t="shared" si="2"/>
        <v>19197.198248388246</v>
      </c>
      <c r="F37" s="3"/>
      <c r="G37" s="29">
        <v>2.07</v>
      </c>
      <c r="H37" s="10"/>
      <c r="I37" s="10">
        <f t="shared" si="8"/>
        <v>521.58738412848993</v>
      </c>
      <c r="J37" s="10">
        <f t="shared" si="6"/>
        <v>920287236.14178228</v>
      </c>
      <c r="K37" s="11">
        <f t="shared" si="7"/>
        <v>8.551069999999994E-2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1745199.8407625766</v>
      </c>
      <c r="D38" s="11">
        <v>1.0699999999999999E-2</v>
      </c>
      <c r="E38" s="10">
        <f t="shared" si="2"/>
        <v>18475.945677411044</v>
      </c>
      <c r="F38" s="3"/>
      <c r="G38" s="29">
        <v>-22.49</v>
      </c>
      <c r="H38" s="10"/>
      <c r="I38" s="10">
        <f t="shared" si="8"/>
        <v>485.78502759475634</v>
      </c>
      <c r="J38" s="10">
        <f t="shared" si="6"/>
        <v>847791952.80321264</v>
      </c>
      <c r="K38" s="11">
        <f t="shared" si="7"/>
        <v>-0.17921053000000009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1726723.8950851655</v>
      </c>
      <c r="D39" s="11">
        <v>1.0500000000000001E-2</v>
      </c>
      <c r="E39" s="10">
        <f t="shared" si="2"/>
        <v>17942.20771736186</v>
      </c>
      <c r="F39" s="3"/>
      <c r="G39" s="29">
        <v>12.5</v>
      </c>
      <c r="H39" s="10"/>
      <c r="I39" s="10">
        <f t="shared" si="8"/>
        <v>598.18375519610436</v>
      </c>
      <c r="J39" s="10">
        <f t="shared" si="6"/>
        <v>1032898183.7488884</v>
      </c>
      <c r="K39" s="11">
        <f t="shared" si="7"/>
        <v>0.13681249999999978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1708781.6873678036</v>
      </c>
      <c r="D40" s="11">
        <v>1.03E-2</v>
      </c>
      <c r="E40" s="10">
        <f t="shared" si="2"/>
        <v>17421.014926149044</v>
      </c>
      <c r="F40" s="3"/>
      <c r="G40" s="29">
        <v>11.88</v>
      </c>
      <c r="H40" s="10"/>
      <c r="I40" s="10">
        <f t="shared" si="8"/>
        <v>531.71889350764832</v>
      </c>
      <c r="J40" s="10">
        <f t="shared" si="6"/>
        <v>908591508.05334079</v>
      </c>
      <c r="K40" s="11">
        <f t="shared" si="7"/>
        <v>0.13032363999999985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1691360.6724416546</v>
      </c>
      <c r="D41" s="11">
        <v>1.49E-2</v>
      </c>
      <c r="E41" s="10">
        <f t="shared" si="2"/>
        <v>24831.28783070296</v>
      </c>
      <c r="F41" s="3"/>
      <c r="G41" s="29">
        <v>8.5500000000000007</v>
      </c>
      <c r="H41" s="10"/>
      <c r="I41" s="10">
        <f t="shared" si="8"/>
        <v>475.25821729321444</v>
      </c>
      <c r="J41" s="10">
        <f t="shared" si="6"/>
        <v>803833057.98447323</v>
      </c>
      <c r="K41" s="11">
        <f t="shared" si="7"/>
        <v>0.1016739499999999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1666529.3846109516</v>
      </c>
      <c r="D42" s="11">
        <v>1.95E-2</v>
      </c>
      <c r="E42" s="10">
        <f t="shared" si="2"/>
        <v>31875.745953814359</v>
      </c>
      <c r="F42" s="3"/>
      <c r="G42" s="29">
        <v>-5.13</v>
      </c>
      <c r="H42" s="10"/>
      <c r="I42" s="10">
        <f t="shared" si="8"/>
        <v>437.82424439724963</v>
      </c>
      <c r="J42" s="10">
        <f t="shared" si="6"/>
        <v>729646968.5831033</v>
      </c>
      <c r="K42" s="11">
        <f t="shared" si="7"/>
        <v>-3.2800349999999923E-2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1634653.6386571373</v>
      </c>
      <c r="D43" s="11">
        <v>1.9300000000000001E-2</v>
      </c>
      <c r="E43" s="10">
        <f t="shared" si="2"/>
        <v>30951.452198649058</v>
      </c>
      <c r="F43" s="3"/>
      <c r="G43" s="29">
        <v>12.16</v>
      </c>
      <c r="H43" s="10"/>
      <c r="I43" s="10">
        <f t="shared" si="8"/>
        <v>461.49915083508972</v>
      </c>
      <c r="J43" s="10">
        <f t="shared" si="6"/>
        <v>754391266.14975846</v>
      </c>
      <c r="K43" s="11">
        <f t="shared" si="7"/>
        <v>0.14324688000000019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1603702.1864584882</v>
      </c>
      <c r="D44" s="11">
        <v>1.9199999999999998E-2</v>
      </c>
      <c r="E44" s="10">
        <f t="shared" si="2"/>
        <v>30211.030200160109</v>
      </c>
      <c r="F44" s="3"/>
      <c r="G44" s="29">
        <v>4.58</v>
      </c>
      <c r="H44" s="10"/>
      <c r="I44" s="10">
        <f t="shared" si="8"/>
        <v>411.46500609405291</v>
      </c>
      <c r="J44" s="10">
        <f t="shared" si="6"/>
        <v>659867329.92418778</v>
      </c>
      <c r="K44" s="11">
        <f t="shared" si="7"/>
        <v>6.5879360000000053E-2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1573491.1562583281</v>
      </c>
      <c r="D45" s="11">
        <v>1.9599999999999999E-2</v>
      </c>
      <c r="E45" s="10">
        <f t="shared" si="2"/>
        <v>30247.574208182981</v>
      </c>
      <c r="F45" s="3"/>
      <c r="G45" s="29">
        <v>0.73</v>
      </c>
      <c r="H45" s="10"/>
      <c r="I45" s="10">
        <f t="shared" si="8"/>
        <v>393.44521523623342</v>
      </c>
      <c r="J45" s="10">
        <f t="shared" si="6"/>
        <v>619082566.64636767</v>
      </c>
      <c r="K45" s="11">
        <f t="shared" si="7"/>
        <v>2.7043080000000108E-2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1543243.5820501451</v>
      </c>
      <c r="D46" s="11">
        <v>2.07E-2</v>
      </c>
      <c r="E46" s="10">
        <f t="shared" si="2"/>
        <v>31297.288281020708</v>
      </c>
      <c r="F46" s="3"/>
      <c r="G46" s="29">
        <v>1.84</v>
      </c>
      <c r="H46" s="10"/>
      <c r="I46" s="10">
        <f t="shared" si="8"/>
        <v>390.59387991286945</v>
      </c>
      <c r="J46" s="10">
        <f t="shared" si="6"/>
        <v>602781498.36360085</v>
      </c>
      <c r="K46" s="11">
        <f t="shared" si="7"/>
        <v>3.948087999999994E-2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1511946.2937691244</v>
      </c>
      <c r="D47" s="11">
        <v>2.2200000000000001E-2</v>
      </c>
      <c r="E47" s="10">
        <f t="shared" si="2"/>
        <v>32836.243124314817</v>
      </c>
      <c r="F47" s="3"/>
      <c r="G47" s="29">
        <v>11.99</v>
      </c>
      <c r="H47" s="10"/>
      <c r="I47" s="10">
        <f t="shared" si="8"/>
        <v>383.53680274240912</v>
      </c>
      <c r="J47" s="10">
        <f t="shared" si="6"/>
        <v>579887047.43044519</v>
      </c>
      <c r="K47" s="11">
        <f t="shared" si="7"/>
        <v>0.14476177999999984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1479110.0506448096</v>
      </c>
      <c r="D48" s="11">
        <v>2.29E-2</v>
      </c>
      <c r="E48" s="10">
        <f t="shared" si="2"/>
        <v>33113.325016879477</v>
      </c>
      <c r="F48" s="3"/>
      <c r="G48" s="29">
        <v>1.25</v>
      </c>
      <c r="H48" s="10"/>
      <c r="I48" s="10">
        <f t="shared" si="8"/>
        <v>342.47415192643018</v>
      </c>
      <c r="J48" s="10">
        <f t="shared" si="6"/>
        <v>506556960.20044035</v>
      </c>
      <c r="K48" s="11">
        <f t="shared" si="7"/>
        <v>3.5686249999999919E-2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1445996.7256279301</v>
      </c>
      <c r="D49" s="11">
        <v>2.2499999999999999E-2</v>
      </c>
      <c r="E49" s="10">
        <f t="shared" si="2"/>
        <v>31818.998852448305</v>
      </c>
      <c r="F49" s="3"/>
      <c r="G49" s="29">
        <v>10.199999999999999</v>
      </c>
      <c r="H49" s="10"/>
      <c r="I49" s="10">
        <f t="shared" si="8"/>
        <v>338.24607597672116</v>
      </c>
      <c r="J49" s="10">
        <f t="shared" si="6"/>
        <v>489102718.3188349</v>
      </c>
      <c r="K49" s="11">
        <f t="shared" si="7"/>
        <v>0.12679499999999999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1414177.7267754818</v>
      </c>
      <c r="D50" s="11">
        <v>2.18E-2</v>
      </c>
      <c r="E50" s="10">
        <f t="shared" si="2"/>
        <v>30171.339248097036</v>
      </c>
      <c r="F50" s="3"/>
      <c r="G50" s="29">
        <v>3.57</v>
      </c>
      <c r="H50" s="10"/>
      <c r="I50" s="10">
        <f t="shared" si="8"/>
        <v>306.93836295528234</v>
      </c>
      <c r="J50" s="10">
        <f t="shared" si="6"/>
        <v>434065396.38428897</v>
      </c>
      <c r="K50" s="11">
        <f t="shared" si="7"/>
        <v>5.8278260000000248E-2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1384006.3875273848</v>
      </c>
      <c r="D51" s="11">
        <v>2.12E-2</v>
      </c>
      <c r="E51" s="10">
        <f t="shared" si="2"/>
        <v>28731.820814317092</v>
      </c>
      <c r="F51" s="3"/>
      <c r="G51" s="29">
        <v>0.23</v>
      </c>
      <c r="H51" s="10"/>
      <c r="I51" s="10">
        <f t="shared" si="8"/>
        <v>296.35836917570947</v>
      </c>
      <c r="J51" s="10">
        <f t="shared" si="6"/>
        <v>410161875.93638074</v>
      </c>
      <c r="K51" s="11">
        <f t="shared" si="7"/>
        <v>2.3548760000000168E-2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1355274.5667130677</v>
      </c>
      <c r="D52" s="11">
        <v>2.06E-2</v>
      </c>
      <c r="E52" s="10">
        <f t="shared" si="2"/>
        <v>27355.140186448349</v>
      </c>
      <c r="F52" s="3"/>
      <c r="G52" s="29">
        <v>16.14</v>
      </c>
      <c r="H52" s="10"/>
      <c r="I52" s="10">
        <f t="shared" si="8"/>
        <v>295.67830906486029</v>
      </c>
      <c r="J52" s="10">
        <f t="shared" si="6"/>
        <v>400725292.20433104</v>
      </c>
      <c r="K52" s="11">
        <f t="shared" si="7"/>
        <v>0.18532484000000005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1327919.4265266194</v>
      </c>
      <c r="D53" s="11">
        <v>2.01E-2</v>
      </c>
      <c r="E53" s="10">
        <f t="shared" si="2"/>
        <v>26165.258771870518</v>
      </c>
      <c r="F53" s="3"/>
      <c r="G53" s="29">
        <v>27.69</v>
      </c>
      <c r="H53" s="10"/>
      <c r="I53" s="10">
        <f t="shared" si="8"/>
        <v>254.58783284386109</v>
      </c>
      <c r="J53" s="10">
        <f t="shared" si="6"/>
        <v>338072128.99067485</v>
      </c>
      <c r="K53" s="11">
        <f t="shared" si="7"/>
        <v>0.30256569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1301754.1677547488</v>
      </c>
      <c r="D54" s="11">
        <v>1.9599999999999999E-2</v>
      </c>
      <c r="E54" s="10">
        <f t="shared" si="2"/>
        <v>25023.912993323989</v>
      </c>
      <c r="F54" s="3"/>
      <c r="G54" s="29">
        <v>-1.98</v>
      </c>
      <c r="H54" s="10"/>
      <c r="I54" s="10">
        <f t="shared" si="8"/>
        <v>199.37961691899218</v>
      </c>
      <c r="J54" s="10">
        <f t="shared" si="6"/>
        <v>259543247.28964332</v>
      </c>
      <c r="K54" s="11">
        <f t="shared" si="7"/>
        <v>-5.8807999999987981E-4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1276730.2547614248</v>
      </c>
      <c r="D55" s="11">
        <v>1.9099999999999999E-2</v>
      </c>
      <c r="E55" s="10">
        <f t="shared" si="2"/>
        <v>23928.513262626948</v>
      </c>
      <c r="F55" s="3"/>
      <c r="G55" s="29">
        <v>0.73</v>
      </c>
      <c r="H55" s="10"/>
      <c r="I55" s="10">
        <f t="shared" si="8"/>
        <v>203.40707704447274</v>
      </c>
      <c r="J55" s="10">
        <f t="shared" si="6"/>
        <v>259695969.29526645</v>
      </c>
      <c r="K55" s="11">
        <f t="shared" si="7"/>
        <v>2.6539429999999919E-2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1252801.7414987979</v>
      </c>
      <c r="D56" s="11">
        <v>1.8800000000000001E-2</v>
      </c>
      <c r="E56" s="10">
        <f t="shared" si="2"/>
        <v>23118.053337433608</v>
      </c>
      <c r="F56" s="3"/>
      <c r="G56" s="29">
        <v>10.199999999999999</v>
      </c>
      <c r="H56" s="10"/>
      <c r="I56" s="10">
        <f t="shared" si="8"/>
        <v>201.93296638982699</v>
      </c>
      <c r="J56" s="10">
        <f t="shared" si="6"/>
        <v>252981971.95919347</v>
      </c>
      <c r="K56" s="11">
        <f t="shared" si="7"/>
        <v>0.12271760000000009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1229683.6881613643</v>
      </c>
      <c r="D57" s="11">
        <v>1.7999999999999999E-2</v>
      </c>
      <c r="E57" s="10">
        <f t="shared" si="2"/>
        <v>21742.933582420927</v>
      </c>
      <c r="F57" s="3"/>
      <c r="G57" s="30">
        <v>7.76</v>
      </c>
      <c r="H57" s="10"/>
      <c r="I57" s="10">
        <f t="shared" si="8"/>
        <v>183.24225625211159</v>
      </c>
      <c r="J57" s="10">
        <f t="shared" si="6"/>
        <v>225330013.4951064</v>
      </c>
      <c r="K57" s="11">
        <f t="shared" si="7"/>
        <v>9.6996799999999883E-2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1207940.7545789434</v>
      </c>
      <c r="D58" s="11">
        <v>1.7999999999999999E-2</v>
      </c>
      <c r="E58" s="10">
        <f t="shared" si="2"/>
        <v>21358.480925757438</v>
      </c>
      <c r="F58" s="3"/>
      <c r="G58" s="30">
        <v>3.73</v>
      </c>
      <c r="H58" s="10"/>
      <c r="I58" s="10">
        <f t="shared" si="8"/>
        <v>170.04663720500335</v>
      </c>
      <c r="J58" s="10">
        <f t="shared" si="6"/>
        <v>205406263.25902358</v>
      </c>
      <c r="K58" s="11">
        <f t="shared" si="7"/>
        <v>5.5971400000000227E-2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1186582.2736531859</v>
      </c>
      <c r="D59" s="11">
        <v>1.7999999999999999E-2</v>
      </c>
      <c r="E59" s="10">
        <f t="shared" si="2"/>
        <v>20980.826056736056</v>
      </c>
      <c r="F59" s="3"/>
      <c r="G59" s="30">
        <v>3.81</v>
      </c>
      <c r="H59" s="10"/>
      <c r="I59" s="10">
        <f t="shared" si="8"/>
        <v>163.93197455413411</v>
      </c>
      <c r="J59" s="10">
        <f t="shared" si="6"/>
        <v>194518775.09090069</v>
      </c>
      <c r="K59" s="11">
        <f t="shared" si="7"/>
        <v>5.6785800000000108E-2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1165601.4475964499</v>
      </c>
      <c r="D60" s="11">
        <v>1.7000000000000001E-2</v>
      </c>
      <c r="E60" s="10">
        <f t="shared" si="2"/>
        <v>19483.996665820479</v>
      </c>
      <c r="F60" s="3"/>
      <c r="G60" s="30">
        <v>3.54</v>
      </c>
      <c r="H60" s="10"/>
      <c r="I60" s="10">
        <f t="shared" si="8"/>
        <v>157.91539789435905</v>
      </c>
      <c r="J60" s="10">
        <f t="shared" si="6"/>
        <v>184066416.38343427</v>
      </c>
      <c r="K60" s="11">
        <f t="shared" si="7"/>
        <v>5.3001799999999877E-2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1146117.4509306294</v>
      </c>
      <c r="D61" s="11">
        <v>1.7000000000000001E-2</v>
      </c>
      <c r="E61" s="10">
        <f t="shared" si="2"/>
        <v>19158.305472783279</v>
      </c>
      <c r="F61" s="3"/>
      <c r="G61" s="30">
        <v>3.88</v>
      </c>
      <c r="H61" s="10"/>
      <c r="I61" s="10">
        <f t="shared" si="8"/>
        <v>152.51632016067126</v>
      </c>
      <c r="J61" s="10">
        <f t="shared" si="6"/>
        <v>174801616.0878683</v>
      </c>
      <c r="K61" s="11">
        <f t="shared" si="7"/>
        <v>5.6459599999999943E-2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1126959.1454578461</v>
      </c>
      <c r="D62" s="11">
        <v>1.7000000000000001E-2</v>
      </c>
      <c r="E62" s="10">
        <f t="shared" si="2"/>
        <v>18838.058478646213</v>
      </c>
      <c r="F62" s="3"/>
      <c r="G62" s="30">
        <v>3.73</v>
      </c>
      <c r="H62" s="10"/>
      <c r="I62" s="10">
        <f t="shared" si="8"/>
        <v>146.81971521050372</v>
      </c>
      <c r="J62" s="10">
        <f t="shared" si="6"/>
        <v>165459820.78999358</v>
      </c>
      <c r="K62" s="11">
        <f t="shared" si="7"/>
        <v>5.4934099999999875E-2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1108121.0869791999</v>
      </c>
      <c r="D63" s="11">
        <v>1.6E-2</v>
      </c>
      <c r="E63" s="10">
        <f t="shared" si="2"/>
        <v>17450.725779199973</v>
      </c>
      <c r="F63" s="3"/>
      <c r="G63" s="30">
        <v>3.71</v>
      </c>
      <c r="H63" s="10"/>
      <c r="I63" s="10">
        <f t="shared" si="8"/>
        <v>141.54026338619849</v>
      </c>
      <c r="J63" s="10">
        <f t="shared" si="6"/>
        <v>156843750.51483652</v>
      </c>
      <c r="K63" s="11">
        <f t="shared" si="7"/>
        <v>5.3693599999999897E-2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1090670.3611999999</v>
      </c>
      <c r="D64" s="11">
        <v>1.6E-2</v>
      </c>
      <c r="E64" s="10">
        <f t="shared" si="2"/>
        <v>17175.911199999973</v>
      </c>
      <c r="F64" s="3"/>
      <c r="G64" s="30">
        <v>3.55</v>
      </c>
      <c r="H64" s="10"/>
      <c r="I64" s="10">
        <f t="shared" si="8"/>
        <v>136.47696787792739</v>
      </c>
      <c r="J64" s="10">
        <f t="shared" si="6"/>
        <v>148851383.85089985</v>
      </c>
      <c r="K64" s="11">
        <f t="shared" si="7"/>
        <v>5.2068000000000003E-2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1073494.45</v>
      </c>
      <c r="D65" s="11">
        <v>1.4999999999999999E-2</v>
      </c>
      <c r="E65" s="10">
        <f t="shared" si="2"/>
        <v>15864.449999999953</v>
      </c>
      <c r="F65" s="3"/>
      <c r="G65" s="30">
        <v>3.63</v>
      </c>
      <c r="H65" s="10"/>
      <c r="I65" s="10">
        <f t="shared" si="8"/>
        <v>131.79813411678163</v>
      </c>
      <c r="J65" s="10">
        <f t="shared" si="6"/>
        <v>141484565.49472073</v>
      </c>
      <c r="K65" s="11">
        <f t="shared" si="7"/>
        <v>5.1844500000000071E-2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1057630</v>
      </c>
      <c r="D66" s="11">
        <v>1.4999999999999999E-2</v>
      </c>
      <c r="E66" s="10">
        <f t="shared" si="2"/>
        <v>15630</v>
      </c>
      <c r="F66" s="23">
        <f>SUM(F2)</f>
        <v>3307617</v>
      </c>
      <c r="G66" s="30">
        <v>3.62</v>
      </c>
      <c r="H66" s="10"/>
      <c r="I66" s="10">
        <f t="shared" si="8"/>
        <v>127.18144756999095</v>
      </c>
      <c r="J66" s="10">
        <f t="shared" ref="J66:J67" si="9">IF(I66="","",I66*C66)</f>
        <v>134510914.39344952</v>
      </c>
      <c r="K66" s="11">
        <f t="shared" ref="K66" si="10">IFERROR(J66/J67-1,"")</f>
        <v>5.1742999999999872E-2</v>
      </c>
    </row>
    <row r="67" spans="1:11" ht="22.5" customHeight="1">
      <c r="A67" s="3">
        <f t="shared" si="0"/>
        <v>1950</v>
      </c>
      <c r="B67" s="3">
        <v>1700</v>
      </c>
      <c r="C67" s="10">
        <v>1042000</v>
      </c>
      <c r="D67" s="11">
        <v>1.4999999999999999E-2</v>
      </c>
      <c r="E67" s="3" t="s">
        <v>72</v>
      </c>
      <c r="F67" s="10">
        <f>SUM(C2)</f>
        <v>3307276.8290600143</v>
      </c>
      <c r="G67" s="30">
        <v>3.63</v>
      </c>
      <c r="H67" s="10"/>
      <c r="I67" s="10">
        <f t="shared" ref="I67" si="11">IF(H67&lt;&gt;"",H67,I66/(1+IF(G66="",0,G66)/100))</f>
        <v>122.73832037250622</v>
      </c>
      <c r="J67" s="10">
        <f t="shared" si="9"/>
        <v>127893329.82815148</v>
      </c>
      <c r="K67" s="11"/>
    </row>
  </sheetData>
  <dataValidations count="1">
    <dataValidation type="custom" allowBlank="1" showDropDown="1" sqref="D2:D67" xr:uid="{00000000-0002-0000-7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 summaryRight="0"/>
  </sheetPr>
  <dimension ref="A1:M67"/>
  <sheetViews>
    <sheetView workbookViewId="0">
      <selection activeCell="J1" sqref="J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1640021.0724828092</v>
      </c>
      <c r="D2" s="11">
        <v>8.5000000000000006E-3</v>
      </c>
      <c r="E2" s="10">
        <f t="shared" ref="E2:E66" si="2">SUM(C2-C3)</f>
        <v>13822.686282700859</v>
      </c>
      <c r="F2" s="14">
        <v>1640804</v>
      </c>
      <c r="G2" s="29">
        <v>1.37</v>
      </c>
      <c r="H2" s="10"/>
      <c r="I2" s="10">
        <f>IF(H2&lt;&gt;"",H2,247936)</f>
        <v>30992</v>
      </c>
      <c r="J2" s="10">
        <f t="shared" ref="J2:J33" si="3">IF(I2="","",I2*C2)</f>
        <v>50827533078.387222</v>
      </c>
      <c r="K2" s="11">
        <f t="shared" ref="K2:K33" si="4">IFERROR(J2/J3-1,"")</f>
        <v>2.2316449999999932E-2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1626198.3862001083</v>
      </c>
      <c r="D3" s="11">
        <v>7.0000000000000001E-3</v>
      </c>
      <c r="E3" s="10">
        <f t="shared" si="2"/>
        <v>11304.258891162463</v>
      </c>
      <c r="F3" s="3"/>
      <c r="G3" s="29">
        <v>2.34</v>
      </c>
      <c r="H3" s="10"/>
      <c r="I3" s="10">
        <f t="shared" ref="I3:I34" si="5">IF(H3&lt;&gt;"",H3,I2/(1+IF(G2="",0,G2)/100))</f>
        <v>30573.147874124494</v>
      </c>
      <c r="J3" s="10">
        <f t="shared" si="3"/>
        <v>49718003733.958527</v>
      </c>
      <c r="K3" s="11">
        <f t="shared" si="4"/>
        <v>3.0563799999999919E-2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1614894.1273089459</v>
      </c>
      <c r="D4" s="11">
        <v>4.0000000000000001E-3</v>
      </c>
      <c r="E4" s="10">
        <f t="shared" si="2"/>
        <v>6433.8411446572281</v>
      </c>
      <c r="F4" s="3"/>
      <c r="G4" s="29">
        <v>0</v>
      </c>
      <c r="H4" s="10"/>
      <c r="I4" s="10">
        <f t="shared" si="5"/>
        <v>29874.094072820491</v>
      </c>
      <c r="J4" s="10">
        <f t="shared" si="3"/>
        <v>48243499076.872803</v>
      </c>
      <c r="K4" s="11">
        <f t="shared" si="4"/>
        <v>4.0000000000002256E-3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1608460.2861642886</v>
      </c>
      <c r="D5" s="11">
        <v>1.0999999999999999E-2</v>
      </c>
      <c r="E5" s="10">
        <f t="shared" si="2"/>
        <v>17500.557020580629</v>
      </c>
      <c r="F5" s="3"/>
      <c r="G5" s="29">
        <v>-0.16</v>
      </c>
      <c r="H5" s="10"/>
      <c r="I5" s="10">
        <f t="shared" si="5"/>
        <v>29874.094072820491</v>
      </c>
      <c r="J5" s="10">
        <f t="shared" si="3"/>
        <v>48051293901.267723</v>
      </c>
      <c r="K5" s="11">
        <f t="shared" si="4"/>
        <v>9.3823999999997909E-3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1590959.729143708</v>
      </c>
      <c r="D6" s="11">
        <v>6.7000000000000002E-3</v>
      </c>
      <c r="E6" s="10">
        <f t="shared" si="2"/>
        <v>10588.487320217304</v>
      </c>
      <c r="F6" s="3"/>
      <c r="G6" s="29">
        <v>0.04</v>
      </c>
      <c r="H6" s="10"/>
      <c r="I6" s="10">
        <f t="shared" si="5"/>
        <v>29921.969223578217</v>
      </c>
      <c r="J6" s="10">
        <f t="shared" si="3"/>
        <v>47604648051.390366</v>
      </c>
      <c r="K6" s="11">
        <f t="shared" si="4"/>
        <v>7.1026800000000279E-3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1580371.2418234907</v>
      </c>
      <c r="D7" s="11">
        <v>7.3000000000000001E-3</v>
      </c>
      <c r="E7" s="10">
        <f t="shared" si="2"/>
        <v>11453.10241766274</v>
      </c>
      <c r="F7" s="3"/>
      <c r="G7" s="29">
        <v>-0.11</v>
      </c>
      <c r="H7" s="10"/>
      <c r="I7" s="10">
        <f t="shared" si="5"/>
        <v>29910.00522148962</v>
      </c>
      <c r="J7" s="10">
        <f t="shared" si="3"/>
        <v>47268912094.832642</v>
      </c>
      <c r="K7" s="11">
        <f t="shared" si="4"/>
        <v>6.1919700000001576E-3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1568918.139405828</v>
      </c>
      <c r="D8" s="11">
        <v>2.2000000000000001E-3</v>
      </c>
      <c r="E8" s="10">
        <f t="shared" si="2"/>
        <v>3444.0430120662786</v>
      </c>
      <c r="F8" s="3"/>
      <c r="G8" s="29">
        <v>-1.1399999999999999</v>
      </c>
      <c r="H8" s="10"/>
      <c r="I8" s="10">
        <f t="shared" si="5"/>
        <v>29942.942458193633</v>
      </c>
      <c r="J8" s="10">
        <f t="shared" si="3"/>
        <v>46978025569.844925</v>
      </c>
      <c r="K8" s="11">
        <f t="shared" si="4"/>
        <v>-9.2250799999999966E-3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1565474.0963937617</v>
      </c>
      <c r="D9" s="11">
        <v>6.0000000000000001E-3</v>
      </c>
      <c r="E9" s="10">
        <f t="shared" si="2"/>
        <v>9336.8236365432385</v>
      </c>
      <c r="F9" s="3"/>
      <c r="G9" s="29">
        <v>2.12</v>
      </c>
      <c r="H9" s="10"/>
      <c r="I9" s="10">
        <f t="shared" si="5"/>
        <v>30288.228260361757</v>
      </c>
      <c r="J9" s="10">
        <f t="shared" si="3"/>
        <v>47415436767.25782</v>
      </c>
      <c r="K9" s="11">
        <f t="shared" si="4"/>
        <v>2.7327200000000218E-2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1556137.2727572185</v>
      </c>
      <c r="D10" s="11">
        <v>8.6E-3</v>
      </c>
      <c r="E10" s="10">
        <f t="shared" si="2"/>
        <v>13268.669983850792</v>
      </c>
      <c r="F10" s="3"/>
      <c r="G10" s="29">
        <v>1.36</v>
      </c>
      <c r="H10" s="10"/>
      <c r="I10" s="10">
        <f t="shared" si="5"/>
        <v>29659.447963534814</v>
      </c>
      <c r="J10" s="10">
        <f t="shared" si="3"/>
        <v>46154172465.459702</v>
      </c>
      <c r="K10" s="11">
        <f t="shared" si="4"/>
        <v>2.2316959999999941E-2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1542868.6027733677</v>
      </c>
      <c r="D11" s="11">
        <v>6.4000000000000003E-3</v>
      </c>
      <c r="E11" s="10">
        <f t="shared" si="2"/>
        <v>9811.5650414840784</v>
      </c>
      <c r="F11" s="3"/>
      <c r="G11" s="29">
        <v>4.4000000000000004</v>
      </c>
      <c r="H11" s="10"/>
      <c r="I11" s="10">
        <f t="shared" si="5"/>
        <v>29261.491676731268</v>
      </c>
      <c r="J11" s="10">
        <f t="shared" si="3"/>
        <v>45146636778.342896</v>
      </c>
      <c r="K11" s="11">
        <f t="shared" si="4"/>
        <v>5.0681599999999882E-2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1533057.0377318836</v>
      </c>
      <c r="D12" s="11">
        <v>4.4000000000000003E-3</v>
      </c>
      <c r="E12" s="10">
        <f t="shared" si="2"/>
        <v>6715.9010016131215</v>
      </c>
      <c r="F12" s="3"/>
      <c r="G12" s="29">
        <v>0.92</v>
      </c>
      <c r="H12" s="10"/>
      <c r="I12" s="10">
        <f t="shared" si="5"/>
        <v>28028.248732501215</v>
      </c>
      <c r="J12" s="10">
        <f t="shared" si="3"/>
        <v>42968903974.660736</v>
      </c>
      <c r="K12" s="11">
        <f t="shared" si="4"/>
        <v>1.3640480000000066E-2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1526341.1367302705</v>
      </c>
      <c r="D13" s="11">
        <v>7.7999999999999996E-3</v>
      </c>
      <c r="E13" s="10">
        <f t="shared" si="2"/>
        <v>11813.316993943416</v>
      </c>
      <c r="F13" s="3"/>
      <c r="G13" s="29">
        <v>4.0999999999999996</v>
      </c>
      <c r="H13" s="10"/>
      <c r="I13" s="10">
        <f t="shared" si="5"/>
        <v>27772.739528835922</v>
      </c>
      <c r="J13" s="10">
        <f t="shared" si="3"/>
        <v>42390674822.557137</v>
      </c>
      <c r="K13" s="11">
        <f t="shared" si="4"/>
        <v>4.9119799999999936E-2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1514527.819736327</v>
      </c>
      <c r="D14" s="11">
        <v>-2E-3</v>
      </c>
      <c r="E14" s="10">
        <f t="shared" si="2"/>
        <v>-3035.1258912552148</v>
      </c>
      <c r="F14" s="3"/>
      <c r="G14" s="29">
        <v>5.8</v>
      </c>
      <c r="H14" s="10"/>
      <c r="I14" s="10">
        <f t="shared" si="5"/>
        <v>26678.904446528264</v>
      </c>
      <c r="J14" s="10">
        <f t="shared" si="3"/>
        <v>40405942984.354256</v>
      </c>
      <c r="K14" s="11">
        <f t="shared" si="4"/>
        <v>5.5884000000000267E-2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1517562.9456275823</v>
      </c>
      <c r="D15" s="11">
        <v>4.4000000000000003E-3</v>
      </c>
      <c r="E15" s="10">
        <f t="shared" si="2"/>
        <v>6648.0256479105446</v>
      </c>
      <c r="F15" s="3"/>
      <c r="G15" s="29">
        <v>-3.09</v>
      </c>
      <c r="H15" s="10"/>
      <c r="I15" s="10">
        <f t="shared" si="5"/>
        <v>25216.355809573026</v>
      </c>
      <c r="J15" s="10">
        <f t="shared" si="3"/>
        <v>38267407200.368835</v>
      </c>
      <c r="K15" s="11">
        <f t="shared" si="4"/>
        <v>-2.6635960000000014E-2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1510914.9199796717</v>
      </c>
      <c r="D16" s="11">
        <v>7.4000000000000003E-3</v>
      </c>
      <c r="E16" s="10">
        <f t="shared" si="2"/>
        <v>11098.640468383674</v>
      </c>
      <c r="F16" s="3"/>
      <c r="G16" s="29">
        <v>-0.06</v>
      </c>
      <c r="H16" s="10"/>
      <c r="I16" s="10">
        <f t="shared" si="5"/>
        <v>26020.385728586345</v>
      </c>
      <c r="J16" s="10">
        <f t="shared" si="3"/>
        <v>39314589020.947227</v>
      </c>
      <c r="K16" s="11">
        <f t="shared" si="4"/>
        <v>6.7955600000000338E-3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1499816.279511288</v>
      </c>
      <c r="D17" s="11">
        <v>8.8000000000000005E-3</v>
      </c>
      <c r="E17" s="10">
        <f t="shared" si="2"/>
        <v>13083.250653944444</v>
      </c>
      <c r="F17" s="3"/>
      <c r="G17" s="29">
        <v>2.34</v>
      </c>
      <c r="H17" s="10"/>
      <c r="I17" s="10">
        <f t="shared" si="5"/>
        <v>26036.007332986137</v>
      </c>
      <c r="J17" s="10">
        <f t="shared" si="3"/>
        <v>39049227651.487885</v>
      </c>
      <c r="K17" s="11">
        <f t="shared" si="4"/>
        <v>3.2405919999999977E-2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1486733.0288573436</v>
      </c>
      <c r="D18" s="11">
        <v>9.5999999999999992E-3</v>
      </c>
      <c r="E18" s="10">
        <f t="shared" si="2"/>
        <v>14136.922619879711</v>
      </c>
      <c r="F18" s="3"/>
      <c r="G18" s="29">
        <v>0.35</v>
      </c>
      <c r="H18" s="10"/>
      <c r="I18" s="10">
        <f t="shared" si="5"/>
        <v>25440.695068385903</v>
      </c>
      <c r="J18" s="10">
        <f t="shared" si="3"/>
        <v>37823521635.257462</v>
      </c>
      <c r="K18" s="11">
        <f t="shared" si="4"/>
        <v>1.313360000000019E-2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1472596.1062374639</v>
      </c>
      <c r="D19" s="11">
        <v>8.3000000000000001E-3</v>
      </c>
      <c r="E19" s="10">
        <f t="shared" si="2"/>
        <v>12121.935616156785</v>
      </c>
      <c r="F19" s="3"/>
      <c r="G19" s="29">
        <v>3.77</v>
      </c>
      <c r="H19" s="10"/>
      <c r="I19" s="10">
        <f t="shared" si="5"/>
        <v>25351.963197195717</v>
      </c>
      <c r="J19" s="10">
        <f t="shared" si="3"/>
        <v>37333202289.665901</v>
      </c>
      <c r="K19" s="11">
        <f t="shared" si="4"/>
        <v>4.6312910000000151E-2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1460474.1706213071</v>
      </c>
      <c r="D20" s="11">
        <v>8.3000000000000001E-3</v>
      </c>
      <c r="E20" s="10">
        <f t="shared" si="2"/>
        <v>12022.151756577194</v>
      </c>
      <c r="F20" s="3"/>
      <c r="G20" s="29">
        <v>2.19</v>
      </c>
      <c r="H20" s="10"/>
      <c r="I20" s="10">
        <f t="shared" si="5"/>
        <v>24430.917603542177</v>
      </c>
      <c r="J20" s="10">
        <f t="shared" si="3"/>
        <v>35680724124.550751</v>
      </c>
      <c r="K20" s="11">
        <f t="shared" si="4"/>
        <v>3.0381769999999975E-2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1448452.0188647299</v>
      </c>
      <c r="D21" s="11">
        <v>4.4400000000000002E-2</v>
      </c>
      <c r="E21" s="10">
        <f t="shared" si="2"/>
        <v>61577.240173873957</v>
      </c>
      <c r="F21" s="3"/>
      <c r="G21" s="29">
        <v>3.1</v>
      </c>
      <c r="H21" s="10"/>
      <c r="I21" s="10">
        <f t="shared" si="5"/>
        <v>23907.346710580463</v>
      </c>
      <c r="J21" s="10">
        <f t="shared" si="3"/>
        <v>34628644608.639328</v>
      </c>
      <c r="K21" s="11">
        <f t="shared" si="4"/>
        <v>7.6776399999999967E-2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1386874.778690856</v>
      </c>
      <c r="D22" s="11">
        <v>1.9800000000000002E-2</v>
      </c>
      <c r="E22" s="10">
        <f t="shared" si="2"/>
        <v>26926.96667785733</v>
      </c>
      <c r="F22" s="3"/>
      <c r="G22" s="29">
        <v>3.03</v>
      </c>
      <c r="H22" s="10"/>
      <c r="I22" s="10">
        <f t="shared" si="5"/>
        <v>23188.503114045066</v>
      </c>
      <c r="J22" s="10">
        <f t="shared" si="3"/>
        <v>32159550124.463474</v>
      </c>
      <c r="K22" s="11">
        <f t="shared" si="4"/>
        <v>5.0699939999999888E-2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1359947.8120129986</v>
      </c>
      <c r="D23" s="11">
        <v>2.2499999999999999E-2</v>
      </c>
      <c r="E23" s="10">
        <f t="shared" si="2"/>
        <v>29925.501975835999</v>
      </c>
      <c r="F23" s="3"/>
      <c r="G23" s="29">
        <v>0.03</v>
      </c>
      <c r="H23" s="10"/>
      <c r="I23" s="10">
        <f t="shared" si="5"/>
        <v>22506.55451232172</v>
      </c>
      <c r="J23" s="10">
        <f t="shared" si="3"/>
        <v>30607739564.983204</v>
      </c>
      <c r="K23" s="11">
        <f t="shared" si="4"/>
        <v>2.2806749999999765E-2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1330022.3100371626</v>
      </c>
      <c r="D24" s="11">
        <v>1.72E-2</v>
      </c>
      <c r="E24" s="10">
        <f t="shared" si="2"/>
        <v>22489.563244828256</v>
      </c>
      <c r="F24" s="3"/>
      <c r="G24" s="29">
        <v>2.16</v>
      </c>
      <c r="H24" s="10"/>
      <c r="I24" s="10">
        <f t="shared" si="5"/>
        <v>22499.804570950437</v>
      </c>
      <c r="J24" s="10">
        <f t="shared" si="3"/>
        <v>29925242050.84021</v>
      </c>
      <c r="K24" s="11">
        <f t="shared" si="4"/>
        <v>3.9171520000000015E-2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1307532.7467923344</v>
      </c>
      <c r="D25" s="11">
        <v>8.3999999999999995E-3</v>
      </c>
      <c r="E25" s="10">
        <f t="shared" si="2"/>
        <v>10891.784086727072</v>
      </c>
      <c r="F25" s="3"/>
      <c r="G25" s="29">
        <v>2.0299999999999998</v>
      </c>
      <c r="H25" s="10"/>
      <c r="I25" s="10">
        <f t="shared" si="5"/>
        <v>22024.08434901178</v>
      </c>
      <c r="J25" s="10">
        <f t="shared" si="3"/>
        <v>28797211504.449436</v>
      </c>
      <c r="K25" s="11">
        <f t="shared" si="4"/>
        <v>2.88705199999999E-2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1296640.9627056073</v>
      </c>
      <c r="D26" s="11">
        <v>8.3000000000000001E-3</v>
      </c>
      <c r="E26" s="10">
        <f t="shared" si="2"/>
        <v>10673.529693996301</v>
      </c>
      <c r="F26" s="3"/>
      <c r="G26" s="29">
        <v>1.35</v>
      </c>
      <c r="H26" s="10"/>
      <c r="I26" s="10">
        <f t="shared" si="5"/>
        <v>21585.890766452791</v>
      </c>
      <c r="J26" s="10">
        <f t="shared" si="3"/>
        <v>27989150184.271427</v>
      </c>
      <c r="K26" s="11">
        <f t="shared" si="4"/>
        <v>2.1912050000000072E-2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1285967.433011611</v>
      </c>
      <c r="D27" s="11">
        <v>3.2000000000000002E-3</v>
      </c>
      <c r="E27" s="10">
        <f t="shared" si="2"/>
        <v>4101.969483290799</v>
      </c>
      <c r="F27" s="3"/>
      <c r="G27" s="29">
        <v>-5.42</v>
      </c>
      <c r="H27" s="10"/>
      <c r="I27" s="10">
        <f t="shared" si="5"/>
        <v>21298.36286773832</v>
      </c>
      <c r="J27" s="10">
        <f t="shared" si="3"/>
        <v>27389001024.375263</v>
      </c>
      <c r="K27" s="11">
        <f t="shared" si="4"/>
        <v>-5.1173439999999792E-2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1281865.4635283202</v>
      </c>
      <c r="D28" s="11">
        <v>1.04E-2</v>
      </c>
      <c r="E28" s="10">
        <f t="shared" si="2"/>
        <v>13194.181334812427</v>
      </c>
      <c r="F28" s="3"/>
      <c r="G28" s="29">
        <v>-0.19</v>
      </c>
      <c r="H28" s="10"/>
      <c r="I28" s="10">
        <f t="shared" si="5"/>
        <v>22518.886516957413</v>
      </c>
      <c r="J28" s="10">
        <f t="shared" si="3"/>
        <v>28866182903.201252</v>
      </c>
      <c r="K28" s="11">
        <f t="shared" si="4"/>
        <v>8.4802399999999167E-3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1268671.2821935078</v>
      </c>
      <c r="D29" s="11">
        <v>8.3999999999999995E-3</v>
      </c>
      <c r="E29" s="10">
        <f t="shared" si="2"/>
        <v>10568.067007561913</v>
      </c>
      <c r="F29" s="3"/>
      <c r="G29" s="29">
        <v>7.82</v>
      </c>
      <c r="H29" s="10"/>
      <c r="I29" s="10">
        <f t="shared" si="5"/>
        <v>22561.753849271026</v>
      </c>
      <c r="J29" s="10">
        <f t="shared" si="3"/>
        <v>28623449184.488983</v>
      </c>
      <c r="K29" s="11">
        <f t="shared" si="4"/>
        <v>8.7256879999999981E-2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1258103.2151859459</v>
      </c>
      <c r="D30" s="11">
        <v>1.01E-2</v>
      </c>
      <c r="E30" s="10">
        <f t="shared" si="2"/>
        <v>12579.786628430942</v>
      </c>
      <c r="F30" s="3"/>
      <c r="G30" s="29">
        <v>6.31</v>
      </c>
      <c r="H30" s="10"/>
      <c r="I30" s="10">
        <f t="shared" si="5"/>
        <v>20925.388470850514</v>
      </c>
      <c r="J30" s="10">
        <f t="shared" si="3"/>
        <v>26326298514.191956</v>
      </c>
      <c r="K30" s="11">
        <f t="shared" si="4"/>
        <v>7.3837310000000045E-2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1245523.4285575149</v>
      </c>
      <c r="D31" s="11">
        <v>1.2500000000000001E-2</v>
      </c>
      <c r="E31" s="10">
        <f t="shared" si="2"/>
        <v>15376.832451327238</v>
      </c>
      <c r="F31" s="3"/>
      <c r="G31" s="29">
        <v>7.07</v>
      </c>
      <c r="H31" s="10"/>
      <c r="I31" s="10">
        <f t="shared" si="5"/>
        <v>19683.367953015251</v>
      </c>
      <c r="J31" s="10">
        <f t="shared" si="3"/>
        <v>24516095938.39867</v>
      </c>
      <c r="K31" s="11">
        <f t="shared" si="4"/>
        <v>8.4083749999999791E-2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1230146.5961061877</v>
      </c>
      <c r="D32" s="11">
        <v>1.0699999999999999E-2</v>
      </c>
      <c r="E32" s="10">
        <f t="shared" si="2"/>
        <v>13023.220123019768</v>
      </c>
      <c r="F32" s="3"/>
      <c r="G32" s="29">
        <v>1.42</v>
      </c>
      <c r="H32" s="10"/>
      <c r="I32" s="10">
        <f t="shared" si="5"/>
        <v>18383.644300938875</v>
      </c>
      <c r="J32" s="10">
        <f t="shared" si="3"/>
        <v>22614577460.826874</v>
      </c>
      <c r="K32" s="11">
        <f t="shared" si="4"/>
        <v>2.5051939999999995E-2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1217123.3759831679</v>
      </c>
      <c r="D33" s="11">
        <v>9.7999999999999997E-3</v>
      </c>
      <c r="E33" s="10">
        <f t="shared" si="2"/>
        <v>11812.050984982168</v>
      </c>
      <c r="F33" s="3"/>
      <c r="G33" s="29">
        <v>4.2</v>
      </c>
      <c r="H33" s="10"/>
      <c r="I33" s="10">
        <f t="shared" si="5"/>
        <v>18126.251529223897</v>
      </c>
      <c r="J33" s="10">
        <f t="shared" si="3"/>
        <v>22061884455.169048</v>
      </c>
      <c r="K33" s="11">
        <f t="shared" si="4"/>
        <v>5.2211599999999914E-2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1205311.3249981857</v>
      </c>
      <c r="D34" s="11">
        <v>1.52E-2</v>
      </c>
      <c r="E34" s="10">
        <f t="shared" si="2"/>
        <v>18046.426457813708</v>
      </c>
      <c r="F34" s="3"/>
      <c r="G34" s="29">
        <v>1.26</v>
      </c>
      <c r="H34" s="10"/>
      <c r="I34" s="10">
        <f t="shared" si="5"/>
        <v>17395.634864898173</v>
      </c>
      <c r="J34" s="10">
        <f t="shared" ref="J34:J65" si="6">IF(I34="","",I34*C34)</f>
        <v>20967155708.195053</v>
      </c>
      <c r="K34" s="11">
        <f t="shared" ref="K34:K65" si="7">IFERROR(J34/J35-1,"")</f>
        <v>4.1189119999999857E-2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1187264.898540372</v>
      </c>
      <c r="D35" s="11">
        <v>1.55E-2</v>
      </c>
      <c r="E35" s="10">
        <f t="shared" si="2"/>
        <v>18121.719278558157</v>
      </c>
      <c r="F35" s="3"/>
      <c r="G35" s="29">
        <v>1.43</v>
      </c>
      <c r="H35" s="10"/>
      <c r="I35" s="10">
        <f t="shared" ref="I35:I66" si="8">IF(H35&lt;&gt;"",H35,I34/(1+IF(G34="",0,G34)/100))</f>
        <v>16961.422450173726</v>
      </c>
      <c r="J35" s="10">
        <f t="shared" si="6"/>
        <v>20137701504.405899</v>
      </c>
      <c r="K35" s="11">
        <f t="shared" si="7"/>
        <v>5.7440150000000134E-2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1169143.1792618139</v>
      </c>
      <c r="D36" s="11">
        <v>2.35E-2</v>
      </c>
      <c r="E36" s="10">
        <f t="shared" si="2"/>
        <v>26844.030007476918</v>
      </c>
      <c r="F36" s="3"/>
      <c r="G36" s="29">
        <v>-2.97</v>
      </c>
      <c r="H36" s="10"/>
      <c r="I36" s="10">
        <f t="shared" si="8"/>
        <v>16288.699174276124</v>
      </c>
      <c r="J36" s="10">
        <f t="shared" si="6"/>
        <v>19043821538.65247</v>
      </c>
      <c r="K36" s="11">
        <f t="shared" si="7"/>
        <v>4.2230049999999908E-2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1142299.149254337</v>
      </c>
      <c r="D37" s="11">
        <v>2.6700000000000002E-2</v>
      </c>
      <c r="E37" s="10">
        <f t="shared" si="2"/>
        <v>29706.230919538997</v>
      </c>
      <c r="F37" s="3"/>
      <c r="G37" s="29">
        <v>-3.92</v>
      </c>
      <c r="H37" s="10"/>
      <c r="I37" s="10">
        <f t="shared" si="8"/>
        <v>15995.972870741554</v>
      </c>
      <c r="J37" s="10">
        <f t="shared" si="6"/>
        <v>18272186201.74353</v>
      </c>
      <c r="K37" s="11">
        <f t="shared" si="7"/>
        <v>4.0868459999999773E-2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1112592.918334798</v>
      </c>
      <c r="D38" s="11">
        <v>5.4699999999999999E-2</v>
      </c>
      <c r="E38" s="10">
        <f t="shared" si="2"/>
        <v>57702.505577807315</v>
      </c>
      <c r="F38" s="3"/>
      <c r="G38" s="29">
        <v>-22.06</v>
      </c>
      <c r="H38" s="10"/>
      <c r="I38" s="10">
        <f t="shared" si="8"/>
        <v>15778.233251865806</v>
      </c>
      <c r="J38" s="10">
        <f t="shared" si="6"/>
        <v>17554750579.860527</v>
      </c>
      <c r="K38" s="11">
        <f t="shared" si="7"/>
        <v>-0.13894292000000008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1054890.4127569906</v>
      </c>
      <c r="D39" s="11">
        <v>1.8100000000000002E-2</v>
      </c>
      <c r="E39" s="10">
        <f t="shared" si="2"/>
        <v>18754.067842944176</v>
      </c>
      <c r="F39" s="3"/>
      <c r="G39" s="29">
        <v>21.54</v>
      </c>
      <c r="H39" s="10"/>
      <c r="I39" s="10">
        <f t="shared" si="8"/>
        <v>19326.596339865024</v>
      </c>
      <c r="J39" s="10">
        <f t="shared" si="6"/>
        <v>20387441190.147961</v>
      </c>
      <c r="K39" s="11">
        <f t="shared" si="7"/>
        <v>0.23739874000000016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1036136.3449140465</v>
      </c>
      <c r="D40" s="11">
        <v>1.44E-2</v>
      </c>
      <c r="E40" s="10">
        <f t="shared" si="2"/>
        <v>14708.560101303505</v>
      </c>
      <c r="F40" s="3"/>
      <c r="G40" s="29">
        <v>11.54</v>
      </c>
      <c r="H40" s="10"/>
      <c r="I40" s="10">
        <f t="shared" si="8"/>
        <v>15901.428615982411</v>
      </c>
      <c r="J40" s="10">
        <f t="shared" si="6"/>
        <v>16476048125.07564</v>
      </c>
      <c r="K40" s="11">
        <f t="shared" si="7"/>
        <v>0.13146175999999987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1021427.784812743</v>
      </c>
      <c r="D41" s="11">
        <v>1.26E-2</v>
      </c>
      <c r="E41" s="10">
        <f t="shared" si="2"/>
        <v>12709.846028679167</v>
      </c>
      <c r="F41" s="3"/>
      <c r="G41" s="29">
        <v>14.91</v>
      </c>
      <c r="H41" s="10"/>
      <c r="I41" s="10">
        <f t="shared" si="8"/>
        <v>14256.256603893144</v>
      </c>
      <c r="J41" s="10">
        <f t="shared" si="6"/>
        <v>14561736602.636612</v>
      </c>
      <c r="K41" s="11">
        <f t="shared" si="7"/>
        <v>0.16357865999999999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1008717.9387840638</v>
      </c>
      <c r="D42" s="11">
        <v>1.9E-2</v>
      </c>
      <c r="E42" s="10">
        <f t="shared" si="2"/>
        <v>18808.283451322</v>
      </c>
      <c r="F42" s="3"/>
      <c r="G42" s="29">
        <v>-5.12</v>
      </c>
      <c r="H42" s="10"/>
      <c r="I42" s="10">
        <f t="shared" si="8"/>
        <v>12406.454271945995</v>
      </c>
      <c r="J42" s="10">
        <f t="shared" si="6"/>
        <v>12514612980.816107</v>
      </c>
      <c r="K42" s="11">
        <f t="shared" si="7"/>
        <v>-3.3172800000000002E-2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989909.65533274179</v>
      </c>
      <c r="D43" s="11">
        <v>3.1600000000000003E-2</v>
      </c>
      <c r="E43" s="10">
        <f t="shared" si="2"/>
        <v>30322.940198249999</v>
      </c>
      <c r="F43" s="3"/>
      <c r="G43" s="29">
        <v>2.94</v>
      </c>
      <c r="H43" s="10"/>
      <c r="I43" s="10">
        <f t="shared" si="8"/>
        <v>13075.942529454042</v>
      </c>
      <c r="J43" s="10">
        <f t="shared" si="6"/>
        <v>12944001762.48259</v>
      </c>
      <c r="K43" s="11">
        <f t="shared" si="7"/>
        <v>6.1929040000000102E-2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959586.71513449179</v>
      </c>
      <c r="D44" s="11">
        <v>2.8199999999999999E-2</v>
      </c>
      <c r="E44" s="10">
        <f t="shared" si="2"/>
        <v>26318.172891259193</v>
      </c>
      <c r="F44" s="3"/>
      <c r="G44" s="29">
        <v>2</v>
      </c>
      <c r="H44" s="10"/>
      <c r="I44" s="10">
        <f t="shared" si="8"/>
        <v>12702.489342776415</v>
      </c>
      <c r="J44" s="10">
        <f t="shared" si="6"/>
        <v>12189140022.46571</v>
      </c>
      <c r="K44" s="11">
        <f t="shared" si="7"/>
        <v>4.8764000000000252E-2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933268.5422432326</v>
      </c>
      <c r="D45" s="11">
        <v>1.9199999999999998E-2</v>
      </c>
      <c r="E45" s="10">
        <f t="shared" si="2"/>
        <v>17581.19702813006</v>
      </c>
      <c r="F45" s="3"/>
      <c r="G45" s="29">
        <v>1.45</v>
      </c>
      <c r="H45" s="10"/>
      <c r="I45" s="10">
        <f t="shared" si="8"/>
        <v>12453.420924290602</v>
      </c>
      <c r="J45" s="10">
        <f t="shared" si="6"/>
        <v>11622385991.95406</v>
      </c>
      <c r="K45" s="11">
        <f t="shared" si="7"/>
        <v>3.3978400000000075E-2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915687.34521510254</v>
      </c>
      <c r="D46" s="11">
        <v>2.1600000000000001E-2</v>
      </c>
      <c r="E46" s="10">
        <f t="shared" si="2"/>
        <v>19360.656476748525</v>
      </c>
      <c r="F46" s="3"/>
      <c r="G46" s="29">
        <v>3.3</v>
      </c>
      <c r="H46" s="10"/>
      <c r="I46" s="10">
        <f t="shared" si="8"/>
        <v>12275.427229463383</v>
      </c>
      <c r="J46" s="10">
        <f t="shared" si="6"/>
        <v>11240453371.128506</v>
      </c>
      <c r="K46" s="11">
        <f t="shared" si="7"/>
        <v>5.5312799999999829E-2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896326.68873835402</v>
      </c>
      <c r="D47" s="11">
        <v>2.4299999999999999E-2</v>
      </c>
      <c r="E47" s="10">
        <f t="shared" si="2"/>
        <v>21264.022782721906</v>
      </c>
      <c r="F47" s="3"/>
      <c r="G47" s="29">
        <v>6.23</v>
      </c>
      <c r="H47" s="10"/>
      <c r="I47" s="10">
        <f t="shared" si="8"/>
        <v>11883.279021745773</v>
      </c>
      <c r="J47" s="10">
        <f t="shared" si="6"/>
        <v>10651300136.915337</v>
      </c>
      <c r="K47" s="11">
        <f t="shared" si="7"/>
        <v>8.811389000000025E-2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875062.66595563211</v>
      </c>
      <c r="D48" s="11">
        <v>1.6E-2</v>
      </c>
      <c r="E48" s="10">
        <f t="shared" si="2"/>
        <v>13780.514424498193</v>
      </c>
      <c r="F48" s="3"/>
      <c r="G48" s="29">
        <v>3.64</v>
      </c>
      <c r="H48" s="10"/>
      <c r="I48" s="10">
        <f t="shared" si="8"/>
        <v>11186.368278024825</v>
      </c>
      <c r="J48" s="10">
        <f t="shared" si="6"/>
        <v>9788773247.7299175</v>
      </c>
      <c r="K48" s="11">
        <f t="shared" si="7"/>
        <v>5.2982400000000096E-2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861282.15153113392</v>
      </c>
      <c r="D49" s="11">
        <v>2.12E-2</v>
      </c>
      <c r="E49" s="10">
        <f t="shared" si="2"/>
        <v>17880.123004759196</v>
      </c>
      <c r="F49" s="3"/>
      <c r="G49" s="29">
        <v>8.8699999999999992</v>
      </c>
      <c r="H49" s="10"/>
      <c r="I49" s="10">
        <f t="shared" si="8"/>
        <v>10793.485409132407</v>
      </c>
      <c r="J49" s="10">
        <f t="shared" si="6"/>
        <v>9296236335.6974602</v>
      </c>
      <c r="K49" s="11">
        <f t="shared" si="7"/>
        <v>0.11178043999999998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843402.02852637472</v>
      </c>
      <c r="D50" s="11">
        <v>2.53E-2</v>
      </c>
      <c r="E50" s="10">
        <f t="shared" si="2"/>
        <v>20811.539375516819</v>
      </c>
      <c r="F50" s="3"/>
      <c r="G50" s="29">
        <v>6.61</v>
      </c>
      <c r="H50" s="10"/>
      <c r="I50" s="10">
        <f t="shared" si="8"/>
        <v>9914.1043530195711</v>
      </c>
      <c r="J50" s="10">
        <f t="shared" si="6"/>
        <v>8361575722.3588686</v>
      </c>
      <c r="K50" s="11">
        <f t="shared" si="7"/>
        <v>9.3072330000000258E-2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822590.4891508579</v>
      </c>
      <c r="D51" s="11">
        <v>8.8999999999999999E-3</v>
      </c>
      <c r="E51" s="10">
        <f t="shared" si="2"/>
        <v>7256.4727460031863</v>
      </c>
      <c r="F51" s="3"/>
      <c r="G51" s="29">
        <v>3.54</v>
      </c>
      <c r="H51" s="10"/>
      <c r="I51" s="10">
        <f t="shared" si="8"/>
        <v>9299.4131441886984</v>
      </c>
      <c r="J51" s="10">
        <f t="shared" si="6"/>
        <v>7649608807.094099</v>
      </c>
      <c r="K51" s="11">
        <f t="shared" si="7"/>
        <v>4.4615060000000151E-2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815334.01640485472</v>
      </c>
      <c r="D52" s="11">
        <v>2.63E-2</v>
      </c>
      <c r="E52" s="10">
        <f t="shared" si="2"/>
        <v>20893.778263127431</v>
      </c>
      <c r="F52" s="3"/>
      <c r="G52" s="29">
        <v>8.2899999999999991</v>
      </c>
      <c r="H52" s="10"/>
      <c r="I52" s="10">
        <f t="shared" si="8"/>
        <v>8981.4691367478245</v>
      </c>
      <c r="J52" s="10">
        <f t="shared" si="6"/>
        <v>7322897304.4808474</v>
      </c>
      <c r="K52" s="11">
        <f t="shared" si="7"/>
        <v>0.11138026999999995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794440.23814172728</v>
      </c>
      <c r="D53" s="11">
        <v>2.4199999999999999E-2</v>
      </c>
      <c r="E53" s="10">
        <f t="shared" si="2"/>
        <v>18771.19094222784</v>
      </c>
      <c r="F53" s="3"/>
      <c r="G53" s="29">
        <v>3.36</v>
      </c>
      <c r="H53" s="10"/>
      <c r="I53" s="10">
        <f t="shared" si="8"/>
        <v>8293.9044572424282</v>
      </c>
      <c r="J53" s="10">
        <f t="shared" si="6"/>
        <v>6589011432.1364079</v>
      </c>
      <c r="K53" s="11">
        <f t="shared" si="7"/>
        <v>5.8613119999999963E-2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775669.04719949944</v>
      </c>
      <c r="D54" s="11">
        <v>3.44E-2</v>
      </c>
      <c r="E54" s="10">
        <f t="shared" si="2"/>
        <v>25795.645034476765</v>
      </c>
      <c r="F54" s="3"/>
      <c r="G54" s="29">
        <v>-1.06</v>
      </c>
      <c r="H54" s="10"/>
      <c r="I54" s="10">
        <f t="shared" si="8"/>
        <v>8024.2883680751038</v>
      </c>
      <c r="J54" s="10">
        <f t="shared" si="6"/>
        <v>6224192112.9188423</v>
      </c>
      <c r="K54" s="11">
        <f t="shared" si="7"/>
        <v>2.3435360000000127E-2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749873.40216502268</v>
      </c>
      <c r="D55" s="11">
        <v>4.24E-2</v>
      </c>
      <c r="E55" s="10">
        <f t="shared" si="2"/>
        <v>30501.373994432972</v>
      </c>
      <c r="F55" s="3"/>
      <c r="G55" s="29">
        <v>0.45</v>
      </c>
      <c r="H55" s="10"/>
      <c r="I55" s="10">
        <f t="shared" si="8"/>
        <v>8110.2570932636991</v>
      </c>
      <c r="J55" s="10">
        <f t="shared" si="6"/>
        <v>6081666078.9586573</v>
      </c>
      <c r="K55" s="11">
        <f t="shared" si="7"/>
        <v>4.7090799999999655E-2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719372.02817058971</v>
      </c>
      <c r="D56" s="11">
        <v>2.3400000000000001E-2</v>
      </c>
      <c r="E56" s="10">
        <f t="shared" si="2"/>
        <v>16448.412604252342</v>
      </c>
      <c r="F56" s="3"/>
      <c r="G56" s="29">
        <v>2.5</v>
      </c>
      <c r="H56" s="10"/>
      <c r="I56" s="10">
        <f t="shared" si="8"/>
        <v>8073.9244333137876</v>
      </c>
      <c r="J56" s="10">
        <f t="shared" si="6"/>
        <v>5808155394.889019</v>
      </c>
      <c r="K56" s="11">
        <f t="shared" si="7"/>
        <v>4.8985000000000056E-2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702923.61556633736</v>
      </c>
      <c r="D57" s="11">
        <v>2.4E-2</v>
      </c>
      <c r="E57" s="10">
        <f t="shared" si="2"/>
        <v>16474.772239836049</v>
      </c>
      <c r="F57" s="3"/>
      <c r="G57" s="29">
        <v>8.5</v>
      </c>
      <c r="H57" s="10"/>
      <c r="I57" s="10">
        <f t="shared" si="8"/>
        <v>7876.999447135403</v>
      </c>
      <c r="J57" s="10">
        <f t="shared" si="6"/>
        <v>5536928931.194458</v>
      </c>
      <c r="K57" s="11">
        <f t="shared" si="7"/>
        <v>0.11104000000000003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686448.84332650132</v>
      </c>
      <c r="D58" s="11">
        <v>2.5000000000000001E-2</v>
      </c>
      <c r="E58" s="10">
        <f t="shared" si="2"/>
        <v>16742.654715280514</v>
      </c>
      <c r="F58" s="3"/>
      <c r="G58" s="29">
        <v>1</v>
      </c>
      <c r="H58" s="10"/>
      <c r="I58" s="10">
        <f t="shared" si="8"/>
        <v>7259.9073245487589</v>
      </c>
      <c r="J58" s="10">
        <f t="shared" si="6"/>
        <v>4983554985.5940905</v>
      </c>
      <c r="K58" s="11">
        <f t="shared" si="7"/>
        <v>3.5250000000000004E-2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669706.1886112208</v>
      </c>
      <c r="D59" s="11">
        <v>2.5000000000000001E-2</v>
      </c>
      <c r="E59" s="10">
        <f t="shared" si="2"/>
        <v>16334.297283200431</v>
      </c>
      <c r="F59" s="3"/>
      <c r="G59" s="29">
        <v>8.5</v>
      </c>
      <c r="H59" s="10"/>
      <c r="I59" s="10">
        <f t="shared" si="8"/>
        <v>7188.0270540086722</v>
      </c>
      <c r="J59" s="10">
        <f t="shared" si="6"/>
        <v>4813866201.9744892</v>
      </c>
      <c r="K59" s="11">
        <f t="shared" si="7"/>
        <v>0.11212499999999981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653371.89132802037</v>
      </c>
      <c r="D60" s="11">
        <v>2.5000000000000001E-2</v>
      </c>
      <c r="E60" s="10">
        <f t="shared" si="2"/>
        <v>15935.899788488285</v>
      </c>
      <c r="F60" s="3"/>
      <c r="G60" s="29">
        <v>8</v>
      </c>
      <c r="H60" s="10"/>
      <c r="I60" s="10">
        <f t="shared" si="8"/>
        <v>6624.9097271969331</v>
      </c>
      <c r="J60" s="10">
        <f t="shared" si="6"/>
        <v>4328529798.3360596</v>
      </c>
      <c r="K60" s="11">
        <f t="shared" si="7"/>
        <v>0.10700000000000021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637435.99153953209</v>
      </c>
      <c r="D61" s="11">
        <v>2.5000000000000001E-2</v>
      </c>
      <c r="E61" s="10">
        <f t="shared" si="2"/>
        <v>15547.219305842184</v>
      </c>
      <c r="F61" s="3"/>
      <c r="G61" s="29">
        <v>2.2000000000000002</v>
      </c>
      <c r="H61" s="10"/>
      <c r="I61" s="10">
        <f t="shared" si="8"/>
        <v>6134.1756733304928</v>
      </c>
      <c r="J61" s="10">
        <f t="shared" si="6"/>
        <v>3910144352.6070995</v>
      </c>
      <c r="K61" s="11">
        <f t="shared" si="7"/>
        <v>4.7549999999999981E-2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621888.7722336899</v>
      </c>
      <c r="D62" s="11">
        <v>2.7E-2</v>
      </c>
      <c r="E62" s="10">
        <f t="shared" si="2"/>
        <v>16349.558763689944</v>
      </c>
      <c r="F62" s="3"/>
      <c r="G62" s="29">
        <v>1.1000000000000001</v>
      </c>
      <c r="H62" s="10"/>
      <c r="I62" s="10">
        <f t="shared" si="8"/>
        <v>6002.1288388752373</v>
      </c>
      <c r="J62" s="10">
        <f t="shared" si="6"/>
        <v>3732656534.396544</v>
      </c>
      <c r="K62" s="11">
        <f t="shared" si="7"/>
        <v>3.8296999999999803E-2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605539.21346999996</v>
      </c>
      <c r="D63" s="11">
        <v>2.8000000000000001E-2</v>
      </c>
      <c r="E63" s="10">
        <f t="shared" si="2"/>
        <v>16493.285969999968</v>
      </c>
      <c r="F63" s="3"/>
      <c r="G63" s="29">
        <v>0.7</v>
      </c>
      <c r="H63" s="10"/>
      <c r="I63" s="10">
        <f t="shared" si="8"/>
        <v>5936.8237773246665</v>
      </c>
      <c r="J63" s="10">
        <f t="shared" si="6"/>
        <v>3594979600.6311727</v>
      </c>
      <c r="K63" s="11">
        <f t="shared" si="7"/>
        <v>3.5195999999999783E-2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589045.92749999999</v>
      </c>
      <c r="D64" s="11">
        <v>2.8000000000000001E-2</v>
      </c>
      <c r="E64" s="10">
        <f t="shared" si="2"/>
        <v>16044.052499999991</v>
      </c>
      <c r="F64" s="3"/>
      <c r="G64" s="29">
        <v>1.2</v>
      </c>
      <c r="H64" s="10"/>
      <c r="I64" s="10">
        <f t="shared" si="8"/>
        <v>5895.5548930731547</v>
      </c>
      <c r="J64" s="10">
        <f t="shared" si="6"/>
        <v>3472752600.1174397</v>
      </c>
      <c r="K64" s="11">
        <f t="shared" si="7"/>
        <v>4.0335999999999927E-2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573001.875</v>
      </c>
      <c r="D65" s="11">
        <v>0.03</v>
      </c>
      <c r="E65" s="10">
        <f t="shared" si="2"/>
        <v>16689.375</v>
      </c>
      <c r="F65" s="3"/>
      <c r="G65" s="29">
        <v>-2.15</v>
      </c>
      <c r="H65" s="10"/>
      <c r="I65" s="10">
        <f t="shared" si="8"/>
        <v>5825.6471275426429</v>
      </c>
      <c r="J65" s="10">
        <f t="shared" si="6"/>
        <v>3338106727.1702986</v>
      </c>
      <c r="K65" s="11">
        <f t="shared" si="7"/>
        <v>7.8549999999999454E-3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556312.5</v>
      </c>
      <c r="D66" s="11">
        <v>3.5000000000000003E-2</v>
      </c>
      <c r="E66" s="10">
        <f t="shared" si="2"/>
        <v>18812.5</v>
      </c>
      <c r="F66" s="23">
        <f>SUM(F2)</f>
        <v>1640804</v>
      </c>
      <c r="G66" s="29">
        <v>3.14</v>
      </c>
      <c r="H66" s="10"/>
      <c r="I66" s="10">
        <f t="shared" si="8"/>
        <v>5953.6506157819549</v>
      </c>
      <c r="J66" s="10">
        <f t="shared" ref="J66:J67" si="9">IF(I66="","",I66*C66)</f>
        <v>3312090258.1921988</v>
      </c>
      <c r="K66" s="11">
        <f t="shared" ref="K66" si="10">IFERROR(J66/J67-1,"")</f>
        <v>6.7499000000000198E-2</v>
      </c>
    </row>
    <row r="67" spans="1:11" ht="22.5" customHeight="1">
      <c r="A67" s="3">
        <f t="shared" si="0"/>
        <v>1950</v>
      </c>
      <c r="B67" s="3">
        <v>1700</v>
      </c>
      <c r="C67" s="10">
        <v>537500</v>
      </c>
      <c r="D67" s="11">
        <v>0.04</v>
      </c>
      <c r="E67" s="3" t="s">
        <v>72</v>
      </c>
      <c r="F67" s="10">
        <f>SUM(C2)</f>
        <v>1640021.0724828092</v>
      </c>
      <c r="G67" s="29">
        <v>3.54</v>
      </c>
      <c r="H67" s="10"/>
      <c r="I67" s="10">
        <f t="shared" ref="I67" si="11">IF(H67&lt;&gt;"",H67,I66/(1+IF(G66="",0,G66)/100))</f>
        <v>5772.3973393270835</v>
      </c>
      <c r="J67" s="10">
        <f t="shared" si="9"/>
        <v>3102663569.8883076</v>
      </c>
      <c r="K67" s="11"/>
    </row>
  </sheetData>
  <dataValidations count="1">
    <dataValidation type="custom" allowBlank="1" showDropDown="1" sqref="D2:D67" xr:uid="{00000000-0002-0000-7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 summaryRight="0"/>
  </sheetPr>
  <dimension ref="A1:M67"/>
  <sheetViews>
    <sheetView workbookViewId="0">
      <selection activeCell="I23" sqref="I14:I2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143974128.2677395</v>
      </c>
      <c r="D2" s="11">
        <v>8.8999999999999999E-3</v>
      </c>
      <c r="E2" s="10">
        <f t="shared" ref="E2:E66" si="2">SUM(C2-C3)</f>
        <v>1270066.1528227329</v>
      </c>
      <c r="F2" s="14">
        <v>143972723</v>
      </c>
      <c r="G2" s="29">
        <v>3.98</v>
      </c>
      <c r="H2" s="10"/>
      <c r="I2" s="10">
        <f>IF(H2&lt;&gt;"",H2,40000)</f>
        <v>5000</v>
      </c>
      <c r="J2" s="10">
        <f t="shared" ref="J2:J33" si="3">IF(I2="","",I2*C2)</f>
        <v>719870641338.69751</v>
      </c>
      <c r="K2" s="11">
        <f t="shared" ref="K2:K33" si="4">IFERROR(J2/J3-1,"")</f>
        <v>4.9054219999999926E-2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142704062.11491677</v>
      </c>
      <c r="D3" s="11">
        <v>9.1000000000000004E-3</v>
      </c>
      <c r="E3" s="10">
        <f t="shared" si="2"/>
        <v>1286896.2097371519</v>
      </c>
      <c r="F3" s="3"/>
      <c r="G3" s="29">
        <v>6.01</v>
      </c>
      <c r="H3" s="10"/>
      <c r="I3" s="10">
        <f t="shared" ref="I3:I34" si="5">IF(H3&lt;&gt;"",H3,I2/(1+IF(G2="",0,G2)/100))</f>
        <v>4808.6170417387957</v>
      </c>
      <c r="J3" s="10">
        <f t="shared" si="3"/>
        <v>686209185011.14038</v>
      </c>
      <c r="K3" s="11">
        <f t="shared" si="4"/>
        <v>6.9746910000000106E-2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141417165.90517962</v>
      </c>
      <c r="D4" s="11">
        <v>9.4000000000000004E-3</v>
      </c>
      <c r="E4" s="10">
        <f t="shared" si="2"/>
        <v>1316942.1037335992</v>
      </c>
      <c r="F4" s="3"/>
      <c r="G4" s="29">
        <v>3.53</v>
      </c>
      <c r="H4" s="10"/>
      <c r="I4" s="10">
        <f t="shared" si="5"/>
        <v>4536.0032466171069</v>
      </c>
      <c r="J4" s="10">
        <f t="shared" si="3"/>
        <v>641468723673.28479</v>
      </c>
      <c r="K4" s="11">
        <f t="shared" si="4"/>
        <v>4.5031819999999945E-2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140100223.80144602</v>
      </c>
      <c r="D5" s="11">
        <v>9.5999999999999992E-3</v>
      </c>
      <c r="E5" s="10">
        <f t="shared" si="2"/>
        <v>1332173.284958303</v>
      </c>
      <c r="F5" s="3"/>
      <c r="G5" s="29">
        <v>4.67</v>
      </c>
      <c r="H5" s="10"/>
      <c r="I5" s="10">
        <f t="shared" si="5"/>
        <v>4381.3418783126699</v>
      </c>
      <c r="J5" s="10">
        <f t="shared" si="3"/>
        <v>613826977702.25293</v>
      </c>
      <c r="K5" s="11">
        <f t="shared" si="4"/>
        <v>5.6748320000000074E-2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138768050.51648772</v>
      </c>
      <c r="D6" s="11">
        <v>9.1000000000000004E-3</v>
      </c>
      <c r="E6" s="10">
        <f t="shared" si="2"/>
        <v>1251401.5059954822</v>
      </c>
      <c r="F6" s="3"/>
      <c r="G6" s="29">
        <v>3.42</v>
      </c>
      <c r="H6" s="10"/>
      <c r="I6" s="10">
        <f t="shared" si="5"/>
        <v>4185.8621174287473</v>
      </c>
      <c r="J6" s="10">
        <f t="shared" si="3"/>
        <v>580863925766.40466</v>
      </c>
      <c r="K6" s="11">
        <f t="shared" si="4"/>
        <v>4.361121999999984E-2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137516649.01049224</v>
      </c>
      <c r="D7" s="11">
        <v>8.8000000000000005E-3</v>
      </c>
      <c r="E7" s="10">
        <f t="shared" si="2"/>
        <v>1199590.1182517111</v>
      </c>
      <c r="F7" s="3"/>
      <c r="G7" s="29">
        <v>4.82</v>
      </c>
      <c r="H7" s="10"/>
      <c r="I7" s="10">
        <f t="shared" si="5"/>
        <v>4047.4396803604209</v>
      </c>
      <c r="J7" s="10">
        <f t="shared" si="3"/>
        <v>556590341915.26294</v>
      </c>
      <c r="K7" s="11">
        <f t="shared" si="4"/>
        <v>5.7424160000000057E-2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136317058.89224052</v>
      </c>
      <c r="D8" s="11">
        <v>9.2999999999999992E-3</v>
      </c>
      <c r="E8" s="10">
        <f t="shared" si="2"/>
        <v>1256067.2225283384</v>
      </c>
      <c r="F8" s="3"/>
      <c r="G8" s="29">
        <v>4.53</v>
      </c>
      <c r="H8" s="10"/>
      <c r="I8" s="10">
        <f t="shared" si="5"/>
        <v>3861.3238698344026</v>
      </c>
      <c r="J8" s="10">
        <f t="shared" si="3"/>
        <v>526364313366.23035</v>
      </c>
      <c r="K8" s="11">
        <f t="shared" si="4"/>
        <v>5.502129E-2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135060991.66971219</v>
      </c>
      <c r="D9" s="11">
        <v>0.01</v>
      </c>
      <c r="E9" s="10">
        <f t="shared" si="2"/>
        <v>1337237.5412842929</v>
      </c>
      <c r="F9" s="3"/>
      <c r="G9" s="29">
        <v>6.1</v>
      </c>
      <c r="H9" s="10"/>
      <c r="I9" s="10">
        <f t="shared" si="5"/>
        <v>3693.9862908585123</v>
      </c>
      <c r="J9" s="10">
        <f t="shared" si="3"/>
        <v>498913451657.67255</v>
      </c>
      <c r="K9" s="11">
        <f t="shared" si="4"/>
        <v>7.1609999999999951E-2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133723754.12842789</v>
      </c>
      <c r="D10" s="11">
        <v>1.0800000000000001E-2</v>
      </c>
      <c r="E10" s="10">
        <f t="shared" si="2"/>
        <v>1428785.6594647914</v>
      </c>
      <c r="F10" s="3"/>
      <c r="G10" s="29">
        <v>9.41</v>
      </c>
      <c r="H10" s="10"/>
      <c r="I10" s="10">
        <f t="shared" si="5"/>
        <v>3481.6081911955821</v>
      </c>
      <c r="J10" s="10">
        <f t="shared" si="3"/>
        <v>465573717730.95862</v>
      </c>
      <c r="K10" s="11">
        <f t="shared" si="4"/>
        <v>0.10591627999999997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132294968.4689631</v>
      </c>
      <c r="D11" s="11">
        <v>1.1599999999999999E-2</v>
      </c>
      <c r="E11" s="10">
        <f t="shared" si="2"/>
        <v>1517024.1540529579</v>
      </c>
      <c r="F11" s="3"/>
      <c r="G11" s="29">
        <v>3.36</v>
      </c>
      <c r="H11" s="10"/>
      <c r="I11" s="10">
        <f t="shared" si="5"/>
        <v>3182.1663387218555</v>
      </c>
      <c r="J11" s="10">
        <f t="shared" si="3"/>
        <v>420984595444.20361</v>
      </c>
      <c r="K11" s="11">
        <f t="shared" si="4"/>
        <v>4.5589760000000146E-2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130777944.31491014</v>
      </c>
      <c r="D12" s="11">
        <v>1.26E-2</v>
      </c>
      <c r="E12" s="10">
        <f t="shared" si="2"/>
        <v>1627298.1417814195</v>
      </c>
      <c r="F12" s="3"/>
      <c r="G12" s="29">
        <v>3.48</v>
      </c>
      <c r="H12" s="10"/>
      <c r="I12" s="10">
        <f t="shared" si="5"/>
        <v>3078.7213029429713</v>
      </c>
      <c r="J12" s="10">
        <f t="shared" si="3"/>
        <v>402628843117.4035</v>
      </c>
      <c r="K12" s="11">
        <f t="shared" si="4"/>
        <v>4.7838479999999795E-2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129150646.17312872</v>
      </c>
      <c r="D13" s="11">
        <v>1.3599999999999999E-2</v>
      </c>
      <c r="E13" s="10">
        <f t="shared" si="2"/>
        <v>1732881.5982187837</v>
      </c>
      <c r="F13" s="3"/>
      <c r="G13" s="29">
        <v>4.68</v>
      </c>
      <c r="H13" s="10"/>
      <c r="I13" s="10">
        <f t="shared" si="5"/>
        <v>2975.1848694848973</v>
      </c>
      <c r="J13" s="10">
        <f t="shared" si="3"/>
        <v>384247048378.49011</v>
      </c>
      <c r="K13" s="11">
        <f t="shared" si="4"/>
        <v>6.103648000000006E-2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127417764.57490994</v>
      </c>
      <c r="D14" s="11">
        <v>1.46E-2</v>
      </c>
      <c r="E14" s="10">
        <f t="shared" si="2"/>
        <v>1833529.8273148835</v>
      </c>
      <c r="F14" s="3"/>
      <c r="G14" s="29">
        <v>3.95</v>
      </c>
      <c r="H14" s="10"/>
      <c r="I14" s="10">
        <f t="shared" si="5"/>
        <v>2842.1712547620341</v>
      </c>
      <c r="J14" s="10">
        <f t="shared" si="3"/>
        <v>362143107820.84521</v>
      </c>
      <c r="K14" s="11">
        <f t="shared" si="4"/>
        <v>5.4676699999999911E-2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125584234.74759506</v>
      </c>
      <c r="D15" s="11">
        <v>1.54E-2</v>
      </c>
      <c r="E15" s="10">
        <f t="shared" si="2"/>
        <v>1904665.3684390187</v>
      </c>
      <c r="F15" s="3"/>
      <c r="G15" s="29">
        <v>0.12</v>
      </c>
      <c r="H15" s="10"/>
      <c r="I15" s="10">
        <f t="shared" si="5"/>
        <v>2734.1714812525579</v>
      </c>
      <c r="J15" s="10">
        <f t="shared" si="3"/>
        <v>343368833141.8009</v>
      </c>
      <c r="K15" s="11">
        <f t="shared" si="4"/>
        <v>1.6618480000000213E-2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123679569.37915604</v>
      </c>
      <c r="D16" s="11">
        <v>1.67E-2</v>
      </c>
      <c r="E16" s="10">
        <f t="shared" si="2"/>
        <v>2031522.3848056495</v>
      </c>
      <c r="F16" s="3"/>
      <c r="G16" s="29">
        <v>4.8</v>
      </c>
      <c r="H16" s="10"/>
      <c r="I16" s="10">
        <f t="shared" si="5"/>
        <v>2730.8944079630019</v>
      </c>
      <c r="J16" s="10">
        <f t="shared" si="3"/>
        <v>337755844396.80933</v>
      </c>
      <c r="K16" s="11">
        <f t="shared" si="4"/>
        <v>6.5501599999999938E-2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121648046.99435039</v>
      </c>
      <c r="D17" s="11">
        <v>1.83E-2</v>
      </c>
      <c r="E17" s="10">
        <f t="shared" si="2"/>
        <v>2186152.6662050635</v>
      </c>
      <c r="F17" s="3"/>
      <c r="G17" s="29">
        <v>6.2</v>
      </c>
      <c r="H17" s="10"/>
      <c r="I17" s="10">
        <f t="shared" si="5"/>
        <v>2605.8152747738568</v>
      </c>
      <c r="J17" s="10">
        <f t="shared" si="3"/>
        <v>316992339004.28619</v>
      </c>
      <c r="K17" s="11">
        <f t="shared" si="4"/>
        <v>8.1434600000000135E-2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119461894.32814533</v>
      </c>
      <c r="D18" s="11">
        <v>1.9E-2</v>
      </c>
      <c r="E18" s="10">
        <f t="shared" si="2"/>
        <v>2227454.3594060391</v>
      </c>
      <c r="F18" s="3"/>
      <c r="G18" s="29">
        <v>4.41</v>
      </c>
      <c r="H18" s="10"/>
      <c r="I18" s="10">
        <f t="shared" si="5"/>
        <v>2453.6866994104112</v>
      </c>
      <c r="J18" s="10">
        <f t="shared" si="3"/>
        <v>293122061199.34222</v>
      </c>
      <c r="K18" s="11">
        <f t="shared" si="4"/>
        <v>6.3937899999999992E-2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117234439.96873929</v>
      </c>
      <c r="D19" s="11">
        <v>1.89E-2</v>
      </c>
      <c r="E19" s="10">
        <f t="shared" si="2"/>
        <v>2174630.400833413</v>
      </c>
      <c r="F19" s="3"/>
      <c r="G19" s="29">
        <v>3.02</v>
      </c>
      <c r="H19" s="10"/>
      <c r="I19" s="10">
        <f t="shared" si="5"/>
        <v>2350.0495157651671</v>
      </c>
      <c r="J19" s="10">
        <f t="shared" si="3"/>
        <v>275506738879.53632</v>
      </c>
      <c r="K19" s="11">
        <f t="shared" si="4"/>
        <v>4.9670780000000025E-2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115059809.56790587</v>
      </c>
      <c r="D20" s="11">
        <v>1.8499999999999999E-2</v>
      </c>
      <c r="E20" s="10">
        <f t="shared" si="2"/>
        <v>2089942.5400159657</v>
      </c>
      <c r="F20" s="3"/>
      <c r="G20" s="29">
        <v>5.05</v>
      </c>
      <c r="H20" s="10"/>
      <c r="I20" s="10">
        <f t="shared" si="5"/>
        <v>2281.1585282131305</v>
      </c>
      <c r="J20" s="10">
        <f t="shared" si="3"/>
        <v>262469665850.40723</v>
      </c>
      <c r="K20" s="11">
        <f t="shared" si="4"/>
        <v>6.9934249999999976E-2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112969867.02788991</v>
      </c>
      <c r="D21" s="11">
        <v>1.83E-2</v>
      </c>
      <c r="E21" s="10">
        <f t="shared" si="2"/>
        <v>2030195.9801732153</v>
      </c>
      <c r="F21" s="3"/>
      <c r="G21" s="29">
        <v>5.33</v>
      </c>
      <c r="H21" s="10"/>
      <c r="I21" s="10">
        <f t="shared" si="5"/>
        <v>2171.4978850196389</v>
      </c>
      <c r="J21" s="10">
        <f t="shared" si="3"/>
        <v>245313827322.01279</v>
      </c>
      <c r="K21" s="11">
        <f t="shared" si="4"/>
        <v>7.2575390000000128E-2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110939671.04771669</v>
      </c>
      <c r="D22" s="11">
        <v>1.8599999999999998E-2</v>
      </c>
      <c r="E22" s="10">
        <f t="shared" si="2"/>
        <v>2025798.037981078</v>
      </c>
      <c r="F22" s="3"/>
      <c r="G22" s="29">
        <v>3.47</v>
      </c>
      <c r="H22" s="10"/>
      <c r="I22" s="10">
        <f t="shared" si="5"/>
        <v>2061.61386596377</v>
      </c>
      <c r="J22" s="10">
        <f t="shared" si="3"/>
        <v>228714764117.43213</v>
      </c>
      <c r="K22" s="11">
        <f t="shared" si="4"/>
        <v>5.39454199999998E-2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108913873.00973561</v>
      </c>
      <c r="D23" s="11">
        <v>1.8499999999999999E-2</v>
      </c>
      <c r="E23" s="10">
        <f t="shared" si="2"/>
        <v>1978307.9535396248</v>
      </c>
      <c r="F23" s="3"/>
      <c r="G23" s="29">
        <v>8.2200000000000006</v>
      </c>
      <c r="H23" s="10"/>
      <c r="I23" s="10">
        <f t="shared" si="5"/>
        <v>1992.4749840183338</v>
      </c>
      <c r="J23" s="10">
        <f t="shared" si="3"/>
        <v>217008167384.44781</v>
      </c>
      <c r="K23" s="11">
        <f t="shared" si="4"/>
        <v>0.10222070000000016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106935565.05619599</v>
      </c>
      <c r="D24" s="11">
        <v>1.8599999999999998E-2</v>
      </c>
      <c r="E24" s="10">
        <f t="shared" si="2"/>
        <v>1952681.6316957027</v>
      </c>
      <c r="F24" s="3"/>
      <c r="G24" s="29">
        <v>3.85</v>
      </c>
      <c r="H24" s="10"/>
      <c r="I24" s="10">
        <f t="shared" si="5"/>
        <v>1841.1337867476748</v>
      </c>
      <c r="J24" s="10">
        <f t="shared" si="3"/>
        <v>196882681829.91644</v>
      </c>
      <c r="K24" s="11">
        <f t="shared" si="4"/>
        <v>5.7816099999999926E-2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104982883.42450029</v>
      </c>
      <c r="D25" s="11">
        <v>1.8800000000000001E-2</v>
      </c>
      <c r="E25" s="10">
        <f t="shared" si="2"/>
        <v>1937257.7624465972</v>
      </c>
      <c r="F25" s="3"/>
      <c r="G25" s="29">
        <v>4.1100000000000003</v>
      </c>
      <c r="H25" s="10"/>
      <c r="I25" s="10">
        <f t="shared" si="5"/>
        <v>1772.8779843501925</v>
      </c>
      <c r="J25" s="10">
        <f t="shared" si="3"/>
        <v>186121842756.89929</v>
      </c>
      <c r="K25" s="11">
        <f t="shared" si="4"/>
        <v>6.0672679999999701E-2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103045625.66205369</v>
      </c>
      <c r="D26" s="11">
        <v>1.9099999999999999E-2</v>
      </c>
      <c r="E26" s="10">
        <f t="shared" si="2"/>
        <v>1931283.927136898</v>
      </c>
      <c r="F26" s="3"/>
      <c r="G26" s="29">
        <v>6.37</v>
      </c>
      <c r="H26" s="10"/>
      <c r="I26" s="10">
        <f t="shared" si="5"/>
        <v>1702.8892367209612</v>
      </c>
      <c r="J26" s="10">
        <f t="shared" si="3"/>
        <v>175475286831.0885</v>
      </c>
      <c r="K26" s="11">
        <f t="shared" si="4"/>
        <v>8.4016670000000016E-2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101114341.73491679</v>
      </c>
      <c r="D27" s="11">
        <v>1.9900000000000001E-2</v>
      </c>
      <c r="E27" s="10">
        <f t="shared" si="2"/>
        <v>1972914.4038874805</v>
      </c>
      <c r="F27" s="3"/>
      <c r="G27" s="29">
        <v>-3.64</v>
      </c>
      <c r="H27" s="10"/>
      <c r="I27" s="10">
        <f t="shared" si="5"/>
        <v>1600.9111936833328</v>
      </c>
      <c r="J27" s="10">
        <f t="shared" si="3"/>
        <v>161875081525.35007</v>
      </c>
      <c r="K27" s="11">
        <f t="shared" si="4"/>
        <v>-1.722436000000005E-2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99141427.331029311</v>
      </c>
      <c r="D28" s="11">
        <v>2.0500000000000001E-2</v>
      </c>
      <c r="E28" s="10">
        <f t="shared" si="2"/>
        <v>1991572.0335973501</v>
      </c>
      <c r="F28" s="3"/>
      <c r="G28" s="29">
        <v>4.33</v>
      </c>
      <c r="H28" s="10"/>
      <c r="I28" s="10">
        <f t="shared" si="5"/>
        <v>1661.3856306385769</v>
      </c>
      <c r="J28" s="10">
        <f t="shared" si="3"/>
        <v>164712142768.77078</v>
      </c>
      <c r="K28" s="11">
        <f t="shared" si="4"/>
        <v>6.4687649999999985E-2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97149855.297431961</v>
      </c>
      <c r="D29" s="11">
        <v>2.1299999999999999E-2</v>
      </c>
      <c r="E29" s="10">
        <f t="shared" si="2"/>
        <v>2026135.2372812182</v>
      </c>
      <c r="F29" s="3"/>
      <c r="G29" s="29">
        <v>7.7</v>
      </c>
      <c r="H29" s="10"/>
      <c r="I29" s="10">
        <f t="shared" si="5"/>
        <v>1592.4332700456025</v>
      </c>
      <c r="J29" s="10">
        <f t="shared" si="3"/>
        <v>154704661755.74667</v>
      </c>
      <c r="K29" s="11">
        <f t="shared" si="4"/>
        <v>9.9940099999999976E-2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95123720.060150743</v>
      </c>
      <c r="D30" s="11">
        <v>2.24E-2</v>
      </c>
      <c r="E30" s="10">
        <f t="shared" si="2"/>
        <v>2084087.763446182</v>
      </c>
      <c r="F30" s="3"/>
      <c r="G30" s="29">
        <v>1.7</v>
      </c>
      <c r="H30" s="10"/>
      <c r="I30" s="10">
        <f t="shared" si="5"/>
        <v>1478.5824234406709</v>
      </c>
      <c r="J30" s="10">
        <f t="shared" si="3"/>
        <v>140648260533.22964</v>
      </c>
      <c r="K30" s="11">
        <f t="shared" si="4"/>
        <v>3.978079999999995E-2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93039632.296704561</v>
      </c>
      <c r="D31" s="11">
        <v>2.35E-2</v>
      </c>
      <c r="E31" s="10">
        <f t="shared" si="2"/>
        <v>2136229.9550293684</v>
      </c>
      <c r="F31" s="3"/>
      <c r="G31" s="29">
        <v>4.57</v>
      </c>
      <c r="H31" s="10"/>
      <c r="I31" s="10">
        <f t="shared" si="5"/>
        <v>1453.8666897155074</v>
      </c>
      <c r="J31" s="10">
        <f t="shared" si="3"/>
        <v>135267222219.55788</v>
      </c>
      <c r="K31" s="11">
        <f t="shared" si="4"/>
        <v>7.0273950000000251E-2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90903402.341675192</v>
      </c>
      <c r="D32" s="11">
        <v>2.46E-2</v>
      </c>
      <c r="E32" s="10">
        <f t="shared" si="2"/>
        <v>2182533.3765422702</v>
      </c>
      <c r="F32" s="3"/>
      <c r="G32" s="29">
        <v>6.14</v>
      </c>
      <c r="H32" s="10"/>
      <c r="I32" s="10">
        <f t="shared" si="5"/>
        <v>1390.3286695185113</v>
      </c>
      <c r="J32" s="10">
        <f t="shared" si="3"/>
        <v>126385606432.4072</v>
      </c>
      <c r="K32" s="11">
        <f t="shared" si="4"/>
        <v>8.7510439999999967E-2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88720868.965132922</v>
      </c>
      <c r="D33" s="11">
        <v>2.5700000000000001E-2</v>
      </c>
      <c r="E33" s="10">
        <f t="shared" si="2"/>
        <v>2222995.3518610895</v>
      </c>
      <c r="F33" s="3"/>
      <c r="G33" s="29">
        <v>9.68</v>
      </c>
      <c r="H33" s="10"/>
      <c r="I33" s="10">
        <f t="shared" si="5"/>
        <v>1309.9007626893833</v>
      </c>
      <c r="J33" s="10">
        <f t="shared" si="3"/>
        <v>116215533923.89246</v>
      </c>
      <c r="K33" s="11">
        <f t="shared" si="4"/>
        <v>0.12498776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86497873.613271832</v>
      </c>
      <c r="D34" s="11">
        <v>2.6800000000000001E-2</v>
      </c>
      <c r="E34" s="10">
        <f t="shared" si="2"/>
        <v>2257638.306228742</v>
      </c>
      <c r="F34" s="3"/>
      <c r="G34" s="29">
        <v>-4.28</v>
      </c>
      <c r="H34" s="10"/>
      <c r="I34" s="10">
        <f t="shared" si="5"/>
        <v>1194.2931826124939</v>
      </c>
      <c r="J34" s="10">
        <f t="shared" ref="J34:J65" si="6">IF(I34="","",I34*C34)</f>
        <v>103303820766.80768</v>
      </c>
      <c r="K34" s="11">
        <f t="shared" ref="K34:K65" si="7">IFERROR(J34/J35-1,"")</f>
        <v>-3.7986399999999643E-3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84240235.30704309</v>
      </c>
      <c r="D35" s="11">
        <v>2.7400000000000001E-2</v>
      </c>
      <c r="E35" s="10">
        <f t="shared" si="2"/>
        <v>2246624.9244821817</v>
      </c>
      <c r="F35" s="3"/>
      <c r="G35" s="29">
        <v>1.08</v>
      </c>
      <c r="H35" s="10"/>
      <c r="I35" s="10">
        <f t="shared" ref="I35:I66" si="8">IF(H35&lt;&gt;"",H35,I34/(1+IF(G34="",0,G34)/100))</f>
        <v>1230.9762756261532</v>
      </c>
      <c r="J35" s="10">
        <f t="shared" si="6"/>
        <v>103697731116.13467</v>
      </c>
      <c r="K35" s="11">
        <f t="shared" si="7"/>
        <v>6.6235720000000109E-2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81993610.382560909</v>
      </c>
      <c r="D36" s="11">
        <v>2.5600000000000001E-2</v>
      </c>
      <c r="E36" s="10">
        <f t="shared" si="2"/>
        <v>2046642.3808439523</v>
      </c>
      <c r="F36" s="3"/>
      <c r="G36" s="29">
        <v>3.54</v>
      </c>
      <c r="H36" s="10"/>
      <c r="I36" s="10">
        <f t="shared" si="8"/>
        <v>1186.1401769379006</v>
      </c>
      <c r="J36" s="10">
        <f t="shared" si="6"/>
        <v>97255915526.948074</v>
      </c>
      <c r="K36" s="11">
        <f t="shared" si="7"/>
        <v>0.11113503999999996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79946968.001716956</v>
      </c>
      <c r="D37" s="11">
        <v>2.3900000000000001E-2</v>
      </c>
      <c r="E37" s="10">
        <f t="shared" si="2"/>
        <v>1866131.9808975905</v>
      </c>
      <c r="F37" s="3"/>
      <c r="G37" s="29">
        <v>-7.62</v>
      </c>
      <c r="H37" s="10"/>
      <c r="I37" s="10">
        <f t="shared" si="8"/>
        <v>1094.8312506349462</v>
      </c>
      <c r="J37" s="10">
        <f t="shared" si="6"/>
        <v>87528438961.791794</v>
      </c>
      <c r="K37" s="11">
        <f t="shared" si="7"/>
        <v>1.4552000000001009E-4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78080836.020819366</v>
      </c>
      <c r="D38" s="11">
        <v>2.41E-2</v>
      </c>
      <c r="E38" s="10">
        <f t="shared" si="2"/>
        <v>1837465.2359161675</v>
      </c>
      <c r="F38" s="3"/>
      <c r="G38" s="29">
        <v>-1.33</v>
      </c>
      <c r="H38" s="10"/>
      <c r="I38" s="10">
        <f t="shared" si="8"/>
        <v>1120.8346136721398</v>
      </c>
      <c r="J38" s="10">
        <f t="shared" si="6"/>
        <v>87515703676.592773</v>
      </c>
      <c r="K38" s="11">
        <f t="shared" si="7"/>
        <v>4.8371170000000019E-2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76243370.784903198</v>
      </c>
      <c r="D39" s="11">
        <v>2.4400000000000002E-2</v>
      </c>
      <c r="E39" s="10">
        <f t="shared" si="2"/>
        <v>1816027.1838653237</v>
      </c>
      <c r="F39" s="3"/>
      <c r="G39" s="29">
        <v>4.41</v>
      </c>
      <c r="H39" s="10"/>
      <c r="I39" s="10">
        <f t="shared" si="8"/>
        <v>1094.8858197442021</v>
      </c>
      <c r="J39" s="10">
        <f t="shared" si="6"/>
        <v>83477785521.889893</v>
      </c>
      <c r="K39" s="11">
        <f t="shared" si="7"/>
        <v>6.9576040000000061E-2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74427343.601037875</v>
      </c>
      <c r="D40" s="11">
        <v>2.4899999999999999E-2</v>
      </c>
      <c r="E40" s="10">
        <f t="shared" si="2"/>
        <v>1808216.2705296427</v>
      </c>
      <c r="F40" s="3"/>
      <c r="G40" s="29">
        <v>3.02</v>
      </c>
      <c r="H40" s="10"/>
      <c r="I40" s="10">
        <f t="shared" si="8"/>
        <v>1048.6407621340888</v>
      </c>
      <c r="J40" s="10">
        <f t="shared" si="6"/>
        <v>78047546317.408051</v>
      </c>
      <c r="K40" s="11">
        <f t="shared" si="7"/>
        <v>5.585197999999969E-2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72619127.330508232</v>
      </c>
      <c r="D41" s="11">
        <v>2.5399999999999999E-2</v>
      </c>
      <c r="E41" s="10">
        <f t="shared" si="2"/>
        <v>1798835.4146624953</v>
      </c>
      <c r="F41" s="3"/>
      <c r="G41" s="29">
        <v>4.4000000000000004</v>
      </c>
      <c r="H41" s="10"/>
      <c r="I41" s="10">
        <f t="shared" si="8"/>
        <v>1017.9001767948834</v>
      </c>
      <c r="J41" s="10">
        <f t="shared" si="6"/>
        <v>73919022548.414474</v>
      </c>
      <c r="K41" s="11">
        <f t="shared" si="7"/>
        <v>7.0517600000000291E-2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70820291.915845737</v>
      </c>
      <c r="D42" s="11">
        <v>2.6200000000000001E-2</v>
      </c>
      <c r="E42" s="10">
        <f t="shared" si="2"/>
        <v>1808118.9321722388</v>
      </c>
      <c r="F42" s="3"/>
      <c r="G42" s="29">
        <v>-0.46</v>
      </c>
      <c r="H42" s="10"/>
      <c r="I42" s="10">
        <f t="shared" si="8"/>
        <v>975.00016934375799</v>
      </c>
      <c r="J42" s="10">
        <f t="shared" si="6"/>
        <v>69049796610.923965</v>
      </c>
      <c r="K42" s="11">
        <f t="shared" si="7"/>
        <v>2.1479479999999773E-2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69012172.983673498</v>
      </c>
      <c r="D43" s="11">
        <v>2.8299999999999999E-2</v>
      </c>
      <c r="E43" s="10">
        <f t="shared" si="2"/>
        <v>1899294.4621588588</v>
      </c>
      <c r="F43" s="3"/>
      <c r="G43" s="29">
        <v>6.33</v>
      </c>
      <c r="H43" s="10"/>
      <c r="I43" s="10">
        <f t="shared" si="8"/>
        <v>979.50589646750859</v>
      </c>
      <c r="J43" s="10">
        <f t="shared" si="6"/>
        <v>67597830365.543884</v>
      </c>
      <c r="K43" s="11">
        <f t="shared" si="7"/>
        <v>9.3391389999999852E-2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67112878.521514639</v>
      </c>
      <c r="D44" s="11">
        <v>2.86E-2</v>
      </c>
      <c r="E44" s="10">
        <f t="shared" si="2"/>
        <v>1866059.0372499675</v>
      </c>
      <c r="F44" s="3"/>
      <c r="G44" s="29">
        <v>-0.48</v>
      </c>
      <c r="H44" s="10"/>
      <c r="I44" s="10">
        <f t="shared" si="8"/>
        <v>921.19429743958301</v>
      </c>
      <c r="J44" s="10">
        <f t="shared" si="6"/>
        <v>61824000978.774757</v>
      </c>
      <c r="K44" s="11">
        <f t="shared" si="7"/>
        <v>2.3662719999999915E-2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65246819.484264672</v>
      </c>
      <c r="D45" s="11">
        <v>1.9199999999999998E-2</v>
      </c>
      <c r="E45" s="10">
        <f t="shared" si="2"/>
        <v>1229139.4565324634</v>
      </c>
      <c r="F45" s="3"/>
      <c r="G45" s="29">
        <v>3.12</v>
      </c>
      <c r="H45" s="10"/>
      <c r="I45" s="10">
        <f t="shared" si="8"/>
        <v>925.63735675199257</v>
      </c>
      <c r="J45" s="10">
        <f t="shared" si="6"/>
        <v>60394893523.88916</v>
      </c>
      <c r="K45" s="11">
        <f t="shared" si="7"/>
        <v>5.0999039999999995E-2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64017680.027732208</v>
      </c>
      <c r="D46" s="11">
        <v>1.7500000000000002E-2</v>
      </c>
      <c r="E46" s="10">
        <f t="shared" si="2"/>
        <v>1101041.1798381507</v>
      </c>
      <c r="F46" s="3"/>
      <c r="G46" s="29">
        <v>-1.2</v>
      </c>
      <c r="H46" s="10"/>
      <c r="I46" s="10">
        <f t="shared" si="8"/>
        <v>897.63126139642418</v>
      </c>
      <c r="J46" s="10">
        <f t="shared" si="6"/>
        <v>57464270874.965935</v>
      </c>
      <c r="K46" s="11">
        <f t="shared" si="7"/>
        <v>5.290000000000239E-3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62916638.847894058</v>
      </c>
      <c r="D47" s="11">
        <v>2.5899999999999999E-2</v>
      </c>
      <c r="E47" s="10">
        <f t="shared" si="2"/>
        <v>1588401.3511652797</v>
      </c>
      <c r="F47" s="3"/>
      <c r="G47" s="29">
        <v>2.58</v>
      </c>
      <c r="H47" s="10"/>
      <c r="I47" s="10">
        <f t="shared" si="8"/>
        <v>908.53366538099613</v>
      </c>
      <c r="J47" s="10">
        <f t="shared" si="6"/>
        <v>57161884505.929558</v>
      </c>
      <c r="K47" s="11">
        <f t="shared" si="7"/>
        <v>5.2368220000000187E-2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61328237.496728778</v>
      </c>
      <c r="D48" s="11">
        <v>2.8400000000000002E-2</v>
      </c>
      <c r="E48" s="10">
        <f t="shared" si="2"/>
        <v>1693623.0502791703</v>
      </c>
      <c r="F48" s="3"/>
      <c r="G48" s="29">
        <v>4.46</v>
      </c>
      <c r="H48" s="10"/>
      <c r="I48" s="10">
        <f t="shared" si="8"/>
        <v>885.68304287482556</v>
      </c>
      <c r="J48" s="10">
        <f t="shared" si="6"/>
        <v>54317380000.252716</v>
      </c>
      <c r="K48" s="11">
        <f t="shared" si="7"/>
        <v>7.4266639999999828E-2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59634614.446449608</v>
      </c>
      <c r="D49" s="11">
        <v>2.9399999999999999E-2</v>
      </c>
      <c r="E49" s="10">
        <f t="shared" si="2"/>
        <v>1703184.0535512194</v>
      </c>
      <c r="F49" s="3"/>
      <c r="G49" s="29">
        <v>0.68</v>
      </c>
      <c r="H49" s="10"/>
      <c r="I49" s="10">
        <f t="shared" si="8"/>
        <v>847.8681245211809</v>
      </c>
      <c r="J49" s="10">
        <f t="shared" si="6"/>
        <v>50562288707.254951</v>
      </c>
      <c r="K49" s="11">
        <f t="shared" si="7"/>
        <v>3.639992000000003E-2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57931430.392898388</v>
      </c>
      <c r="D50" s="11">
        <v>2.9399999999999999E-2</v>
      </c>
      <c r="E50" s="10">
        <f t="shared" si="2"/>
        <v>1654540.5610561669</v>
      </c>
      <c r="F50" s="3"/>
      <c r="G50" s="29">
        <v>8.57</v>
      </c>
      <c r="H50" s="10"/>
      <c r="I50" s="10">
        <f t="shared" si="8"/>
        <v>842.14156190025926</v>
      </c>
      <c r="J50" s="10">
        <f t="shared" si="6"/>
        <v>48786465274.191597</v>
      </c>
      <c r="K50" s="11">
        <f t="shared" si="7"/>
        <v>0.11761958000000017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56276889.831842221</v>
      </c>
      <c r="D51" s="11">
        <v>2.9100000000000001E-2</v>
      </c>
      <c r="E51" s="10">
        <f t="shared" si="2"/>
        <v>1591349.2314708009</v>
      </c>
      <c r="F51" s="3"/>
      <c r="G51" s="29">
        <v>7.04</v>
      </c>
      <c r="H51" s="10"/>
      <c r="I51" s="10">
        <f t="shared" si="8"/>
        <v>775.66690789376366</v>
      </c>
      <c r="J51" s="10">
        <f t="shared" si="6"/>
        <v>43652121121.743042</v>
      </c>
      <c r="K51" s="11">
        <f t="shared" si="7"/>
        <v>0.10154863999999986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54685540.60037142</v>
      </c>
      <c r="D52" s="11">
        <v>2.92E-2</v>
      </c>
      <c r="E52" s="10">
        <f t="shared" si="2"/>
        <v>1551513.588739641</v>
      </c>
      <c r="F52" s="3"/>
      <c r="G52" s="29">
        <v>8.1999999999999993</v>
      </c>
      <c r="H52" s="10"/>
      <c r="I52" s="10">
        <f t="shared" si="8"/>
        <v>724.65144608909156</v>
      </c>
      <c r="J52" s="10">
        <f t="shared" si="6"/>
        <v>39627956076.222878</v>
      </c>
      <c r="K52" s="11">
        <f t="shared" si="7"/>
        <v>0.11359439999999976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53134027.011631779</v>
      </c>
      <c r="D53" s="11">
        <v>2.92E-2</v>
      </c>
      <c r="E53" s="10">
        <f t="shared" si="2"/>
        <v>1507494.7422654927</v>
      </c>
      <c r="F53" s="3"/>
      <c r="G53" s="29">
        <v>7.53</v>
      </c>
      <c r="H53" s="10"/>
      <c r="I53" s="10">
        <f t="shared" si="8"/>
        <v>669.73331431524173</v>
      </c>
      <c r="J53" s="10">
        <f t="shared" si="6"/>
        <v>35585628013.415733</v>
      </c>
      <c r="K53" s="11">
        <f t="shared" si="7"/>
        <v>0.10669876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51626532.269366287</v>
      </c>
      <c r="D54" s="11">
        <v>2.9100000000000001E-2</v>
      </c>
      <c r="E54" s="10">
        <f t="shared" si="2"/>
        <v>1459850.4411996454</v>
      </c>
      <c r="F54" s="3"/>
      <c r="G54" s="29">
        <v>1.9</v>
      </c>
      <c r="H54" s="10"/>
      <c r="I54" s="10">
        <f t="shared" si="8"/>
        <v>622.83392012949105</v>
      </c>
      <c r="J54" s="10">
        <f t="shared" si="6"/>
        <v>32154755476.021072</v>
      </c>
      <c r="K54" s="11">
        <f t="shared" si="7"/>
        <v>4.8652899999999777E-2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50166681.828166641</v>
      </c>
      <c r="D55" s="11">
        <v>2.9000000000000001E-2</v>
      </c>
      <c r="E55" s="10">
        <f t="shared" si="2"/>
        <v>1413832.6268385127</v>
      </c>
      <c r="F55" s="3"/>
      <c r="G55" s="29">
        <v>8.9179999999999993</v>
      </c>
      <c r="H55" s="10"/>
      <c r="I55" s="10">
        <f t="shared" si="8"/>
        <v>611.22072632923562</v>
      </c>
      <c r="J55" s="10">
        <f t="shared" si="6"/>
        <v>30662915704.53968</v>
      </c>
      <c r="K55" s="11">
        <f t="shared" si="7"/>
        <v>0.12076621999999992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48752849.201328129</v>
      </c>
      <c r="D56" s="11">
        <v>2.8199999999999999E-2</v>
      </c>
      <c r="E56" s="10">
        <f t="shared" si="2"/>
        <v>1337123.4657434896</v>
      </c>
      <c r="F56" s="3"/>
      <c r="G56" s="29">
        <v>8.91</v>
      </c>
      <c r="H56" s="10"/>
      <c r="I56" s="10">
        <f t="shared" si="8"/>
        <v>561.17512838028199</v>
      </c>
      <c r="J56" s="10">
        <f t="shared" si="6"/>
        <v>27358886409.459843</v>
      </c>
      <c r="K56" s="11">
        <f t="shared" si="7"/>
        <v>0.11981262000000004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47415725.735584639</v>
      </c>
      <c r="D57" s="11">
        <v>2.8000000000000001E-2</v>
      </c>
      <c r="E57" s="10">
        <f t="shared" si="2"/>
        <v>1291478.9110859632</v>
      </c>
      <c r="F57" s="3"/>
      <c r="G57" s="30">
        <v>2.2400000000000002</v>
      </c>
      <c r="H57" s="10"/>
      <c r="I57" s="10">
        <f t="shared" si="8"/>
        <v>515.2650154992948</v>
      </c>
      <c r="J57" s="10">
        <f t="shared" si="6"/>
        <v>24431664656.056332</v>
      </c>
      <c r="K57" s="11">
        <f t="shared" si="7"/>
        <v>5.102720000000005E-2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46124246.824498676</v>
      </c>
      <c r="D58" s="11">
        <v>2.8000000000000001E-2</v>
      </c>
      <c r="E58" s="10">
        <f t="shared" si="2"/>
        <v>1256302.4426906258</v>
      </c>
      <c r="F58" s="3"/>
      <c r="G58" s="30">
        <v>2.78</v>
      </c>
      <c r="H58" s="10"/>
      <c r="I58" s="10">
        <f t="shared" si="8"/>
        <v>503.97595412685331</v>
      </c>
      <c r="J58" s="10">
        <f t="shared" si="6"/>
        <v>23245511301.759205</v>
      </c>
      <c r="K58" s="11">
        <f t="shared" si="7"/>
        <v>5.6578400000000029E-2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44867944.38180805</v>
      </c>
      <c r="D59" s="11">
        <v>2.7E-2</v>
      </c>
      <c r="E59" s="10">
        <f t="shared" si="2"/>
        <v>1179585.6848187074</v>
      </c>
      <c r="F59" s="3"/>
      <c r="G59" s="30">
        <v>5.64</v>
      </c>
      <c r="H59" s="10"/>
      <c r="I59" s="10">
        <f t="shared" si="8"/>
        <v>490.34438035303879</v>
      </c>
      <c r="J59" s="10">
        <f t="shared" si="6"/>
        <v>22000744385.612278</v>
      </c>
      <c r="K59" s="11">
        <f t="shared" si="7"/>
        <v>8.4922800000000187E-2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43688358.696989343</v>
      </c>
      <c r="D60" s="11">
        <v>2.7E-2</v>
      </c>
      <c r="E60" s="10">
        <f t="shared" si="2"/>
        <v>1148574.1819072142</v>
      </c>
      <c r="F60" s="3"/>
      <c r="G60" s="30">
        <v>8</v>
      </c>
      <c r="H60" s="10"/>
      <c r="I60" s="10">
        <f t="shared" si="8"/>
        <v>464.16544902786706</v>
      </c>
      <c r="J60" s="10">
        <f t="shared" si="6"/>
        <v>20278626631.878578</v>
      </c>
      <c r="K60" s="11">
        <f t="shared" si="7"/>
        <v>0.10915999999999992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42539784.515082128</v>
      </c>
      <c r="D61" s="11">
        <v>2.7E-2</v>
      </c>
      <c r="E61" s="10">
        <f t="shared" si="2"/>
        <v>1118377.9765406176</v>
      </c>
      <c r="F61" s="3"/>
      <c r="G61" s="30">
        <v>4.57</v>
      </c>
      <c r="H61" s="10"/>
      <c r="I61" s="10">
        <f t="shared" si="8"/>
        <v>429.78282317395093</v>
      </c>
      <c r="J61" s="10">
        <f t="shared" si="6"/>
        <v>18282868686.103519</v>
      </c>
      <c r="K61" s="11">
        <f t="shared" si="7"/>
        <v>7.3933900000000108E-2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41421406.538541511</v>
      </c>
      <c r="D62" s="11">
        <v>2.7E-2</v>
      </c>
      <c r="E62" s="10">
        <f t="shared" si="2"/>
        <v>1088975.6344115064</v>
      </c>
      <c r="F62" s="3"/>
      <c r="G62" s="30">
        <v>1.98</v>
      </c>
      <c r="H62" s="10"/>
      <c r="I62" s="10">
        <f t="shared" si="8"/>
        <v>411.00011779090647</v>
      </c>
      <c r="J62" s="10">
        <f t="shared" si="6"/>
        <v>17024202966.405584</v>
      </c>
      <c r="K62" s="11">
        <f t="shared" si="7"/>
        <v>4.7334599999999893E-2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40332430.904130004</v>
      </c>
      <c r="D63" s="11">
        <v>2.5999999999999999E-2</v>
      </c>
      <c r="E63" s="10">
        <f t="shared" si="2"/>
        <v>1022069.3991300017</v>
      </c>
      <c r="F63" s="3"/>
      <c r="G63" s="30">
        <v>2.1</v>
      </c>
      <c r="H63" s="10"/>
      <c r="I63" s="10">
        <f t="shared" si="8"/>
        <v>403.02031554315204</v>
      </c>
      <c r="J63" s="10">
        <f t="shared" si="6"/>
        <v>16254789029.604851</v>
      </c>
      <c r="K63" s="11">
        <f t="shared" si="7"/>
        <v>4.7545999999999866E-2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39310361.505000003</v>
      </c>
      <c r="D64" s="11">
        <v>2.5999999999999999E-2</v>
      </c>
      <c r="E64" s="10">
        <f t="shared" si="2"/>
        <v>996169.00500000268</v>
      </c>
      <c r="F64" s="3"/>
      <c r="G64" s="30">
        <v>6.14</v>
      </c>
      <c r="H64" s="10"/>
      <c r="I64" s="10">
        <f t="shared" si="8"/>
        <v>394.73096527243104</v>
      </c>
      <c r="J64" s="10">
        <f t="shared" si="6"/>
        <v>15517016942.076866</v>
      </c>
      <c r="K64" s="11">
        <f t="shared" si="7"/>
        <v>8.8996399999999865E-2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38314192.5</v>
      </c>
      <c r="D65" s="11">
        <v>2.5000000000000001E-2</v>
      </c>
      <c r="E65" s="10">
        <f t="shared" si="2"/>
        <v>934492.5</v>
      </c>
      <c r="F65" s="3"/>
      <c r="G65" s="30">
        <v>3.42</v>
      </c>
      <c r="H65" s="10"/>
      <c r="I65" s="10">
        <f t="shared" si="8"/>
        <v>371.89651900549376</v>
      </c>
      <c r="J65" s="10">
        <f t="shared" si="6"/>
        <v>14248914819.256397</v>
      </c>
      <c r="K65" s="11">
        <f t="shared" si="7"/>
        <v>6.005499999999997E-2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37379700</v>
      </c>
      <c r="D66" s="11">
        <v>2.5000000000000001E-2</v>
      </c>
      <c r="E66" s="10">
        <f t="shared" si="2"/>
        <v>911700</v>
      </c>
      <c r="F66" s="23">
        <f>SUM(F2)</f>
        <v>143972723</v>
      </c>
      <c r="G66" s="30">
        <v>2.83</v>
      </c>
      <c r="H66" s="10"/>
      <c r="I66" s="10">
        <f t="shared" si="8"/>
        <v>359.5982585626511</v>
      </c>
      <c r="J66" s="10">
        <f t="shared" ref="J66:J67" si="9">IF(I66="","",I66*C66)</f>
        <v>13441675025.59433</v>
      </c>
      <c r="K66" s="11">
        <f t="shared" ref="K66" si="10">IFERROR(J66/J67-1,"")</f>
        <v>5.4007499999999986E-2</v>
      </c>
    </row>
    <row r="67" spans="1:11" ht="22.5" customHeight="1">
      <c r="A67" s="3">
        <f t="shared" si="0"/>
        <v>1950</v>
      </c>
      <c r="B67" s="3">
        <v>1700</v>
      </c>
      <c r="C67" s="10">
        <v>36468000</v>
      </c>
      <c r="D67" s="11">
        <v>2.4E-2</v>
      </c>
      <c r="E67" s="3" t="s">
        <v>72</v>
      </c>
      <c r="F67" s="10">
        <f>SUM(C2)</f>
        <v>143974128.2677395</v>
      </c>
      <c r="G67" s="30">
        <v>2.1</v>
      </c>
      <c r="H67" s="10"/>
      <c r="I67" s="10">
        <f t="shared" ref="I67" si="11">IF(H67&lt;&gt;"",H67,I66/(1+IF(G66="",0,G66)/100))</f>
        <v>349.70170044019363</v>
      </c>
      <c r="J67" s="10">
        <f t="shared" si="9"/>
        <v>12752921611.652981</v>
      </c>
      <c r="K67" s="11"/>
    </row>
  </sheetData>
  <dataValidations count="1">
    <dataValidation type="custom" allowBlank="1" showDropDown="1" sqref="D2:D67" xr:uid="{00000000-0002-0000-7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 summaryRight="0"/>
  </sheetPr>
  <dimension ref="A1:M67"/>
  <sheetViews>
    <sheetView topLeftCell="A20" workbookViewId="0">
      <selection activeCell="J47" sqref="J4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301117757.75661606</v>
      </c>
      <c r="D2" s="11">
        <v>1.44E-2</v>
      </c>
      <c r="E2" s="10">
        <f t="shared" ref="E2:E66" si="2">SUM(C2-C3)</f>
        <v>4274542.302538693</v>
      </c>
      <c r="F2" s="14">
        <v>301115278</v>
      </c>
      <c r="G2" s="26">
        <v>2.4500000000000002</v>
      </c>
      <c r="H2" s="10"/>
      <c r="I2" s="10">
        <f>IF(H2&lt;&gt;"",H2,227936)</f>
        <v>28492</v>
      </c>
      <c r="J2" s="10">
        <f t="shared" ref="J2:J33" si="3">IF(I2="","",I2*C2)</f>
        <v>8579447154001.5049</v>
      </c>
      <c r="K2" s="11">
        <f t="shared" ref="K2:K33" si="4">IFERROR(J2/J3-1,"")</f>
        <v>3.9252799999999866E-2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296843215.45407736</v>
      </c>
      <c r="D3" s="11">
        <v>1.49E-2</v>
      </c>
      <c r="E3" s="10">
        <f t="shared" si="2"/>
        <v>4358029.2740818858</v>
      </c>
      <c r="F3" s="3"/>
      <c r="G3" s="26">
        <v>2.02</v>
      </c>
      <c r="H3" s="10"/>
      <c r="I3" s="10">
        <f t="shared" ref="I3:I34" si="5">IF(H3&lt;&gt;"",H3,I2/(1+IF(G2="",0,G2)/100))</f>
        <v>27810.639336261593</v>
      </c>
      <c r="J3" s="10">
        <f t="shared" si="3"/>
        <v>8255399604409.5391</v>
      </c>
      <c r="K3" s="11">
        <f t="shared" si="4"/>
        <v>3.5400979999999915E-2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292485186.17999548</v>
      </c>
      <c r="D4" s="11">
        <v>1.72E-2</v>
      </c>
      <c r="E4" s="10">
        <f t="shared" si="2"/>
        <v>4945679.5146440864</v>
      </c>
      <c r="F4" s="3"/>
      <c r="G4" s="26">
        <v>1.62</v>
      </c>
      <c r="H4" s="10"/>
      <c r="I4" s="10">
        <f t="shared" si="5"/>
        <v>27259.987587004111</v>
      </c>
      <c r="J4" s="10">
        <f t="shared" si="3"/>
        <v>7973142544649.2627</v>
      </c>
      <c r="K4" s="11">
        <f t="shared" si="4"/>
        <v>3.3678639999999982E-2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287539506.66535139</v>
      </c>
      <c r="D5" s="11">
        <v>1.7500000000000002E-2</v>
      </c>
      <c r="E5" s="10">
        <f t="shared" si="2"/>
        <v>4945396.9205343127</v>
      </c>
      <c r="F5" s="3"/>
      <c r="G5" s="26">
        <v>1.79</v>
      </c>
      <c r="H5" s="10"/>
      <c r="I5" s="10">
        <f t="shared" si="5"/>
        <v>26825.41585023038</v>
      </c>
      <c r="J5" s="10">
        <f t="shared" si="3"/>
        <v>7713366839668.1416</v>
      </c>
      <c r="K5" s="11">
        <f t="shared" si="4"/>
        <v>3.5713250000000141E-2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282594109.74481708</v>
      </c>
      <c r="D6" s="11">
        <v>1.3899999999999999E-2</v>
      </c>
      <c r="E6" s="10">
        <f t="shared" si="2"/>
        <v>3874206.6529765725</v>
      </c>
      <c r="F6" s="3"/>
      <c r="G6" s="26">
        <v>1.06</v>
      </c>
      <c r="H6" s="10"/>
      <c r="I6" s="10">
        <f t="shared" si="5"/>
        <v>26353.68489068708</v>
      </c>
      <c r="J6" s="10">
        <f t="shared" si="3"/>
        <v>7447396120179.1523</v>
      </c>
      <c r="K6" s="11">
        <f t="shared" si="4"/>
        <v>2.4647340000000018E-2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278719903.09184051</v>
      </c>
      <c r="D7" s="11">
        <v>1.5599999999999999E-2</v>
      </c>
      <c r="E7" s="10">
        <f t="shared" si="2"/>
        <v>4281243.0959361196</v>
      </c>
      <c r="F7" s="3"/>
      <c r="G7" s="26">
        <v>2.2000000000000002</v>
      </c>
      <c r="H7" s="10"/>
      <c r="I7" s="10">
        <f t="shared" si="5"/>
        <v>26077.265872439224</v>
      </c>
      <c r="J7" s="10">
        <f t="shared" si="3"/>
        <v>7268253016866.4199</v>
      </c>
      <c r="K7" s="11">
        <f t="shared" si="4"/>
        <v>3.7943199999999955E-2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274438659.99590439</v>
      </c>
      <c r="D8" s="11">
        <v>2.06E-2</v>
      </c>
      <c r="E8" s="10">
        <f t="shared" si="2"/>
        <v>5539326.2746576667</v>
      </c>
      <c r="F8" s="3"/>
      <c r="G8" s="26">
        <v>2.71</v>
      </c>
      <c r="H8" s="10"/>
      <c r="I8" s="10">
        <f t="shared" si="5"/>
        <v>25515.915726457166</v>
      </c>
      <c r="J8" s="10">
        <f t="shared" si="3"/>
        <v>7002553720537.3281</v>
      </c>
      <c r="K8" s="11">
        <f t="shared" si="4"/>
        <v>4.8258259999999886E-2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268899333.72124672</v>
      </c>
      <c r="D9" s="11">
        <v>0.02</v>
      </c>
      <c r="E9" s="10">
        <f t="shared" si="2"/>
        <v>5272535.9553185701</v>
      </c>
      <c r="F9" s="3"/>
      <c r="G9" s="26">
        <v>-0.39</v>
      </c>
      <c r="H9" s="10"/>
      <c r="I9" s="10">
        <f t="shared" si="5"/>
        <v>24842.679122244346</v>
      </c>
      <c r="J9" s="10">
        <f t="shared" si="3"/>
        <v>6680179863822.2314</v>
      </c>
      <c r="K9" s="11">
        <f t="shared" si="4"/>
        <v>1.6021999999999981E-2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263626797.76592815</v>
      </c>
      <c r="D10" s="11">
        <v>1.8200000000000001E-2</v>
      </c>
      <c r="E10" s="10">
        <f t="shared" si="2"/>
        <v>4712244.8628362715</v>
      </c>
      <c r="F10" s="3"/>
      <c r="G10" s="26">
        <v>1.5</v>
      </c>
      <c r="H10" s="10"/>
      <c r="I10" s="10">
        <f t="shared" si="5"/>
        <v>24939.944907383142</v>
      </c>
      <c r="J10" s="10">
        <f t="shared" si="3"/>
        <v>6574837812392.085</v>
      </c>
      <c r="K10" s="11">
        <f t="shared" si="4"/>
        <v>3.3472999999999864E-2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258914552.90309188</v>
      </c>
      <c r="D11" s="11">
        <v>1.35E-2</v>
      </c>
      <c r="E11" s="10">
        <f t="shared" si="2"/>
        <v>3448787.8285069168</v>
      </c>
      <c r="F11" s="3"/>
      <c r="G11" s="26">
        <v>2.2799999999999998</v>
      </c>
      <c r="H11" s="10"/>
      <c r="I11" s="10">
        <f t="shared" si="5"/>
        <v>24571.374292988319</v>
      </c>
      <c r="J11" s="10">
        <f t="shared" si="3"/>
        <v>6361886389283.5957</v>
      </c>
      <c r="K11" s="11">
        <f t="shared" si="4"/>
        <v>3.6607800000000079E-2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255465765.07458496</v>
      </c>
      <c r="D12" s="11">
        <v>1.2200000000000001E-2</v>
      </c>
      <c r="E12" s="10">
        <f t="shared" si="2"/>
        <v>3079117.1052261889</v>
      </c>
      <c r="F12" s="3"/>
      <c r="G12" s="26">
        <v>2.98</v>
      </c>
      <c r="H12" s="10"/>
      <c r="I12" s="10">
        <f t="shared" si="5"/>
        <v>24023.635405737507</v>
      </c>
      <c r="J12" s="10">
        <f t="shared" si="3"/>
        <v>6137216398799.6191</v>
      </c>
      <c r="K12" s="11">
        <f t="shared" si="4"/>
        <v>4.2363559999999856E-2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252386647.96935877</v>
      </c>
      <c r="D13" s="11">
        <v>1.0699999999999999E-2</v>
      </c>
      <c r="E13" s="10">
        <f t="shared" si="2"/>
        <v>2671947.2971921563</v>
      </c>
      <c r="F13" s="3"/>
      <c r="G13" s="26">
        <v>3.35</v>
      </c>
      <c r="H13" s="10"/>
      <c r="I13" s="10">
        <f t="shared" si="5"/>
        <v>23328.447665311232</v>
      </c>
      <c r="J13" s="10">
        <f t="shared" si="3"/>
        <v>5887788708576.5156</v>
      </c>
      <c r="K13" s="11">
        <f t="shared" si="4"/>
        <v>4.4558450000000027E-2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249714700.67216662</v>
      </c>
      <c r="D14" s="11">
        <v>1.15E-2</v>
      </c>
      <c r="E14" s="10">
        <f t="shared" si="2"/>
        <v>2839069.7555412054</v>
      </c>
      <c r="F14" s="3"/>
      <c r="G14" s="26">
        <v>2.2999999999999998</v>
      </c>
      <c r="H14" s="10"/>
      <c r="I14" s="10">
        <f t="shared" si="5"/>
        <v>22572.276405719622</v>
      </c>
      <c r="J14" s="10">
        <f t="shared" si="3"/>
        <v>5636629246143.6846</v>
      </c>
      <c r="K14" s="11">
        <f t="shared" si="4"/>
        <v>3.4764500000000087E-2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246875630.91662541</v>
      </c>
      <c r="D15" s="11">
        <v>1.14E-2</v>
      </c>
      <c r="E15" s="10">
        <f t="shared" si="2"/>
        <v>2782659.8699323237</v>
      </c>
      <c r="F15" s="3"/>
      <c r="G15" s="26">
        <v>1.2</v>
      </c>
      <c r="H15" s="10"/>
      <c r="I15" s="10">
        <f t="shared" si="5"/>
        <v>22064.786320351537</v>
      </c>
      <c r="J15" s="10">
        <f t="shared" si="3"/>
        <v>5447258043877.3115</v>
      </c>
      <c r="K15" s="11">
        <f t="shared" si="4"/>
        <v>2.3536800000000024E-2</v>
      </c>
      <c r="L15" t="s">
        <v>86</v>
      </c>
      <c r="M15" t="s">
        <v>87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244092971.04669309</v>
      </c>
      <c r="D16" s="11">
        <v>1.2800000000000001E-2</v>
      </c>
      <c r="E16" s="10">
        <f t="shared" si="2"/>
        <v>3084903.2675727308</v>
      </c>
      <c r="F16" s="3"/>
      <c r="G16" s="26">
        <v>0.46</v>
      </c>
      <c r="H16" s="10"/>
      <c r="I16" s="10">
        <f t="shared" si="5"/>
        <v>21803.148537896777</v>
      </c>
      <c r="J16" s="10">
        <f t="shared" si="3"/>
        <v>5321995304787.5869</v>
      </c>
      <c r="K16" s="11">
        <f t="shared" si="4"/>
        <v>1.7458879999999954E-2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241008067.77912036</v>
      </c>
      <c r="D17" s="11">
        <v>1.14E-2</v>
      </c>
      <c r="E17" s="10">
        <f t="shared" si="2"/>
        <v>2716523.603600949</v>
      </c>
      <c r="F17" s="3"/>
      <c r="G17" s="26">
        <v>0.57999999999999996</v>
      </c>
      <c r="H17" s="10"/>
      <c r="I17" s="10">
        <f t="shared" si="5"/>
        <v>21703.313296731812</v>
      </c>
      <c r="J17" s="10">
        <f t="shared" si="3"/>
        <v>5230673602050.2246</v>
      </c>
      <c r="K17" s="11">
        <f t="shared" si="4"/>
        <v>1.7266120000000162E-2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238291544.17551941</v>
      </c>
      <c r="D18" s="11">
        <v>1.09E-2</v>
      </c>
      <c r="E18" s="10">
        <f t="shared" si="2"/>
        <v>2569371.6801989675</v>
      </c>
      <c r="F18" s="3"/>
      <c r="G18" s="26">
        <v>2.29</v>
      </c>
      <c r="H18" s="10"/>
      <c r="I18" s="10">
        <f t="shared" si="5"/>
        <v>21578.159968912121</v>
      </c>
      <c r="J18" s="10">
        <f t="shared" si="3"/>
        <v>5141893059458.4473</v>
      </c>
      <c r="K18" s="11">
        <f t="shared" si="4"/>
        <v>3.4049609999999841E-2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235722172.49532044</v>
      </c>
      <c r="D19" s="11">
        <v>0.01</v>
      </c>
      <c r="E19" s="10">
        <f t="shared" si="2"/>
        <v>2333882.8959932625</v>
      </c>
      <c r="F19" s="3"/>
      <c r="G19" s="26">
        <v>1.98</v>
      </c>
      <c r="H19" s="10"/>
      <c r="I19" s="10">
        <f t="shared" si="5"/>
        <v>21095.0825778787</v>
      </c>
      <c r="J19" s="10">
        <f t="shared" si="3"/>
        <v>4972578694225.752</v>
      </c>
      <c r="K19" s="11">
        <f t="shared" si="4"/>
        <v>2.9997999999999969E-2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233388289.59932718</v>
      </c>
      <c r="D20" s="11">
        <v>1.0800000000000001E-2</v>
      </c>
      <c r="E20" s="10">
        <f t="shared" si="2"/>
        <v>2493661.9783070087</v>
      </c>
      <c r="F20" s="3"/>
      <c r="G20" s="26">
        <v>1.95</v>
      </c>
      <c r="H20" s="10"/>
      <c r="I20" s="10">
        <f t="shared" si="5"/>
        <v>20685.50948997715</v>
      </c>
      <c r="J20" s="10">
        <f t="shared" si="3"/>
        <v>4827755679356.418</v>
      </c>
      <c r="K20" s="11">
        <f t="shared" si="4"/>
        <v>3.0510600000000165E-2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230894627.62102017</v>
      </c>
      <c r="D21" s="11">
        <v>1.21E-2</v>
      </c>
      <c r="E21" s="10">
        <f t="shared" si="2"/>
        <v>2760423.8654424846</v>
      </c>
      <c r="F21" s="3"/>
      <c r="G21" s="26">
        <v>3.27</v>
      </c>
      <c r="H21" s="10"/>
      <c r="I21" s="10">
        <f t="shared" si="5"/>
        <v>20289.857273150708</v>
      </c>
      <c r="J21" s="10">
        <f t="shared" si="3"/>
        <v>4684819039567.7803</v>
      </c>
      <c r="K21" s="11">
        <f t="shared" si="4"/>
        <v>4.5195669999999799E-2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228134203.75557768</v>
      </c>
      <c r="D22" s="11">
        <v>1.11E-2</v>
      </c>
      <c r="E22" s="10">
        <f t="shared" si="2"/>
        <v>2504489.8246335089</v>
      </c>
      <c r="F22" s="3"/>
      <c r="G22" s="26">
        <v>2.1800000000000002</v>
      </c>
      <c r="H22" s="10"/>
      <c r="I22" s="10">
        <f t="shared" si="5"/>
        <v>19647.387695507612</v>
      </c>
      <c r="J22" s="10">
        <f t="shared" si="3"/>
        <v>4482241147791.7637</v>
      </c>
      <c r="K22" s="11">
        <f t="shared" si="4"/>
        <v>3.3141980000000126E-2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225629713.93094417</v>
      </c>
      <c r="D23" s="11">
        <v>9.5999999999999992E-3</v>
      </c>
      <c r="E23" s="10">
        <f t="shared" si="2"/>
        <v>2145448.943875879</v>
      </c>
      <c r="F23" s="3"/>
      <c r="G23" s="26">
        <v>3.53</v>
      </c>
      <c r="H23" s="10"/>
      <c r="I23" s="10">
        <f t="shared" si="5"/>
        <v>19228.212659529861</v>
      </c>
      <c r="J23" s="10">
        <f t="shared" si="3"/>
        <v>4338456121773.082</v>
      </c>
      <c r="K23" s="11">
        <f t="shared" si="4"/>
        <v>4.5238880000000092E-2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223484264.9870683</v>
      </c>
      <c r="D24" s="11">
        <v>8.8999999999999999E-3</v>
      </c>
      <c r="E24" s="10">
        <f t="shared" si="2"/>
        <v>1971463.92941311</v>
      </c>
      <c r="F24" s="3"/>
      <c r="G24" s="26">
        <v>2.25</v>
      </c>
      <c r="H24" s="10"/>
      <c r="I24" s="10">
        <f t="shared" si="5"/>
        <v>18572.59988363746</v>
      </c>
      <c r="J24" s="10">
        <f t="shared" si="3"/>
        <v>4150683833893.6279</v>
      </c>
      <c r="K24" s="11">
        <f t="shared" si="4"/>
        <v>3.1600249999999885E-2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221512801.05765519</v>
      </c>
      <c r="D25" s="11">
        <v>1.12E-2</v>
      </c>
      <c r="E25" s="10">
        <f t="shared" si="2"/>
        <v>2453464.5686765909</v>
      </c>
      <c r="F25" s="3"/>
      <c r="G25" s="26">
        <v>3.02</v>
      </c>
      <c r="H25" s="10"/>
      <c r="I25" s="10">
        <f t="shared" si="5"/>
        <v>18163.911866638104</v>
      </c>
      <c r="J25" s="10">
        <f t="shared" si="3"/>
        <v>4023538995743.3887</v>
      </c>
      <c r="K25" s="11">
        <f t="shared" si="4"/>
        <v>4.1738240000000371E-2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219059336.48897859</v>
      </c>
      <c r="D26" s="11">
        <v>1.2699999999999999E-2</v>
      </c>
      <c r="E26" s="10">
        <f t="shared" si="2"/>
        <v>2747164.5832033455</v>
      </c>
      <c r="F26" s="3"/>
      <c r="G26" s="26">
        <v>-0.61</v>
      </c>
      <c r="H26" s="10"/>
      <c r="I26" s="10">
        <f t="shared" si="5"/>
        <v>17631.442308909049</v>
      </c>
      <c r="J26" s="10">
        <f t="shared" si="3"/>
        <v>3862332053533.3208</v>
      </c>
      <c r="K26" s="11">
        <f t="shared" si="4"/>
        <v>6.5225300000000264E-3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216312171.90577525</v>
      </c>
      <c r="D27" s="11">
        <v>1.4800000000000001E-2</v>
      </c>
      <c r="E27" s="10">
        <f t="shared" si="2"/>
        <v>3154730.1381606758</v>
      </c>
      <c r="F27" s="3"/>
      <c r="G27" s="26">
        <v>-7.92</v>
      </c>
      <c r="H27" s="10"/>
      <c r="I27" s="10">
        <f t="shared" si="5"/>
        <v>17739.654199526158</v>
      </c>
      <c r="J27" s="10">
        <f t="shared" si="3"/>
        <v>3837303128756.9102</v>
      </c>
      <c r="K27" s="11">
        <f t="shared" si="4"/>
        <v>-6.557215999999999E-2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213157441.76761457</v>
      </c>
      <c r="D28" s="11">
        <v>1.6899999999999998E-2</v>
      </c>
      <c r="E28" s="10">
        <f t="shared" si="2"/>
        <v>3542492.6402524114</v>
      </c>
      <c r="F28" s="3"/>
      <c r="G28" s="26">
        <v>3.17</v>
      </c>
      <c r="H28" s="10"/>
      <c r="I28" s="10">
        <f t="shared" si="5"/>
        <v>19265.480234064027</v>
      </c>
      <c r="J28" s="10">
        <f t="shared" si="3"/>
        <v>4106580481117.6323</v>
      </c>
      <c r="K28" s="11">
        <f t="shared" si="4"/>
        <v>4.9135729999999933E-2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209614949.12736216</v>
      </c>
      <c r="D29" s="11">
        <v>1.6400000000000001E-2</v>
      </c>
      <c r="E29" s="10">
        <f t="shared" si="2"/>
        <v>3382216.8100046515</v>
      </c>
      <c r="F29" s="3"/>
      <c r="G29" s="26">
        <v>3.68</v>
      </c>
      <c r="H29" s="10"/>
      <c r="I29" s="10">
        <f t="shared" si="5"/>
        <v>18673.529353556292</v>
      </c>
      <c r="J29" s="10">
        <f t="shared" si="3"/>
        <v>3914250905474.0063</v>
      </c>
      <c r="K29" s="11">
        <f t="shared" si="4"/>
        <v>5.3803519999999772E-2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206232732.31735751</v>
      </c>
      <c r="D30" s="11">
        <v>1.52E-2</v>
      </c>
      <c r="E30" s="10">
        <f t="shared" si="2"/>
        <v>3087802.9267374575</v>
      </c>
      <c r="F30" s="3"/>
      <c r="G30" s="26">
        <v>2.95</v>
      </c>
      <c r="H30" s="10"/>
      <c r="I30" s="10">
        <f t="shared" si="5"/>
        <v>18010.734330204759</v>
      </c>
      <c r="J30" s="10">
        <f t="shared" si="3"/>
        <v>3714402951960.1597</v>
      </c>
      <c r="K30" s="11">
        <f t="shared" si="4"/>
        <v>4.5148400000000199E-2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203144929.39062005</v>
      </c>
      <c r="D31" s="11">
        <v>1.4500000000000001E-2</v>
      </c>
      <c r="E31" s="10">
        <f t="shared" si="2"/>
        <v>2903500.7157850862</v>
      </c>
      <c r="F31" s="3"/>
      <c r="G31" s="26">
        <v>2.96</v>
      </c>
      <c r="H31" s="10"/>
      <c r="I31" s="10">
        <f t="shared" si="5"/>
        <v>17494.642379994908</v>
      </c>
      <c r="J31" s="10">
        <f t="shared" si="3"/>
        <v>3553947890998.2148</v>
      </c>
      <c r="K31" s="11">
        <f t="shared" si="4"/>
        <v>4.4529199999999935E-2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200241428.67483497</v>
      </c>
      <c r="D32" s="11">
        <v>1.3299999999999999E-2</v>
      </c>
      <c r="E32" s="10">
        <f t="shared" si="2"/>
        <v>2628255.2071206272</v>
      </c>
      <c r="F32" s="3"/>
      <c r="G32" s="26">
        <v>3.67</v>
      </c>
      <c r="H32" s="10"/>
      <c r="I32" s="10">
        <f t="shared" si="5"/>
        <v>16991.688403258457</v>
      </c>
      <c r="J32" s="10">
        <f t="shared" si="3"/>
        <v>3402439961466.0986</v>
      </c>
      <c r="K32" s="11">
        <f t="shared" si="4"/>
        <v>5.0488110000000086E-2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197613173.46771434</v>
      </c>
      <c r="D33" s="11">
        <v>1.2E-2</v>
      </c>
      <c r="E33" s="10">
        <f t="shared" si="2"/>
        <v>2343239.2110796273</v>
      </c>
      <c r="F33" s="3"/>
      <c r="G33" s="26">
        <v>6.74</v>
      </c>
      <c r="H33" s="10"/>
      <c r="I33" s="10">
        <f t="shared" si="5"/>
        <v>16390.169193844369</v>
      </c>
      <c r="J33" s="10">
        <f t="shared" si="3"/>
        <v>3238913348068.355</v>
      </c>
      <c r="K33" s="11">
        <f t="shared" si="4"/>
        <v>8.0208799999999858E-2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195269934.25663471</v>
      </c>
      <c r="D34" s="11">
        <v>1.37E-2</v>
      </c>
      <c r="E34" s="10">
        <f t="shared" si="2"/>
        <v>2639043.2073748708</v>
      </c>
      <c r="F34" s="3"/>
      <c r="G34" s="26">
        <v>2.78</v>
      </c>
      <c r="H34" s="10"/>
      <c r="I34" s="10">
        <f t="shared" si="5"/>
        <v>15355.226900734842</v>
      </c>
      <c r="J34" s="10">
        <f t="shared" ref="J34:J65" si="6">IF(I34="","",I34*C34)</f>
        <v>2998414147402.2017</v>
      </c>
      <c r="K34" s="11">
        <f t="shared" ref="K34:K65" si="7">IFERROR(J34/J35-1,"")</f>
        <v>5.5058960000000212E-2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192630891.04925984</v>
      </c>
      <c r="D35" s="11">
        <v>1.7299999999999999E-2</v>
      </c>
      <c r="E35" s="10">
        <f t="shared" si="2"/>
        <v>3275842.3426248133</v>
      </c>
      <c r="F35" s="3"/>
      <c r="G35" s="26">
        <v>3.6</v>
      </c>
      <c r="H35" s="10"/>
      <c r="I35" s="10">
        <f t="shared" ref="I35:I66" si="8">IF(H35&lt;&gt;"",H35,I34/(1+IF(G34="",0,G34)/100))</f>
        <v>14753.292564118796</v>
      </c>
      <c r="J35" s="10">
        <f t="shared" si="6"/>
        <v>2841939892536.623</v>
      </c>
      <c r="K35" s="11">
        <f t="shared" si="7"/>
        <v>8.1389900000000015E-2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189355048.70663503</v>
      </c>
      <c r="D36" s="11">
        <v>1.5599999999999999E-2</v>
      </c>
      <c r="E36" s="10">
        <f t="shared" si="2"/>
        <v>2908565.1435836256</v>
      </c>
      <c r="F36" s="3"/>
      <c r="G36" s="26">
        <v>-2.76</v>
      </c>
      <c r="H36" s="10"/>
      <c r="I36" s="10">
        <f t="shared" si="8"/>
        <v>13878.920568314954</v>
      </c>
      <c r="J36" s="10">
        <f t="shared" si="6"/>
        <v>2628043680208.7969</v>
      </c>
      <c r="K36" s="11">
        <f t="shared" si="7"/>
        <v>3.6318240000000168E-2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186446483.5630514</v>
      </c>
      <c r="D37" s="11">
        <v>1.2200000000000001E-2</v>
      </c>
      <c r="E37" s="10">
        <f t="shared" si="2"/>
        <v>2247230.8827002943</v>
      </c>
      <c r="F37" s="3"/>
      <c r="G37" s="26">
        <v>-6.06</v>
      </c>
      <c r="H37" s="10"/>
      <c r="I37" s="10">
        <f t="shared" si="8"/>
        <v>13601.450968556404</v>
      </c>
      <c r="J37" s="10">
        <f t="shared" si="6"/>
        <v>2535942704442.6011</v>
      </c>
      <c r="K37" s="11">
        <f t="shared" si="7"/>
        <v>4.5072799999998914E-3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184199252.68035111</v>
      </c>
      <c r="D38" s="11">
        <v>1.0800000000000001E-2</v>
      </c>
      <c r="E38" s="10">
        <f t="shared" si="2"/>
        <v>1968096.4868893623</v>
      </c>
      <c r="F38" s="3"/>
      <c r="G38" s="26">
        <v>-7.4</v>
      </c>
      <c r="H38" s="10"/>
      <c r="I38" s="10">
        <f t="shared" si="8"/>
        <v>13705.613632160828</v>
      </c>
      <c r="J38" s="10">
        <f t="shared" si="6"/>
        <v>2524563788569.6572</v>
      </c>
      <c r="K38" s="11">
        <f t="shared" si="7"/>
        <v>-2.6599600000000057E-2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182231156.19346175</v>
      </c>
      <c r="D39" s="11">
        <v>1.1599999999999999E-2</v>
      </c>
      <c r="E39" s="10">
        <f t="shared" si="2"/>
        <v>2089641.5696363747</v>
      </c>
      <c r="F39" s="3"/>
      <c r="G39" s="26">
        <v>-0.82</v>
      </c>
      <c r="H39" s="10"/>
      <c r="I39" s="10">
        <f t="shared" si="8"/>
        <v>14232.205225504495</v>
      </c>
      <c r="J39" s="10">
        <f t="shared" si="6"/>
        <v>2593551213426.312</v>
      </c>
      <c r="K39" s="11">
        <f t="shared" si="7"/>
        <v>3.3048799999999545E-3</v>
      </c>
      <c r="L39" t="s">
        <v>138</v>
      </c>
      <c r="M39" t="s">
        <v>139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180141514.62382537</v>
      </c>
      <c r="D40" s="11">
        <v>1.1299999999999999E-2</v>
      </c>
      <c r="E40" s="10">
        <f t="shared" si="2"/>
        <v>2012853.8665571511</v>
      </c>
      <c r="F40" s="3"/>
      <c r="G40" s="26">
        <v>4.12</v>
      </c>
      <c r="H40" s="10"/>
      <c r="I40" s="10">
        <f t="shared" si="8"/>
        <v>14349.874193894429</v>
      </c>
      <c r="J40" s="10">
        <f t="shared" si="6"/>
        <v>2585008071949.4878</v>
      </c>
      <c r="K40" s="11">
        <f t="shared" si="7"/>
        <v>5.2965560000000078E-2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178128660.75726822</v>
      </c>
      <c r="D41" s="11">
        <v>0.01</v>
      </c>
      <c r="E41" s="10">
        <f t="shared" si="2"/>
        <v>1763650.1065075994</v>
      </c>
      <c r="F41" s="3"/>
      <c r="G41" s="26">
        <v>4.8899999999999997</v>
      </c>
      <c r="H41" s="10"/>
      <c r="I41" s="10">
        <f t="shared" si="8"/>
        <v>13782.053586145246</v>
      </c>
      <c r="J41" s="10">
        <f t="shared" si="6"/>
        <v>2454978747784.9585</v>
      </c>
      <c r="K41" s="11">
        <f t="shared" si="7"/>
        <v>5.9388999999999914E-2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176365010.65076062</v>
      </c>
      <c r="D42" s="11">
        <v>1.23E-2</v>
      </c>
      <c r="E42" s="10">
        <f t="shared" si="2"/>
        <v>2142931.572660625</v>
      </c>
      <c r="F42" s="3"/>
      <c r="G42" s="26">
        <v>-6.92</v>
      </c>
      <c r="H42" s="10"/>
      <c r="I42" s="10">
        <f t="shared" si="8"/>
        <v>13139.530542611543</v>
      </c>
      <c r="J42" s="10">
        <f t="shared" si="6"/>
        <v>2317353444093.6792</v>
      </c>
      <c r="K42" s="11">
        <f t="shared" si="7"/>
        <v>-5.7751160000000024E-2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174222079.0781</v>
      </c>
      <c r="D43" s="11">
        <v>2.53E-2</v>
      </c>
      <c r="E43" s="10">
        <f t="shared" si="2"/>
        <v>4299052.5706387758</v>
      </c>
      <c r="F43" s="3"/>
      <c r="G43" s="26">
        <v>-1.04</v>
      </c>
      <c r="H43" s="10"/>
      <c r="I43" s="10">
        <f t="shared" si="8"/>
        <v>14116.384338860704</v>
      </c>
      <c r="J43" s="10">
        <f t="shared" si="6"/>
        <v>2459385828581.8418</v>
      </c>
      <c r="K43" s="11">
        <f t="shared" si="7"/>
        <v>1.4636879999999852E-2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169923026.50746122</v>
      </c>
      <c r="D44" s="11">
        <v>1.5299999999999999E-2</v>
      </c>
      <c r="E44" s="10">
        <f t="shared" si="2"/>
        <v>2560644.4455473125</v>
      </c>
      <c r="F44" s="3"/>
      <c r="G44" s="26">
        <v>5.15</v>
      </c>
      <c r="H44" s="10"/>
      <c r="I44" s="10">
        <f t="shared" si="8"/>
        <v>14264.737610004753</v>
      </c>
      <c r="J44" s="10">
        <f t="shared" si="6"/>
        <v>2423907387026.8169</v>
      </c>
      <c r="K44" s="11">
        <f t="shared" si="7"/>
        <v>6.7587950000000285E-2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167362382.06191391</v>
      </c>
      <c r="D45" s="11">
        <v>1.84E-2</v>
      </c>
      <c r="E45" s="10">
        <f t="shared" si="2"/>
        <v>3023829.3695396781</v>
      </c>
      <c r="F45" s="3"/>
      <c r="G45" s="26">
        <v>4.76</v>
      </c>
      <c r="H45" s="10"/>
      <c r="I45" s="10">
        <f t="shared" si="8"/>
        <v>13566.084270094867</v>
      </c>
      <c r="J45" s="10">
        <f t="shared" si="6"/>
        <v>2270452178695.7378</v>
      </c>
      <c r="K45" s="11">
        <f t="shared" si="7"/>
        <v>6.687584000000002E-2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164338552.69237423</v>
      </c>
      <c r="D46" s="11">
        <v>3.3799999999999997E-2</v>
      </c>
      <c r="E46" s="10">
        <f t="shared" si="2"/>
        <v>5373034.5144150257</v>
      </c>
      <c r="F46" s="3"/>
      <c r="G46" s="26">
        <v>2.79</v>
      </c>
      <c r="H46" s="10"/>
      <c r="I46" s="10">
        <f t="shared" si="8"/>
        <v>12949.679524718276</v>
      </c>
      <c r="J46" s="10">
        <f t="shared" si="6"/>
        <v>2128131590922.2742</v>
      </c>
      <c r="K46" s="11">
        <f t="shared" si="7"/>
        <v>6.2643020000000105E-2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158965518.1779592</v>
      </c>
      <c r="D47" s="11">
        <v>1.9699999999999999E-2</v>
      </c>
      <c r="E47" s="10">
        <f t="shared" si="2"/>
        <v>3071119.650981456</v>
      </c>
      <c r="F47" s="3"/>
      <c r="G47" s="26">
        <v>5.72</v>
      </c>
      <c r="H47" s="10"/>
      <c r="I47" s="10">
        <f t="shared" si="8"/>
        <v>12598.190023074498</v>
      </c>
      <c r="J47" s="10">
        <f t="shared" si="6"/>
        <v>2002677805122.4333</v>
      </c>
      <c r="K47" s="11">
        <f t="shared" si="7"/>
        <v>7.8026839999999931E-2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155894398.52697775</v>
      </c>
      <c r="D48" s="11">
        <v>2.0899999999999998E-2</v>
      </c>
      <c r="E48" s="10">
        <f t="shared" si="2"/>
        <v>3191490.7720774114</v>
      </c>
      <c r="F48" s="3"/>
      <c r="G48" s="26">
        <v>2.6</v>
      </c>
      <c r="H48" s="10"/>
      <c r="I48" s="10">
        <f t="shared" si="8"/>
        <v>11916.562640062901</v>
      </c>
      <c r="J48" s="10">
        <f t="shared" si="6"/>
        <v>1857725365281.6599</v>
      </c>
      <c r="K48" s="11">
        <f t="shared" si="7"/>
        <v>4.7443400000000135E-2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152702907.75490034</v>
      </c>
      <c r="D49" s="11">
        <v>1.7600000000000001E-2</v>
      </c>
      <c r="E49" s="10">
        <f t="shared" si="2"/>
        <v>2641088.0272074044</v>
      </c>
      <c r="F49" s="3"/>
      <c r="G49" s="26">
        <v>4.3</v>
      </c>
      <c r="H49" s="10"/>
      <c r="I49" s="10">
        <f t="shared" si="8"/>
        <v>11614.583469846881</v>
      </c>
      <c r="J49" s="10">
        <f t="shared" si="6"/>
        <v>1773580668207.6184</v>
      </c>
      <c r="K49" s="11">
        <f t="shared" si="7"/>
        <v>6.1356799999999989E-2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150061819.72769293</v>
      </c>
      <c r="D50" s="11">
        <v>1.26E-2</v>
      </c>
      <c r="E50" s="10">
        <f t="shared" si="2"/>
        <v>1867251.5589264631</v>
      </c>
      <c r="F50" s="3"/>
      <c r="G50" s="26">
        <v>2</v>
      </c>
      <c r="H50" s="10"/>
      <c r="I50" s="10">
        <f t="shared" si="8"/>
        <v>11135.746375692121</v>
      </c>
      <c r="J50" s="10">
        <f t="shared" si="6"/>
        <v>1671050365162.4209</v>
      </c>
      <c r="K50" s="11">
        <f t="shared" si="7"/>
        <v>3.2851999999999881E-2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148194568.16876647</v>
      </c>
      <c r="D51" s="11">
        <v>2.2800000000000001E-2</v>
      </c>
      <c r="E51" s="10">
        <f t="shared" si="2"/>
        <v>3303515.9896830916</v>
      </c>
      <c r="F51" s="3"/>
      <c r="G51" s="26">
        <v>6</v>
      </c>
      <c r="H51" s="10"/>
      <c r="I51" s="10">
        <f t="shared" si="8"/>
        <v>10917.398407541295</v>
      </c>
      <c r="J51" s="10">
        <f t="shared" si="6"/>
        <v>1617899142531.9609</v>
      </c>
      <c r="K51" s="11">
        <f t="shared" si="7"/>
        <v>8.4168000000000021E-2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144891052.17908338</v>
      </c>
      <c r="D52" s="11">
        <v>1.9599999999999999E-2</v>
      </c>
      <c r="E52" s="10">
        <f t="shared" si="2"/>
        <v>2785273.266683042</v>
      </c>
      <c r="F52" s="3"/>
      <c r="G52" s="26">
        <v>5.9</v>
      </c>
      <c r="H52" s="10"/>
      <c r="I52" s="10">
        <f t="shared" si="8"/>
        <v>10299.432459944617</v>
      </c>
      <c r="J52" s="10">
        <f t="shared" si="6"/>
        <v>1492295605968.7805</v>
      </c>
      <c r="K52" s="11">
        <f t="shared" si="7"/>
        <v>7.9756399999999728E-2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142105778.91240034</v>
      </c>
      <c r="D53" s="11">
        <v>1.9599999999999999E-2</v>
      </c>
      <c r="E53" s="10">
        <f t="shared" si="2"/>
        <v>2731731.3325647712</v>
      </c>
      <c r="F53" s="3"/>
      <c r="G53" s="26">
        <v>5.3</v>
      </c>
      <c r="H53" s="10"/>
      <c r="I53" s="10">
        <f t="shared" si="8"/>
        <v>9725.6208309203193</v>
      </c>
      <c r="J53" s="10">
        <f t="shared" si="6"/>
        <v>1382066923584.5981</v>
      </c>
      <c r="K53" s="11">
        <f t="shared" si="7"/>
        <v>7.3638799999999893E-2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139374047.57983556</v>
      </c>
      <c r="D54" s="11">
        <v>1.9199999999999998E-2</v>
      </c>
      <c r="E54" s="10">
        <f t="shared" si="2"/>
        <v>2625570.7550361753</v>
      </c>
      <c r="F54" s="3"/>
      <c r="G54" s="26">
        <v>3.9</v>
      </c>
      <c r="H54" s="10"/>
      <c r="I54" s="10">
        <f t="shared" si="8"/>
        <v>9236.1071518711487</v>
      </c>
      <c r="J54" s="10">
        <f t="shared" si="6"/>
        <v>1287273637637.3491</v>
      </c>
      <c r="K54" s="11">
        <f t="shared" si="7"/>
        <v>5.8948800000000245E-2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136748476.82479939</v>
      </c>
      <c r="D55" s="11">
        <v>2.4400000000000002E-2</v>
      </c>
      <c r="E55" s="10">
        <f t="shared" si="2"/>
        <v>3257187.4604891688</v>
      </c>
      <c r="F55" s="3"/>
      <c r="G55" s="26">
        <v>5.6</v>
      </c>
      <c r="H55" s="10"/>
      <c r="I55" s="10">
        <f t="shared" si="8"/>
        <v>8889.4197804342148</v>
      </c>
      <c r="J55" s="10">
        <f t="shared" si="6"/>
        <v>1215614614830.6216</v>
      </c>
      <c r="K55" s="11">
        <f t="shared" si="7"/>
        <v>8.1766400000000239E-2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133491289.36431022</v>
      </c>
      <c r="D56" s="11">
        <v>1.9900000000000001E-2</v>
      </c>
      <c r="E56" s="10">
        <f t="shared" si="2"/>
        <v>2604644.2380133122</v>
      </c>
      <c r="F56" s="3"/>
      <c r="G56" s="26">
        <v>1.8</v>
      </c>
      <c r="H56" s="10"/>
      <c r="I56" s="10">
        <f t="shared" si="8"/>
        <v>8418.0111557142172</v>
      </c>
      <c r="J56" s="10">
        <f t="shared" si="6"/>
        <v>1123731163059.438</v>
      </c>
      <c r="K56" s="11">
        <f t="shared" si="7"/>
        <v>3.825820000000002E-2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130886645.12629691</v>
      </c>
      <c r="D57" s="11">
        <v>0.02</v>
      </c>
      <c r="E57" s="10">
        <f t="shared" si="2"/>
        <v>2566404.8063979745</v>
      </c>
      <c r="F57" s="3"/>
      <c r="G57" s="26">
        <v>1.99</v>
      </c>
      <c r="H57" s="10"/>
      <c r="I57" s="10">
        <f t="shared" si="8"/>
        <v>8269.1661647487399</v>
      </c>
      <c r="J57" s="10">
        <f t="shared" si="6"/>
        <v>1082323417295.85</v>
      </c>
      <c r="K57" s="11">
        <f t="shared" si="7"/>
        <v>4.0297999999999945E-2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128320240.31989893</v>
      </c>
      <c r="D58" s="11">
        <v>2.1000000000000001E-2</v>
      </c>
      <c r="E58" s="10">
        <f t="shared" si="2"/>
        <v>2639299.7519273907</v>
      </c>
      <c r="F58" s="3"/>
      <c r="G58" s="26">
        <v>6.91</v>
      </c>
      <c r="H58" s="10"/>
      <c r="I58" s="10">
        <f t="shared" si="8"/>
        <v>8107.8205360807333</v>
      </c>
      <c r="J58" s="10">
        <f t="shared" si="6"/>
        <v>1040397479660.4915</v>
      </c>
      <c r="K58" s="11">
        <f t="shared" si="7"/>
        <v>9.1551099999999774E-2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125680940.56797154</v>
      </c>
      <c r="D59" s="11">
        <v>2.1000000000000001E-2</v>
      </c>
      <c r="E59" s="10">
        <f t="shared" si="2"/>
        <v>2585014.4485087097</v>
      </c>
      <c r="F59" s="3"/>
      <c r="G59" s="26">
        <v>2.44</v>
      </c>
      <c r="H59" s="10"/>
      <c r="I59" s="10">
        <f t="shared" si="8"/>
        <v>7583.7812515954856</v>
      </c>
      <c r="J59" s="10">
        <f t="shared" si="6"/>
        <v>953136760762.26904</v>
      </c>
      <c r="K59" s="11">
        <f t="shared" si="7"/>
        <v>4.5912399999999964E-2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123095926.11946283</v>
      </c>
      <c r="D60" s="11">
        <v>2.1000000000000001E-2</v>
      </c>
      <c r="E60" s="10">
        <f t="shared" si="2"/>
        <v>2531845.6890388876</v>
      </c>
      <c r="F60" s="3"/>
      <c r="G60" s="26">
        <v>1.38</v>
      </c>
      <c r="H60" s="10"/>
      <c r="I60" s="10">
        <f t="shared" si="8"/>
        <v>7403.1445251810674</v>
      </c>
      <c r="J60" s="10">
        <f t="shared" si="6"/>
        <v>911296931523.39441</v>
      </c>
      <c r="K60" s="11">
        <f t="shared" si="7"/>
        <v>3.5089799999999949E-2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120564080.43042395</v>
      </c>
      <c r="D61" s="11">
        <v>2.1000000000000001E-2</v>
      </c>
      <c r="E61" s="10">
        <f t="shared" si="2"/>
        <v>2479770.5083632618</v>
      </c>
      <c r="F61" s="3"/>
      <c r="G61" s="26">
        <v>1.45</v>
      </c>
      <c r="H61" s="10"/>
      <c r="I61" s="10">
        <f t="shared" si="8"/>
        <v>7302.3717944180971</v>
      </c>
      <c r="J61" s="10">
        <f t="shared" si="6"/>
        <v>880403740355.08264</v>
      </c>
      <c r="K61" s="11">
        <f t="shared" si="7"/>
        <v>3.5804499999999795E-2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118084309.92206068</v>
      </c>
      <c r="D62" s="11">
        <v>2.1999999999999999E-2</v>
      </c>
      <c r="E62" s="10">
        <f t="shared" si="2"/>
        <v>2541932.3075198978</v>
      </c>
      <c r="F62" s="3"/>
      <c r="G62" s="26">
        <v>6.57</v>
      </c>
      <c r="H62" s="10"/>
      <c r="I62" s="10">
        <f t="shared" si="8"/>
        <v>7198.0007830636741</v>
      </c>
      <c r="J62" s="10">
        <f t="shared" si="6"/>
        <v>849970955286.52637</v>
      </c>
      <c r="K62" s="11">
        <f t="shared" si="7"/>
        <v>8.9145400000000263E-2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115542377.61454079</v>
      </c>
      <c r="D63" s="11">
        <v>2.1999999999999999E-2</v>
      </c>
      <c r="E63" s="10">
        <f t="shared" si="2"/>
        <v>2487213.6081407964</v>
      </c>
      <c r="F63" s="3"/>
      <c r="G63" s="26">
        <v>2.7</v>
      </c>
      <c r="H63" s="10"/>
      <c r="I63" s="10">
        <f t="shared" si="8"/>
        <v>6754.2467702577396</v>
      </c>
      <c r="J63" s="10">
        <f t="shared" si="6"/>
        <v>780401730830.91223</v>
      </c>
      <c r="K63" s="11">
        <f t="shared" si="7"/>
        <v>4.9593999999999916E-2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113055164.00639999</v>
      </c>
      <c r="D64" s="11">
        <v>2.1999999999999999E-2</v>
      </c>
      <c r="E64" s="10">
        <f t="shared" si="2"/>
        <v>2433672.806400001</v>
      </c>
      <c r="F64" s="3"/>
      <c r="G64" s="26">
        <v>4.09</v>
      </c>
      <c r="H64" s="10"/>
      <c r="I64" s="10">
        <f t="shared" si="8"/>
        <v>6576.6765046326582</v>
      </c>
      <c r="J64" s="10">
        <f t="shared" si="6"/>
        <v>743527240848.28259</v>
      </c>
      <c r="K64" s="11">
        <f t="shared" si="7"/>
        <v>6.3799799999999962E-2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110621491.19999999</v>
      </c>
      <c r="D65" s="11">
        <v>2.3E-2</v>
      </c>
      <c r="E65" s="10">
        <f t="shared" si="2"/>
        <v>2487091.1999999881</v>
      </c>
      <c r="F65" s="3"/>
      <c r="G65" s="26">
        <v>3.24</v>
      </c>
      <c r="H65" s="10"/>
      <c r="I65" s="10">
        <f t="shared" si="8"/>
        <v>6318.2596835744635</v>
      </c>
      <c r="J65" s="10">
        <f t="shared" si="6"/>
        <v>698935307985.84717</v>
      </c>
      <c r="K65" s="11">
        <f t="shared" si="7"/>
        <v>5.6145200000000006E-2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108134400</v>
      </c>
      <c r="D66" s="11">
        <v>2.4E-2</v>
      </c>
      <c r="E66" s="10">
        <f t="shared" si="2"/>
        <v>2534400</v>
      </c>
      <c r="F66" s="23">
        <f>SUM(F2)</f>
        <v>301115278</v>
      </c>
      <c r="G66" s="26">
        <v>7.12</v>
      </c>
      <c r="H66" s="10"/>
      <c r="I66" s="10">
        <f t="shared" si="8"/>
        <v>6119.9725722340791</v>
      </c>
      <c r="J66" s="10">
        <f t="shared" ref="J66:J67" si="9">IF(I66="","",I66*C66)</f>
        <v>661779562114.98877</v>
      </c>
      <c r="K66" s="11">
        <f t="shared" ref="K66" si="10">IFERROR(J66/J67-1,"")</f>
        <v>9.6908799999999795E-2</v>
      </c>
    </row>
    <row r="67" spans="1:11" ht="22.5" customHeight="1">
      <c r="A67" s="3">
        <f t="shared" si="0"/>
        <v>1950</v>
      </c>
      <c r="B67" s="3">
        <v>1700</v>
      </c>
      <c r="C67" s="10">
        <v>105600000</v>
      </c>
      <c r="D67" s="11">
        <v>2.5000000000000001E-2</v>
      </c>
      <c r="E67" s="3" t="s">
        <v>72</v>
      </c>
      <c r="F67" s="10">
        <f>SUM(C2)</f>
        <v>301117757.75661606</v>
      </c>
      <c r="G67" s="26">
        <v>8.64</v>
      </c>
      <c r="H67" s="10"/>
      <c r="I67" s="10">
        <f t="shared" ref="I67" si="11">IF(H67&lt;&gt;"",H67,I66/(1+IF(G66="",0,G66)/100))</f>
        <v>5713.1932153044054</v>
      </c>
      <c r="J67" s="10">
        <f t="shared" si="9"/>
        <v>603313203536.14526</v>
      </c>
      <c r="K67" s="11"/>
    </row>
  </sheetData>
  <dataValidations count="1">
    <dataValidation type="custom" allowBlank="1" showDropDown="1" sqref="D2:D67" xr:uid="{00000000-0002-0000-7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 summaryRight="0"/>
  </sheetPr>
  <dimension ref="A1:M67"/>
  <sheetViews>
    <sheetView topLeftCell="A32" workbookViewId="0">
      <selection activeCell="H57" sqref="H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8871997.5144445822</v>
      </c>
      <c r="D2" s="11">
        <v>2.52E-2</v>
      </c>
      <c r="E2" s="10">
        <f t="shared" ref="E2:E66" si="2">SUM(C2-C3)</f>
        <v>218078.75279360451</v>
      </c>
      <c r="F2" s="14">
        <v>8871251</v>
      </c>
      <c r="G2" s="29">
        <v>0.84</v>
      </c>
      <c r="H2" s="10"/>
      <c r="I2" s="10">
        <f>IF(H2&lt;&gt;"",H2,60952)</f>
        <v>7619</v>
      </c>
      <c r="J2" s="10">
        <f t="shared" ref="J2:J33" si="3">IF(I2="","",I2*C2)</f>
        <v>67595749062.553268</v>
      </c>
      <c r="K2" s="11">
        <f t="shared" ref="K2:K33" si="4">IFERROR(J2/J3-1,"")</f>
        <v>3.38116799999999E-2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8653918.7616509777</v>
      </c>
      <c r="D3" s="11">
        <v>2.53E-2</v>
      </c>
      <c r="E3" s="10">
        <f t="shared" si="2"/>
        <v>213541.5436162781</v>
      </c>
      <c r="F3" s="3"/>
      <c r="G3" s="29">
        <v>3.04</v>
      </c>
      <c r="H3" s="10"/>
      <c r="I3" s="10">
        <f t="shared" ref="I3:I34" si="5">IF(H3&lt;&gt;"",H3,I2/(1+IF(G2="",0,G2)/100))</f>
        <v>7555.5335184450614</v>
      </c>
      <c r="J3" s="10">
        <f t="shared" si="3"/>
        <v>65384973269.554543</v>
      </c>
      <c r="K3" s="11">
        <f t="shared" si="4"/>
        <v>5.6469120000000039E-2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8440377.2180346996</v>
      </c>
      <c r="D4" s="11">
        <v>2.5700000000000001E-2</v>
      </c>
      <c r="E4" s="10">
        <f t="shared" si="2"/>
        <v>211482.59189187177</v>
      </c>
      <c r="F4" s="3"/>
      <c r="G4" s="29">
        <v>-1</v>
      </c>
      <c r="H4" s="10"/>
      <c r="I4" s="10">
        <f t="shared" si="5"/>
        <v>7332.6218152611236</v>
      </c>
      <c r="J4" s="10">
        <f t="shared" si="3"/>
        <v>61890094117.994232</v>
      </c>
      <c r="K4" s="11">
        <f t="shared" si="4"/>
        <v>1.5443000000000096E-2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8228894.6261428278</v>
      </c>
      <c r="D5" s="11">
        <v>2.63E-2</v>
      </c>
      <c r="E5" s="10">
        <f t="shared" si="2"/>
        <v>210873.94394188467</v>
      </c>
      <c r="F5" s="3"/>
      <c r="G5" s="29">
        <v>2.83</v>
      </c>
      <c r="H5" s="10"/>
      <c r="I5" s="10">
        <f t="shared" si="5"/>
        <v>7406.6887022839637</v>
      </c>
      <c r="J5" s="10">
        <f t="shared" si="3"/>
        <v>60948860859.737305</v>
      </c>
      <c r="K5" s="11">
        <f t="shared" si="4"/>
        <v>5.5344290000000074E-2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8018020.6822009431</v>
      </c>
      <c r="D6" s="11">
        <v>2.69E-2</v>
      </c>
      <c r="E6" s="10">
        <f t="shared" si="2"/>
        <v>210034.81970124133</v>
      </c>
      <c r="F6" s="3"/>
      <c r="G6" s="29">
        <v>5.34</v>
      </c>
      <c r="H6" s="10"/>
      <c r="I6" s="10">
        <f t="shared" si="5"/>
        <v>7202.848101024957</v>
      </c>
      <c r="J6" s="10">
        <f t="shared" si="3"/>
        <v>57752585044.769897</v>
      </c>
      <c r="K6" s="11">
        <f t="shared" si="4"/>
        <v>8.1736459999999678E-2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7807985.8624997018</v>
      </c>
      <c r="D7" s="11">
        <v>2.7199999999999998E-2</v>
      </c>
      <c r="E7" s="10">
        <f t="shared" si="2"/>
        <v>206753.5197235113</v>
      </c>
      <c r="F7" s="3"/>
      <c r="G7" s="29">
        <v>5.03</v>
      </c>
      <c r="H7" s="10"/>
      <c r="I7" s="10">
        <f t="shared" si="5"/>
        <v>6837.7141646335276</v>
      </c>
      <c r="J7" s="10">
        <f t="shared" si="3"/>
        <v>53388775529.272545</v>
      </c>
      <c r="K7" s="11">
        <f t="shared" si="4"/>
        <v>7.8868160000000076E-2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7601232.3427761905</v>
      </c>
      <c r="D8" s="11">
        <v>2.8299999999999999E-2</v>
      </c>
      <c r="E8" s="10">
        <f t="shared" si="2"/>
        <v>209194.66624580976</v>
      </c>
      <c r="F8" s="3"/>
      <c r="G8" s="29">
        <v>-4.4000000000000004</v>
      </c>
      <c r="H8" s="10"/>
      <c r="I8" s="10">
        <f t="shared" si="5"/>
        <v>6510.2486571774989</v>
      </c>
      <c r="J8" s="10">
        <f t="shared" si="3"/>
        <v>49485912652.452866</v>
      </c>
      <c r="K8" s="11">
        <f t="shared" si="4"/>
        <v>-1.6945200000000216E-2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7392037.6765303807</v>
      </c>
      <c r="D9" s="11">
        <v>2.87E-2</v>
      </c>
      <c r="E9" s="10">
        <f t="shared" si="2"/>
        <v>206232.60553749558</v>
      </c>
      <c r="F9" s="3"/>
      <c r="G9" s="29">
        <v>-0.16</v>
      </c>
      <c r="H9" s="10"/>
      <c r="I9" s="10">
        <f t="shared" si="5"/>
        <v>6809.8835326124472</v>
      </c>
      <c r="J9" s="10">
        <f t="shared" si="3"/>
        <v>50338915645.855019</v>
      </c>
      <c r="K9" s="11">
        <f t="shared" si="4"/>
        <v>2.7054080000000091E-2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7185805.0709928852</v>
      </c>
      <c r="D10" s="11">
        <v>2.9100000000000001E-2</v>
      </c>
      <c r="E10" s="10">
        <f t="shared" si="2"/>
        <v>203193.98267018981</v>
      </c>
      <c r="F10" s="3"/>
      <c r="G10" s="29">
        <v>6.23</v>
      </c>
      <c r="H10" s="10"/>
      <c r="I10" s="10">
        <f t="shared" si="5"/>
        <v>6820.7968075044546</v>
      </c>
      <c r="J10" s="10">
        <f t="shared" si="3"/>
        <v>49012916287.577591</v>
      </c>
      <c r="K10" s="11">
        <f t="shared" si="4"/>
        <v>9.3212929999999972E-2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6982611.0883226953</v>
      </c>
      <c r="D11" s="11">
        <v>2.8000000000000001E-2</v>
      </c>
      <c r="E11" s="10">
        <f t="shared" si="2"/>
        <v>190187.85065470356</v>
      </c>
      <c r="F11" s="3"/>
      <c r="G11" s="29">
        <v>6.5</v>
      </c>
      <c r="H11" s="10"/>
      <c r="I11" s="10">
        <f t="shared" si="5"/>
        <v>6420.7820836905339</v>
      </c>
      <c r="J11" s="10">
        <f t="shared" si="3"/>
        <v>44833824173.281219</v>
      </c>
      <c r="K11" s="11">
        <f t="shared" si="4"/>
        <v>9.4819999999999904E-2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6792423.2376679918</v>
      </c>
      <c r="D12" s="11">
        <v>2.5700000000000001E-2</v>
      </c>
      <c r="E12" s="10">
        <f t="shared" si="2"/>
        <v>170191.35927470773</v>
      </c>
      <c r="F12" s="3"/>
      <c r="G12" s="29">
        <v>11.87</v>
      </c>
      <c r="H12" s="10"/>
      <c r="I12" s="10">
        <f t="shared" si="5"/>
        <v>6028.9033649676376</v>
      </c>
      <c r="J12" s="10">
        <f t="shared" si="3"/>
        <v>40950863313.860931</v>
      </c>
      <c r="K12" s="11">
        <f t="shared" si="4"/>
        <v>0.14745059000000005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6622231.878393284</v>
      </c>
      <c r="D13" s="11">
        <v>2.5700000000000001E-2</v>
      </c>
      <c r="E13" s="10">
        <f t="shared" si="2"/>
        <v>165927.03448835667</v>
      </c>
      <c r="F13" s="3"/>
      <c r="G13" s="29">
        <v>4.46</v>
      </c>
      <c r="H13" s="10"/>
      <c r="I13" s="10">
        <f t="shared" si="5"/>
        <v>5389.2047599603447</v>
      </c>
      <c r="J13" s="10">
        <f t="shared" si="3"/>
        <v>35688563560.598221</v>
      </c>
      <c r="K13" s="11">
        <f t="shared" si="4"/>
        <v>7.1446219999999894E-2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6456304.8439049274</v>
      </c>
      <c r="D14" s="11">
        <v>2.53E-2</v>
      </c>
      <c r="E14" s="10">
        <f t="shared" si="2"/>
        <v>159313.87159933243</v>
      </c>
      <c r="F14" s="3"/>
      <c r="G14" s="29">
        <v>13.02</v>
      </c>
      <c r="H14" s="10"/>
      <c r="I14" s="10">
        <f t="shared" si="5"/>
        <v>5159.1085199696963</v>
      </c>
      <c r="J14" s="10">
        <f t="shared" si="3"/>
        <v>33308777327.711533</v>
      </c>
      <c r="K14" s="11">
        <f t="shared" si="4"/>
        <v>0.15879405999999996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6296990.9723055949</v>
      </c>
      <c r="D15" s="11">
        <v>2.5399999999999999E-2</v>
      </c>
      <c r="E15" s="10">
        <f t="shared" si="2"/>
        <v>155981.63711387012</v>
      </c>
      <c r="F15" s="3"/>
      <c r="G15" s="29">
        <v>-0.96</v>
      </c>
      <c r="H15" s="10"/>
      <c r="I15" s="10">
        <f t="shared" si="5"/>
        <v>4564.7748362853454</v>
      </c>
      <c r="J15" s="10">
        <f t="shared" si="3"/>
        <v>28744345934.696571</v>
      </c>
      <c r="K15" s="11">
        <f t="shared" si="4"/>
        <v>1.5556160000000041E-2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6141009.3351917248</v>
      </c>
      <c r="D16" s="11">
        <v>2.64E-2</v>
      </c>
      <c r="E16" s="10">
        <f t="shared" si="2"/>
        <v>157952.69529331755</v>
      </c>
      <c r="F16" s="3"/>
      <c r="G16" s="29">
        <v>-1.76</v>
      </c>
      <c r="H16" s="10"/>
      <c r="I16" s="10">
        <f t="shared" si="5"/>
        <v>4609.0214421297915</v>
      </c>
      <c r="J16" s="10">
        <f t="shared" si="3"/>
        <v>28304043702.217876</v>
      </c>
      <c r="K16" s="11">
        <f t="shared" si="4"/>
        <v>8.3353600000000139E-3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5983056.6398984073</v>
      </c>
      <c r="D17" s="11">
        <v>2.76E-2</v>
      </c>
      <c r="E17" s="10">
        <f t="shared" si="2"/>
        <v>160697.12267535646</v>
      </c>
      <c r="F17" s="3"/>
      <c r="G17" s="29">
        <v>3.68</v>
      </c>
      <c r="H17" s="10"/>
      <c r="I17" s="10">
        <f t="shared" si="5"/>
        <v>4691.5934875099665</v>
      </c>
      <c r="J17" s="10">
        <f t="shared" si="3"/>
        <v>28070069567.150631</v>
      </c>
      <c r="K17" s="11">
        <f t="shared" si="4"/>
        <v>6.5415680000000087E-2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5822359.5172230508</v>
      </c>
      <c r="D18" s="11">
        <v>2.8299999999999999E-2</v>
      </c>
      <c r="E18" s="10">
        <f t="shared" si="2"/>
        <v>160238.0378658101</v>
      </c>
      <c r="F18" s="3"/>
      <c r="G18" s="29">
        <v>0.75</v>
      </c>
      <c r="H18" s="10"/>
      <c r="I18" s="10">
        <f t="shared" si="5"/>
        <v>4525.0708791569896</v>
      </c>
      <c r="J18" s="10">
        <f t="shared" si="3"/>
        <v>26346589499.368576</v>
      </c>
      <c r="K18" s="11">
        <f t="shared" si="4"/>
        <v>3.601225000000019E-2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5662121.4793572407</v>
      </c>
      <c r="D19" s="11">
        <v>2.8400000000000002E-2</v>
      </c>
      <c r="E19" s="10">
        <f t="shared" si="2"/>
        <v>156363.52587878797</v>
      </c>
      <c r="F19" s="3"/>
      <c r="G19" s="29">
        <v>-3.55</v>
      </c>
      <c r="H19" s="10"/>
      <c r="I19" s="10">
        <f t="shared" si="5"/>
        <v>4491.3854879970113</v>
      </c>
      <c r="J19" s="10">
        <f t="shared" si="3"/>
        <v>25430770243.661282</v>
      </c>
      <c r="K19" s="11">
        <f t="shared" si="4"/>
        <v>-8.1082000000001209E-3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5505757.9534784527</v>
      </c>
      <c r="D20" s="11">
        <v>3.1600000000000003E-2</v>
      </c>
      <c r="E20" s="10">
        <f t="shared" si="2"/>
        <v>168652.53133958858</v>
      </c>
      <c r="F20" s="3"/>
      <c r="G20" s="29">
        <v>5.21</v>
      </c>
      <c r="H20" s="10"/>
      <c r="I20" s="10">
        <f t="shared" si="5"/>
        <v>4656.6982768242733</v>
      </c>
      <c r="J20" s="10">
        <f t="shared" si="3"/>
        <v>25638653574.57465</v>
      </c>
      <c r="K20" s="11">
        <f t="shared" si="4"/>
        <v>8.5346360000000177E-2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5337105.4221388642</v>
      </c>
      <c r="D21" s="11">
        <v>3.7199999999999997E-2</v>
      </c>
      <c r="E21" s="10">
        <f t="shared" si="2"/>
        <v>191419.51571882516</v>
      </c>
      <c r="F21" s="3"/>
      <c r="G21" s="29">
        <v>2.13</v>
      </c>
      <c r="H21" s="10"/>
      <c r="I21" s="10">
        <f t="shared" si="5"/>
        <v>4426.0985427471469</v>
      </c>
      <c r="J21" s="10">
        <f t="shared" si="3"/>
        <v>23622554531.416721</v>
      </c>
      <c r="K21" s="11">
        <f t="shared" si="4"/>
        <v>5.9292359999999933E-2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5145685.906420039</v>
      </c>
      <c r="D22" s="11">
        <v>4.3499999999999997E-2</v>
      </c>
      <c r="E22" s="10">
        <f t="shared" si="2"/>
        <v>214506.31234237831</v>
      </c>
      <c r="F22" s="3"/>
      <c r="G22" s="29">
        <v>-2.2200000000000002</v>
      </c>
      <c r="H22" s="10"/>
      <c r="I22" s="10">
        <f t="shared" si="5"/>
        <v>4333.7888404456544</v>
      </c>
      <c r="J22" s="10">
        <f t="shared" si="3"/>
        <v>22300316157.681648</v>
      </c>
      <c r="K22" s="11">
        <f t="shared" si="4"/>
        <v>2.0334300000000027E-2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4931179.5940776607</v>
      </c>
      <c r="D23" s="11">
        <v>3.7000000000000002E-3</v>
      </c>
      <c r="E23" s="10">
        <f t="shared" si="2"/>
        <v>18178.105507709086</v>
      </c>
      <c r="F23" s="3"/>
      <c r="G23" s="29">
        <v>1.93</v>
      </c>
      <c r="H23" s="10"/>
      <c r="I23" s="10">
        <f t="shared" si="5"/>
        <v>4432.183309926012</v>
      </c>
      <c r="J23" s="10">
        <f t="shared" si="3"/>
        <v>21855891895.118736</v>
      </c>
      <c r="K23" s="11">
        <f t="shared" si="4"/>
        <v>2.3071410000000236E-2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4913001.4885699516</v>
      </c>
      <c r="D24" s="11">
        <v>-6.1999999999999998E-3</v>
      </c>
      <c r="E24" s="10">
        <f t="shared" si="2"/>
        <v>-30650.643217079341</v>
      </c>
      <c r="F24" s="3"/>
      <c r="G24" s="29">
        <v>-3.76</v>
      </c>
      <c r="H24" s="10"/>
      <c r="I24" s="10">
        <f t="shared" si="5"/>
        <v>4348.2618561032195</v>
      </c>
      <c r="J24" s="10">
        <f t="shared" si="3"/>
        <v>21363016971.727058</v>
      </c>
      <c r="K24" s="11">
        <f t="shared" si="4"/>
        <v>-4.3566879999999975E-2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4943652.131787031</v>
      </c>
      <c r="D25" s="11">
        <v>2.8299999999999999E-2</v>
      </c>
      <c r="E25" s="10">
        <f t="shared" si="2"/>
        <v>136054.99886178412</v>
      </c>
      <c r="F25" s="3"/>
      <c r="G25" s="29">
        <v>-2.71</v>
      </c>
      <c r="H25" s="10"/>
      <c r="I25" s="10">
        <f t="shared" si="5"/>
        <v>4518.1440732577094</v>
      </c>
      <c r="J25" s="10">
        <f t="shared" si="3"/>
        <v>22336132579.481415</v>
      </c>
      <c r="K25" s="11">
        <f t="shared" si="4"/>
        <v>4.3306999999992435E-4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4807597.1329252468</v>
      </c>
      <c r="D26" s="11">
        <v>2.8799999999999999E-2</v>
      </c>
      <c r="E26" s="10">
        <f t="shared" si="2"/>
        <v>134582.81243025512</v>
      </c>
      <c r="F26" s="3"/>
      <c r="G26" s="29">
        <v>15.66</v>
      </c>
      <c r="H26" s="10"/>
      <c r="I26" s="10">
        <f t="shared" si="5"/>
        <v>4643.9963750207726</v>
      </c>
      <c r="J26" s="10">
        <f t="shared" si="3"/>
        <v>22326463657.865105</v>
      </c>
      <c r="K26" s="11">
        <f t="shared" si="4"/>
        <v>0.18991007999999998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4673014.3204949917</v>
      </c>
      <c r="D27" s="11">
        <v>2.93E-2</v>
      </c>
      <c r="E27" s="10">
        <f t="shared" si="2"/>
        <v>133021.78139561228</v>
      </c>
      <c r="F27" s="3"/>
      <c r="G27" s="29">
        <v>-3.72</v>
      </c>
      <c r="H27" s="10"/>
      <c r="I27" s="10">
        <f t="shared" si="5"/>
        <v>4015.2138812214876</v>
      </c>
      <c r="J27" s="10">
        <f t="shared" si="3"/>
        <v>18763151966.798286</v>
      </c>
      <c r="K27" s="11">
        <f t="shared" si="4"/>
        <v>-8.9899599999999635E-3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4539992.5390993794</v>
      </c>
      <c r="D28" s="11">
        <v>2.9700000000000001E-2</v>
      </c>
      <c r="E28" s="10">
        <f t="shared" si="2"/>
        <v>130948.60484728776</v>
      </c>
      <c r="F28" s="3"/>
      <c r="G28" s="29">
        <v>7.2</v>
      </c>
      <c r="H28" s="10"/>
      <c r="I28" s="10">
        <f t="shared" si="5"/>
        <v>4170.3509360422595</v>
      </c>
      <c r="J28" s="10">
        <f t="shared" si="3"/>
        <v>18933362135.057972</v>
      </c>
      <c r="K28" s="11">
        <f t="shared" si="4"/>
        <v>0.10383840000000033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4409043.9342520917</v>
      </c>
      <c r="D29" s="11">
        <v>3.0200000000000001E-2</v>
      </c>
      <c r="E29" s="10">
        <f t="shared" si="2"/>
        <v>129249.78335703071</v>
      </c>
      <c r="F29" s="3"/>
      <c r="G29" s="29">
        <v>7.58</v>
      </c>
      <c r="H29" s="10"/>
      <c r="I29" s="10">
        <f t="shared" si="5"/>
        <v>3890.2527388453909</v>
      </c>
      <c r="J29" s="10">
        <f t="shared" si="3"/>
        <v>17152295240.913857</v>
      </c>
      <c r="K29" s="11">
        <f t="shared" si="4"/>
        <v>0.10828916000000022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4279794.150895061</v>
      </c>
      <c r="D30" s="11">
        <v>3.04E-2</v>
      </c>
      <c r="E30" s="10">
        <f t="shared" si="2"/>
        <v>126267.21873758687</v>
      </c>
      <c r="F30" s="3"/>
      <c r="G30" s="29">
        <v>4.7</v>
      </c>
      <c r="H30" s="10"/>
      <c r="I30" s="10">
        <f t="shared" si="5"/>
        <v>3616.1486696833895</v>
      </c>
      <c r="J30" s="10">
        <f t="shared" si="3"/>
        <v>15476371925.277925</v>
      </c>
      <c r="K30" s="11">
        <f t="shared" si="4"/>
        <v>7.8828799999999699E-2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4153526.9321574741</v>
      </c>
      <c r="D31" s="11">
        <v>3.0599999999999999E-2</v>
      </c>
      <c r="E31" s="10">
        <f t="shared" si="2"/>
        <v>123324.20349700982</v>
      </c>
      <c r="F31" s="3"/>
      <c r="G31" s="29">
        <v>1.35</v>
      </c>
      <c r="H31" s="10"/>
      <c r="I31" s="10">
        <f t="shared" si="5"/>
        <v>3453.8191687520439</v>
      </c>
      <c r="J31" s="10">
        <f t="shared" si="3"/>
        <v>14345530936.213354</v>
      </c>
      <c r="K31" s="11">
        <f t="shared" si="4"/>
        <v>4.4513100000000083E-2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4030202.7286604643</v>
      </c>
      <c r="D32" s="11">
        <v>3.2000000000000001E-2</v>
      </c>
      <c r="E32" s="10">
        <f t="shared" si="2"/>
        <v>124967.52647009213</v>
      </c>
      <c r="F32" s="3"/>
      <c r="G32" s="29">
        <v>8.33</v>
      </c>
      <c r="H32" s="10"/>
      <c r="I32" s="10">
        <f t="shared" si="5"/>
        <v>3407.8136840178031</v>
      </c>
      <c r="J32" s="10">
        <f t="shared" si="3"/>
        <v>13734180008.095018</v>
      </c>
      <c r="K32" s="11">
        <f t="shared" si="4"/>
        <v>0.11796559999999978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3905235.2021903722</v>
      </c>
      <c r="D33" s="11">
        <v>3.3500000000000002E-2</v>
      </c>
      <c r="E33" s="10">
        <f t="shared" si="2"/>
        <v>126584.78884700313</v>
      </c>
      <c r="F33" s="3"/>
      <c r="G33" s="29">
        <v>-5.04</v>
      </c>
      <c r="H33" s="10"/>
      <c r="I33" s="10">
        <f t="shared" si="5"/>
        <v>3145.7709628152897</v>
      </c>
      <c r="J33" s="10">
        <f t="shared" si="3"/>
        <v>12284975502.01457</v>
      </c>
      <c r="K33" s="11">
        <f t="shared" si="4"/>
        <v>-1.8588399999999838E-2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3778650.413343369</v>
      </c>
      <c r="D34" s="11">
        <v>3.4000000000000002E-2</v>
      </c>
      <c r="E34" s="10">
        <f t="shared" si="2"/>
        <v>124249.62674436625</v>
      </c>
      <c r="F34" s="3"/>
      <c r="G34" s="29">
        <v>-3.77</v>
      </c>
      <c r="H34" s="10"/>
      <c r="I34" s="10">
        <f t="shared" si="5"/>
        <v>3312.7326904120573</v>
      </c>
      <c r="J34" s="10">
        <f t="shared" ref="J34:J65" si="6">IF(I34="","",I34*C34)</f>
        <v>12517658749.921612</v>
      </c>
      <c r="K34" s="11">
        <f t="shared" ref="K34:K65" si="7">IFERROR(J34/J35-1,"")</f>
        <v>8.4602000000000288E-3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3654400.7865990028</v>
      </c>
      <c r="D35" s="11">
        <v>3.3300000000000003E-2</v>
      </c>
      <c r="E35" s="10">
        <f t="shared" si="2"/>
        <v>117769.81147173839</v>
      </c>
      <c r="F35" s="3"/>
      <c r="G35" s="29">
        <v>0.11</v>
      </c>
      <c r="H35" s="10"/>
      <c r="I35" s="10">
        <f t="shared" ref="I35:I66" si="8">IF(H35&lt;&gt;"",H35,I34/(1+IF(G34="",0,G34)/100))</f>
        <v>3396.6294375187713</v>
      </c>
      <c r="J35" s="10">
        <f t="shared" si="6"/>
        <v>12412645288.253925</v>
      </c>
      <c r="K35" s="11">
        <f t="shared" si="7"/>
        <v>6.2335730000000256E-2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3536630.9751272644</v>
      </c>
      <c r="D36" s="11">
        <v>3.1099999999999999E-2</v>
      </c>
      <c r="E36" s="10">
        <f t="shared" si="2"/>
        <v>106671.73244734528</v>
      </c>
      <c r="F36" s="3"/>
      <c r="G36" s="29">
        <v>-23.99</v>
      </c>
      <c r="H36" s="10"/>
      <c r="I36" s="10">
        <f t="shared" si="8"/>
        <v>3303.7928582032596</v>
      </c>
      <c r="J36" s="10">
        <f t="shared" si="6"/>
        <v>11684296157.725885</v>
      </c>
      <c r="K36" s="11">
        <f t="shared" si="7"/>
        <v>-0.16676809000000004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3429959.2426799191</v>
      </c>
      <c r="D37" s="11">
        <v>2.81E-2</v>
      </c>
      <c r="E37" s="10">
        <f t="shared" si="2"/>
        <v>93747.54860354634</v>
      </c>
      <c r="F37" s="3"/>
      <c r="G37" s="29">
        <v>-4.61</v>
      </c>
      <c r="H37" s="10"/>
      <c r="I37" s="10">
        <f t="shared" si="8"/>
        <v>4088.3465637956433</v>
      </c>
      <c r="J37" s="10">
        <f t="shared" si="6"/>
        <v>14022862083.769554</v>
      </c>
      <c r="K37" s="11">
        <f t="shared" si="7"/>
        <v>3.519388999999995E-2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3336211.6940763728</v>
      </c>
      <c r="D38" s="11">
        <v>2.5600000000000001E-2</v>
      </c>
      <c r="E38" s="10">
        <f t="shared" si="2"/>
        <v>83275.174891142175</v>
      </c>
      <c r="F38" s="3"/>
      <c r="G38" s="29">
        <v>5.26</v>
      </c>
      <c r="H38" s="10"/>
      <c r="I38" s="10">
        <f t="shared" si="8"/>
        <v>4060.3302848303147</v>
      </c>
      <c r="J38" s="10">
        <f t="shared" si="6"/>
        <v>13546121378.063345</v>
      </c>
      <c r="K38" s="11">
        <f t="shared" si="7"/>
        <v>0.11749375999999989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3252936.5191852306</v>
      </c>
      <c r="D39" s="11">
        <v>2.4199999999999999E-2</v>
      </c>
      <c r="E39" s="10">
        <f t="shared" si="2"/>
        <v>76861.026912988164</v>
      </c>
      <c r="F39" s="3"/>
      <c r="G39" s="29">
        <v>3.3</v>
      </c>
      <c r="H39" s="10"/>
      <c r="I39" s="10">
        <f t="shared" si="8"/>
        <v>3726.4411571497017</v>
      </c>
      <c r="J39" s="10">
        <f t="shared" si="6"/>
        <v>12121876526.687134</v>
      </c>
      <c r="K39" s="11">
        <f t="shared" si="7"/>
        <v>5.7998600000000122E-2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3176075.4922722424</v>
      </c>
      <c r="D40" s="11">
        <v>2.4E-2</v>
      </c>
      <c r="E40" s="10">
        <f t="shared" si="2"/>
        <v>74439.269350130577</v>
      </c>
      <c r="F40" s="3"/>
      <c r="G40" s="29">
        <v>8.85</v>
      </c>
      <c r="H40" s="10"/>
      <c r="I40" s="10">
        <f t="shared" si="8"/>
        <v>3607.3970543559553</v>
      </c>
      <c r="J40" s="10">
        <f t="shared" si="6"/>
        <v>11457365375.235027</v>
      </c>
      <c r="K40" s="11">
        <f t="shared" si="7"/>
        <v>0.11462399999999984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3101636.2229221119</v>
      </c>
      <c r="D41" s="11">
        <v>2.4199999999999999E-2</v>
      </c>
      <c r="E41" s="10">
        <f t="shared" si="2"/>
        <v>73286.073613273911</v>
      </c>
      <c r="F41" s="3"/>
      <c r="G41" s="29">
        <v>22.88</v>
      </c>
      <c r="H41" s="10"/>
      <c r="I41" s="10">
        <f t="shared" si="8"/>
        <v>3314.0992690454345</v>
      </c>
      <c r="J41" s="10">
        <f t="shared" si="6"/>
        <v>10279130339.231014</v>
      </c>
      <c r="K41" s="11">
        <f t="shared" si="7"/>
        <v>0.25853696000000026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3028350.149308838</v>
      </c>
      <c r="D42" s="11">
        <v>2.47E-2</v>
      </c>
      <c r="E42" s="10">
        <f t="shared" si="2"/>
        <v>72997.217417710461</v>
      </c>
      <c r="F42" s="3"/>
      <c r="G42" s="29">
        <v>4.03</v>
      </c>
      <c r="H42" s="10"/>
      <c r="I42" s="10">
        <f t="shared" si="8"/>
        <v>2697.0208895226515</v>
      </c>
      <c r="J42" s="10">
        <f t="shared" si="6"/>
        <v>8167523613.4749765</v>
      </c>
      <c r="K42" s="11">
        <f t="shared" si="7"/>
        <v>6.5995409999999977E-2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2955352.9318911275</v>
      </c>
      <c r="D43" s="11">
        <v>2.5399999999999999E-2</v>
      </c>
      <c r="E43" s="10">
        <f t="shared" si="2"/>
        <v>73206.518890223</v>
      </c>
      <c r="F43" s="3"/>
      <c r="G43" s="29">
        <v>22.19</v>
      </c>
      <c r="H43" s="10"/>
      <c r="I43" s="10">
        <f t="shared" si="8"/>
        <v>2592.5414683482181</v>
      </c>
      <c r="J43" s="10">
        <f t="shared" si="6"/>
        <v>7661875029.5322351</v>
      </c>
      <c r="K43" s="11">
        <f t="shared" si="7"/>
        <v>0.25293626000000002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2882146.4130009045</v>
      </c>
      <c r="D44" s="11">
        <v>2.64E-2</v>
      </c>
      <c r="E44" s="10">
        <f t="shared" si="2"/>
        <v>74131.591293086298</v>
      </c>
      <c r="F44" s="3"/>
      <c r="G44" s="29">
        <v>1.94</v>
      </c>
      <c r="H44" s="10"/>
      <c r="I44" s="10">
        <f t="shared" si="8"/>
        <v>2121.7296573763961</v>
      </c>
      <c r="J44" s="10">
        <f t="shared" si="6"/>
        <v>6115135521.3650179</v>
      </c>
      <c r="K44" s="11">
        <f t="shared" si="7"/>
        <v>4.6312160000000047E-2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2808014.8217078182</v>
      </c>
      <c r="D45" s="11">
        <v>2.8500000000000001E-2</v>
      </c>
      <c r="E45" s="10">
        <f t="shared" si="2"/>
        <v>77810.814213585574</v>
      </c>
      <c r="F45" s="3"/>
      <c r="G45" s="29">
        <v>9.1300000000000008</v>
      </c>
      <c r="H45" s="10"/>
      <c r="I45" s="10">
        <f t="shared" si="8"/>
        <v>2081.3514394510457</v>
      </c>
      <c r="J45" s="10">
        <f t="shared" si="6"/>
        <v>5844465691.1614389</v>
      </c>
      <c r="K45" s="11">
        <f t="shared" si="7"/>
        <v>0.12240205000000004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2730204.0074942326</v>
      </c>
      <c r="D46" s="11">
        <v>3.2099999999999997E-2</v>
      </c>
      <c r="E46" s="10">
        <f t="shared" si="2"/>
        <v>84913.815173495561</v>
      </c>
      <c r="F46" s="3"/>
      <c r="G46" s="29">
        <v>-5.28</v>
      </c>
      <c r="H46" s="10"/>
      <c r="I46" s="10">
        <f t="shared" si="8"/>
        <v>1907.2220649235278</v>
      </c>
      <c r="J46" s="10">
        <f t="shared" si="6"/>
        <v>5207105324.8356409</v>
      </c>
      <c r="K46" s="11">
        <f t="shared" si="7"/>
        <v>-2.2394880000000006E-2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2645290.1923207371</v>
      </c>
      <c r="D47" s="11">
        <v>3.6299999999999999E-2</v>
      </c>
      <c r="E47" s="10">
        <f t="shared" si="2"/>
        <v>92660.459308349527</v>
      </c>
      <c r="F47" s="3"/>
      <c r="G47" s="29">
        <v>4.95</v>
      </c>
      <c r="H47" s="10"/>
      <c r="I47" s="10">
        <f t="shared" si="8"/>
        <v>2013.5368084074405</v>
      </c>
      <c r="J47" s="10">
        <f t="shared" si="6"/>
        <v>5326389171.1570015</v>
      </c>
      <c r="K47" s="11">
        <f t="shared" si="7"/>
        <v>8.7596849999999948E-2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2552629.7330123875</v>
      </c>
      <c r="D48" s="11">
        <v>3.9899999999999998E-2</v>
      </c>
      <c r="E48" s="10">
        <f t="shared" si="2"/>
        <v>97942.038991435897</v>
      </c>
      <c r="F48" s="3"/>
      <c r="G48" s="29">
        <v>13.09</v>
      </c>
      <c r="H48" s="10"/>
      <c r="I48" s="10">
        <f t="shared" si="8"/>
        <v>1918.5677069151409</v>
      </c>
      <c r="J48" s="10">
        <f t="shared" si="6"/>
        <v>4897392973.4689846</v>
      </c>
      <c r="K48" s="11">
        <f t="shared" si="7"/>
        <v>0.17602290999999992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2454687.6940209516</v>
      </c>
      <c r="D49" s="11">
        <v>4.1399999999999999E-2</v>
      </c>
      <c r="E49" s="10">
        <f t="shared" si="2"/>
        <v>97584.089238014072</v>
      </c>
      <c r="F49" s="3"/>
      <c r="G49" s="29">
        <v>33.86</v>
      </c>
      <c r="H49" s="10"/>
      <c r="I49" s="10">
        <f t="shared" si="8"/>
        <v>1696.4963364710768</v>
      </c>
      <c r="J49" s="10">
        <f t="shared" si="6"/>
        <v>4164368680.0871801</v>
      </c>
      <c r="K49" s="11">
        <f t="shared" si="7"/>
        <v>0.39401804000000018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2357103.6047829376</v>
      </c>
      <c r="D50" s="11">
        <v>3.95E-2</v>
      </c>
      <c r="E50" s="10">
        <f t="shared" si="2"/>
        <v>89567.669445816427</v>
      </c>
      <c r="F50" s="3"/>
      <c r="G50" s="29">
        <v>11.11</v>
      </c>
      <c r="H50" s="10"/>
      <c r="I50" s="10">
        <f t="shared" si="8"/>
        <v>1267.3661560369617</v>
      </c>
      <c r="J50" s="10">
        <f t="shared" si="6"/>
        <v>2987313334.9746175</v>
      </c>
      <c r="K50" s="11">
        <f t="shared" si="7"/>
        <v>0.15498845000000028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2267535.9353371211</v>
      </c>
      <c r="D51" s="11">
        <v>3.4299999999999997E-2</v>
      </c>
      <c r="E51" s="10">
        <f t="shared" si="2"/>
        <v>75197.21800450841</v>
      </c>
      <c r="F51" s="3"/>
      <c r="G51" s="29">
        <v>18.59</v>
      </c>
      <c r="H51" s="10"/>
      <c r="I51" s="10">
        <f t="shared" si="8"/>
        <v>1140.6409468427339</v>
      </c>
      <c r="J51" s="10">
        <f t="shared" si="6"/>
        <v>2586444336.2828579</v>
      </c>
      <c r="K51" s="11">
        <f t="shared" si="7"/>
        <v>0.22657636999999964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2192338.7173326127</v>
      </c>
      <c r="D52" s="11">
        <v>2.75E-2</v>
      </c>
      <c r="E52" s="10">
        <f t="shared" si="2"/>
        <v>58675.732094060164</v>
      </c>
      <c r="F52" s="3"/>
      <c r="G52" s="29">
        <v>28.15</v>
      </c>
      <c r="H52" s="10"/>
      <c r="I52" s="10">
        <f t="shared" si="8"/>
        <v>961.83569174697186</v>
      </c>
      <c r="J52" s="10">
        <f t="shared" si="6"/>
        <v>2108669626.7292826</v>
      </c>
      <c r="K52" s="11">
        <f t="shared" si="7"/>
        <v>0.31674124999999997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2133662.9852385526</v>
      </c>
      <c r="D53" s="11">
        <v>2.1499999999999998E-2</v>
      </c>
      <c r="E53" s="10">
        <f t="shared" si="2"/>
        <v>44908.227295769844</v>
      </c>
      <c r="F53" s="3"/>
      <c r="G53" s="29">
        <v>45.07</v>
      </c>
      <c r="H53" s="10"/>
      <c r="I53" s="10">
        <f t="shared" si="8"/>
        <v>750.55457803119157</v>
      </c>
      <c r="J53" s="10">
        <f t="shared" si="6"/>
        <v>1601430521.5464942</v>
      </c>
      <c r="K53" s="11">
        <f t="shared" si="7"/>
        <v>0.48189004999999963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2088754.7579427827</v>
      </c>
      <c r="D54" s="11">
        <v>1.84E-2</v>
      </c>
      <c r="E54" s="10">
        <f t="shared" si="2"/>
        <v>37738.695548062678</v>
      </c>
      <c r="F54" s="3"/>
      <c r="G54" s="29">
        <v>35.020000000000003</v>
      </c>
      <c r="H54" s="10"/>
      <c r="I54" s="10">
        <f t="shared" si="8"/>
        <v>517.37408012076355</v>
      </c>
      <c r="J54" s="10">
        <f t="shared" si="6"/>
        <v>1080667571.4885154</v>
      </c>
      <c r="K54" s="11">
        <f t="shared" si="7"/>
        <v>0.3750436800000001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2051016.06239472</v>
      </c>
      <c r="D55" s="11">
        <v>1.7600000000000001E-2</v>
      </c>
      <c r="E55" s="10">
        <f t="shared" si="2"/>
        <v>35473.548248965293</v>
      </c>
      <c r="F55" s="3"/>
      <c r="G55" s="29">
        <v>32.520000000000003</v>
      </c>
      <c r="H55" s="10"/>
      <c r="I55" s="10">
        <f t="shared" si="8"/>
        <v>383.18329145368352</v>
      </c>
      <c r="J55" s="10">
        <f t="shared" si="6"/>
        <v>785915085.61278236</v>
      </c>
      <c r="K55" s="11">
        <f t="shared" si="7"/>
        <v>0.34852352000000009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2015542.5141457547</v>
      </c>
      <c r="D56" s="11">
        <v>1.7500000000000002E-2</v>
      </c>
      <c r="E56" s="10">
        <f t="shared" si="2"/>
        <v>34665.350366143277</v>
      </c>
      <c r="F56" s="3"/>
      <c r="G56" s="29">
        <v>9.9</v>
      </c>
      <c r="H56" s="10"/>
      <c r="I56" s="10">
        <f t="shared" si="8"/>
        <v>289.15129146821874</v>
      </c>
      <c r="J56" s="10">
        <f t="shared" si="6"/>
        <v>582796720.97434556</v>
      </c>
      <c r="K56" s="11">
        <f t="shared" si="7"/>
        <v>0.11823249999999996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1980877.1637796115</v>
      </c>
      <c r="D57" s="11">
        <v>1.7999999999999999E-2</v>
      </c>
      <c r="E57" s="10">
        <f t="shared" si="2"/>
        <v>35025.332954845857</v>
      </c>
      <c r="F57" s="3"/>
      <c r="G57" s="30">
        <v>29.07</v>
      </c>
      <c r="H57" s="10"/>
      <c r="I57" s="10">
        <f t="shared" si="8"/>
        <v>263.1039958764502</v>
      </c>
      <c r="J57" s="10">
        <f t="shared" si="6"/>
        <v>521176697.13082528</v>
      </c>
      <c r="K57" s="11">
        <f t="shared" si="7"/>
        <v>0.31393260000000001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1945851.8308247656</v>
      </c>
      <c r="D58" s="11">
        <v>1.9E-2</v>
      </c>
      <c r="E58" s="10">
        <f t="shared" si="2"/>
        <v>36281.830015378073</v>
      </c>
      <c r="F58" s="3"/>
      <c r="G58" s="30">
        <v>8.0299999999999994</v>
      </c>
      <c r="H58" s="10"/>
      <c r="I58" s="10">
        <f t="shared" si="8"/>
        <v>203.84597185748061</v>
      </c>
      <c r="J58" s="10">
        <f t="shared" si="6"/>
        <v>396654057.54513228</v>
      </c>
      <c r="K58" s="11">
        <f t="shared" si="7"/>
        <v>0.10082569999999991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1909570.0008093875</v>
      </c>
      <c r="D59" s="11">
        <v>0.02</v>
      </c>
      <c r="E59" s="10">
        <f t="shared" si="2"/>
        <v>37442.54903547815</v>
      </c>
      <c r="F59" s="3"/>
      <c r="G59" s="30">
        <v>10.29</v>
      </c>
      <c r="H59" s="10"/>
      <c r="I59" s="10">
        <f t="shared" si="8"/>
        <v>188.69385527860834</v>
      </c>
      <c r="J59" s="10">
        <f t="shared" si="6"/>
        <v>360324125.37709856</v>
      </c>
      <c r="K59" s="11">
        <f t="shared" si="7"/>
        <v>0.12495800000000012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1872127.4517739094</v>
      </c>
      <c r="D60" s="11">
        <v>0.02</v>
      </c>
      <c r="E60" s="10">
        <f t="shared" si="2"/>
        <v>36708.381407331675</v>
      </c>
      <c r="F60" s="3"/>
      <c r="G60" s="30">
        <v>4.37</v>
      </c>
      <c r="H60" s="10"/>
      <c r="I60" s="10">
        <f t="shared" si="8"/>
        <v>171.08881610173935</v>
      </c>
      <c r="J60" s="10">
        <f t="shared" si="6"/>
        <v>320300069.31556427</v>
      </c>
      <c r="K60" s="11">
        <f t="shared" si="7"/>
        <v>6.4574000000000131E-2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1835419.0703665777</v>
      </c>
      <c r="D61" s="11">
        <v>0.02</v>
      </c>
      <c r="E61" s="10">
        <f t="shared" si="2"/>
        <v>35988.609222874045</v>
      </c>
      <c r="F61" s="3"/>
      <c r="G61" s="30">
        <v>21.75</v>
      </c>
      <c r="H61" s="10"/>
      <c r="I61" s="10">
        <f t="shared" si="8"/>
        <v>163.92528130855547</v>
      </c>
      <c r="J61" s="10">
        <f t="shared" si="6"/>
        <v>300871587.42892861</v>
      </c>
      <c r="K61" s="11">
        <f t="shared" si="7"/>
        <v>0.2418499999999999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1799430.4611437037</v>
      </c>
      <c r="D62" s="11">
        <v>0.02</v>
      </c>
      <c r="E62" s="10">
        <f t="shared" si="2"/>
        <v>35282.950218504062</v>
      </c>
      <c r="F62" s="3"/>
      <c r="G62" s="30">
        <v>25.99</v>
      </c>
      <c r="H62" s="10"/>
      <c r="I62" s="10">
        <f t="shared" si="8"/>
        <v>134.64088813844393</v>
      </c>
      <c r="J62" s="10">
        <f t="shared" si="6"/>
        <v>242276915.43175799</v>
      </c>
      <c r="K62" s="11">
        <f t="shared" si="7"/>
        <v>0.28509800000000007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1764147.5109251996</v>
      </c>
      <c r="D63" s="11">
        <v>0.02</v>
      </c>
      <c r="E63" s="10">
        <f t="shared" si="2"/>
        <v>34591.127665200038</v>
      </c>
      <c r="F63" s="3"/>
      <c r="G63" s="30">
        <v>-0.22</v>
      </c>
      <c r="H63" s="10"/>
      <c r="I63" s="10">
        <f t="shared" si="8"/>
        <v>106.86632918362086</v>
      </c>
      <c r="J63" s="10">
        <f t="shared" si="6"/>
        <v>188527968.63099778</v>
      </c>
      <c r="K63" s="11">
        <f t="shared" si="7"/>
        <v>1.7756000000000105E-2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1729556.3832599996</v>
      </c>
      <c r="D64" s="11">
        <v>0.02</v>
      </c>
      <c r="E64" s="10">
        <f t="shared" si="2"/>
        <v>33912.870259999996</v>
      </c>
      <c r="F64" s="3"/>
      <c r="G64" s="30">
        <v>1.37</v>
      </c>
      <c r="H64" s="10"/>
      <c r="I64" s="10">
        <f t="shared" si="8"/>
        <v>107.10195348127968</v>
      </c>
      <c r="J64" s="10">
        <f t="shared" si="6"/>
        <v>185238867.30316281</v>
      </c>
      <c r="K64" s="11">
        <f t="shared" si="7"/>
        <v>3.3974000000000171E-2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1695643.5129999996</v>
      </c>
      <c r="D65" s="11">
        <v>1.9E-2</v>
      </c>
      <c r="E65" s="10">
        <f t="shared" si="2"/>
        <v>31616.512999999803</v>
      </c>
      <c r="F65" s="3"/>
      <c r="G65" s="30">
        <v>7.52</v>
      </c>
      <c r="H65" s="10"/>
      <c r="I65" s="10">
        <f t="shared" si="8"/>
        <v>105.6544870092529</v>
      </c>
      <c r="J65" s="10">
        <f t="shared" si="6"/>
        <v>179152345.5165824</v>
      </c>
      <c r="K65" s="11">
        <f t="shared" si="7"/>
        <v>9.5628799999999847E-2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1664026.9999999998</v>
      </c>
      <c r="D66" s="11">
        <v>1.9E-2</v>
      </c>
      <c r="E66" s="10">
        <f t="shared" si="2"/>
        <v>31026.999999999767</v>
      </c>
      <c r="F66" s="23">
        <f>SUM(F2)</f>
        <v>8871251</v>
      </c>
      <c r="G66" s="30">
        <v>10.91</v>
      </c>
      <c r="H66" s="10"/>
      <c r="I66" s="10">
        <f t="shared" si="8"/>
        <v>98.264961876165287</v>
      </c>
      <c r="J66" s="10">
        <f t="shared" ref="J66:J67" si="9">IF(I66="","",I66*C66)</f>
        <v>163515549.71590966</v>
      </c>
      <c r="K66" s="11">
        <f t="shared" ref="K66" si="10">IFERROR(J66/J67-1,"")</f>
        <v>0.13017289999999959</v>
      </c>
    </row>
    <row r="67" spans="1:11" ht="22.5" customHeight="1">
      <c r="A67" s="3">
        <f t="shared" si="0"/>
        <v>1950</v>
      </c>
      <c r="B67" s="3">
        <v>1700</v>
      </c>
      <c r="C67" s="10">
        <v>1633000</v>
      </c>
      <c r="D67" s="11">
        <v>1.7999999999999999E-2</v>
      </c>
      <c r="E67" s="3" t="s">
        <v>72</v>
      </c>
      <c r="F67" s="10">
        <f>SUM(C2)</f>
        <v>8871997.5144445822</v>
      </c>
      <c r="G67" s="26">
        <v>3.3</v>
      </c>
      <c r="H67" s="10"/>
      <c r="I67" s="10">
        <f t="shared" ref="I67" si="11">IF(H67&lt;&gt;"",H67,I66/(1+IF(G66="",0,G66)/100))</f>
        <v>88.598829570070592</v>
      </c>
      <c r="J67" s="10">
        <f t="shared" si="9"/>
        <v>144681888.68792528</v>
      </c>
      <c r="K67" s="11"/>
    </row>
  </sheetData>
  <dataValidations count="1">
    <dataValidation type="custom" allowBlank="1" showDropDown="1" sqref="D2:D67" xr:uid="{00000000-0002-0000-7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 summaryRight="0"/>
  </sheetPr>
  <dimension ref="A1:M67"/>
  <sheetViews>
    <sheetView topLeftCell="A17" workbookViewId="0">
      <selection activeCell="G59" sqref="G5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82727.340634671142</v>
      </c>
      <c r="D2" s="11">
        <v>4.5999999999999999E-3</v>
      </c>
      <c r="E2" s="10">
        <f t="shared" ref="E2:E66" si="2">SUM(C2-C3)</f>
        <v>378.8032718688919</v>
      </c>
      <c r="F2" s="14">
        <v>82798</v>
      </c>
      <c r="G2" s="29">
        <v>4.3899999999999997</v>
      </c>
      <c r="H2" s="10"/>
      <c r="I2" s="10">
        <f>IF(H2&lt;&gt;"",H2,40320)</f>
        <v>5040</v>
      </c>
      <c r="J2" s="10">
        <f t="shared" ref="J2:J33" si="3">IF(I2="","",I2*C2)</f>
        <v>416945796.79874253</v>
      </c>
      <c r="K2" s="11">
        <f t="shared" ref="K2:K33" si="4">IFERROR(J2/J3-1,"")</f>
        <v>4.8701939999999944E-2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82348.53736280225</v>
      </c>
      <c r="D3" s="11">
        <v>4.4000000000000003E-3</v>
      </c>
      <c r="E3" s="10">
        <f t="shared" si="2"/>
        <v>360.74628076098452</v>
      </c>
      <c r="F3" s="3"/>
      <c r="G3" s="29">
        <v>6.64</v>
      </c>
      <c r="H3" s="10"/>
      <c r="I3" s="10">
        <f>IF(H3&lt;&gt;"",H3,I2/(1+IF(G2="",0,G2)/100))</f>
        <v>4828.0486636651021</v>
      </c>
      <c r="J3" s="10">
        <f t="shared" si="3"/>
        <v>397582745.76925313</v>
      </c>
      <c r="K3" s="11">
        <f t="shared" si="4"/>
        <v>7.1092160000000071E-2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81987.791082041265</v>
      </c>
      <c r="D4" s="11">
        <v>3.8999999999999998E-3</v>
      </c>
      <c r="E4" s="10">
        <f t="shared" si="2"/>
        <v>318.51019545768213</v>
      </c>
      <c r="F4" s="3"/>
      <c r="G4" s="29">
        <v>5.32</v>
      </c>
      <c r="H4" s="10"/>
      <c r="I4" s="10">
        <f>IF(H4&lt;&gt;"",H4,I3/(1+IF(G3="",0,G3)/100))</f>
        <v>4527.4274790557974</v>
      </c>
      <c r="J4" s="10">
        <f t="shared" si="3"/>
        <v>371193778.29191947</v>
      </c>
      <c r="K4" s="11">
        <f t="shared" si="4"/>
        <v>5.7307479999999966E-2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81669.280886583583</v>
      </c>
      <c r="D5" s="11">
        <v>3.3E-3</v>
      </c>
      <c r="E5" s="10">
        <f t="shared" si="2"/>
        <v>268.62217375234468</v>
      </c>
      <c r="F5" s="3"/>
      <c r="G5" s="29">
        <v>10.55</v>
      </c>
      <c r="H5" s="10"/>
      <c r="I5" s="10">
        <f>IF(H5&lt;&gt;"",H5,I4/(1+IF(G4="",0,G4)/100))</f>
        <v>4298.734788317317</v>
      </c>
      <c r="J5" s="10">
        <f t="shared" si="3"/>
        <v>351074578.88401538</v>
      </c>
      <c r="K5" s="11">
        <f t="shared" si="4"/>
        <v>0.10914815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81400.658712831239</v>
      </c>
      <c r="D6" s="11">
        <v>2.8999999999999998E-3</v>
      </c>
      <c r="E6" s="10">
        <f t="shared" si="2"/>
        <v>235.37931026742444</v>
      </c>
      <c r="F6" s="3"/>
      <c r="G6" s="29">
        <v>2.36</v>
      </c>
      <c r="H6" s="10"/>
      <c r="I6" s="10">
        <f>IF(H6&lt;&gt;"",H6,I5/(1+IF(G5="",0,G5)/100))</f>
        <v>3888.498225524484</v>
      </c>
      <c r="J6" s="10">
        <f t="shared" si="3"/>
        <v>316526316.96136838</v>
      </c>
      <c r="K6" s="11">
        <f t="shared" si="4"/>
        <v>2.6568439999999915E-2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81165.279402563814</v>
      </c>
      <c r="D7" s="11">
        <v>1.9E-3</v>
      </c>
      <c r="E7" s="10">
        <f t="shared" si="2"/>
        <v>153.92157986313396</v>
      </c>
      <c r="F7" s="3"/>
      <c r="G7" s="29">
        <v>8.58</v>
      </c>
      <c r="H7" s="10"/>
      <c r="I7" s="10">
        <f>IF(H7&lt;&gt;"",H7,I6/(1+IF(G6="",0,G6)/100))</f>
        <v>3798.8454723764007</v>
      </c>
      <c r="J7" s="10">
        <f t="shared" si="3"/>
        <v>308334354.17259508</v>
      </c>
      <c r="K7" s="11">
        <f t="shared" si="4"/>
        <v>8.7863020000000125E-2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81011.35782270068</v>
      </c>
      <c r="D8" s="11">
        <v>1.6000000000000001E-3</v>
      </c>
      <c r="E8" s="10">
        <f t="shared" si="2"/>
        <v>129.41111473274941</v>
      </c>
      <c r="F8" s="3"/>
      <c r="G8" s="29">
        <v>1.96</v>
      </c>
      <c r="H8" s="10"/>
      <c r="I8" s="10">
        <f>IF(H8&lt;&gt;"",H8,I7/(1+IF(G7="",0,G7)/100))</f>
        <v>3498.6604092617426</v>
      </c>
      <c r="J8" s="10">
        <f t="shared" si="3"/>
        <v>283431230.31481946</v>
      </c>
      <c r="K8" s="11">
        <f t="shared" si="4"/>
        <v>2.1231360000000254E-2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80881.946707967931</v>
      </c>
      <c r="D9" s="11">
        <v>2.0999999999999999E-3</v>
      </c>
      <c r="E9" s="10">
        <f t="shared" si="2"/>
        <v>169.49614617975021</v>
      </c>
      <c r="F9" s="3"/>
      <c r="G9" s="29">
        <v>7.73</v>
      </c>
      <c r="H9" s="10"/>
      <c r="I9" s="10">
        <f>IF(H9&lt;&gt;"",H9,I8/(1+IF(G8="",0,G8)/100))</f>
        <v>3431.4048737365069</v>
      </c>
      <c r="J9" s="10">
        <f t="shared" si="3"/>
        <v>277538706.13101757</v>
      </c>
      <c r="K9" s="11">
        <f t="shared" si="4"/>
        <v>7.9562329999999903E-2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80712.45056178818</v>
      </c>
      <c r="D10" s="11">
        <v>5.0000000000000001E-3</v>
      </c>
      <c r="E10" s="10">
        <f t="shared" si="2"/>
        <v>401.55448040689225</v>
      </c>
      <c r="F10" s="3"/>
      <c r="G10" s="29">
        <v>3.14</v>
      </c>
      <c r="H10" s="10"/>
      <c r="I10" s="10">
        <f>IF(H10&lt;&gt;"",H10,I9/(1+IF(G9="",0,G9)/100))</f>
        <v>3185.1897092142458</v>
      </c>
      <c r="J10" s="10">
        <f t="shared" si="3"/>
        <v>257084466.93487129</v>
      </c>
      <c r="K10" s="11">
        <f t="shared" si="4"/>
        <v>3.6556999999999951E-2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80310.896081381288</v>
      </c>
      <c r="D11" s="11">
        <v>9.1999999999999998E-3</v>
      </c>
      <c r="E11" s="10">
        <f t="shared" si="2"/>
        <v>732.12469673871237</v>
      </c>
      <c r="F11" s="3"/>
      <c r="G11" s="29">
        <v>5.93</v>
      </c>
      <c r="H11" s="10"/>
      <c r="I11" s="10">
        <f>IF(H11&lt;&gt;"",H11,I10/(1+IF(G10="",0,G10)/100))</f>
        <v>3088.2196133549014</v>
      </c>
      <c r="J11" s="10">
        <f t="shared" si="3"/>
        <v>248017684.44462898</v>
      </c>
      <c r="K11" s="11">
        <f t="shared" si="4"/>
        <v>6.904555999999995E-2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79578.771384642576</v>
      </c>
      <c r="D12" s="11">
        <v>1.4200000000000001E-2</v>
      </c>
      <c r="E12" s="10">
        <f t="shared" si="2"/>
        <v>1114.1969568743079</v>
      </c>
      <c r="F12" s="3"/>
      <c r="G12" s="29">
        <v>7.33</v>
      </c>
      <c r="H12" s="10"/>
      <c r="I12" s="10">
        <f>IF(H12&lt;&gt;"",H12,I11/(1+IF(G11="",0,G11)/100))</f>
        <v>2915.339954078072</v>
      </c>
      <c r="J12" s="10">
        <f t="shared" si="3"/>
        <v>231999171.71409327</v>
      </c>
      <c r="K12" s="11">
        <f t="shared" si="4"/>
        <v>8.8540859999999943E-2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78464.574427768268</v>
      </c>
      <c r="D13" s="11">
        <v>1.8700000000000001E-2</v>
      </c>
      <c r="E13" s="10">
        <f t="shared" si="2"/>
        <v>1440.3529417878308</v>
      </c>
      <c r="F13" s="3"/>
      <c r="G13" s="29">
        <v>0.36</v>
      </c>
      <c r="H13" s="10"/>
      <c r="I13" s="10">
        <f>IF(H13&lt;&gt;"",H13,I12/(1+IF(G12="",0,G12)/100))</f>
        <v>2716.2395919855326</v>
      </c>
      <c r="J13" s="10">
        <f t="shared" si="3"/>
        <v>213128583.62899974</v>
      </c>
      <c r="K13" s="11">
        <f t="shared" si="4"/>
        <v>2.2367320000000079E-2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77024.221485980437</v>
      </c>
      <c r="D14" s="11">
        <v>2.07E-2</v>
      </c>
      <c r="E14" s="10">
        <f t="shared" si="2"/>
        <v>1562.0666060152726</v>
      </c>
      <c r="F14" s="3"/>
      <c r="G14" s="29">
        <v>2.17</v>
      </c>
      <c r="H14" s="10"/>
      <c r="I14" s="10">
        <f>IF(H14&lt;&gt;"",H14,I13/(1+IF(G13="",0,G13)/100))</f>
        <v>2706.4962056452096</v>
      </c>
      <c r="J14" s="10">
        <f t="shared" si="3"/>
        <v>208465763.19458228</v>
      </c>
      <c r="K14" s="11">
        <f t="shared" si="4"/>
        <v>4.284918999999987E-2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75462.154879965165</v>
      </c>
      <c r="D15" s="11">
        <v>1.84E-2</v>
      </c>
      <c r="E15" s="10">
        <f t="shared" si="2"/>
        <v>1363.4167810205836</v>
      </c>
      <c r="F15" s="3"/>
      <c r="G15" s="29">
        <v>4.92</v>
      </c>
      <c r="H15" s="10"/>
      <c r="I15" s="10">
        <f>IF(H15&lt;&gt;"",H15,I14/(1+IF(G14="",0,G14)/100))</f>
        <v>2649.0126315407747</v>
      </c>
      <c r="J15" s="10">
        <f t="shared" si="3"/>
        <v>199900201.48031405</v>
      </c>
      <c r="K15" s="11">
        <f t="shared" si="4"/>
        <v>6.8505280000000113E-2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74098.738098944581</v>
      </c>
      <c r="D16" s="11">
        <v>1.29E-2</v>
      </c>
      <c r="E16" s="10">
        <f t="shared" si="2"/>
        <v>943.6999915849301</v>
      </c>
      <c r="F16" s="3"/>
      <c r="G16" s="29">
        <v>7.27</v>
      </c>
      <c r="H16" s="10"/>
      <c r="I16" s="10">
        <f>IF(H16&lt;&gt;"",H16,I15/(1+IF(G15="",0,G15)/100))</f>
        <v>2524.7928245718404</v>
      </c>
      <c r="J16" s="10">
        <f t="shared" si="3"/>
        <v>187083962.26204333</v>
      </c>
      <c r="K16" s="11">
        <f t="shared" si="4"/>
        <v>8.6537829999999927E-2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73155.038107359651</v>
      </c>
      <c r="D17" s="11">
        <v>6.6E-3</v>
      </c>
      <c r="E17" s="10">
        <f t="shared" si="2"/>
        <v>479.65751192983589</v>
      </c>
      <c r="F17" s="3"/>
      <c r="G17" s="29">
        <v>-1.21</v>
      </c>
      <c r="H17" s="10"/>
      <c r="I17" s="10">
        <f>IF(H17&lt;&gt;"",H17,I16/(1+IF(G16="",0,G16)/100))</f>
        <v>2353.6802690144873</v>
      </c>
      <c r="J17" s="10">
        <f t="shared" si="3"/>
        <v>172183569.77229533</v>
      </c>
      <c r="K17" s="11">
        <f t="shared" si="4"/>
        <v>-5.579859999999992E-3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72675.380595429815</v>
      </c>
      <c r="D18" s="11">
        <v>1.1999999999999999E-3</v>
      </c>
      <c r="E18" s="10">
        <f t="shared" si="2"/>
        <v>87.105929598998046</v>
      </c>
      <c r="F18" s="3"/>
      <c r="G18" s="29">
        <v>-0.22</v>
      </c>
      <c r="H18" s="10"/>
      <c r="I18" s="10">
        <f>IF(H18&lt;&gt;"",H18,I17/(1+IF(G17="",0,G17)/100))</f>
        <v>2382.5086233571083</v>
      </c>
      <c r="J18" s="10">
        <f t="shared" si="3"/>
        <v>173149720.97437137</v>
      </c>
      <c r="K18" s="11">
        <f t="shared" si="4"/>
        <v>-1.0026399999999436E-3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72588.274665830817</v>
      </c>
      <c r="D19" s="11">
        <v>-1.9E-3</v>
      </c>
      <c r="E19" s="10">
        <f t="shared" si="2"/>
        <v>-138.18026436737273</v>
      </c>
      <c r="F19" s="3"/>
      <c r="G19" s="29">
        <v>9.9700000000000006</v>
      </c>
      <c r="H19" s="10"/>
      <c r="I19" s="10">
        <f>IF(H19&lt;&gt;"",H19,I18/(1+IF(G18="",0,G18)/100))</f>
        <v>2387.7616990951174</v>
      </c>
      <c r="J19" s="10">
        <f t="shared" si="3"/>
        <v>173323502.05046725</v>
      </c>
      <c r="K19" s="11">
        <f t="shared" si="4"/>
        <v>9.7610570000000063E-2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72726.45493019819</v>
      </c>
      <c r="D20" s="11">
        <v>-1.4E-3</v>
      </c>
      <c r="E20" s="10">
        <f t="shared" si="2"/>
        <v>-101.95978059510526</v>
      </c>
      <c r="F20" s="3"/>
      <c r="G20" s="29">
        <v>1.53</v>
      </c>
      <c r="H20" s="10"/>
      <c r="I20" s="10">
        <f>IF(H20&lt;&gt;"",H20,I19/(1+IF(G19="",0,G19)/100))</f>
        <v>2171.2846222561766</v>
      </c>
      <c r="J20" s="10">
        <f t="shared" si="3"/>
        <v>157909833.22114623</v>
      </c>
      <c r="K20" s="11">
        <f t="shared" si="4"/>
        <v>1.3878580000000085E-2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72828.414710793295</v>
      </c>
      <c r="D21" s="11">
        <v>1.4E-3</v>
      </c>
      <c r="E21" s="10">
        <f t="shared" si="2"/>
        <v>101.81723646406317</v>
      </c>
      <c r="F21" s="3"/>
      <c r="G21" s="29">
        <v>0.1</v>
      </c>
      <c r="H21" s="10"/>
      <c r="I21" s="10">
        <f>IF(H21&lt;&gt;"",H21,I20/(1+IF(G20="",0,G20)/100))</f>
        <v>2138.5645841191536</v>
      </c>
      <c r="J21" s="10">
        <f t="shared" si="3"/>
        <v>155748268.41804489</v>
      </c>
      <c r="K21" s="11">
        <f t="shared" si="4"/>
        <v>2.401399999999887E-3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72726.597474329232</v>
      </c>
      <c r="D22" s="11">
        <v>4.7999999999999996E-3</v>
      </c>
      <c r="E22" s="10">
        <f t="shared" si="2"/>
        <v>347.42005162895657</v>
      </c>
      <c r="F22" s="3"/>
      <c r="G22" s="29">
        <v>2.46</v>
      </c>
      <c r="H22" s="10"/>
      <c r="I22" s="10">
        <f>IF(H22&lt;&gt;"",H22,I21/(1+IF(G21="",0,G21)/100))</f>
        <v>2136.4281559631904</v>
      </c>
      <c r="J22" s="10">
        <f t="shared" si="3"/>
        <v>155375150.53155842</v>
      </c>
      <c r="K22" s="11">
        <f t="shared" si="4"/>
        <v>2.9518079999999891E-2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72379.177422700275</v>
      </c>
      <c r="D23" s="11">
        <v>7.7000000000000002E-3</v>
      </c>
      <c r="E23" s="10">
        <f t="shared" si="2"/>
        <v>553.06109571777051</v>
      </c>
      <c r="F23" s="3"/>
      <c r="G23" s="29">
        <v>1.85</v>
      </c>
      <c r="H23" s="10"/>
      <c r="I23" s="10">
        <f>IF(H23&lt;&gt;"",H23,I22/(1+IF(G22="",0,G22)/100))</f>
        <v>2085.1338629349898</v>
      </c>
      <c r="J23" s="10">
        <f t="shared" si="3"/>
        <v>150920273.81545201</v>
      </c>
      <c r="K23" s="11">
        <f t="shared" si="4"/>
        <v>2.6342450000000017E-2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71826.116326982505</v>
      </c>
      <c r="D24" s="11">
        <v>1.18E-2</v>
      </c>
      <c r="E24" s="10">
        <f t="shared" si="2"/>
        <v>837.66374052026367</v>
      </c>
      <c r="F24" s="3"/>
      <c r="G24" s="29">
        <v>0.32</v>
      </c>
      <c r="H24" s="10"/>
      <c r="I24" s="10">
        <f>IF(H24&lt;&gt;"",H24,I23/(1+IF(G23="",0,G23)/100))</f>
        <v>2047.2595610554638</v>
      </c>
      <c r="J24" s="10">
        <f t="shared" si="3"/>
        <v>147046703.38389689</v>
      </c>
      <c r="K24" s="11">
        <f t="shared" si="4"/>
        <v>1.5037760000000233E-2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70988.452586462241</v>
      </c>
      <c r="D25" s="11">
        <v>1.72E-2</v>
      </c>
      <c r="E25" s="10">
        <f t="shared" si="2"/>
        <v>1200.355273778172</v>
      </c>
      <c r="F25" s="3"/>
      <c r="G25" s="29">
        <v>2</v>
      </c>
      <c r="H25" s="10"/>
      <c r="I25" s="10">
        <f>IF(H25&lt;&gt;"",H25,I24/(1+IF(G24="",0,G24)/100))</f>
        <v>2040.729227527376</v>
      </c>
      <c r="J25" s="10">
        <f t="shared" si="3"/>
        <v>144868210.01013485</v>
      </c>
      <c r="K25" s="11">
        <f t="shared" si="4"/>
        <v>3.7544000000000244E-2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69788.097312684069</v>
      </c>
      <c r="D26" s="11">
        <v>2.3800000000000002E-2</v>
      </c>
      <c r="E26" s="10">
        <f t="shared" si="2"/>
        <v>1622.3449072493531</v>
      </c>
      <c r="F26" s="3"/>
      <c r="G26" s="29">
        <v>-0.44</v>
      </c>
      <c r="H26" s="10"/>
      <c r="I26" s="10">
        <f>IF(H26&lt;&gt;"",H26,I25/(1+IF(G25="",0,G25)/100))</f>
        <v>2000.7149289484078</v>
      </c>
      <c r="J26" s="10">
        <f t="shared" si="3"/>
        <v>139626088.15639126</v>
      </c>
      <c r="K26" s="11">
        <f t="shared" si="4"/>
        <v>1.9295280000000137E-2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68165.752405434716</v>
      </c>
      <c r="D27" s="11">
        <v>3.09E-2</v>
      </c>
      <c r="E27" s="10">
        <f t="shared" si="2"/>
        <v>2043.18726290419</v>
      </c>
      <c r="F27" s="3"/>
      <c r="G27" s="29">
        <v>-16.82</v>
      </c>
      <c r="H27" s="10"/>
      <c r="I27" s="10">
        <f>IF(H27&lt;&gt;"",H27,I26/(1+IF(G26="",0,G26)/100))</f>
        <v>2009.5569796589068</v>
      </c>
      <c r="J27" s="10">
        <f t="shared" si="3"/>
        <v>136982963.52004224</v>
      </c>
      <c r="K27" s="11">
        <f t="shared" si="4"/>
        <v>-0.14249738000000012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66122.565142530526</v>
      </c>
      <c r="D28" s="11">
        <v>3.8600000000000002E-2</v>
      </c>
      <c r="E28" s="10">
        <f t="shared" si="2"/>
        <v>2457.4725731770377</v>
      </c>
      <c r="F28" s="3"/>
      <c r="G28" s="29">
        <v>0.96</v>
      </c>
      <c r="H28" s="10"/>
      <c r="I28" s="10">
        <f>IF(H28&lt;&gt;"",H28,I27/(1+IF(G27="",0,G27)/100))</f>
        <v>2415.9136567190512</v>
      </c>
      <c r="J28" s="10">
        <f t="shared" si="3"/>
        <v>159746408.1451346</v>
      </c>
      <c r="K28" s="11">
        <f t="shared" si="4"/>
        <v>4.8570559999999707E-2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63665.092569353488</v>
      </c>
      <c r="D29" s="11">
        <v>4.4600000000000001E-2</v>
      </c>
      <c r="E29" s="10">
        <f t="shared" si="2"/>
        <v>2718.2300675791339</v>
      </c>
      <c r="F29" s="3"/>
      <c r="G29" s="29">
        <v>6.87</v>
      </c>
      <c r="H29" s="10"/>
      <c r="I29" s="10">
        <f>IF(H29&lt;&gt;"",H29,I28/(1+IF(G28="",0,G28)/100))</f>
        <v>2392.9414190957323</v>
      </c>
      <c r="J29" s="10">
        <f t="shared" si="3"/>
        <v>152346836.9597699</v>
      </c>
      <c r="K29" s="11">
        <f t="shared" si="4"/>
        <v>0.11636402000000001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60946.862501774354</v>
      </c>
      <c r="D30" s="11">
        <v>4.7500000000000001E-2</v>
      </c>
      <c r="E30" s="10">
        <f t="shared" si="2"/>
        <v>2763.7002089110174</v>
      </c>
      <c r="F30" s="3"/>
      <c r="G30" s="29">
        <v>0.09</v>
      </c>
      <c r="H30" s="10"/>
      <c r="I30" s="10">
        <f>IF(H30&lt;&gt;"",H30,I29/(1+IF(G29="",0,G29)/100))</f>
        <v>2239.1142688272971</v>
      </c>
      <c r="J30" s="10">
        <f t="shared" si="3"/>
        <v>136466989.4679783</v>
      </c>
      <c r="K30" s="11">
        <f t="shared" si="4"/>
        <v>4.8442749999999979E-2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58183.162292863337</v>
      </c>
      <c r="D31" s="11">
        <v>4.7899999999999998E-2</v>
      </c>
      <c r="E31" s="10">
        <f t="shared" si="2"/>
        <v>2659.5796104858819</v>
      </c>
      <c r="F31" s="3"/>
      <c r="G31" s="29">
        <v>6.35</v>
      </c>
      <c r="H31" s="10"/>
      <c r="I31" s="10">
        <f>IF(H31&lt;&gt;"",H31,I30/(1+IF(G30="",0,G30)/100))</f>
        <v>2237.1008780370639</v>
      </c>
      <c r="J31" s="10">
        <f t="shared" si="3"/>
        <v>130161603.45233756</v>
      </c>
      <c r="K31" s="11">
        <f t="shared" si="4"/>
        <v>0.11444165000000006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55523.582682377455</v>
      </c>
      <c r="D32" s="11">
        <v>4.7199999999999999E-2</v>
      </c>
      <c r="E32" s="10">
        <f t="shared" si="2"/>
        <v>2502.5908160888212</v>
      </c>
      <c r="F32" s="3"/>
      <c r="G32" s="29">
        <v>7.72</v>
      </c>
      <c r="H32" s="10"/>
      <c r="I32" s="10">
        <f>IF(H32&lt;&gt;"",H32,I31/(1+IF(G31="",0,G31)/100))</f>
        <v>2103.526918699637</v>
      </c>
      <c r="J32" s="10">
        <f t="shared" si="3"/>
        <v>116795350.79502597</v>
      </c>
      <c r="K32" s="11">
        <f t="shared" si="4"/>
        <v>0.12804383999999991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53020.991866288634</v>
      </c>
      <c r="D33" s="11">
        <v>4.7100000000000003E-2</v>
      </c>
      <c r="E33" s="10">
        <f t="shared" si="2"/>
        <v>2384.957231307606</v>
      </c>
      <c r="F33" s="3"/>
      <c r="G33" s="29">
        <v>3.82</v>
      </c>
      <c r="H33" s="10"/>
      <c r="I33" s="10">
        <f>IF(H33&lt;&gt;"",H33,I32/(1+IF(G32="",0,G32)/100))</f>
        <v>1952.7728543442602</v>
      </c>
      <c r="J33" s="10">
        <f t="shared" si="3"/>
        <v>103537953.62689626</v>
      </c>
      <c r="K33" s="11">
        <f t="shared" si="4"/>
        <v>8.7099220000000033E-2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50636.034634981028</v>
      </c>
      <c r="D34" s="11">
        <v>4.5499999999999999E-2</v>
      </c>
      <c r="E34" s="10">
        <f t="shared" si="2"/>
        <v>2203.6724781364319</v>
      </c>
      <c r="F34" s="3"/>
      <c r="G34" s="29">
        <v>-5.16</v>
      </c>
      <c r="H34" s="10"/>
      <c r="I34" s="10">
        <f>IF(H34&lt;&gt;"",H34,I33/(1+IF(G33="",0,G33)/100))</f>
        <v>1880.9216474130806</v>
      </c>
      <c r="J34" s="10">
        <f t="shared" ref="J34:J65" si="5">IF(I34="","",I34*C34)</f>
        <v>95242413.684094325</v>
      </c>
      <c r="K34" s="11">
        <f t="shared" ref="K34:K65" si="6">IFERROR(J34/J35-1,"")</f>
        <v>5.1437000000000843E-3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48432.362156844596</v>
      </c>
      <c r="D35" s="11">
        <v>4.4400000000000002E-2</v>
      </c>
      <c r="E35" s="10">
        <f t="shared" si="2"/>
        <v>2058.9782456567409</v>
      </c>
      <c r="F35" s="3"/>
      <c r="G35" s="29">
        <v>-0.53</v>
      </c>
      <c r="H35" s="10"/>
      <c r="I35" s="10">
        <f>IF(H35&lt;&gt;"",H35,I34/(1+IF(G34="",0,G34)/100))</f>
        <v>1956.4402407042651</v>
      </c>
      <c r="J35" s="10">
        <f t="shared" si="5"/>
        <v>94755022.276013181</v>
      </c>
      <c r="K35" s="11">
        <f t="shared" si="6"/>
        <v>6.7063480000000064E-2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46373.383911187855</v>
      </c>
      <c r="D36" s="11">
        <v>4.19E-2</v>
      </c>
      <c r="E36" s="10">
        <f t="shared" si="2"/>
        <v>1864.9052556663519</v>
      </c>
      <c r="F36" s="3"/>
      <c r="G36" s="29">
        <v>-4.98</v>
      </c>
      <c r="H36" s="10"/>
      <c r="I36" s="10">
        <f>IF(H36&lt;&gt;"",H36,I35/(1+IF(G35="",0,G35)/100))</f>
        <v>1914.8871887092737</v>
      </c>
      <c r="J36" s="10">
        <f t="shared" si="5"/>
        <v>88799798.748630375</v>
      </c>
      <c r="K36" s="11">
        <f t="shared" si="6"/>
        <v>4.0024579999999865E-2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44508.478655521503</v>
      </c>
      <c r="D37" s="11">
        <v>3.8600000000000002E-2</v>
      </c>
      <c r="E37" s="10">
        <f t="shared" si="2"/>
        <v>1654.1760794368674</v>
      </c>
      <c r="F37" s="3"/>
      <c r="G37" s="29">
        <v>-7.76</v>
      </c>
      <c r="H37" s="10"/>
      <c r="I37" s="10">
        <f>IF(H37&lt;&gt;"",H37,I36/(1+IF(G36="",0,G36)/100))</f>
        <v>1918.3402010712018</v>
      </c>
      <c r="J37" s="10">
        <f t="shared" si="5"/>
        <v>85382403.893406421</v>
      </c>
      <c r="K37" s="11">
        <f t="shared" si="6"/>
        <v>1.3050440000000219E-2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42854.302576084636</v>
      </c>
      <c r="D38" s="11">
        <v>3.5200000000000002E-2</v>
      </c>
      <c r="E38" s="10">
        <f t="shared" si="2"/>
        <v>1457.1787583830883</v>
      </c>
      <c r="F38" s="3"/>
      <c r="G38" s="29">
        <v>3.45</v>
      </c>
      <c r="H38" s="10"/>
      <c r="I38" s="10">
        <f>IF(H38&lt;&gt;"",H38,I37/(1+IF(G37="",0,G37)/100))</f>
        <v>1966.7215512314965</v>
      </c>
      <c r="J38" s="10">
        <f t="shared" si="5"/>
        <v>84282480.439381093</v>
      </c>
      <c r="K38" s="11">
        <f t="shared" si="6"/>
        <v>0.10921679999999978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41397.123817701548</v>
      </c>
      <c r="D39" s="11">
        <v>3.3000000000000002E-2</v>
      </c>
      <c r="E39" s="10">
        <f t="shared" si="2"/>
        <v>1322.463781204402</v>
      </c>
      <c r="F39" s="3"/>
      <c r="G39" s="29">
        <v>13.47</v>
      </c>
      <c r="H39" s="10"/>
      <c r="I39" s="10">
        <f>IF(H39&lt;&gt;"",H39,I38/(1+IF(G38="",0,G38)/100))</f>
        <v>1835.4844155216954</v>
      </c>
      <c r="J39" s="10">
        <f t="shared" si="5"/>
        <v>75983775.614813179</v>
      </c>
      <c r="K39" s="11">
        <f t="shared" si="6"/>
        <v>0.17214509999999983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40074.660036497145</v>
      </c>
      <c r="D40" s="11">
        <v>3.4500000000000003E-2</v>
      </c>
      <c r="E40" s="10">
        <f t="shared" si="2"/>
        <v>1336.4676377565484</v>
      </c>
      <c r="F40" s="3"/>
      <c r="G40" s="29">
        <v>7.76</v>
      </c>
      <c r="H40" s="10"/>
      <c r="I40" s="10">
        <f>IF(H40&lt;&gt;"",H40,I39/(1+IF(G39="",0,G39)/100))</f>
        <v>1617.5944439249981</v>
      </c>
      <c r="J40" s="10">
        <f t="shared" si="5"/>
        <v>64824547.417220943</v>
      </c>
      <c r="K40" s="11">
        <f t="shared" si="6"/>
        <v>0.1147771999999998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38738.192398740597</v>
      </c>
      <c r="D41" s="11">
        <v>3.7199999999999997E-2</v>
      </c>
      <c r="E41" s="10">
        <f t="shared" si="2"/>
        <v>1389.3759711079329</v>
      </c>
      <c r="F41" s="3"/>
      <c r="G41" s="29">
        <v>0.68</v>
      </c>
      <c r="H41" s="10"/>
      <c r="I41" s="10">
        <f>IF(H41&lt;&gt;"",H41,I40/(1+IF(G40="",0,G40)/100))</f>
        <v>1501.1084297744974</v>
      </c>
      <c r="J41" s="10">
        <f t="shared" si="5"/>
        <v>58150227.163975865</v>
      </c>
      <c r="K41" s="11">
        <f t="shared" si="6"/>
        <v>4.4252959999999675E-2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37348.816427632664</v>
      </c>
      <c r="D42" s="11">
        <v>4.19E-2</v>
      </c>
      <c r="E42" s="10">
        <f t="shared" si="2"/>
        <v>1501.9823479391562</v>
      </c>
      <c r="F42" s="3"/>
      <c r="G42" s="29">
        <v>-2.79</v>
      </c>
      <c r="H42" s="10"/>
      <c r="I42" s="10">
        <f>IF(H42&lt;&gt;"",H42,I41/(1+IF(G41="",0,G41)/100))</f>
        <v>1490.9698348971965</v>
      </c>
      <c r="J42" s="10">
        <f t="shared" si="5"/>
        <v>55685958.662713178</v>
      </c>
      <c r="K42" s="11">
        <f t="shared" si="6"/>
        <v>1.2830990000000098E-2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35846.834079693508</v>
      </c>
      <c r="D43" s="11">
        <v>4.5499999999999999E-2</v>
      </c>
      <c r="E43" s="10">
        <f t="shared" si="2"/>
        <v>1560.0487332626071</v>
      </c>
      <c r="F43" s="3"/>
      <c r="G43" s="29">
        <v>8.7799999999999994</v>
      </c>
      <c r="H43" s="10"/>
      <c r="I43" s="10">
        <f>IF(H43&lt;&gt;"",H43,I42/(1+IF(G42="",0,G42)/100))</f>
        <v>1533.7617888048519</v>
      </c>
      <c r="J43" s="10">
        <f t="shared" si="5"/>
        <v>54980504.361061439</v>
      </c>
      <c r="K43" s="11">
        <f t="shared" si="6"/>
        <v>0.13729490000000011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34286.785346430901</v>
      </c>
      <c r="D44" s="11">
        <v>4.8300000000000003E-2</v>
      </c>
      <c r="E44" s="10">
        <f t="shared" si="2"/>
        <v>1579.7498161142939</v>
      </c>
      <c r="F44" s="3"/>
      <c r="G44" s="29">
        <v>-7.05</v>
      </c>
      <c r="H44" s="10"/>
      <c r="I44" s="10">
        <f>IF(H44&lt;&gt;"",H44,I43/(1+IF(G43="",0,G43)/100))</f>
        <v>1409.9667115323145</v>
      </c>
      <c r="J44" s="10">
        <f t="shared" si="5"/>
        <v>48343225.983921528</v>
      </c>
      <c r="K44" s="11">
        <f t="shared" si="6"/>
        <v>-2.5605149999999965E-2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32707.035530316607</v>
      </c>
      <c r="D45" s="11">
        <v>4.7199999999999999E-2</v>
      </c>
      <c r="E45" s="10">
        <f t="shared" si="2"/>
        <v>1474.190295102122</v>
      </c>
      <c r="F45" s="3"/>
      <c r="G45" s="29">
        <v>-5.17</v>
      </c>
      <c r="H45" s="10"/>
      <c r="I45" s="10">
        <f>IF(H45&lt;&gt;"",H45,I44/(1+IF(G44="",0,G44)/100))</f>
        <v>1516.9087805619306</v>
      </c>
      <c r="J45" s="10">
        <f t="shared" si="5"/>
        <v>49613589.382088304</v>
      </c>
      <c r="K45" s="11">
        <f t="shared" si="6"/>
        <v>-6.9402399999999309E-3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31232.845235214485</v>
      </c>
      <c r="D46" s="11">
        <v>4.3700000000000003E-2</v>
      </c>
      <c r="E46" s="10">
        <f t="shared" si="2"/>
        <v>1307.7276389564759</v>
      </c>
      <c r="F46" s="3"/>
      <c r="G46" s="29">
        <v>5.68</v>
      </c>
      <c r="H46" s="10"/>
      <c r="I46" s="10">
        <f>IF(H46&lt;&gt;"",H46,I45/(1+IF(G45="",0,G45)/100))</f>
        <v>1599.6085421933255</v>
      </c>
      <c r="J46" s="10">
        <f t="shared" si="5"/>
        <v>49960326.035251193</v>
      </c>
      <c r="K46" s="11">
        <f t="shared" si="6"/>
        <v>0.10298215999999982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29925.117596258009</v>
      </c>
      <c r="D47" s="11">
        <v>3.8800000000000001E-2</v>
      </c>
      <c r="E47" s="10">
        <f t="shared" si="2"/>
        <v>1117.7267642807165</v>
      </c>
      <c r="F47" s="3"/>
      <c r="G47" s="29">
        <v>3.06</v>
      </c>
      <c r="H47" s="10"/>
      <c r="I47" s="10">
        <f>IF(H47&lt;&gt;"",H47,I46/(1+IF(G46="",0,G46)/100))</f>
        <v>1513.6341239528062</v>
      </c>
      <c r="J47" s="10">
        <f t="shared" si="5"/>
        <v>45295679.156996697</v>
      </c>
      <c r="K47" s="11">
        <f t="shared" si="6"/>
        <v>7.0587279999999808E-2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28807.390831977293</v>
      </c>
      <c r="D48" s="11">
        <v>3.3700000000000001E-2</v>
      </c>
      <c r="E48" s="10">
        <f t="shared" si="2"/>
        <v>939.15939928183798</v>
      </c>
      <c r="F48" s="3"/>
      <c r="G48" s="29">
        <v>-5.49</v>
      </c>
      <c r="H48" s="10"/>
      <c r="I48" s="10">
        <f>IF(H48&lt;&gt;"",H48,I47/(1+IF(G47="",0,G47)/100))</f>
        <v>1468.6921443361209</v>
      </c>
      <c r="J48" s="10">
        <f t="shared" si="5"/>
        <v>42309188.613745444</v>
      </c>
      <c r="K48" s="11">
        <f t="shared" si="6"/>
        <v>-2.3050129999999891E-2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27868.231432695455</v>
      </c>
      <c r="D49" s="11">
        <v>3.1199999999999999E-2</v>
      </c>
      <c r="E49" s="10">
        <f t="shared" si="2"/>
        <v>843.18155614826901</v>
      </c>
      <c r="F49" s="3"/>
      <c r="G49" s="29">
        <v>0.38</v>
      </c>
      <c r="H49" s="10"/>
      <c r="I49" s="10">
        <f>IF(H49&lt;&gt;"",H49,I48/(1+IF(G48="",0,G48)/100))</f>
        <v>1554.0071361084763</v>
      </c>
      <c r="J49" s="10">
        <f t="shared" si="5"/>
        <v>43307430.517131284</v>
      </c>
      <c r="K49" s="11">
        <f t="shared" si="6"/>
        <v>3.5118560000000132E-2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27025.049876547186</v>
      </c>
      <c r="D50" s="11">
        <v>3.0300000000000001E-2</v>
      </c>
      <c r="E50" s="10">
        <f t="shared" si="2"/>
        <v>794.77726027310564</v>
      </c>
      <c r="F50" s="3"/>
      <c r="G50" s="29">
        <v>0.12</v>
      </c>
      <c r="H50" s="10"/>
      <c r="I50" s="10">
        <f>IF(H50&lt;&gt;"",H50,I49/(1+IF(G49="",0,G49)/100))</f>
        <v>1548.1242639056347</v>
      </c>
      <c r="J50" s="10">
        <f t="shared" si="5"/>
        <v>41838135.447142676</v>
      </c>
      <c r="K50" s="11">
        <f t="shared" si="6"/>
        <v>3.1536360000000041E-2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26230.27261627408</v>
      </c>
      <c r="D51" s="11">
        <v>3.1399999999999997E-2</v>
      </c>
      <c r="E51" s="10">
        <f t="shared" si="2"/>
        <v>798.55590474210476</v>
      </c>
      <c r="F51" s="3"/>
      <c r="G51" s="29">
        <v>-0.38</v>
      </c>
      <c r="H51" s="10"/>
      <c r="I51" s="10">
        <f>IF(H51&lt;&gt;"",H51,I50/(1+IF(G50="",0,G50)/100))</f>
        <v>1546.2687414159354</v>
      </c>
      <c r="J51" s="10">
        <f t="shared" si="5"/>
        <v>40559050.625363</v>
      </c>
      <c r="K51" s="11">
        <f t="shared" si="6"/>
        <v>2.7480680000000035E-2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25431.716711531975</v>
      </c>
      <c r="D52" s="11">
        <v>3.3700000000000001E-2</v>
      </c>
      <c r="E52" s="10">
        <f t="shared" si="2"/>
        <v>829.10791639608215</v>
      </c>
      <c r="F52" s="3"/>
      <c r="G52" s="29">
        <v>6.92</v>
      </c>
      <c r="H52" s="10"/>
      <c r="I52" s="10">
        <f>IF(H52&lt;&gt;"",H52,I51/(1+IF(G51="",0,G51)/100))</f>
        <v>1552.1669759244485</v>
      </c>
      <c r="J52" s="10">
        <f t="shared" si="5"/>
        <v>39474270.820705846</v>
      </c>
      <c r="K52" s="11">
        <f t="shared" si="6"/>
        <v>0.10523203999999997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24602.608795135893</v>
      </c>
      <c r="D53" s="11">
        <v>3.6499999999999998E-2</v>
      </c>
      <c r="E53" s="10">
        <f t="shared" si="2"/>
        <v>866.37262037863911</v>
      </c>
      <c r="F53" s="3"/>
      <c r="G53" s="29">
        <v>10.130000000000001</v>
      </c>
      <c r="H53" s="10"/>
      <c r="I53" s="10">
        <f>IF(H53&lt;&gt;"",H53,I52/(1+IF(G52="",0,G52)/100))</f>
        <v>1451.7087316914035</v>
      </c>
      <c r="J53" s="10">
        <f t="shared" si="5"/>
        <v>35715822.010286495</v>
      </c>
      <c r="K53" s="11">
        <f t="shared" si="6"/>
        <v>0.14149744999999969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23736.236174757254</v>
      </c>
      <c r="D54" s="11">
        <v>3.56E-2</v>
      </c>
      <c r="E54" s="10">
        <f t="shared" si="2"/>
        <v>815.96176885029126</v>
      </c>
      <c r="F54" s="3"/>
      <c r="G54" s="29">
        <v>9.43</v>
      </c>
      <c r="H54" s="10"/>
      <c r="I54" s="10">
        <f>IF(H54&lt;&gt;"",H54,I53/(1+IF(G53="",0,G53)/100))</f>
        <v>1318.1773646521417</v>
      </c>
      <c r="J54" s="10">
        <f t="shared" si="5"/>
        <v>31288569.247602351</v>
      </c>
      <c r="K54" s="11">
        <f t="shared" si="6"/>
        <v>0.13325708000000014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22920.274405906963</v>
      </c>
      <c r="D55" s="11">
        <v>3.2099999999999997E-2</v>
      </c>
      <c r="E55" s="10">
        <f t="shared" si="2"/>
        <v>712.85806455732381</v>
      </c>
      <c r="F55" s="3"/>
      <c r="G55" s="29">
        <v>10.28</v>
      </c>
      <c r="H55" s="10"/>
      <c r="I55" s="10">
        <f>IF(H55&lt;&gt;"",H55,I54/(1+IF(G54="",0,G54)/100))</f>
        <v>1204.5849992252049</v>
      </c>
      <c r="J55" s="10">
        <f t="shared" si="5"/>
        <v>27609418.727480922</v>
      </c>
      <c r="K55" s="11">
        <f t="shared" si="6"/>
        <v>0.13819987999999994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22207.416341349639</v>
      </c>
      <c r="D56" s="11">
        <v>2.5700000000000001E-2</v>
      </c>
      <c r="E56" s="10">
        <f t="shared" si="2"/>
        <v>556.43034022880602</v>
      </c>
      <c r="F56" s="3"/>
      <c r="G56" s="29">
        <v>4.55</v>
      </c>
      <c r="H56" s="10"/>
      <c r="I56" s="10">
        <f>IF(H56&lt;&gt;"",H56,I55/(1+IF(G55="",0,G55)/100))</f>
        <v>1092.2968799648213</v>
      </c>
      <c r="J56" s="10">
        <f t="shared" si="5"/>
        <v>24257091.581735998</v>
      </c>
      <c r="K56" s="11">
        <f t="shared" si="6"/>
        <v>7.2369350000000221E-2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21650.986001120833</v>
      </c>
      <c r="D57" s="11">
        <v>1.7999999999999999E-2</v>
      </c>
      <c r="E57" s="10">
        <f t="shared" si="2"/>
        <v>382.82686445989748</v>
      </c>
      <c r="F57" s="3"/>
      <c r="G57" s="30">
        <v>6.58</v>
      </c>
      <c r="H57" s="10"/>
      <c r="I57" s="10">
        <f>IF(H57&lt;&gt;"",H57,I56/(1+IF(G56="",0,G56)/100))</f>
        <v>1044.760286910398</v>
      </c>
      <c r="J57" s="10">
        <f t="shared" si="5"/>
        <v>22620090.346424013</v>
      </c>
      <c r="K57" s="11">
        <f t="shared" si="6"/>
        <v>8.4984400000000182E-2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21268.159136660935</v>
      </c>
      <c r="D58" s="11">
        <v>1.4999999999999999E-2</v>
      </c>
      <c r="E58" s="10">
        <f t="shared" si="2"/>
        <v>314.30777049252356</v>
      </c>
      <c r="F58" s="3"/>
      <c r="G58" s="30">
        <v>5.57</v>
      </c>
      <c r="H58" s="10"/>
      <c r="I58" s="10">
        <f>IF(H58&lt;&gt;"",H58,I57/(1+IF(G57="",0,G57)/100))</f>
        <v>980.25922960255014</v>
      </c>
      <c r="J58" s="10">
        <f t="shared" si="5"/>
        <v>20848309.290367685</v>
      </c>
      <c r="K58" s="11">
        <f t="shared" si="6"/>
        <v>7.1535499999999974E-2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20953.851366168412</v>
      </c>
      <c r="D59" s="11">
        <v>1.2E-2</v>
      </c>
      <c r="E59" s="10">
        <f t="shared" si="2"/>
        <v>248.46464070555521</v>
      </c>
      <c r="F59" s="3"/>
      <c r="G59" s="30">
        <v>1.58</v>
      </c>
      <c r="H59" s="10"/>
      <c r="I59" s="10">
        <f>IF(H59&lt;&gt;"",H59,I58/(1+IF(G58="",0,G58)/100))</f>
        <v>928.53957526053807</v>
      </c>
      <c r="J59" s="10">
        <f t="shared" si="5"/>
        <v>19456480.247614462</v>
      </c>
      <c r="K59" s="11">
        <f t="shared" si="6"/>
        <v>2.7989599999999948E-2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20705.386725462857</v>
      </c>
      <c r="D60" s="11">
        <v>0.01</v>
      </c>
      <c r="E60" s="10">
        <f t="shared" si="2"/>
        <v>205.00382896497831</v>
      </c>
      <c r="F60" s="3"/>
      <c r="G60" s="30">
        <v>14.56</v>
      </c>
      <c r="H60" s="10"/>
      <c r="I60" s="10">
        <f>IF(H60&lt;&gt;"",H60,I59/(1+IF(G59="",0,G59)/100))</f>
        <v>914.09684510783427</v>
      </c>
      <c r="J60" s="10">
        <f t="shared" si="5"/>
        <v>18926728.68248323</v>
      </c>
      <c r="K60" s="11">
        <f t="shared" si="6"/>
        <v>0.15705600000000008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20500.382896497878</v>
      </c>
      <c r="D61" s="11">
        <v>8.9999999999999993E-3</v>
      </c>
      <c r="E61" s="10">
        <f t="shared" si="2"/>
        <v>182.85772652970991</v>
      </c>
      <c r="F61" s="3"/>
      <c r="G61" s="30">
        <v>9.9600000000000009</v>
      </c>
      <c r="H61" s="10"/>
      <c r="I61" s="10">
        <f>IF(H61&lt;&gt;"",H61,I60/(1+IF(G60="",0,G60)/100))</f>
        <v>797.91973211228549</v>
      </c>
      <c r="J61" s="10">
        <f t="shared" si="5"/>
        <v>16357660.028972866</v>
      </c>
      <c r="K61" s="11">
        <f t="shared" si="6"/>
        <v>0.10949639999999961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20317.525169968168</v>
      </c>
      <c r="D62" s="11">
        <v>8.0000000000000002E-3</v>
      </c>
      <c r="E62" s="10">
        <f t="shared" si="2"/>
        <v>161.25019976165277</v>
      </c>
      <c r="F62" s="3"/>
      <c r="G62" s="30">
        <v>10.28</v>
      </c>
      <c r="H62" s="10"/>
      <c r="I62" s="10">
        <f>IF(H62&lt;&gt;"",H62,I61/(1+IF(G61="",0,G61)/100))</f>
        <v>725.64544571870272</v>
      </c>
      <c r="J62" s="10">
        <f t="shared" si="5"/>
        <v>14743319.607862514</v>
      </c>
      <c r="K62" s="11">
        <f t="shared" si="6"/>
        <v>0.11162240000000012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20156.274970206516</v>
      </c>
      <c r="D63" s="11">
        <v>7.0000000000000001E-3</v>
      </c>
      <c r="E63" s="10">
        <f t="shared" si="2"/>
        <v>140.11313286141376</v>
      </c>
      <c r="F63" s="3"/>
      <c r="G63" s="30">
        <v>11.52</v>
      </c>
      <c r="H63" s="10"/>
      <c r="I63" s="10">
        <f>IF(H63&lt;&gt;"",H63,I62/(1+IF(G62="",0,G62)/100))</f>
        <v>658.00276180513481</v>
      </c>
      <c r="J63" s="10">
        <f t="shared" si="5"/>
        <v>13262884.598099599</v>
      </c>
      <c r="K63" s="11">
        <f t="shared" si="6"/>
        <v>0.12300639999999974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20016.161837345102</v>
      </c>
      <c r="D64" s="11">
        <v>5.7999999999999996E-3</v>
      </c>
      <c r="E64" s="10">
        <f t="shared" si="2"/>
        <v>115.42427784510073</v>
      </c>
      <c r="F64" s="3"/>
      <c r="G64" s="30">
        <v>14.04</v>
      </c>
      <c r="H64" s="10"/>
      <c r="I64" s="10">
        <f>IF(H64&lt;&gt;"",H64,I63/(1+IF(G63="",0,G63)/100))</f>
        <v>590.03117091565173</v>
      </c>
      <c r="J64" s="10">
        <f t="shared" si="5"/>
        <v>11810159.406125914</v>
      </c>
      <c r="K64" s="11">
        <f t="shared" si="6"/>
        <v>0.14701432000000025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19900.737559500001</v>
      </c>
      <c r="D65" s="11">
        <v>8.5000000000000006E-3</v>
      </c>
      <c r="E65" s="10">
        <f t="shared" si="2"/>
        <v>167.7305594999998</v>
      </c>
      <c r="F65" s="3"/>
      <c r="G65" s="30">
        <v>8.0399999999999991</v>
      </c>
      <c r="H65" s="10"/>
      <c r="I65" s="10">
        <f>IF(H65&lt;&gt;"",H65,I64/(1+IF(G64="",0,G64)/100))</f>
        <v>517.38966232519442</v>
      </c>
      <c r="J65" s="10">
        <f t="shared" si="5"/>
        <v>10296435.885932019</v>
      </c>
      <c r="K65" s="11">
        <f t="shared" si="6"/>
        <v>8.958339999999998E-2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19733.007000000001</v>
      </c>
      <c r="D66" s="11">
        <v>7.3000000000000001E-3</v>
      </c>
      <c r="E66" s="10">
        <f t="shared" si="2"/>
        <v>143.00700000000143</v>
      </c>
      <c r="F66" s="23">
        <f>SUM(F2)</f>
        <v>82798</v>
      </c>
      <c r="G66" s="30">
        <v>8.0500000000000007</v>
      </c>
      <c r="H66" s="10"/>
      <c r="I66" s="10">
        <f>IF(H66&lt;&gt;"",H66,I65/(1+IF(G65="",0,G65)/100))</f>
        <v>478.88713654682931</v>
      </c>
      <c r="J66" s="10">
        <f t="shared" ref="J66:J67" si="7">IF(I66="","",I66*C66)</f>
        <v>9449883.21768854</v>
      </c>
      <c r="K66" s="11">
        <f t="shared" ref="K66" si="8">IFERROR(J66/J67-1,"")</f>
        <v>8.8387650000000262E-2</v>
      </c>
    </row>
    <row r="67" spans="1:11" ht="22.5" customHeight="1">
      <c r="A67" s="3">
        <f t="shared" si="0"/>
        <v>1950</v>
      </c>
      <c r="B67" s="3">
        <v>1700</v>
      </c>
      <c r="C67" s="10">
        <v>19590</v>
      </c>
      <c r="D67" s="11">
        <v>1.0500000000000001E-2</v>
      </c>
      <c r="E67" s="3" t="s">
        <v>72</v>
      </c>
      <c r="F67" s="10">
        <f>SUM(C2)</f>
        <v>82727.340634671142</v>
      </c>
      <c r="G67" s="30">
        <v>3.59</v>
      </c>
      <c r="H67" s="10"/>
      <c r="I67" s="10">
        <f>IF(H67&lt;&gt;"",H67,I66/(1+IF(G66="",0,G66)/100))</f>
        <v>443.20882604981887</v>
      </c>
      <c r="J67" s="10">
        <f t="shared" si="7"/>
        <v>8682460.9023159519</v>
      </c>
      <c r="K67" s="11"/>
    </row>
  </sheetData>
  <dataValidations count="1">
    <dataValidation type="custom" allowBlank="1" showDropDown="1" sqref="D2:D67" xr:uid="{00000000-0002-0000-7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 summaryRight="0"/>
  </sheetPr>
  <dimension ref="A1:M67"/>
  <sheetViews>
    <sheetView workbookViewId="0">
      <selection activeCell="G64" sqref="G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3625515.5776931201</v>
      </c>
      <c r="D2" s="11">
        <v>2.8899999999999999E-2</v>
      </c>
      <c r="E2" s="10">
        <f t="shared" ref="E2:E66" si="2">SUM(C2-C3)</f>
        <v>101834.38642757386</v>
      </c>
      <c r="F2" s="14">
        <v>3626297</v>
      </c>
      <c r="G2" s="29">
        <v>6.16</v>
      </c>
      <c r="H2" s="10"/>
      <c r="I2" s="10">
        <f>IF(H2&lt;&gt;"",H2,103496)</f>
        <v>12937</v>
      </c>
      <c r="J2" s="10">
        <f t="shared" ref="J2:J33" si="3">IF(I2="","",I2*C2)</f>
        <v>46903295028.615898</v>
      </c>
      <c r="K2" s="11">
        <f t="shared" ref="K2:K33" si="4">IFERROR(J2/J3-1,"")</f>
        <v>9.2280240000000013E-2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3523681.1912655463</v>
      </c>
      <c r="D3" s="11">
        <v>2.4199999999999999E-2</v>
      </c>
      <c r="E3" s="10">
        <f t="shared" si="2"/>
        <v>83258.235528828576</v>
      </c>
      <c r="F3" s="3"/>
      <c r="G3" s="29">
        <v>6.73</v>
      </c>
      <c r="H3" s="10"/>
      <c r="I3" s="10">
        <f t="shared" ref="I3:I34" si="5">IF(H3&lt;&gt;"",H3,I2/(1+IF(G2="",0,G2)/100))</f>
        <v>12186.322532027129</v>
      </c>
      <c r="J3" s="10">
        <f t="shared" si="3"/>
        <v>42940715496.799522</v>
      </c>
      <c r="K3" s="11">
        <f t="shared" si="4"/>
        <v>9.3128660000000085E-2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3440422.9557367177</v>
      </c>
      <c r="D4" s="11">
        <v>1.9900000000000001E-2</v>
      </c>
      <c r="E4" s="10">
        <f t="shared" si="2"/>
        <v>67128.558504913002</v>
      </c>
      <c r="F4" s="3"/>
      <c r="G4" s="29">
        <v>6.78</v>
      </c>
      <c r="H4" s="10"/>
      <c r="I4" s="10">
        <f t="shared" si="5"/>
        <v>11417.897996839811</v>
      </c>
      <c r="J4" s="10">
        <f t="shared" si="3"/>
        <v>39282398374.587967</v>
      </c>
      <c r="K4" s="11">
        <f t="shared" si="4"/>
        <v>8.9049219999999929E-2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3373294.3972318047</v>
      </c>
      <c r="D5" s="11">
        <v>2.0899999999999998E-2</v>
      </c>
      <c r="E5" s="10">
        <f t="shared" si="2"/>
        <v>69058.529632818419</v>
      </c>
      <c r="F5" s="3"/>
      <c r="G5" s="29">
        <v>4.5</v>
      </c>
      <c r="H5" s="10"/>
      <c r="I5" s="10">
        <f t="shared" si="5"/>
        <v>10692.918146506658</v>
      </c>
      <c r="J5" s="10">
        <f t="shared" si="3"/>
        <v>36070360873.669205</v>
      </c>
      <c r="K5" s="11">
        <f t="shared" si="4"/>
        <v>6.6840499999999858E-2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3304235.8675989863</v>
      </c>
      <c r="D6" s="11">
        <v>2.1700000000000001E-2</v>
      </c>
      <c r="E6" s="10">
        <f t="shared" si="2"/>
        <v>70179.033304197248</v>
      </c>
      <c r="F6" s="3"/>
      <c r="G6" s="29">
        <v>7.67</v>
      </c>
      <c r="H6" s="10"/>
      <c r="I6" s="10">
        <f t="shared" si="5"/>
        <v>10232.457556465703</v>
      </c>
      <c r="J6" s="10">
        <f t="shared" si="3"/>
        <v>33810453271.758255</v>
      </c>
      <c r="K6" s="11">
        <f t="shared" si="4"/>
        <v>0.10006439000000023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3234056.834294789</v>
      </c>
      <c r="D7" s="11">
        <v>2.1999999999999999E-2</v>
      </c>
      <c r="E7" s="10">
        <f t="shared" si="2"/>
        <v>69617.661794995423</v>
      </c>
      <c r="F7" s="3"/>
      <c r="G7" s="29">
        <v>6.34</v>
      </c>
      <c r="H7" s="10"/>
      <c r="I7" s="10">
        <f t="shared" si="5"/>
        <v>9503.5363206702914</v>
      </c>
      <c r="J7" s="10">
        <f t="shared" si="3"/>
        <v>30734976587.832508</v>
      </c>
      <c r="K7" s="11">
        <f t="shared" si="4"/>
        <v>8.6794799999999839E-2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3164439.1724997936</v>
      </c>
      <c r="D8" s="11">
        <v>2.2200000000000001E-2</v>
      </c>
      <c r="E8" s="10">
        <f t="shared" si="2"/>
        <v>68724.857786632143</v>
      </c>
      <c r="F8" s="3"/>
      <c r="G8" s="29">
        <v>5.27</v>
      </c>
      <c r="H8" s="10"/>
      <c r="I8" s="10">
        <f t="shared" si="5"/>
        <v>8936.9346630339405</v>
      </c>
      <c r="J8" s="10">
        <f t="shared" si="3"/>
        <v>28280386129.775845</v>
      </c>
      <c r="K8" s="11">
        <f t="shared" si="4"/>
        <v>7.6069940000000003E-2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3095714.3147131614</v>
      </c>
      <c r="D9" s="11">
        <v>2.2700000000000001E-2</v>
      </c>
      <c r="E9" s="10">
        <f t="shared" si="2"/>
        <v>68712.931401181966</v>
      </c>
      <c r="F9" s="3"/>
      <c r="G9" s="29">
        <v>5.69</v>
      </c>
      <c r="H9" s="10"/>
      <c r="I9" s="10">
        <f t="shared" si="5"/>
        <v>8489.536110035091</v>
      </c>
      <c r="J9" s="10">
        <f t="shared" si="3"/>
        <v>26281178461.109921</v>
      </c>
      <c r="K9" s="11">
        <f t="shared" si="4"/>
        <v>8.0891629999999992E-2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3027001.3833119795</v>
      </c>
      <c r="D10" s="11">
        <v>2.3300000000000001E-2</v>
      </c>
      <c r="E10" s="10">
        <f t="shared" si="2"/>
        <v>68923.221177728381</v>
      </c>
      <c r="F10" s="3"/>
      <c r="G10" s="29">
        <v>6.77</v>
      </c>
      <c r="H10" s="10"/>
      <c r="I10" s="10">
        <f t="shared" si="5"/>
        <v>8032.4875674473378</v>
      </c>
      <c r="J10" s="10">
        <f t="shared" si="3"/>
        <v>24314350978.099369</v>
      </c>
      <c r="K10" s="11">
        <f t="shared" si="4"/>
        <v>9.2577410000000304E-2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2958078.1621342511</v>
      </c>
      <c r="D11" s="11">
        <v>2.3599999999999999E-2</v>
      </c>
      <c r="E11" s="10">
        <f t="shared" si="2"/>
        <v>68201.098697116598</v>
      </c>
      <c r="F11" s="3"/>
      <c r="G11" s="29">
        <v>6.53</v>
      </c>
      <c r="H11" s="10"/>
      <c r="I11" s="10">
        <f t="shared" si="5"/>
        <v>7523.1690244894044</v>
      </c>
      <c r="J11" s="10">
        <f t="shared" si="3"/>
        <v>22254122001.386944</v>
      </c>
      <c r="K11" s="11">
        <f t="shared" si="4"/>
        <v>9.0441080000000174E-2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2889877.0634371345</v>
      </c>
      <c r="D12" s="11">
        <v>2.3900000000000001E-2</v>
      </c>
      <c r="E12" s="10">
        <f t="shared" si="2"/>
        <v>67455.866604304872</v>
      </c>
      <c r="F12" s="3"/>
      <c r="G12" s="29">
        <v>7.48</v>
      </c>
      <c r="H12" s="10"/>
      <c r="I12" s="10">
        <f t="shared" si="5"/>
        <v>7062.0191725236127</v>
      </c>
      <c r="J12" s="10">
        <f t="shared" si="3"/>
        <v>20408367228.229279</v>
      </c>
      <c r="K12" s="11">
        <f t="shared" si="4"/>
        <v>0.10048772000000006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2822421.1968328296</v>
      </c>
      <c r="D13" s="11">
        <v>2.4199999999999999E-2</v>
      </c>
      <c r="E13" s="10">
        <f t="shared" si="2"/>
        <v>66688.725799018051</v>
      </c>
      <c r="F13" s="3"/>
      <c r="G13" s="29">
        <v>7.5</v>
      </c>
      <c r="H13" s="10"/>
      <c r="I13" s="10">
        <f t="shared" si="5"/>
        <v>6570.5425870148983</v>
      </c>
      <c r="J13" s="10">
        <f t="shared" si="3"/>
        <v>18544838672.283665</v>
      </c>
      <c r="K13" s="11">
        <f t="shared" si="4"/>
        <v>0.10101499999999985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2755732.4710338116</v>
      </c>
      <c r="D14" s="11">
        <v>2.4899999999999999E-2</v>
      </c>
      <c r="E14" s="10">
        <f t="shared" si="2"/>
        <v>66950.666922374628</v>
      </c>
      <c r="F14" s="3"/>
      <c r="G14" s="29">
        <v>6.67</v>
      </c>
      <c r="H14" s="10"/>
      <c r="I14" s="10">
        <f t="shared" si="5"/>
        <v>6112.1326390836266</v>
      </c>
      <c r="J14" s="10">
        <f t="shared" si="3"/>
        <v>16843402380.788334</v>
      </c>
      <c r="K14" s="11">
        <f t="shared" si="4"/>
        <v>9.3260829999999961E-2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2688781.8041114369</v>
      </c>
      <c r="D15" s="11">
        <v>2.58E-2</v>
      </c>
      <c r="E15" s="10">
        <f t="shared" si="2"/>
        <v>67625.824279659893</v>
      </c>
      <c r="F15" s="3"/>
      <c r="G15" s="29">
        <v>7.09</v>
      </c>
      <c r="H15" s="10"/>
      <c r="I15" s="10">
        <f t="shared" si="5"/>
        <v>5729.9452883506392</v>
      </c>
      <c r="J15" s="10">
        <f t="shared" si="3"/>
        <v>15406572629.87126</v>
      </c>
      <c r="K15" s="11">
        <f t="shared" si="4"/>
        <v>9.8529220000000084E-2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2621155.979831777</v>
      </c>
      <c r="D16" s="11">
        <v>2.6800000000000001E-2</v>
      </c>
      <c r="E16" s="10">
        <f t="shared" si="2"/>
        <v>68413.498499699403</v>
      </c>
      <c r="F16" s="3"/>
      <c r="G16" s="29">
        <v>6.07</v>
      </c>
      <c r="H16" s="10"/>
      <c r="I16" s="10">
        <f t="shared" si="5"/>
        <v>5350.5885594832753</v>
      </c>
      <c r="J16" s="10">
        <f t="shared" si="3"/>
        <v>14024727198.30908</v>
      </c>
      <c r="K16" s="11">
        <f t="shared" si="4"/>
        <v>8.9126759999999638E-2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2552742.4813320776</v>
      </c>
      <c r="D17" s="11">
        <v>2.7699999999999999E-2</v>
      </c>
      <c r="E17" s="10">
        <f t="shared" si="2"/>
        <v>68805.066393790767</v>
      </c>
      <c r="F17" s="3"/>
      <c r="G17" s="29">
        <v>4.5199999999999996</v>
      </c>
      <c r="H17" s="10"/>
      <c r="I17" s="10">
        <f t="shared" si="5"/>
        <v>5044.3938526287129</v>
      </c>
      <c r="J17" s="10">
        <f t="shared" si="3"/>
        <v>12877038480.175699</v>
      </c>
      <c r="K17" s="11">
        <f t="shared" si="4"/>
        <v>7.4152039999999975E-2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2483937.4149382869</v>
      </c>
      <c r="D18" s="11">
        <v>3.2599999999999997E-2</v>
      </c>
      <c r="E18" s="10">
        <f t="shared" si="2"/>
        <v>78419.871902951971</v>
      </c>
      <c r="F18" s="3"/>
      <c r="G18" s="29">
        <v>4.8600000000000003</v>
      </c>
      <c r="H18" s="10"/>
      <c r="I18" s="10">
        <f t="shared" si="5"/>
        <v>4826.2474671151103</v>
      </c>
      <c r="J18" s="10">
        <f t="shared" si="3"/>
        <v>11988096657.318361</v>
      </c>
      <c r="K18" s="11">
        <f t="shared" si="4"/>
        <v>8.2784360000000001E-2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2405517.5430353349</v>
      </c>
      <c r="D19" s="11">
        <v>3.7699999999999997E-2</v>
      </c>
      <c r="E19" s="10">
        <f t="shared" si="2"/>
        <v>87393.284545082599</v>
      </c>
      <c r="F19" s="3"/>
      <c r="G19" s="29">
        <v>3.71</v>
      </c>
      <c r="H19" s="10"/>
      <c r="I19" s="10">
        <f t="shared" si="5"/>
        <v>4602.5629097035198</v>
      </c>
      <c r="J19" s="10">
        <f t="shared" si="3"/>
        <v>11071545822.215572</v>
      </c>
      <c r="K19" s="11">
        <f t="shared" si="4"/>
        <v>7.6198669999999913E-2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2318124.2584902523</v>
      </c>
      <c r="D20" s="11">
        <v>3.8399999999999997E-2</v>
      </c>
      <c r="E20" s="10">
        <f t="shared" si="2"/>
        <v>85724.163642166648</v>
      </c>
      <c r="F20" s="3"/>
      <c r="G20" s="29">
        <v>3.53</v>
      </c>
      <c r="H20" s="10"/>
      <c r="I20" s="10">
        <f t="shared" si="5"/>
        <v>4437.9162180151579</v>
      </c>
      <c r="J20" s="10">
        <f t="shared" si="3"/>
        <v>10287641242.128252</v>
      </c>
      <c r="K20" s="11">
        <f t="shared" si="4"/>
        <v>7.5055520000000042E-2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2232400.0948480857</v>
      </c>
      <c r="D21" s="11">
        <v>3.8699999999999998E-2</v>
      </c>
      <c r="E21" s="10">
        <f t="shared" si="2"/>
        <v>83175.010754424613</v>
      </c>
      <c r="F21" s="3"/>
      <c r="G21" s="29">
        <v>4.54</v>
      </c>
      <c r="H21" s="10"/>
      <c r="I21" s="10">
        <f t="shared" si="5"/>
        <v>4286.5992639960959</v>
      </c>
      <c r="J21" s="10">
        <f t="shared" si="3"/>
        <v>9569404603.5206184</v>
      </c>
      <c r="K21" s="11">
        <f t="shared" si="4"/>
        <v>8.5856979999999972E-2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2149225.084093661</v>
      </c>
      <c r="D22" s="11">
        <v>3.9E-2</v>
      </c>
      <c r="E22" s="10">
        <f t="shared" si="2"/>
        <v>80673.51133749052</v>
      </c>
      <c r="F22" s="3"/>
      <c r="G22" s="29">
        <v>3.57</v>
      </c>
      <c r="H22" s="10"/>
      <c r="I22" s="10">
        <f t="shared" si="5"/>
        <v>4100.4393189172524</v>
      </c>
      <c r="J22" s="10">
        <f t="shared" si="3"/>
        <v>8812767040.0208855</v>
      </c>
      <c r="K22" s="11">
        <f t="shared" si="4"/>
        <v>7.609229999999978E-2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2068551.5727561705</v>
      </c>
      <c r="D23" s="11">
        <v>3.9300000000000002E-2</v>
      </c>
      <c r="E23" s="10">
        <f t="shared" si="2"/>
        <v>78220.029644296505</v>
      </c>
      <c r="F23" s="3"/>
      <c r="G23" s="29">
        <v>1.57</v>
      </c>
      <c r="H23" s="10"/>
      <c r="I23" s="10">
        <f t="shared" si="5"/>
        <v>3959.0994679127666</v>
      </c>
      <c r="J23" s="10">
        <f t="shared" si="3"/>
        <v>8189601431.0490713</v>
      </c>
      <c r="K23" s="11">
        <f t="shared" si="4"/>
        <v>5.5617009999999967E-2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1990331.543111874</v>
      </c>
      <c r="D24" s="11">
        <v>3.9800000000000002E-2</v>
      </c>
      <c r="E24" s="10">
        <f t="shared" si="2"/>
        <v>76183.107728267554</v>
      </c>
      <c r="F24" s="3"/>
      <c r="G24" s="29">
        <v>1.21</v>
      </c>
      <c r="H24" s="10"/>
      <c r="I24" s="10">
        <f t="shared" si="5"/>
        <v>3897.9024002291685</v>
      </c>
      <c r="J24" s="10">
        <f t="shared" si="3"/>
        <v>7758118099.1475983</v>
      </c>
      <c r="K24" s="11">
        <f t="shared" si="4"/>
        <v>5.2381580000000039E-2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1914148.4353836065</v>
      </c>
      <c r="D25" s="11">
        <v>3.9899999999999998E-2</v>
      </c>
      <c r="E25" s="10">
        <f t="shared" si="2"/>
        <v>73444.102867396781</v>
      </c>
      <c r="F25" s="3"/>
      <c r="G25" s="29">
        <v>0.57999999999999996</v>
      </c>
      <c r="H25" s="10"/>
      <c r="I25" s="10">
        <f t="shared" si="5"/>
        <v>3851.3016502610103</v>
      </c>
      <c r="J25" s="10">
        <f t="shared" si="3"/>
        <v>7371963028.0374146</v>
      </c>
      <c r="K25" s="11">
        <f t="shared" si="4"/>
        <v>4.5931420000000056E-2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1840704.3325162097</v>
      </c>
      <c r="D26" s="11">
        <v>3.9699999999999999E-2</v>
      </c>
      <c r="E26" s="10">
        <f t="shared" si="2"/>
        <v>70285.622776660137</v>
      </c>
      <c r="F26" s="3"/>
      <c r="G26" s="29">
        <v>2.0699999999999998</v>
      </c>
      <c r="H26" s="10"/>
      <c r="I26" s="10">
        <f t="shared" si="5"/>
        <v>3829.0929113750349</v>
      </c>
      <c r="J26" s="10">
        <f t="shared" si="3"/>
        <v>7048227911.5751333</v>
      </c>
      <c r="K26" s="11">
        <f t="shared" si="4"/>
        <v>6.1221789999999832E-2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1770418.7097395496</v>
      </c>
      <c r="D27" s="11">
        <v>3.9300000000000002E-2</v>
      </c>
      <c r="E27" s="10">
        <f t="shared" si="2"/>
        <v>66946.459436894162</v>
      </c>
      <c r="F27" s="3"/>
      <c r="G27" s="29">
        <v>-7.05</v>
      </c>
      <c r="H27" s="10"/>
      <c r="I27" s="10">
        <f t="shared" si="5"/>
        <v>3751.4381418389685</v>
      </c>
      <c r="J27" s="10">
        <f t="shared" si="3"/>
        <v>6641616274.74228</v>
      </c>
      <c r="K27" s="11">
        <f t="shared" si="4"/>
        <v>-3.3970650000000102E-2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1703472.2503026554</v>
      </c>
      <c r="D28" s="11">
        <v>3.8699999999999998E-2</v>
      </c>
      <c r="E28" s="10">
        <f t="shared" si="2"/>
        <v>63468.158358248416</v>
      </c>
      <c r="F28" s="3"/>
      <c r="G28" s="29">
        <v>3.76</v>
      </c>
      <c r="H28" s="10"/>
      <c r="I28" s="10">
        <f t="shared" si="5"/>
        <v>4035.9743322635486</v>
      </c>
      <c r="J28" s="10">
        <f t="shared" si="3"/>
        <v>6875170277.9447441</v>
      </c>
      <c r="K28" s="11">
        <f t="shared" si="4"/>
        <v>7.7755119999999955E-2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1640004.091944407</v>
      </c>
      <c r="D29" s="11">
        <v>3.8300000000000001E-2</v>
      </c>
      <c r="E29" s="10">
        <f t="shared" si="2"/>
        <v>60495.190909631783</v>
      </c>
      <c r="F29" s="3"/>
      <c r="G29" s="29">
        <v>7.26</v>
      </c>
      <c r="H29" s="10"/>
      <c r="I29" s="10">
        <f t="shared" si="5"/>
        <v>3889.7208290897729</v>
      </c>
      <c r="J29" s="10">
        <f t="shared" si="3"/>
        <v>6379158076.2286186</v>
      </c>
      <c r="K29" s="11">
        <f t="shared" si="4"/>
        <v>0.11368058000000003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1579508.9010347752</v>
      </c>
      <c r="D30" s="11">
        <v>3.8600000000000002E-2</v>
      </c>
      <c r="E30" s="10">
        <f t="shared" si="2"/>
        <v>58703.103774256073</v>
      </c>
      <c r="F30" s="3"/>
      <c r="G30" s="29">
        <v>4.8</v>
      </c>
      <c r="H30" s="10"/>
      <c r="I30" s="10">
        <f t="shared" si="5"/>
        <v>3626.4411981071908</v>
      </c>
      <c r="J30" s="10">
        <f t="shared" si="3"/>
        <v>5727996151.489522</v>
      </c>
      <c r="K30" s="11">
        <f t="shared" si="4"/>
        <v>8.8452799999999998E-2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1520805.7972605191</v>
      </c>
      <c r="D31" s="11">
        <v>3.9100000000000003E-2</v>
      </c>
      <c r="E31" s="10">
        <f t="shared" si="2"/>
        <v>57225.971199005144</v>
      </c>
      <c r="F31" s="3"/>
      <c r="G31" s="29">
        <v>5.5</v>
      </c>
      <c r="H31" s="10"/>
      <c r="I31" s="10">
        <f t="shared" si="5"/>
        <v>3460.3446546824339</v>
      </c>
      <c r="J31" s="10">
        <f t="shared" si="3"/>
        <v>5262512211.3604946</v>
      </c>
      <c r="K31" s="11">
        <f t="shared" si="4"/>
        <v>9.6250499999999795E-2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1463579.826061514</v>
      </c>
      <c r="D32" s="11">
        <v>3.9600000000000003E-2</v>
      </c>
      <c r="E32" s="10">
        <f t="shared" si="2"/>
        <v>55750.058784182416</v>
      </c>
      <c r="F32" s="3"/>
      <c r="G32" s="29">
        <v>1.24</v>
      </c>
      <c r="H32" s="10"/>
      <c r="I32" s="10">
        <f t="shared" si="5"/>
        <v>3279.94753998335</v>
      </c>
      <c r="J32" s="10">
        <f t="shared" si="3"/>
        <v>4800465050.0597219</v>
      </c>
      <c r="K32" s="11">
        <f t="shared" si="4"/>
        <v>5.2491039999999822E-2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1407829.7672773316</v>
      </c>
      <c r="D33" s="11">
        <v>3.9899999999999998E-2</v>
      </c>
      <c r="E33" s="10">
        <f t="shared" si="2"/>
        <v>54017.124448856339</v>
      </c>
      <c r="F33" s="3"/>
      <c r="G33" s="29">
        <v>4.67</v>
      </c>
      <c r="H33" s="10"/>
      <c r="I33" s="10">
        <f t="shared" si="5"/>
        <v>3239.7743381897967</v>
      </c>
      <c r="J33" s="10">
        <f t="shared" si="3"/>
        <v>4561050752.5648127</v>
      </c>
      <c r="K33" s="11">
        <f t="shared" si="4"/>
        <v>8.8463330000000173E-2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1353812.6428284752</v>
      </c>
      <c r="D34" s="11">
        <v>4.0099999999999997E-2</v>
      </c>
      <c r="E34" s="10">
        <f t="shared" si="2"/>
        <v>52194.872586695477</v>
      </c>
      <c r="F34" s="3"/>
      <c r="G34" s="29">
        <v>-1.69</v>
      </c>
      <c r="H34" s="10"/>
      <c r="I34" s="10">
        <f t="shared" si="5"/>
        <v>3095.227226702777</v>
      </c>
      <c r="J34" s="10">
        <f t="shared" ref="J34:J65" si="6">IF(I34="","",I34*C34)</f>
        <v>4190357751.9371386</v>
      </c>
      <c r="K34" s="11">
        <f t="shared" ref="K34:K65" si="7">IFERROR(J34/J35-1,"")</f>
        <v>3.6043610000000115E-2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1301617.7702417797</v>
      </c>
      <c r="D35" s="11">
        <v>4.02E-2</v>
      </c>
      <c r="E35" s="10">
        <f t="shared" si="2"/>
        <v>50302.859415227314</v>
      </c>
      <c r="F35" s="3"/>
      <c r="G35" s="29">
        <v>-3.07</v>
      </c>
      <c r="H35" s="10"/>
      <c r="I35" s="10">
        <f t="shared" ref="I35:I66" si="8">IF(H35&lt;&gt;"",H35,I34/(1+IF(G34="",0,G34)/100))</f>
        <v>3107.345875617686</v>
      </c>
      <c r="J35" s="10">
        <f t="shared" si="6"/>
        <v>4044576609.9914832</v>
      </c>
      <c r="K35" s="11">
        <f t="shared" si="7"/>
        <v>3.6351259999999774E-2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1251314.9108265524</v>
      </c>
      <c r="D36" s="11">
        <v>0.04</v>
      </c>
      <c r="E36" s="10">
        <f t="shared" si="2"/>
        <v>48127.496570252115</v>
      </c>
      <c r="F36" s="3"/>
      <c r="G36" s="29">
        <v>-5.78</v>
      </c>
      <c r="H36" s="10"/>
      <c r="I36" s="10">
        <f t="shared" si="8"/>
        <v>3118.885752903429</v>
      </c>
      <c r="J36" s="10">
        <f t="shared" si="6"/>
        <v>3902708247.7725592</v>
      </c>
      <c r="K36" s="11">
        <f t="shared" si="7"/>
        <v>2.9808000000000057E-2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1203187.4142563003</v>
      </c>
      <c r="D37" s="11">
        <v>3.95E-2</v>
      </c>
      <c r="E37" s="10">
        <f t="shared" si="2"/>
        <v>45719.964274289552</v>
      </c>
      <c r="F37" s="3"/>
      <c r="G37" s="29">
        <v>-2.56</v>
      </c>
      <c r="H37" s="10"/>
      <c r="I37" s="10">
        <f t="shared" si="8"/>
        <v>3149.7533355922328</v>
      </c>
      <c r="J37" s="10">
        <f t="shared" si="6"/>
        <v>3789743571.3963757</v>
      </c>
      <c r="K37" s="11">
        <f t="shared" si="7"/>
        <v>6.7982300000000162E-2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1157467.4499820108</v>
      </c>
      <c r="D38" s="11">
        <v>3.8600000000000002E-2</v>
      </c>
      <c r="E38" s="10">
        <f t="shared" si="2"/>
        <v>43017.758106398629</v>
      </c>
      <c r="F38" s="3"/>
      <c r="G38" s="29">
        <v>-1.2</v>
      </c>
      <c r="H38" s="10"/>
      <c r="I38" s="10">
        <f t="shared" si="8"/>
        <v>3065.7517379718051</v>
      </c>
      <c r="J38" s="10">
        <f t="shared" si="6"/>
        <v>3548507846.428143</v>
      </c>
      <c r="K38" s="11">
        <f t="shared" si="7"/>
        <v>6.4564999999999761E-2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1114449.6918756121</v>
      </c>
      <c r="D39" s="11">
        <v>3.7699999999999997E-2</v>
      </c>
      <c r="E39" s="10">
        <f t="shared" si="2"/>
        <v>40488.342857965268</v>
      </c>
      <c r="F39" s="3"/>
      <c r="G39" s="29">
        <v>2.08</v>
      </c>
      <c r="H39" s="10"/>
      <c r="I39" s="10">
        <f t="shared" si="8"/>
        <v>2990.9773053383469</v>
      </c>
      <c r="J39" s="10">
        <f t="shared" si="6"/>
        <v>3333293736.3412695</v>
      </c>
      <c r="K39" s="11">
        <f t="shared" si="7"/>
        <v>5.9284159999999808E-2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1073961.3490176469</v>
      </c>
      <c r="D40" s="11">
        <v>3.6700000000000003E-2</v>
      </c>
      <c r="E40" s="10">
        <f t="shared" si="2"/>
        <v>38019.081227884279</v>
      </c>
      <c r="F40" s="3"/>
      <c r="G40" s="29">
        <v>0.05</v>
      </c>
      <c r="H40" s="10"/>
      <c r="I40" s="10">
        <f t="shared" si="8"/>
        <v>2930.0326267029263</v>
      </c>
      <c r="J40" s="10">
        <f t="shared" si="6"/>
        <v>3146741792.4395943</v>
      </c>
      <c r="K40" s="11">
        <f t="shared" si="7"/>
        <v>3.7218350000000067E-2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1035942.2677897626</v>
      </c>
      <c r="D41" s="11">
        <v>4.07E-2</v>
      </c>
      <c r="E41" s="10">
        <f t="shared" si="2"/>
        <v>40513.933217107086</v>
      </c>
      <c r="F41" s="3"/>
      <c r="G41" s="29">
        <v>3.31</v>
      </c>
      <c r="H41" s="10"/>
      <c r="I41" s="10">
        <f t="shared" si="8"/>
        <v>2928.5683425316606</v>
      </c>
      <c r="J41" s="10">
        <f t="shared" si="6"/>
        <v>3033827730.1395545</v>
      </c>
      <c r="K41" s="11">
        <f t="shared" si="7"/>
        <v>7.514716999999993E-2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995428.3345726555</v>
      </c>
      <c r="D42" s="11">
        <v>4.5600000000000002E-2</v>
      </c>
      <c r="E42" s="10">
        <f t="shared" si="2"/>
        <v>43411.947261393652</v>
      </c>
      <c r="F42" s="3"/>
      <c r="G42" s="29">
        <v>-3.99</v>
      </c>
      <c r="H42" s="10"/>
      <c r="I42" s="10">
        <f t="shared" si="8"/>
        <v>2834.7384982399194</v>
      </c>
      <c r="J42" s="10">
        <f t="shared" si="6"/>
        <v>2821779022.2519536</v>
      </c>
      <c r="K42" s="11">
        <f t="shared" si="7"/>
        <v>3.8805600000002549E-3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952016.38731126185</v>
      </c>
      <c r="D43" s="11">
        <v>4.5699999999999998E-2</v>
      </c>
      <c r="E43" s="10">
        <f t="shared" si="2"/>
        <v>41605.765420411946</v>
      </c>
      <c r="F43" s="3"/>
      <c r="G43" s="29">
        <v>2.11</v>
      </c>
      <c r="H43" s="10"/>
      <c r="I43" s="10">
        <f t="shared" si="8"/>
        <v>2952.5450455576706</v>
      </c>
      <c r="J43" s="10">
        <f t="shared" si="6"/>
        <v>2810871267.6455784</v>
      </c>
      <c r="K43" s="11">
        <f t="shared" si="7"/>
        <v>6.7764270000000071E-2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910410.6218908499</v>
      </c>
      <c r="D44" s="11">
        <v>4.5499999999999999E-2</v>
      </c>
      <c r="E44" s="10">
        <f t="shared" si="2"/>
        <v>39620.930938339327</v>
      </c>
      <c r="F44" s="3"/>
      <c r="G44" s="29">
        <v>6.19</v>
      </c>
      <c r="H44" s="10"/>
      <c r="I44" s="10">
        <f t="shared" si="8"/>
        <v>2891.5336848082175</v>
      </c>
      <c r="J44" s="10">
        <f t="shared" si="6"/>
        <v>2632482980.2045898</v>
      </c>
      <c r="K44" s="11">
        <f t="shared" si="7"/>
        <v>0.11021645000000024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870789.69095251057</v>
      </c>
      <c r="D45" s="11">
        <v>4.48E-2</v>
      </c>
      <c r="E45" s="10">
        <f t="shared" si="2"/>
        <v>37338.608494135202</v>
      </c>
      <c r="F45" s="3"/>
      <c r="G45" s="29">
        <v>7.12</v>
      </c>
      <c r="H45" s="10"/>
      <c r="I45" s="10">
        <f t="shared" si="8"/>
        <v>2722.9811515285969</v>
      </c>
      <c r="J45" s="10">
        <f t="shared" si="6"/>
        <v>2371143915.4090981</v>
      </c>
      <c r="K45" s="11">
        <f t="shared" si="7"/>
        <v>0.11918975999999981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833451.08245837537</v>
      </c>
      <c r="D46" s="11">
        <v>4.3299999999999998E-2</v>
      </c>
      <c r="E46" s="10">
        <f t="shared" si="2"/>
        <v>34590.656446321867</v>
      </c>
      <c r="F46" s="3"/>
      <c r="G46" s="29">
        <v>3.9</v>
      </c>
      <c r="H46" s="10"/>
      <c r="I46" s="10">
        <f t="shared" si="8"/>
        <v>2541.9913662514909</v>
      </c>
      <c r="J46" s="10">
        <f t="shared" si="6"/>
        <v>2118625455.8021495</v>
      </c>
      <c r="K46" s="11">
        <f t="shared" si="7"/>
        <v>8.3988699999999916E-2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798860.4260120535</v>
      </c>
      <c r="D47" s="11">
        <v>4.1399999999999999E-2</v>
      </c>
      <c r="E47" s="10">
        <f t="shared" si="2"/>
        <v>31758.038829363417</v>
      </c>
      <c r="F47" s="3"/>
      <c r="G47" s="29">
        <v>-0.43</v>
      </c>
      <c r="H47" s="10"/>
      <c r="I47" s="10">
        <f t="shared" si="8"/>
        <v>2446.5749434566806</v>
      </c>
      <c r="J47" s="10">
        <f t="shared" si="6"/>
        <v>1954471901.6002195</v>
      </c>
      <c r="K47" s="11">
        <f t="shared" si="7"/>
        <v>3.6921980000000021E-2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767102.38718269009</v>
      </c>
      <c r="D48" s="11">
        <v>3.9699999999999999E-2</v>
      </c>
      <c r="E48" s="10">
        <f t="shared" si="2"/>
        <v>29291.107791817631</v>
      </c>
      <c r="F48" s="3"/>
      <c r="G48" s="29">
        <v>9.26</v>
      </c>
      <c r="H48" s="10"/>
      <c r="I48" s="10">
        <f t="shared" si="8"/>
        <v>2457.1406482441303</v>
      </c>
      <c r="J48" s="10">
        <f t="shared" si="6"/>
        <v>1884878456.911695</v>
      </c>
      <c r="K48" s="11">
        <f t="shared" si="7"/>
        <v>0.13597621999999987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737811.27939087246</v>
      </c>
      <c r="D49" s="11">
        <v>3.8899999999999997E-2</v>
      </c>
      <c r="E49" s="10">
        <f t="shared" si="2"/>
        <v>27626.199603720219</v>
      </c>
      <c r="F49" s="3"/>
      <c r="G49" s="29">
        <v>6.29</v>
      </c>
      <c r="H49" s="10"/>
      <c r="I49" s="10">
        <f t="shared" si="8"/>
        <v>2248.8931431851825</v>
      </c>
      <c r="J49" s="10">
        <f t="shared" si="6"/>
        <v>1659258727.18682</v>
      </c>
      <c r="K49" s="11">
        <f t="shared" si="7"/>
        <v>0.1042468099999998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710185.07978715224</v>
      </c>
      <c r="D50" s="11">
        <v>3.8699999999999998E-2</v>
      </c>
      <c r="E50" s="10">
        <f t="shared" si="2"/>
        <v>26460.154604566051</v>
      </c>
      <c r="F50" s="3"/>
      <c r="G50" s="29">
        <v>5.52</v>
      </c>
      <c r="H50" s="10"/>
      <c r="I50" s="10">
        <f t="shared" si="8"/>
        <v>2115.808771460328</v>
      </c>
      <c r="J50" s="10">
        <f t="shared" si="6"/>
        <v>1502615821.1739097</v>
      </c>
      <c r="K50" s="11">
        <f t="shared" si="7"/>
        <v>9.6036239999999884E-2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683724.92518258619</v>
      </c>
      <c r="D51" s="11">
        <v>3.8699999999999998E-2</v>
      </c>
      <c r="E51" s="10">
        <f t="shared" si="2"/>
        <v>25474.29922457505</v>
      </c>
      <c r="F51" s="3"/>
      <c r="G51" s="29">
        <v>11.64</v>
      </c>
      <c r="H51" s="10"/>
      <c r="I51" s="10">
        <f t="shared" si="8"/>
        <v>2005.1258258721837</v>
      </c>
      <c r="J51" s="10">
        <f t="shared" si="6"/>
        <v>1370954505.2761302</v>
      </c>
      <c r="K51" s="11">
        <f t="shared" si="7"/>
        <v>0.15960468000000017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658250.62595801114</v>
      </c>
      <c r="D52" s="11">
        <v>3.8699999999999998E-2</v>
      </c>
      <c r="E52" s="10">
        <f t="shared" si="2"/>
        <v>24525.17495386058</v>
      </c>
      <c r="F52" s="3"/>
      <c r="G52" s="29">
        <v>4.3600000000000003</v>
      </c>
      <c r="H52" s="10"/>
      <c r="I52" s="10">
        <f t="shared" si="8"/>
        <v>1796.0639787461337</v>
      </c>
      <c r="J52" s="10">
        <f t="shared" si="6"/>
        <v>1182260238.2702785</v>
      </c>
      <c r="K52" s="11">
        <f t="shared" si="7"/>
        <v>8.3987320000000087E-2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633725.45100415056</v>
      </c>
      <c r="D53" s="11">
        <v>3.8600000000000002E-2</v>
      </c>
      <c r="E53" s="10">
        <f t="shared" si="2"/>
        <v>23552.669371038093</v>
      </c>
      <c r="F53" s="3"/>
      <c r="G53" s="29">
        <v>5.51</v>
      </c>
      <c r="H53" s="10"/>
      <c r="I53" s="10">
        <f t="shared" si="8"/>
        <v>1721.0271931258467</v>
      </c>
      <c r="J53" s="10">
        <f t="shared" si="6"/>
        <v>1090658734.1540844</v>
      </c>
      <c r="K53" s="11">
        <f t="shared" si="7"/>
        <v>9.5826859999999847E-2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610172.78163311246</v>
      </c>
      <c r="D54" s="11">
        <v>3.85E-2</v>
      </c>
      <c r="E54" s="10">
        <f t="shared" si="2"/>
        <v>22620.753098579473</v>
      </c>
      <c r="F54" s="3"/>
      <c r="G54" s="29">
        <v>6.26</v>
      </c>
      <c r="H54" s="10"/>
      <c r="I54" s="10">
        <f t="shared" si="8"/>
        <v>1631.1507848790131</v>
      </c>
      <c r="J54" s="10">
        <f t="shared" si="6"/>
        <v>995283811.67266214</v>
      </c>
      <c r="K54" s="11">
        <f t="shared" si="7"/>
        <v>0.10351010000000005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587552.02853453299</v>
      </c>
      <c r="D55" s="11">
        <v>3.78E-2</v>
      </c>
      <c r="E55" s="10">
        <f t="shared" si="2"/>
        <v>21400.526766819647</v>
      </c>
      <c r="F55" s="3"/>
      <c r="G55" s="29">
        <v>9.1</v>
      </c>
      <c r="H55" s="10"/>
      <c r="I55" s="10">
        <f t="shared" si="8"/>
        <v>1535.0562628260993</v>
      </c>
      <c r="J55" s="10">
        <f t="shared" si="6"/>
        <v>901925421.13811386</v>
      </c>
      <c r="K55" s="11">
        <f t="shared" si="7"/>
        <v>0.13223980000000002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566151.50176771334</v>
      </c>
      <c r="D56" s="11">
        <v>3.6499999999999998E-2</v>
      </c>
      <c r="E56" s="10">
        <f t="shared" si="2"/>
        <v>19936.835325153428</v>
      </c>
      <c r="F56" s="3"/>
      <c r="G56" s="29">
        <v>8.14</v>
      </c>
      <c r="H56" s="10"/>
      <c r="I56" s="10">
        <f t="shared" si="8"/>
        <v>1407.0176561192479</v>
      </c>
      <c r="J56" s="10">
        <f t="shared" si="6"/>
        <v>796585159.02560031</v>
      </c>
      <c r="K56" s="11">
        <f t="shared" si="7"/>
        <v>0.12087109999999979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546214.66644255992</v>
      </c>
      <c r="D57" s="11">
        <v>3.5999999999999997E-2</v>
      </c>
      <c r="E57" s="10">
        <f t="shared" si="2"/>
        <v>18980.43242464494</v>
      </c>
      <c r="F57" s="3"/>
      <c r="G57" s="30">
        <v>3.95</v>
      </c>
      <c r="H57" s="10"/>
      <c r="I57" s="10">
        <f t="shared" si="8"/>
        <v>1301.1075051962716</v>
      </c>
      <c r="J57" s="10">
        <f t="shared" si="6"/>
        <v>710684001.95669281</v>
      </c>
      <c r="K57" s="11">
        <f t="shared" si="7"/>
        <v>7.6921999999999935E-2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527234.23401791498</v>
      </c>
      <c r="D58" s="11">
        <v>3.5000000000000003E-2</v>
      </c>
      <c r="E58" s="10">
        <f t="shared" si="2"/>
        <v>17829.176995774906</v>
      </c>
      <c r="F58" s="3"/>
      <c r="G58" s="30">
        <v>5.09</v>
      </c>
      <c r="H58" s="10"/>
      <c r="I58" s="10">
        <f t="shared" si="8"/>
        <v>1251.666671665485</v>
      </c>
      <c r="J58" s="10">
        <f t="shared" si="6"/>
        <v>659921518.8813051</v>
      </c>
      <c r="K58" s="11">
        <f t="shared" si="7"/>
        <v>8.7681499999999968E-2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509405.05702214007</v>
      </c>
      <c r="D59" s="11">
        <v>3.4000000000000002E-2</v>
      </c>
      <c r="E59" s="10">
        <f t="shared" si="2"/>
        <v>16750.262996859557</v>
      </c>
      <c r="F59" s="3"/>
      <c r="G59" s="30">
        <v>7.01</v>
      </c>
      <c r="H59" s="10"/>
      <c r="I59" s="10">
        <f t="shared" si="8"/>
        <v>1191.0426031644163</v>
      </c>
      <c r="J59" s="10">
        <f t="shared" si="6"/>
        <v>606723125.18076766</v>
      </c>
      <c r="K59" s="11">
        <f t="shared" si="7"/>
        <v>0.10648340000000012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492654.79402528051</v>
      </c>
      <c r="D60" s="11">
        <v>3.3000000000000002E-2</v>
      </c>
      <c r="E60" s="10">
        <f t="shared" si="2"/>
        <v>15738.246082124126</v>
      </c>
      <c r="F60" s="3"/>
      <c r="G60" s="30">
        <v>2.11</v>
      </c>
      <c r="H60" s="10"/>
      <c r="I60" s="10">
        <f t="shared" si="8"/>
        <v>1113.0199076389274</v>
      </c>
      <c r="J60" s="10">
        <f t="shared" si="6"/>
        <v>548334593.34389257</v>
      </c>
      <c r="K60" s="11">
        <f t="shared" si="7"/>
        <v>5.479630000000002E-2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476916.54794315639</v>
      </c>
      <c r="D61" s="11">
        <v>3.2000000000000001E-2</v>
      </c>
      <c r="E61" s="10">
        <f t="shared" si="2"/>
        <v>14788.110013741301</v>
      </c>
      <c r="F61" s="3"/>
      <c r="G61" s="30">
        <v>9.3699999999999992</v>
      </c>
      <c r="H61" s="10"/>
      <c r="I61" s="10">
        <f t="shared" si="8"/>
        <v>1090.0204756036896</v>
      </c>
      <c r="J61" s="10">
        <f t="shared" si="6"/>
        <v>519848802.41226918</v>
      </c>
      <c r="K61" s="11">
        <f t="shared" si="7"/>
        <v>0.12869839999999999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462128.43792941509</v>
      </c>
      <c r="D62" s="11">
        <v>3.1E-2</v>
      </c>
      <c r="E62" s="10">
        <f t="shared" si="2"/>
        <v>13895.229462475108</v>
      </c>
      <c r="F62" s="3"/>
      <c r="G62" s="30">
        <v>2.2999999999999998</v>
      </c>
      <c r="H62" s="10"/>
      <c r="I62" s="10">
        <f t="shared" si="8"/>
        <v>996.63570961295579</v>
      </c>
      <c r="J62" s="10">
        <f t="shared" si="6"/>
        <v>460573703.66810942</v>
      </c>
      <c r="K62" s="11">
        <f t="shared" si="7"/>
        <v>5.4713000000000012E-2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448233.20846693998</v>
      </c>
      <c r="D63" s="11">
        <v>0.03</v>
      </c>
      <c r="E63" s="10">
        <f t="shared" si="2"/>
        <v>13055.336168940004</v>
      </c>
      <c r="F63" s="3"/>
      <c r="G63" s="30">
        <v>8.1199999999999992</v>
      </c>
      <c r="H63" s="10"/>
      <c r="I63" s="10">
        <f t="shared" si="8"/>
        <v>974.22845514462938</v>
      </c>
      <c r="J63" s="10">
        <f t="shared" si="6"/>
        <v>436681546.22926754</v>
      </c>
      <c r="K63" s="11">
        <f t="shared" si="7"/>
        <v>0.11363599999999985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435177.87229799997</v>
      </c>
      <c r="D64" s="11">
        <v>2.8000000000000001E-2</v>
      </c>
      <c r="E64" s="10">
        <f t="shared" si="2"/>
        <v>11853.093798000016</v>
      </c>
      <c r="F64" s="3"/>
      <c r="G64" s="30">
        <v>-3.47</v>
      </c>
      <c r="H64" s="10"/>
      <c r="I64" s="10">
        <f t="shared" si="8"/>
        <v>901.06220416632391</v>
      </c>
      <c r="J64" s="10">
        <f t="shared" si="6"/>
        <v>392122332.81724691</v>
      </c>
      <c r="K64" s="11">
        <f t="shared" si="7"/>
        <v>-7.6715999999998896E-3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423324.77849999996</v>
      </c>
      <c r="D65" s="11">
        <v>2.7E-2</v>
      </c>
      <c r="E65" s="10">
        <f t="shared" si="2"/>
        <v>11129.278499999957</v>
      </c>
      <c r="F65" s="3"/>
      <c r="G65" s="30">
        <v>2.02</v>
      </c>
      <c r="H65" s="10"/>
      <c r="I65" s="10">
        <f t="shared" si="8"/>
        <v>933.4530241026871</v>
      </c>
      <c r="J65" s="10">
        <f t="shared" si="6"/>
        <v>395153794.66842514</v>
      </c>
      <c r="K65" s="11">
        <f t="shared" si="7"/>
        <v>4.7745399999999938E-2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412195.5</v>
      </c>
      <c r="D66" s="11">
        <v>2.5999999999999999E-2</v>
      </c>
      <c r="E66" s="10">
        <f t="shared" si="2"/>
        <v>10445.5</v>
      </c>
      <c r="F66" s="23">
        <f>SUM(F2)</f>
        <v>3626297</v>
      </c>
      <c r="G66" s="30">
        <v>12.54</v>
      </c>
      <c r="H66" s="10"/>
      <c r="I66" s="10">
        <f t="shared" si="8"/>
        <v>914.97061762662918</v>
      </c>
      <c r="J66" s="10">
        <f t="shared" ref="J66:J67" si="9">IF(I66="","",I66*C66)</f>
        <v>377146771.2179172</v>
      </c>
      <c r="K66" s="11">
        <f t="shared" ref="K66" si="10">IFERROR(J66/J67-1,"")</f>
        <v>0.15466039999999981</v>
      </c>
    </row>
    <row r="67" spans="1:11" ht="22.5" customHeight="1">
      <c r="A67" s="3">
        <f t="shared" si="0"/>
        <v>1950</v>
      </c>
      <c r="B67" s="3">
        <v>1700</v>
      </c>
      <c r="C67" s="10">
        <v>401750</v>
      </c>
      <c r="D67" s="11">
        <v>2.5000000000000001E-2</v>
      </c>
      <c r="E67" s="3" t="s">
        <v>72</v>
      </c>
      <c r="F67" s="10">
        <f>SUM(C2)</f>
        <v>3625515.5776931201</v>
      </c>
      <c r="G67" s="29">
        <v>6.26</v>
      </c>
      <c r="H67" s="10"/>
      <c r="I67" s="10">
        <f t="shared" ref="I67" si="11">IF(H67&lt;&gt;"",H67,I66/(1+IF(G66="",0,G66)/100))</f>
        <v>813.01814255076351</v>
      </c>
      <c r="J67" s="10">
        <f t="shared" si="9"/>
        <v>326630038.76976925</v>
      </c>
      <c r="K67" s="11"/>
    </row>
  </sheetData>
  <dataValidations count="1">
    <dataValidation type="custom" allowBlank="1" showDropDown="1" sqref="D2:D67" xr:uid="{00000000-0002-0000-7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outlinePr summaryBelow="0" summaryRight="0"/>
  </sheetPr>
  <dimension ref="A1:M67"/>
  <sheetViews>
    <sheetView topLeftCell="A10" workbookViewId="0">
      <selection activeCell="I42" sqref="I4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233718.10206313126</v>
      </c>
      <c r="D2" s="11">
        <v>1.95E-2</v>
      </c>
      <c r="E2" s="10">
        <f t="shared" ref="E2:E66" si="2">SUM(C2-C3)</f>
        <v>4470.3315254841291</v>
      </c>
      <c r="F2" s="14">
        <v>233966</v>
      </c>
      <c r="G2" s="29">
        <v>9.6199999999999992</v>
      </c>
      <c r="H2" s="10"/>
      <c r="I2" s="10">
        <f>IF(H2&lt;&gt;"",H2,49208)</f>
        <v>6151</v>
      </c>
      <c r="J2" s="10">
        <f t="shared" ref="J2:J33" si="3">IF(I2="","",I2*C2)</f>
        <v>1437600045.7903204</v>
      </c>
      <c r="K2" s="11">
        <f t="shared" ref="K2:K33" si="4">IFERROR(J2/J3-1,"")</f>
        <v>0.11757590000000007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229247.77053764713</v>
      </c>
      <c r="D3" s="11">
        <v>2.12E-2</v>
      </c>
      <c r="E3" s="10">
        <f t="shared" si="2"/>
        <v>4759.1585736370471</v>
      </c>
      <c r="G3" s="29">
        <v>7.63</v>
      </c>
      <c r="H3" s="10"/>
      <c r="I3" s="10">
        <f t="shared" ref="I3:I34" si="5">IF(H3&lt;&gt;"",H3,I2/(1+IF(G2="",0,G2)/100))</f>
        <v>5611.2023353402665</v>
      </c>
      <c r="J3" s="10">
        <f t="shared" si="3"/>
        <v>1286355625.412395</v>
      </c>
      <c r="K3" s="11">
        <f t="shared" si="4"/>
        <v>9.9117560000000049E-2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224488.61196401008</v>
      </c>
      <c r="D4" s="11">
        <v>2.41E-2</v>
      </c>
      <c r="E4" s="10">
        <f t="shared" si="2"/>
        <v>5282.8586547531013</v>
      </c>
      <c r="F4" s="3"/>
      <c r="G4" s="29">
        <v>6.29</v>
      </c>
      <c r="H4" s="10"/>
      <c r="I4" s="10">
        <f t="shared" si="5"/>
        <v>5213.4185035215705</v>
      </c>
      <c r="J4" s="10">
        <f t="shared" si="3"/>
        <v>1170353083.4430439</v>
      </c>
      <c r="K4" s="11">
        <f t="shared" si="4"/>
        <v>8.8515889999999819E-2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219205.75330925698</v>
      </c>
      <c r="D5" s="11">
        <v>1.66E-2</v>
      </c>
      <c r="E5" s="10">
        <f t="shared" si="2"/>
        <v>3579.3975063285907</v>
      </c>
      <c r="F5" s="3"/>
      <c r="G5" s="29">
        <v>4.0999999999999996</v>
      </c>
      <c r="H5" s="10"/>
      <c r="I5" s="10">
        <f t="shared" si="5"/>
        <v>4904.9002761516331</v>
      </c>
      <c r="J5" s="10">
        <f t="shared" si="3"/>
        <v>1075182359.9406013</v>
      </c>
      <c r="K5" s="11">
        <f t="shared" si="4"/>
        <v>5.8280599999999794E-2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215626.35580292839</v>
      </c>
      <c r="D6" s="11">
        <v>5.4999999999999997E-3</v>
      </c>
      <c r="E6" s="10">
        <f t="shared" si="2"/>
        <v>1179.4579382557131</v>
      </c>
      <c r="F6" s="3"/>
      <c r="G6" s="29">
        <v>0.99</v>
      </c>
      <c r="H6" s="10"/>
      <c r="I6" s="10">
        <f t="shared" si="5"/>
        <v>4711.7197657556517</v>
      </c>
      <c r="J6" s="10">
        <f t="shared" si="3"/>
        <v>1015970962.6545186</v>
      </c>
      <c r="K6" s="11">
        <f t="shared" si="4"/>
        <v>1.5454450000000008E-2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214446.89786467268</v>
      </c>
      <c r="D7" s="11">
        <v>2.7000000000000001E-3</v>
      </c>
      <c r="E7" s="10">
        <f t="shared" si="2"/>
        <v>577.44751594154513</v>
      </c>
      <c r="F7" s="3"/>
      <c r="G7" s="29">
        <v>6.2</v>
      </c>
      <c r="H7" s="10"/>
      <c r="I7" s="10">
        <f t="shared" si="5"/>
        <v>4665.5310087688404</v>
      </c>
      <c r="J7" s="10">
        <f t="shared" si="3"/>
        <v>1000508651.7219148</v>
      </c>
      <c r="K7" s="11">
        <f t="shared" si="4"/>
        <v>6.4867399999999797E-2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213869.45034873113</v>
      </c>
      <c r="D8" s="11">
        <v>6.9999999999999999E-4</v>
      </c>
      <c r="E8" s="10">
        <f t="shared" si="2"/>
        <v>149.60389251934248</v>
      </c>
      <c r="F8" s="3"/>
      <c r="G8" s="29">
        <v>-1.4</v>
      </c>
      <c r="H8" s="10"/>
      <c r="I8" s="10">
        <f t="shared" si="5"/>
        <v>4393.1553754885499</v>
      </c>
      <c r="J8" s="10">
        <f t="shared" si="3"/>
        <v>939561725.45230973</v>
      </c>
      <c r="K8" s="11">
        <f t="shared" si="4"/>
        <v>-1.3309800000000038E-2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213719.84645621179</v>
      </c>
      <c r="D9" s="11">
        <v>-1.1000000000000001E-3</v>
      </c>
      <c r="E9" s="10">
        <f t="shared" si="2"/>
        <v>-235.35071689041797</v>
      </c>
      <c r="F9" s="3"/>
      <c r="G9" s="29">
        <v>4.41</v>
      </c>
      <c r="H9" s="10"/>
      <c r="I9" s="10">
        <f t="shared" si="5"/>
        <v>4455.5328351810849</v>
      </c>
      <c r="J9" s="10">
        <f t="shared" si="3"/>
        <v>952235793.41551149</v>
      </c>
      <c r="K9" s="11">
        <f t="shared" si="4"/>
        <v>4.2951490000000092E-2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213955.19717310221</v>
      </c>
      <c r="D10" s="11">
        <v>-1.4E-3</v>
      </c>
      <c r="E10" s="10">
        <f t="shared" si="2"/>
        <v>-299.95721614494687</v>
      </c>
      <c r="F10" s="3"/>
      <c r="G10" s="29">
        <v>5.04</v>
      </c>
      <c r="H10" s="10"/>
      <c r="I10" s="10">
        <f t="shared" si="5"/>
        <v>4267.3430085059717</v>
      </c>
      <c r="J10" s="10">
        <f t="shared" si="3"/>
        <v>913020214.79015434</v>
      </c>
      <c r="K10" s="11">
        <f t="shared" si="4"/>
        <v>4.8929439999999991E-2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214255.15438924715</v>
      </c>
      <c r="D11" s="11">
        <v>-1.5E-3</v>
      </c>
      <c r="E11" s="10">
        <f t="shared" si="2"/>
        <v>-321.86552987867617</v>
      </c>
      <c r="F11" s="3"/>
      <c r="G11" s="29">
        <v>2.34</v>
      </c>
      <c r="H11" s="10"/>
      <c r="I11" s="10">
        <f t="shared" si="5"/>
        <v>4062.5885457977643</v>
      </c>
      <c r="J11" s="10">
        <f t="shared" si="3"/>
        <v>870430536.09988701</v>
      </c>
      <c r="K11" s="11">
        <f t="shared" si="4"/>
        <v>2.1864900000000187E-2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214577.01991912583</v>
      </c>
      <c r="D12" s="11">
        <v>-1.1000000000000001E-3</v>
      </c>
      <c r="E12" s="10">
        <f t="shared" si="2"/>
        <v>-236.29464602164808</v>
      </c>
      <c r="F12" s="3"/>
      <c r="G12" s="29">
        <v>2.88</v>
      </c>
      <c r="H12" s="10"/>
      <c r="I12" s="10">
        <f t="shared" si="5"/>
        <v>3969.6976214557003</v>
      </c>
      <c r="J12" s="10">
        <f t="shared" si="3"/>
        <v>851805885.59200621</v>
      </c>
      <c r="K12" s="11">
        <f t="shared" si="4"/>
        <v>2.7668319999999857E-2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214813.31456514748</v>
      </c>
      <c r="D13" s="11">
        <v>1E-4</v>
      </c>
      <c r="E13" s="10">
        <f t="shared" si="2"/>
        <v>21.479183538147481</v>
      </c>
      <c r="F13" s="3"/>
      <c r="G13" s="29">
        <v>0.41</v>
      </c>
      <c r="H13" s="10"/>
      <c r="I13" s="10">
        <f t="shared" si="5"/>
        <v>3858.5707829079515</v>
      </c>
      <c r="J13" s="10">
        <f t="shared" si="3"/>
        <v>828872379.36069322</v>
      </c>
      <c r="K13" s="11">
        <f t="shared" si="4"/>
        <v>4.2004099999999323E-3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214791.83538160933</v>
      </c>
      <c r="D14" s="11">
        <v>-2.3E-3</v>
      </c>
      <c r="E14" s="10">
        <f t="shared" si="2"/>
        <v>-495.16008958374732</v>
      </c>
      <c r="F14" s="3"/>
      <c r="G14" s="29">
        <v>3.69</v>
      </c>
      <c r="H14" s="10"/>
      <c r="I14" s="10">
        <f t="shared" si="5"/>
        <v>3842.8152404222205</v>
      </c>
      <c r="J14" s="10">
        <f t="shared" si="3"/>
        <v>825405338.52270913</v>
      </c>
      <c r="K14" s="11">
        <f t="shared" si="4"/>
        <v>3.4515129999999949E-2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215286.99547119308</v>
      </c>
      <c r="D15" s="11">
        <v>-4.7000000000000002E-3</v>
      </c>
      <c r="E15" s="10">
        <f t="shared" si="2"/>
        <v>-1016.6270257355645</v>
      </c>
      <c r="F15" s="3"/>
      <c r="G15" s="29">
        <v>2.74</v>
      </c>
      <c r="H15" s="10"/>
      <c r="I15" s="10">
        <f t="shared" si="5"/>
        <v>3706.0615685429848</v>
      </c>
      <c r="J15" s="10">
        <f t="shared" si="3"/>
        <v>797866860.12287629</v>
      </c>
      <c r="K15" s="11">
        <f t="shared" si="4"/>
        <v>2.2571220000000114E-2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216303.62249692864</v>
      </c>
      <c r="D16" s="11">
        <v>-3.7000000000000002E-3</v>
      </c>
      <c r="E16" s="10">
        <f t="shared" si="2"/>
        <v>-803.29559694734053</v>
      </c>
      <c r="F16" s="3"/>
      <c r="G16" s="29">
        <v>-0.76</v>
      </c>
      <c r="H16" s="10"/>
      <c r="I16" s="10">
        <f t="shared" si="5"/>
        <v>3607.223640785463</v>
      </c>
      <c r="J16" s="10">
        <f t="shared" si="3"/>
        <v>780255540.65845525</v>
      </c>
      <c r="K16" s="11">
        <f t="shared" si="4"/>
        <v>-1.1271880000000234E-2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217106.91809387598</v>
      </c>
      <c r="D17" s="11">
        <v>-1.9E-3</v>
      </c>
      <c r="E17" s="10">
        <f t="shared" si="2"/>
        <v>-413.28839232376777</v>
      </c>
      <c r="F17" s="3"/>
      <c r="G17" s="29">
        <v>19.68</v>
      </c>
      <c r="H17" s="10"/>
      <c r="I17" s="10">
        <f t="shared" si="5"/>
        <v>3634.848489304175</v>
      </c>
      <c r="J17" s="10">
        <f t="shared" si="3"/>
        <v>789150753.25101042</v>
      </c>
      <c r="K17" s="11">
        <f t="shared" si="4"/>
        <v>0.19452608000000016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217520.20648619975</v>
      </c>
      <c r="D18" s="11">
        <v>-1.1000000000000001E-3</v>
      </c>
      <c r="E18" s="10">
        <f t="shared" si="2"/>
        <v>-239.53571642289171</v>
      </c>
      <c r="F18" s="3"/>
      <c r="G18" s="29">
        <v>4.72</v>
      </c>
      <c r="H18" s="10"/>
      <c r="I18" s="10">
        <f t="shared" si="5"/>
        <v>3037.139446276884</v>
      </c>
      <c r="J18" s="10">
        <f t="shared" si="3"/>
        <v>660639199.48153019</v>
      </c>
      <c r="K18" s="11">
        <f t="shared" si="4"/>
        <v>4.6048079999999825E-2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217759.74220262264</v>
      </c>
      <c r="D19" s="11">
        <v>1E-4</v>
      </c>
      <c r="E19" s="10">
        <f t="shared" si="2"/>
        <v>21.773796840570867</v>
      </c>
      <c r="F19" s="3"/>
      <c r="G19" s="29">
        <v>5.13</v>
      </c>
      <c r="H19" s="10"/>
      <c r="I19" s="10">
        <f t="shared" si="5"/>
        <v>2900.2477523652447</v>
      </c>
      <c r="J19" s="10">
        <f t="shared" si="3"/>
        <v>631557202.87879145</v>
      </c>
      <c r="K19" s="11">
        <f t="shared" si="4"/>
        <v>5.1405130000000021E-2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217737.96840578207</v>
      </c>
      <c r="D20" s="11">
        <v>1.4E-3</v>
      </c>
      <c r="E20" s="10">
        <f t="shared" si="2"/>
        <v>304.40698598773452</v>
      </c>
      <c r="F20" s="3"/>
      <c r="G20" s="29">
        <v>5.26</v>
      </c>
      <c r="H20" s="10"/>
      <c r="I20" s="10">
        <f t="shared" si="5"/>
        <v>2758.725152064344</v>
      </c>
      <c r="J20" s="10">
        <f t="shared" si="3"/>
        <v>600679210.00042248</v>
      </c>
      <c r="K20" s="11">
        <f t="shared" si="4"/>
        <v>5.4073640000000145E-2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217433.56141979434</v>
      </c>
      <c r="D21" s="11">
        <v>1.8E-3</v>
      </c>
      <c r="E21" s="10">
        <f t="shared" si="2"/>
        <v>390.6771916107391</v>
      </c>
      <c r="F21" s="3"/>
      <c r="G21" s="29">
        <v>3.78</v>
      </c>
      <c r="H21" s="10"/>
      <c r="I21" s="10">
        <f t="shared" si="5"/>
        <v>2620.8675204867413</v>
      </c>
      <c r="J21" s="10">
        <f t="shared" si="3"/>
        <v>569864558.98889792</v>
      </c>
      <c r="K21" s="11">
        <f t="shared" si="4"/>
        <v>3.9668040000000016E-2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217042.8842281836</v>
      </c>
      <c r="D22" s="11">
        <v>2.8E-3</v>
      </c>
      <c r="E22" s="10">
        <f t="shared" si="2"/>
        <v>606.02321084850701</v>
      </c>
      <c r="F22" s="3"/>
      <c r="G22" s="29">
        <v>6.34</v>
      </c>
      <c r="H22" s="10"/>
      <c r="I22" s="10">
        <f t="shared" si="5"/>
        <v>2525.4071309373107</v>
      </c>
      <c r="J22" s="10">
        <f t="shared" si="3"/>
        <v>548121647.54905605</v>
      </c>
      <c r="K22" s="11">
        <f t="shared" si="4"/>
        <v>6.6377519999999635E-2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216436.86101733509</v>
      </c>
      <c r="D23" s="11">
        <v>3.5000000000000001E-3</v>
      </c>
      <c r="E23" s="10">
        <f t="shared" si="2"/>
        <v>754.8869093778485</v>
      </c>
      <c r="F23" s="3"/>
      <c r="G23" s="29">
        <v>5.65</v>
      </c>
      <c r="H23" s="10"/>
      <c r="I23" s="10">
        <f t="shared" si="5"/>
        <v>2374.8421393053518</v>
      </c>
      <c r="J23" s="10">
        <f t="shared" si="3"/>
        <v>514003378.04294318</v>
      </c>
      <c r="K23" s="11">
        <f t="shared" si="4"/>
        <v>6.0197749999999939E-2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215681.97410795724</v>
      </c>
      <c r="D24" s="11">
        <v>8.0999999999999996E-3</v>
      </c>
      <c r="E24" s="10">
        <f t="shared" si="2"/>
        <v>1732.9867972169886</v>
      </c>
      <c r="F24" s="3"/>
      <c r="G24" s="29">
        <v>4.4800000000000004</v>
      </c>
      <c r="H24" s="10"/>
      <c r="I24" s="10">
        <f t="shared" si="5"/>
        <v>2247.8392231948433</v>
      </c>
      <c r="J24" s="10">
        <f t="shared" si="3"/>
        <v>484818401.13596088</v>
      </c>
      <c r="K24" s="11">
        <f t="shared" si="4"/>
        <v>5.3262879999999901E-2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213948.98731074025</v>
      </c>
      <c r="D25" s="11">
        <v>1.72E-2</v>
      </c>
      <c r="E25" s="10">
        <f t="shared" si="2"/>
        <v>3617.6981731662818</v>
      </c>
      <c r="F25" s="3"/>
      <c r="G25" s="29">
        <v>4.6900000000000004</v>
      </c>
      <c r="H25" s="10"/>
      <c r="I25" s="10">
        <f t="shared" si="5"/>
        <v>2151.4540803932268</v>
      </c>
      <c r="J25" s="10">
        <f t="shared" si="3"/>
        <v>460301421.74569082</v>
      </c>
      <c r="K25" s="11">
        <f t="shared" si="4"/>
        <v>6.4906679999999772E-2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210331.28913757397</v>
      </c>
      <c r="D26" s="11">
        <v>2.3400000000000001E-2</v>
      </c>
      <c r="E26" s="10">
        <f t="shared" si="2"/>
        <v>4809.2164997256768</v>
      </c>
      <c r="F26" s="3"/>
      <c r="G26" s="29">
        <v>6.26</v>
      </c>
      <c r="H26" s="10"/>
      <c r="I26" s="10">
        <f t="shared" si="5"/>
        <v>2055.0712392713986</v>
      </c>
      <c r="J26" s="10">
        <f t="shared" si="3"/>
        <v>432245783.02550501</v>
      </c>
      <c r="K26" s="11">
        <f t="shared" si="4"/>
        <v>8.746484000000021E-2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205522.07263784829</v>
      </c>
      <c r="D27" s="11">
        <v>2.4400000000000002E-2</v>
      </c>
      <c r="E27" s="10">
        <f t="shared" si="2"/>
        <v>4895.2934130842332</v>
      </c>
      <c r="F27" s="3"/>
      <c r="G27" s="29">
        <v>-2.29</v>
      </c>
      <c r="H27" s="10"/>
      <c r="I27" s="10">
        <f t="shared" si="5"/>
        <v>1934.0026720039511</v>
      </c>
      <c r="J27" s="10">
        <f t="shared" si="3"/>
        <v>397480237.63738877</v>
      </c>
      <c r="K27" s="11">
        <f t="shared" si="4"/>
        <v>9.4123999999995434E-4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200626.77922476406</v>
      </c>
      <c r="D28" s="11">
        <v>2.4299999999999999E-2</v>
      </c>
      <c r="E28" s="10">
        <f t="shared" si="2"/>
        <v>4759.5731086222513</v>
      </c>
      <c r="F28" s="3"/>
      <c r="G28" s="29">
        <v>8.18</v>
      </c>
      <c r="H28" s="10"/>
      <c r="I28" s="10">
        <f t="shared" si="5"/>
        <v>1979.3293132780177</v>
      </c>
      <c r="J28" s="10">
        <f t="shared" si="3"/>
        <v>397106465.14813274</v>
      </c>
      <c r="K28" s="11">
        <f t="shared" si="4"/>
        <v>0.10808774000000021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195867.20611614181</v>
      </c>
      <c r="D29" s="11">
        <v>2.4199999999999999E-2</v>
      </c>
      <c r="E29" s="10">
        <f t="shared" si="2"/>
        <v>4627.9890529297409</v>
      </c>
      <c r="F29" s="3"/>
      <c r="G29" s="29">
        <v>8.41</v>
      </c>
      <c r="H29" s="10"/>
      <c r="I29" s="10">
        <f t="shared" si="5"/>
        <v>1829.6628889610072</v>
      </c>
      <c r="J29" s="10">
        <f t="shared" si="3"/>
        <v>358370958.19518107</v>
      </c>
      <c r="K29" s="11">
        <f t="shared" si="4"/>
        <v>0.11033522000000007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191239.21706321207</v>
      </c>
      <c r="D30" s="11">
        <v>2.3099999999999999E-2</v>
      </c>
      <c r="E30" s="10">
        <f t="shared" si="2"/>
        <v>4317.8828209952044</v>
      </c>
      <c r="F30" s="3"/>
      <c r="G30" s="29">
        <v>4.1100000000000003</v>
      </c>
      <c r="H30" s="10"/>
      <c r="I30" s="10">
        <f t="shared" si="5"/>
        <v>1687.7251996688562</v>
      </c>
      <c r="J30" s="10">
        <f t="shared" si="3"/>
        <v>322759245.80252534</v>
      </c>
      <c r="K30" s="11">
        <f t="shared" si="4"/>
        <v>6.5149409999999852E-2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186921.33424221686</v>
      </c>
      <c r="D31" s="11">
        <v>2.2100000000000002E-2</v>
      </c>
      <c r="E31" s="10">
        <f t="shared" si="2"/>
        <v>4041.6412158820021</v>
      </c>
      <c r="F31" s="3"/>
      <c r="G31" s="29">
        <v>3.89</v>
      </c>
      <c r="H31" s="10"/>
      <c r="I31" s="10">
        <f t="shared" si="5"/>
        <v>1621.0980690316553</v>
      </c>
      <c r="J31" s="10">
        <f t="shared" si="3"/>
        <v>303017814.00087839</v>
      </c>
      <c r="K31" s="11">
        <f t="shared" si="4"/>
        <v>6.1859689999999912E-2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182879.69302633486</v>
      </c>
      <c r="D32" s="11">
        <v>2.06E-2</v>
      </c>
      <c r="E32" s="10">
        <f t="shared" si="2"/>
        <v>3691.2812819346436</v>
      </c>
      <c r="F32" s="3"/>
      <c r="G32" s="29">
        <v>2.59</v>
      </c>
      <c r="H32" s="10"/>
      <c r="I32" s="10">
        <f t="shared" si="5"/>
        <v>1560.3985648586538</v>
      </c>
      <c r="J32" s="10">
        <f t="shared" si="3"/>
        <v>285365210.54008406</v>
      </c>
      <c r="K32" s="11">
        <f t="shared" si="4"/>
        <v>4.7033539999999929E-2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179188.41174440022</v>
      </c>
      <c r="D33" s="11">
        <v>1.9400000000000001E-2</v>
      </c>
      <c r="E33" s="10">
        <f t="shared" si="2"/>
        <v>3410.0992621555633</v>
      </c>
      <c r="F33" s="3"/>
      <c r="G33" s="29">
        <v>0.94</v>
      </c>
      <c r="H33" s="10"/>
      <c r="I33" s="10">
        <f t="shared" si="5"/>
        <v>1521.0045470890475</v>
      </c>
      <c r="J33" s="10">
        <f t="shared" si="3"/>
        <v>272546389.04889721</v>
      </c>
      <c r="K33" s="11">
        <f t="shared" si="4"/>
        <v>2.8982360000000096E-2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175778.31248224466</v>
      </c>
      <c r="D34" s="11">
        <v>2.1700000000000001E-2</v>
      </c>
      <c r="E34" s="10">
        <f t="shared" si="2"/>
        <v>3733.3751403197821</v>
      </c>
      <c r="F34" s="3"/>
      <c r="G34" s="29">
        <v>-1.91</v>
      </c>
      <c r="H34" s="10"/>
      <c r="I34" s="10">
        <f t="shared" si="5"/>
        <v>1506.8402487507899</v>
      </c>
      <c r="J34" s="10">
        <f t="shared" ref="J34:J65" si="6">IF(I34="","",I34*C34)</f>
        <v>264869836.10573962</v>
      </c>
      <c r="K34" s="11">
        <f t="shared" ref="K34:K65" si="7">IFERROR(J34/J35-1,"")</f>
        <v>1.5467630000000288E-2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172044.93734192487</v>
      </c>
      <c r="D35" s="11">
        <v>2.53E-2</v>
      </c>
      <c r="E35" s="10">
        <f t="shared" si="2"/>
        <v>4245.3300641282694</v>
      </c>
      <c r="F35" s="3"/>
      <c r="G35" s="29">
        <v>-0.42</v>
      </c>
      <c r="H35" s="10"/>
      <c r="I35" s="10">
        <f t="shared" ref="I35:I66" si="8">IF(H35&lt;&gt;"",H35,I34/(1+IF(G34="",0,G34)/100))</f>
        <v>1516.088387917084</v>
      </c>
      <c r="J35" s="10">
        <f t="shared" si="6"/>
        <v>260835331.7040146</v>
      </c>
      <c r="K35" s="11">
        <f t="shared" si="7"/>
        <v>4.8676839999999943E-2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167799.6072777966</v>
      </c>
      <c r="D36" s="11">
        <v>2.4500000000000001E-2</v>
      </c>
      <c r="E36" s="10">
        <f t="shared" si="2"/>
        <v>4012.7773336320242</v>
      </c>
      <c r="F36" s="3"/>
      <c r="G36" s="29">
        <v>-1.49</v>
      </c>
      <c r="H36" s="10"/>
      <c r="I36" s="10">
        <f t="shared" si="8"/>
        <v>1482.2921274120886</v>
      </c>
      <c r="J36" s="10">
        <f t="shared" si="6"/>
        <v>248728036.85071811</v>
      </c>
      <c r="K36" s="11">
        <f t="shared" si="7"/>
        <v>5.841094999999985E-2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163786.82994416458</v>
      </c>
      <c r="D37" s="11">
        <v>2.3900000000000001E-2</v>
      </c>
      <c r="E37" s="10">
        <f t="shared" si="2"/>
        <v>3823.1323719753418</v>
      </c>
      <c r="F37" s="3"/>
      <c r="G37" s="29">
        <v>1.75</v>
      </c>
      <c r="H37" s="10"/>
      <c r="I37" s="10">
        <f t="shared" si="8"/>
        <v>1434.800239485131</v>
      </c>
      <c r="J37" s="10">
        <f t="shared" si="6"/>
        <v>235001382.82839775</v>
      </c>
      <c r="K37" s="11">
        <f t="shared" si="7"/>
        <v>9.6084950000000058E-2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159963.69757218924</v>
      </c>
      <c r="D38" s="11">
        <v>2.3E-2</v>
      </c>
      <c r="E38" s="10">
        <f t="shared" si="2"/>
        <v>3596.4467684851843</v>
      </c>
      <c r="F38" s="3"/>
      <c r="G38" s="29">
        <v>6.79</v>
      </c>
      <c r="H38" s="10"/>
      <c r="I38" s="10">
        <f t="shared" si="8"/>
        <v>1340.3084908782166</v>
      </c>
      <c r="J38" s="10">
        <f t="shared" si="6"/>
        <v>214400702.08828041</v>
      </c>
      <c r="K38" s="11">
        <f t="shared" si="7"/>
        <v>0.13031269999999995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156367.25080370405</v>
      </c>
      <c r="D39" s="11">
        <v>1.8700000000000001E-2</v>
      </c>
      <c r="E39" s="10">
        <f t="shared" si="2"/>
        <v>2870.3912732200406</v>
      </c>
      <c r="F39" s="3"/>
      <c r="G39" s="29">
        <v>11.16</v>
      </c>
      <c r="H39" s="10"/>
      <c r="I39" s="10">
        <f t="shared" si="8"/>
        <v>1213.058639585679</v>
      </c>
      <c r="J39" s="10">
        <f t="shared" si="6"/>
        <v>189682644.53569391</v>
      </c>
      <c r="K39" s="11">
        <f t="shared" si="7"/>
        <v>0.13238691999999985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153496.85953048401</v>
      </c>
      <c r="D40" s="11">
        <v>1.3899999999999999E-2</v>
      </c>
      <c r="E40" s="10">
        <f t="shared" si="2"/>
        <v>2104.355801828322</v>
      </c>
      <c r="F40" s="3"/>
      <c r="G40" s="29">
        <v>12.18</v>
      </c>
      <c r="H40" s="10"/>
      <c r="I40" s="10">
        <f t="shared" si="8"/>
        <v>1091.2726156762137</v>
      </c>
      <c r="J40" s="10">
        <f t="shared" si="6"/>
        <v>167506919.39791563</v>
      </c>
      <c r="K40" s="11">
        <f t="shared" si="7"/>
        <v>0.13739301999999975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151392.50372865569</v>
      </c>
      <c r="D41" s="11">
        <v>1.0999999999999999E-2</v>
      </c>
      <c r="E41" s="10">
        <f t="shared" si="2"/>
        <v>1647.1983590654854</v>
      </c>
      <c r="F41" s="3"/>
      <c r="G41" s="29">
        <v>17.02</v>
      </c>
      <c r="H41" s="10"/>
      <c r="I41" s="10">
        <f t="shared" si="8"/>
        <v>972.78714180443376</v>
      </c>
      <c r="J41" s="10">
        <f t="shared" si="6"/>
        <v>147272680.99281606</v>
      </c>
      <c r="K41" s="11">
        <f t="shared" si="7"/>
        <v>0.18307220000000002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149745.30536959021</v>
      </c>
      <c r="D42" s="11">
        <v>9.1999999999999998E-3</v>
      </c>
      <c r="E42" s="10">
        <f t="shared" si="2"/>
        <v>1365.097908640746</v>
      </c>
      <c r="F42" s="3"/>
      <c r="G42" s="29">
        <v>2.56</v>
      </c>
      <c r="H42" s="10"/>
      <c r="I42" s="10">
        <f t="shared" si="8"/>
        <v>831.29989899541431</v>
      </c>
      <c r="J42" s="10">
        <f t="shared" si="6"/>
        <v>124483257.22877781</v>
      </c>
      <c r="K42" s="11">
        <f t="shared" si="7"/>
        <v>3.503552000000032E-2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148380.20746094946</v>
      </c>
      <c r="D43" s="11">
        <v>8.3000000000000001E-3</v>
      </c>
      <c r="E43" s="10">
        <f t="shared" si="2"/>
        <v>1221.4179529166722</v>
      </c>
      <c r="F43" s="3"/>
      <c r="G43" s="29">
        <v>10.039999999999999</v>
      </c>
      <c r="H43" s="10"/>
      <c r="I43" s="10">
        <f t="shared" si="8"/>
        <v>810.54982351346939</v>
      </c>
      <c r="J43" s="10">
        <f t="shared" si="6"/>
        <v>120269550.97036456</v>
      </c>
      <c r="K43" s="11">
        <f t="shared" si="7"/>
        <v>0.10953332000000016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147158.78950803279</v>
      </c>
      <c r="D44" s="11">
        <v>7.9000000000000008E-3</v>
      </c>
      <c r="E44" s="10">
        <f t="shared" si="2"/>
        <v>1153.4422433906875</v>
      </c>
      <c r="F44" s="3"/>
      <c r="G44" s="29">
        <v>4.1500000000000004</v>
      </c>
      <c r="H44" s="10"/>
      <c r="I44" s="10">
        <f t="shared" si="8"/>
        <v>736.59562296752938</v>
      </c>
      <c r="J44" s="10">
        <f t="shared" si="6"/>
        <v>108396520.23281693</v>
      </c>
      <c r="K44" s="11">
        <f t="shared" si="7"/>
        <v>4.972785000000024E-2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146005.3472646421</v>
      </c>
      <c r="D45" s="11">
        <v>7.4000000000000003E-3</v>
      </c>
      <c r="E45" s="10">
        <f t="shared" si="2"/>
        <v>1072.5030472090293</v>
      </c>
      <c r="F45" s="3"/>
      <c r="G45" s="29">
        <v>5.84</v>
      </c>
      <c r="H45" s="10"/>
      <c r="I45" s="10">
        <f t="shared" si="8"/>
        <v>707.24495724198687</v>
      </c>
      <c r="J45" s="10">
        <f t="shared" si="6"/>
        <v>103261545.58328325</v>
      </c>
      <c r="K45" s="11">
        <f t="shared" si="7"/>
        <v>6.6232159999999984E-2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144932.84421743307</v>
      </c>
      <c r="D46" s="11">
        <v>7.7000000000000002E-3</v>
      </c>
      <c r="E46" s="10">
        <f t="shared" si="2"/>
        <v>1107.4554931767925</v>
      </c>
      <c r="F46" s="3"/>
      <c r="G46" s="29">
        <v>2.4500000000000002</v>
      </c>
      <c r="H46" s="10"/>
      <c r="I46" s="10">
        <f t="shared" si="8"/>
        <v>668.22085907217206</v>
      </c>
      <c r="J46" s="10">
        <f t="shared" si="6"/>
        <v>96847149.670746416</v>
      </c>
      <c r="K46" s="11">
        <f t="shared" si="7"/>
        <v>3.238865000000013E-2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143825.38872425628</v>
      </c>
      <c r="D47" s="11">
        <v>1.9400000000000001E-2</v>
      </c>
      <c r="E47" s="10">
        <f t="shared" si="2"/>
        <v>2737.1125576324994</v>
      </c>
      <c r="F47" s="3"/>
      <c r="G47" s="29">
        <v>5.8</v>
      </c>
      <c r="H47" s="10"/>
      <c r="I47" s="10">
        <f t="shared" si="8"/>
        <v>652.24095565853793</v>
      </c>
      <c r="J47" s="10">
        <f t="shared" si="6"/>
        <v>93808808.989469618</v>
      </c>
      <c r="K47" s="11">
        <f t="shared" si="7"/>
        <v>7.8525199999999851E-2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141088.27616662378</v>
      </c>
      <c r="D48" s="11">
        <v>3.9199999999999999E-2</v>
      </c>
      <c r="E48" s="10">
        <f t="shared" si="2"/>
        <v>5322.036591350683</v>
      </c>
      <c r="F48" s="3"/>
      <c r="G48" s="29">
        <v>4.1100000000000003</v>
      </c>
      <c r="H48" s="10"/>
      <c r="I48" s="10">
        <f t="shared" si="8"/>
        <v>616.4848352160094</v>
      </c>
      <c r="J48" s="10">
        <f t="shared" si="6"/>
        <v>86978782.683491886</v>
      </c>
      <c r="K48" s="11">
        <f t="shared" si="7"/>
        <v>8.1911119999999782E-2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135766.2395752731</v>
      </c>
      <c r="D49" s="11">
        <v>3.1E-2</v>
      </c>
      <c r="E49" s="10">
        <f t="shared" si="2"/>
        <v>4082.2050696735678</v>
      </c>
      <c r="F49" s="3"/>
      <c r="G49" s="29">
        <v>6.25</v>
      </c>
      <c r="H49" s="10"/>
      <c r="I49" s="10">
        <f t="shared" si="8"/>
        <v>592.14757008549554</v>
      </c>
      <c r="J49" s="10">
        <f t="shared" si="6"/>
        <v>80393648.864143208</v>
      </c>
      <c r="K49" s="11">
        <f t="shared" si="7"/>
        <v>9.5437499999999842E-2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131684.03450559953</v>
      </c>
      <c r="D50" s="11">
        <v>1.5100000000000001E-2</v>
      </c>
      <c r="E50" s="10">
        <f t="shared" si="2"/>
        <v>1958.8502817796543</v>
      </c>
      <c r="F50" s="3"/>
      <c r="G50" s="29">
        <v>8.66</v>
      </c>
      <c r="H50" s="10"/>
      <c r="I50" s="10">
        <f t="shared" si="8"/>
        <v>557.31536008046635</v>
      </c>
      <c r="J50" s="10">
        <f t="shared" si="6"/>
        <v>73389535.10733676</v>
      </c>
      <c r="K50" s="11">
        <f t="shared" si="7"/>
        <v>0.10300765999999983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129725.18422381987</v>
      </c>
      <c r="D51" s="11">
        <v>3.5499999999999997E-2</v>
      </c>
      <c r="E51" s="10">
        <f t="shared" si="2"/>
        <v>4447.3626653265237</v>
      </c>
      <c r="F51" s="3"/>
      <c r="G51" s="29">
        <v>4.4800000000000004</v>
      </c>
      <c r="H51" s="10"/>
      <c r="I51" s="10">
        <f t="shared" si="8"/>
        <v>512.89836193674432</v>
      </c>
      <c r="J51" s="10">
        <f t="shared" si="6"/>
        <v>66535834.4903396</v>
      </c>
      <c r="K51" s="11">
        <f t="shared" si="7"/>
        <v>8.189040000000003E-2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125277.82155849335</v>
      </c>
      <c r="D52" s="11">
        <v>5.5899999999999998E-2</v>
      </c>
      <c r="E52" s="10">
        <f t="shared" si="2"/>
        <v>6632.2854674872506</v>
      </c>
      <c r="F52" s="3"/>
      <c r="G52" s="29">
        <v>7.8</v>
      </c>
      <c r="H52" s="10"/>
      <c r="I52" s="10">
        <f t="shared" si="8"/>
        <v>490.90578286441843</v>
      </c>
      <c r="J52" s="10">
        <f t="shared" si="6"/>
        <v>61499607.067721091</v>
      </c>
      <c r="K52" s="11">
        <f t="shared" si="7"/>
        <v>0.13826020000000017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118645.5360910061</v>
      </c>
      <c r="D53" s="11">
        <v>5.3800000000000001E-2</v>
      </c>
      <c r="E53" s="10">
        <f t="shared" si="2"/>
        <v>6057.2498023307417</v>
      </c>
      <c r="F53" s="3"/>
      <c r="G53" s="29">
        <v>4.3499999999999996</v>
      </c>
      <c r="H53" s="10"/>
      <c r="I53" s="10">
        <f t="shared" si="8"/>
        <v>455.38569838999854</v>
      </c>
      <c r="J53" s="10">
        <f t="shared" si="6"/>
        <v>54029480.313658588</v>
      </c>
      <c r="K53" s="11">
        <f t="shared" si="7"/>
        <v>9.9640300000000126E-2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112588.28628867536</v>
      </c>
      <c r="D54" s="11">
        <v>4.8399999999999999E-2</v>
      </c>
      <c r="E54" s="10">
        <f t="shared" si="2"/>
        <v>5197.7041743341106</v>
      </c>
      <c r="F54" s="3"/>
      <c r="G54" s="29">
        <v>2.54</v>
      </c>
      <c r="H54" s="10"/>
      <c r="I54" s="10">
        <f t="shared" si="8"/>
        <v>436.40220257786154</v>
      </c>
      <c r="J54" s="10">
        <f t="shared" si="6"/>
        <v>49133776.120844774</v>
      </c>
      <c r="K54" s="11">
        <f t="shared" si="7"/>
        <v>7.5029360000000045E-2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107390.58211434125</v>
      </c>
      <c r="D55" s="11">
        <v>4.2000000000000003E-2</v>
      </c>
      <c r="E55" s="10">
        <f t="shared" si="2"/>
        <v>4328.60311785253</v>
      </c>
      <c r="F55" s="3"/>
      <c r="G55" s="29">
        <v>1.48</v>
      </c>
      <c r="H55" s="10"/>
      <c r="I55" s="10">
        <f t="shared" si="8"/>
        <v>425.59216167140772</v>
      </c>
      <c r="J55" s="10">
        <f t="shared" si="6"/>
        <v>45704589.985193305</v>
      </c>
      <c r="K55" s="11">
        <f t="shared" si="7"/>
        <v>5.7421599999999851E-2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103061.97899648872</v>
      </c>
      <c r="D56" s="11">
        <v>3.56E-2</v>
      </c>
      <c r="E56" s="10">
        <f t="shared" si="2"/>
        <v>3542.879926878144</v>
      </c>
      <c r="F56" s="3"/>
      <c r="G56" s="29">
        <v>9.8000000000000007</v>
      </c>
      <c r="H56" s="10"/>
      <c r="I56" s="10">
        <f t="shared" si="8"/>
        <v>419.38525982598321</v>
      </c>
      <c r="J56" s="10">
        <f t="shared" si="6"/>
        <v>43222674.839622445</v>
      </c>
      <c r="K56" s="11">
        <f t="shared" si="7"/>
        <v>0.13708880000000012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99519.099069610573</v>
      </c>
      <c r="D57" s="11">
        <v>3.44E-2</v>
      </c>
      <c r="E57" s="10">
        <f t="shared" si="2"/>
        <v>3309.6065429182199</v>
      </c>
      <c r="F57" s="3"/>
      <c r="G57" s="30">
        <v>5.79</v>
      </c>
      <c r="H57" s="10"/>
      <c r="I57" s="10">
        <f t="shared" si="8"/>
        <v>381.95378854825424</v>
      </c>
      <c r="J57" s="10">
        <f t="shared" si="6"/>
        <v>38011696.922546804</v>
      </c>
      <c r="K57" s="11">
        <f t="shared" si="7"/>
        <v>9.4291760000000169E-2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96209.492526692353</v>
      </c>
      <c r="D58" s="11">
        <v>3.6499999999999998E-2</v>
      </c>
      <c r="E58" s="10">
        <f t="shared" si="2"/>
        <v>3387.9850238536164</v>
      </c>
      <c r="F58" s="3"/>
      <c r="G58" s="30">
        <v>1.93</v>
      </c>
      <c r="H58" s="10"/>
      <c r="I58" s="10">
        <f t="shared" si="8"/>
        <v>361.04904863243615</v>
      </c>
      <c r="J58" s="10">
        <f t="shared" si="6"/>
        <v>34736345.74617175</v>
      </c>
      <c r="K58" s="11">
        <f t="shared" si="7"/>
        <v>5.6504450000000039E-2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92821.507502838736</v>
      </c>
      <c r="D59" s="11">
        <v>3.3399999999999999E-2</v>
      </c>
      <c r="E59" s="10">
        <f t="shared" si="2"/>
        <v>3000.0371110846027</v>
      </c>
      <c r="F59" s="3"/>
      <c r="G59" s="30">
        <v>6.22</v>
      </c>
      <c r="H59" s="10"/>
      <c r="I59" s="10">
        <f t="shared" si="8"/>
        <v>354.21274269835783</v>
      </c>
      <c r="J59" s="10">
        <f t="shared" si="6"/>
        <v>32878560.753976706</v>
      </c>
      <c r="K59" s="11">
        <f t="shared" si="7"/>
        <v>9.7677480000000205E-2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89821.470391754134</v>
      </c>
      <c r="D60" s="11">
        <v>3.4099999999999998E-2</v>
      </c>
      <c r="E60" s="10">
        <f t="shared" si="2"/>
        <v>2961.9109760746651</v>
      </c>
      <c r="F60" s="3"/>
      <c r="G60" s="30">
        <v>1.22</v>
      </c>
      <c r="H60" s="10"/>
      <c r="I60" s="10">
        <f t="shared" si="8"/>
        <v>333.47085548706252</v>
      </c>
      <c r="J60" s="10">
        <f t="shared" si="6"/>
        <v>29952842.572644107</v>
      </c>
      <c r="K60" s="11">
        <f t="shared" si="7"/>
        <v>4.6716019999999858E-2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86859.559415679469</v>
      </c>
      <c r="D61" s="11">
        <v>3.5000000000000003E-2</v>
      </c>
      <c r="E61" s="10">
        <f t="shared" si="2"/>
        <v>2937.2797870036447</v>
      </c>
      <c r="F61" s="3"/>
      <c r="G61" s="30">
        <v>11.29</v>
      </c>
      <c r="H61" s="10"/>
      <c r="I61" s="10">
        <f t="shared" si="8"/>
        <v>329.45154661831901</v>
      </c>
      <c r="J61" s="10">
        <f t="shared" si="6"/>
        <v>28616016.188081376</v>
      </c>
      <c r="K61" s="11">
        <f t="shared" si="7"/>
        <v>0.15185150000000003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83922.279628675824</v>
      </c>
      <c r="D62" s="11">
        <v>2.7799999999999998E-2</v>
      </c>
      <c r="E62" s="10">
        <f t="shared" si="2"/>
        <v>2269.9351757902186</v>
      </c>
      <c r="F62" s="3"/>
      <c r="G62" s="30">
        <v>2.89</v>
      </c>
      <c r="H62" s="10"/>
      <c r="I62" s="10">
        <f t="shared" si="8"/>
        <v>296.0297840042403</v>
      </c>
      <c r="J62" s="10">
        <f t="shared" si="6"/>
        <v>24843494.311620358</v>
      </c>
      <c r="K62" s="11">
        <f t="shared" si="7"/>
        <v>5.750341999999975E-2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81652.344452885605</v>
      </c>
      <c r="D63" s="11">
        <v>2.3E-2</v>
      </c>
      <c r="E63" s="10">
        <f t="shared" si="2"/>
        <v>1835.7809603288042</v>
      </c>
      <c r="F63" s="3"/>
      <c r="G63" s="30">
        <v>4.4800000000000004</v>
      </c>
      <c r="H63" s="10"/>
      <c r="I63" s="10">
        <f t="shared" si="8"/>
        <v>287.71482554596201</v>
      </c>
      <c r="J63" s="10">
        <f t="shared" si="6"/>
        <v>23492590.039680783</v>
      </c>
      <c r="K63" s="11">
        <f t="shared" si="7"/>
        <v>6.8830399999999958E-2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79816.563492556801</v>
      </c>
      <c r="D64" s="11">
        <v>2.4400000000000002E-2</v>
      </c>
      <c r="E64" s="10">
        <f t="shared" si="2"/>
        <v>1901.1364205567952</v>
      </c>
      <c r="F64" s="3"/>
      <c r="G64" s="30">
        <v>4.79</v>
      </c>
      <c r="H64" s="10"/>
      <c r="I64" s="10">
        <f t="shared" si="8"/>
        <v>275.37789581351649</v>
      </c>
      <c r="J64" s="10">
        <f t="shared" si="6"/>
        <v>21979717.30564623</v>
      </c>
      <c r="K64" s="11">
        <f t="shared" si="7"/>
        <v>7.3468759999999911E-2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77915.427072000006</v>
      </c>
      <c r="D65" s="11">
        <v>2.76E-2</v>
      </c>
      <c r="E65" s="10">
        <f t="shared" si="2"/>
        <v>2092.7070720000047</v>
      </c>
      <c r="F65" s="3"/>
      <c r="G65" s="30">
        <v>4.91</v>
      </c>
      <c r="H65" s="10"/>
      <c r="I65" s="10">
        <f t="shared" si="8"/>
        <v>262.79024316587123</v>
      </c>
      <c r="J65" s="10">
        <f t="shared" si="6"/>
        <v>20475414.026623588</v>
      </c>
      <c r="K65" s="11">
        <f t="shared" si="7"/>
        <v>7.8055159999999901E-2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75822.720000000001</v>
      </c>
      <c r="D66" s="11">
        <v>3.0200000000000001E-2</v>
      </c>
      <c r="E66" s="10">
        <f t="shared" si="2"/>
        <v>2222.7200000000012</v>
      </c>
      <c r="F66" s="23">
        <f>SUM(F2)</f>
        <v>233966</v>
      </c>
      <c r="G66" s="30">
        <v>4.6100000000000003</v>
      </c>
      <c r="H66" s="10"/>
      <c r="I66" s="10">
        <f t="shared" si="8"/>
        <v>250.49112874451555</v>
      </c>
      <c r="J66" s="10">
        <f t="shared" ref="J66:J67" si="9">IF(I66="","",I66*C66)</f>
        <v>18992918.717279356</v>
      </c>
      <c r="K66" s="11">
        <f t="shared" ref="K66" si="10">IFERROR(J66/J67-1,"")</f>
        <v>7.769222000000009E-2</v>
      </c>
    </row>
    <row r="67" spans="1:11" ht="22.5" customHeight="1">
      <c r="A67" s="3">
        <f t="shared" si="0"/>
        <v>1950</v>
      </c>
      <c r="B67" s="3">
        <v>1700</v>
      </c>
      <c r="C67" s="10">
        <v>73600</v>
      </c>
      <c r="D67" s="11">
        <v>3.0200000000000001E-2</v>
      </c>
      <c r="E67" s="3" t="s">
        <v>72</v>
      </c>
      <c r="F67" s="10">
        <f>SUM(C2)</f>
        <v>233718.10206313126</v>
      </c>
      <c r="G67" s="30">
        <v>2.89</v>
      </c>
      <c r="H67" s="10"/>
      <c r="I67" s="10">
        <f t="shared" ref="I67" si="11">IF(H67&lt;&gt;"",H67,I66/(1+IF(G66="",0,G66)/100))</f>
        <v>239.4523742897577</v>
      </c>
      <c r="J67" s="10">
        <f t="shared" si="9"/>
        <v>17623694.747726168</v>
      </c>
      <c r="K67" s="11"/>
    </row>
  </sheetData>
  <dataValidations count="1">
    <dataValidation type="custom" allowBlank="1" showDropDown="1" sqref="D2:D67" xr:uid="{00000000-0002-0000-7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outlinePr summaryBelow="0" summaryRight="0"/>
  </sheetPr>
  <dimension ref="A1:M96"/>
  <sheetViews>
    <sheetView topLeftCell="A18" workbookViewId="0">
      <selection activeCell="L13" sqref="L1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324055.76512182388</v>
      </c>
      <c r="D2" s="11">
        <v>2.2700000000000001E-2</v>
      </c>
      <c r="E2" s="10">
        <f t="shared" ref="E2:E66" si="2">SUM(C2-C3)</f>
        <v>7192.7895455806865</v>
      </c>
      <c r="F2" s="14">
        <v>324028</v>
      </c>
      <c r="G2" s="29">
        <v>4.3899999999999997</v>
      </c>
      <c r="H2" s="10"/>
      <c r="I2" s="10">
        <f>IF(H2&lt;&gt;"",H2,20824)</f>
        <v>2603</v>
      </c>
      <c r="J2" s="10">
        <f t="shared" ref="J2:J33" si="3">IF(I2="","",I2*C2)</f>
        <v>843517156.61210752</v>
      </c>
      <c r="K2" s="11">
        <f t="shared" ref="K2:K33" si="4">IFERROR(J2/J3-1,"")</f>
        <v>6.7596530000000099E-2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316862.97557624319</v>
      </c>
      <c r="D3" s="11">
        <v>3.39E-2</v>
      </c>
      <c r="E3" s="10">
        <f t="shared" si="2"/>
        <v>10389.452434504929</v>
      </c>
      <c r="G3" s="29">
        <v>2.56</v>
      </c>
      <c r="H3" s="10"/>
      <c r="I3" s="10">
        <f t="shared" ref="I3:I34" si="5">IF(H3&lt;&gt;"",H3,I2/(1+IF(G2="",0,G2)/100))</f>
        <v>2493.5338633968768</v>
      </c>
      <c r="J3" s="10">
        <f t="shared" si="3"/>
        <v>790108559.65605986</v>
      </c>
      <c r="K3" s="11">
        <f t="shared" si="4"/>
        <v>6.0367840000000061E-2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306473.52314173826</v>
      </c>
      <c r="D4" s="11">
        <v>3.5900000000000001E-2</v>
      </c>
      <c r="E4" s="10">
        <f t="shared" si="2"/>
        <v>10621.101921795926</v>
      </c>
      <c r="F4" s="3"/>
      <c r="G4" s="29">
        <v>3.7</v>
      </c>
      <c r="H4" s="10"/>
      <c r="I4" s="10">
        <f t="shared" si="5"/>
        <v>2431.2927685226955</v>
      </c>
      <c r="J4" s="10">
        <f t="shared" si="3"/>
        <v>745126860.55818117</v>
      </c>
      <c r="K4" s="11">
        <f t="shared" si="4"/>
        <v>7.4228299999999914E-2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295852.42121994233</v>
      </c>
      <c r="D5" s="11">
        <v>3.5700000000000003E-2</v>
      </c>
      <c r="E5" s="10">
        <f t="shared" si="2"/>
        <v>10197.867565464869</v>
      </c>
      <c r="F5" s="3"/>
      <c r="G5" s="29">
        <v>-1.62</v>
      </c>
      <c r="H5" s="10"/>
      <c r="I5" s="10">
        <f t="shared" si="5"/>
        <v>2344.5446176689447</v>
      </c>
      <c r="J5" s="10">
        <f t="shared" si="3"/>
        <v>693639201.79554129</v>
      </c>
      <c r="K5" s="11">
        <f t="shared" si="4"/>
        <v>1.8921660000000173E-2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285654.55365447747</v>
      </c>
      <c r="D6" s="11">
        <v>3.5799999999999998E-2</v>
      </c>
      <c r="E6" s="10">
        <f t="shared" si="2"/>
        <v>9872.980325188546</v>
      </c>
      <c r="F6" s="3"/>
      <c r="G6" s="29">
        <v>3.78</v>
      </c>
      <c r="H6" s="10"/>
      <c r="I6" s="10">
        <f t="shared" si="5"/>
        <v>2383.1516748007161</v>
      </c>
      <c r="J6" s="10">
        <f t="shared" si="3"/>
        <v>680758127.95611906</v>
      </c>
      <c r="K6" s="11">
        <f t="shared" si="4"/>
        <v>7.4953240000000143E-2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275781.57332928892</v>
      </c>
      <c r="D7" s="11">
        <v>3.5999999999999997E-2</v>
      </c>
      <c r="E7" s="10">
        <f t="shared" si="2"/>
        <v>9583.1434747629683</v>
      </c>
      <c r="F7" s="3"/>
      <c r="G7" s="29">
        <v>1.71</v>
      </c>
      <c r="H7" s="10"/>
      <c r="I7" s="10">
        <f t="shared" si="5"/>
        <v>2296.3496577382116</v>
      </c>
      <c r="J7" s="10">
        <f t="shared" si="3"/>
        <v>633290921.52521813</v>
      </c>
      <c r="K7" s="11">
        <f t="shared" si="4"/>
        <v>5.3715599999999863E-2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266198.42985452595</v>
      </c>
      <c r="D8" s="11">
        <v>4.6800000000000001E-2</v>
      </c>
      <c r="E8" s="10">
        <f t="shared" si="2"/>
        <v>11901.11436491381</v>
      </c>
      <c r="F8" s="3"/>
      <c r="G8" s="29">
        <v>1.3</v>
      </c>
      <c r="H8" s="10"/>
      <c r="I8" s="10">
        <f t="shared" si="5"/>
        <v>2257.7422650065992</v>
      </c>
      <c r="J8" s="10">
        <f t="shared" si="3"/>
        <v>601007445.96095777</v>
      </c>
      <c r="K8" s="11">
        <f t="shared" si="4"/>
        <v>6.0408399999999807E-2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254297.31548961214</v>
      </c>
      <c r="D9" s="11">
        <v>5.0700000000000002E-2</v>
      </c>
      <c r="E9" s="10">
        <f t="shared" si="2"/>
        <v>12270.747021341318</v>
      </c>
      <c r="F9" s="3"/>
      <c r="G9" s="29">
        <v>2.5299999999999998</v>
      </c>
      <c r="H9" s="10"/>
      <c r="I9" s="10">
        <f t="shared" si="5"/>
        <v>2228.7682774003943</v>
      </c>
      <c r="J9" s="10">
        <f t="shared" si="3"/>
        <v>566769789.79132748</v>
      </c>
      <c r="K9" s="11">
        <f t="shared" si="4"/>
        <v>7.7282710000000199E-2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242026.56846827082</v>
      </c>
      <c r="D10" s="11">
        <v>4.1300000000000003E-2</v>
      </c>
      <c r="E10" s="10">
        <f t="shared" si="2"/>
        <v>9599.2483220393769</v>
      </c>
      <c r="F10" s="3"/>
      <c r="G10" s="29">
        <v>-1.66</v>
      </c>
      <c r="H10" s="10"/>
      <c r="I10" s="10">
        <f t="shared" si="5"/>
        <v>2173.7718496053781</v>
      </c>
      <c r="J10" s="10">
        <f t="shared" si="3"/>
        <v>526110541.39291573</v>
      </c>
      <c r="K10" s="11">
        <f t="shared" si="4"/>
        <v>2.4014420000000092E-2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232427.32014623145</v>
      </c>
      <c r="D11" s="11">
        <v>3.6999999999999998E-2</v>
      </c>
      <c r="E11" s="10">
        <f t="shared" si="2"/>
        <v>8292.9709213216556</v>
      </c>
      <c r="F11" s="3"/>
      <c r="G11" s="29">
        <v>-0.41</v>
      </c>
      <c r="H11" s="10"/>
      <c r="I11" s="10">
        <f t="shared" si="5"/>
        <v>2210.465578203557</v>
      </c>
      <c r="J11" s="10">
        <f t="shared" si="3"/>
        <v>513772590.61734277</v>
      </c>
      <c r="K11" s="11">
        <f t="shared" si="4"/>
        <v>3.2748299999999952E-2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224134.34922490979</v>
      </c>
      <c r="D12" s="11">
        <v>3.5999999999999997E-2</v>
      </c>
      <c r="E12" s="10">
        <f t="shared" si="2"/>
        <v>7788.4522896686976</v>
      </c>
      <c r="F12" s="3"/>
      <c r="G12" s="29">
        <v>2.74</v>
      </c>
      <c r="H12" s="10"/>
      <c r="I12" s="10">
        <f t="shared" si="5"/>
        <v>2219.5657979752555</v>
      </c>
      <c r="J12" s="10">
        <f t="shared" si="3"/>
        <v>497480935.69105148</v>
      </c>
      <c r="K12" s="11">
        <f t="shared" si="4"/>
        <v>6.4386400000000288E-2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216345.89693524109</v>
      </c>
      <c r="D13" s="11">
        <v>3.7100000000000001E-2</v>
      </c>
      <c r="E13" s="10">
        <f t="shared" si="2"/>
        <v>7739.3045765089337</v>
      </c>
      <c r="F13" s="3"/>
      <c r="G13" s="29">
        <v>-3.19</v>
      </c>
      <c r="H13" s="10"/>
      <c r="I13" s="10">
        <f t="shared" si="5"/>
        <v>2160.3716157049398</v>
      </c>
      <c r="J13" s="10">
        <f t="shared" si="3"/>
        <v>467387534.91312116</v>
      </c>
      <c r="K13" s="11">
        <f t="shared" si="4"/>
        <v>4.0165099999998066E-3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208606.59235873216</v>
      </c>
      <c r="D14" s="11">
        <v>3.73E-2</v>
      </c>
      <c r="E14" s="10">
        <f t="shared" si="2"/>
        <v>7501.230015406094</v>
      </c>
      <c r="F14" s="3"/>
      <c r="G14" s="29">
        <v>1.76</v>
      </c>
      <c r="H14" s="10"/>
      <c r="I14" s="10">
        <f t="shared" si="5"/>
        <v>2231.5583263143681</v>
      </c>
      <c r="J14" s="10">
        <f t="shared" si="3"/>
        <v>465517778.10219598</v>
      </c>
      <c r="K14" s="11">
        <f t="shared" si="4"/>
        <v>5.555648000000013E-2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201105.36234332607</v>
      </c>
      <c r="D15" s="11">
        <v>3.1600000000000003E-2</v>
      </c>
      <c r="E15" s="10">
        <f t="shared" si="2"/>
        <v>6160.26507371958</v>
      </c>
      <c r="F15" s="3"/>
      <c r="G15" s="29">
        <v>0.44</v>
      </c>
      <c r="H15" s="10"/>
      <c r="I15" s="10">
        <f t="shared" si="5"/>
        <v>2192.9621917397485</v>
      </c>
      <c r="J15" s="10">
        <f t="shared" si="3"/>
        <v>441016456.17503661</v>
      </c>
      <c r="K15" s="11">
        <f t="shared" si="4"/>
        <v>3.6139040000000122E-2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194945.09726960649</v>
      </c>
      <c r="D16" s="11">
        <v>2.8199999999999999E-2</v>
      </c>
      <c r="E16" s="10">
        <f t="shared" si="2"/>
        <v>5346.6754940701358</v>
      </c>
      <c r="F16" s="3"/>
      <c r="G16" s="29">
        <v>1.82</v>
      </c>
      <c r="H16" s="10"/>
      <c r="I16" s="10">
        <f t="shared" si="5"/>
        <v>2183.3554278571769</v>
      </c>
      <c r="J16" s="10">
        <f t="shared" si="3"/>
        <v>425634436.25774062</v>
      </c>
      <c r="K16" s="11">
        <f t="shared" si="4"/>
        <v>4.6913240000000078E-2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189598.42177553635</v>
      </c>
      <c r="D17" s="11">
        <v>2.5100000000000001E-2</v>
      </c>
      <c r="E17" s="10">
        <f t="shared" si="2"/>
        <v>4642.396240918868</v>
      </c>
      <c r="F17" s="3"/>
      <c r="G17" s="29">
        <v>4.62</v>
      </c>
      <c r="H17" s="10"/>
      <c r="I17" s="10">
        <f t="shared" si="5"/>
        <v>2144.3286464910398</v>
      </c>
      <c r="J17" s="10">
        <f t="shared" si="3"/>
        <v>406561327.14277315</v>
      </c>
      <c r="K17" s="11">
        <f t="shared" si="4"/>
        <v>7.2459620000000058E-2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184956.02553461748</v>
      </c>
      <c r="D18" s="11">
        <v>2.0799999999999999E-2</v>
      </c>
      <c r="E18" s="10">
        <f t="shared" si="2"/>
        <v>3768.6964450627274</v>
      </c>
      <c r="F18" s="3"/>
      <c r="G18" s="29">
        <v>1.1299999999999999</v>
      </c>
      <c r="H18" s="10"/>
      <c r="I18" s="10">
        <f t="shared" si="5"/>
        <v>2049.6354869920087</v>
      </c>
      <c r="J18" s="10">
        <f t="shared" si="3"/>
        <v>379092433.46875209</v>
      </c>
      <c r="K18" s="11">
        <f t="shared" si="4"/>
        <v>3.2335039999999982E-2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181187.32908955475</v>
      </c>
      <c r="D19" s="11">
        <v>2.4E-2</v>
      </c>
      <c r="E19" s="10">
        <f t="shared" si="2"/>
        <v>4246.5780255364371</v>
      </c>
      <c r="F19" s="3"/>
      <c r="G19" s="29">
        <v>2.84</v>
      </c>
      <c r="H19" s="10"/>
      <c r="I19" s="10">
        <f t="shared" si="5"/>
        <v>2026.7333995767908</v>
      </c>
      <c r="J19" s="10">
        <f t="shared" si="3"/>
        <v>367218411.44591206</v>
      </c>
      <c r="K19" s="11">
        <f t="shared" si="4"/>
        <v>5.308159999999984E-2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176940.75106401832</v>
      </c>
      <c r="D20" s="11">
        <v>1.9099999999999999E-2</v>
      </c>
      <c r="E20" s="10">
        <f t="shared" si="2"/>
        <v>3316.2283832035318</v>
      </c>
      <c r="F20" s="3"/>
      <c r="G20" s="29">
        <v>1.1299999999999999</v>
      </c>
      <c r="H20" s="10"/>
      <c r="I20" s="10">
        <f t="shared" si="5"/>
        <v>1970.7637102069145</v>
      </c>
      <c r="J20" s="10">
        <f t="shared" si="3"/>
        <v>348708411.0537228</v>
      </c>
      <c r="K20" s="11">
        <f t="shared" si="4"/>
        <v>3.06158299999999E-2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173624.52268081479</v>
      </c>
      <c r="D21" s="11">
        <v>-1E-4</v>
      </c>
      <c r="E21" s="10">
        <f t="shared" si="2"/>
        <v>-17.364188686944544</v>
      </c>
      <c r="F21" s="3"/>
      <c r="G21" s="29">
        <v>-3.34</v>
      </c>
      <c r="H21" s="10"/>
      <c r="I21" s="10">
        <f t="shared" si="5"/>
        <v>1948.7429152644263</v>
      </c>
      <c r="J21" s="10">
        <f t="shared" si="3"/>
        <v>338349558.4904055</v>
      </c>
      <c r="K21" s="11">
        <f t="shared" si="4"/>
        <v>-3.3496659999999956E-2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173641.88686950173</v>
      </c>
      <c r="D22" s="11">
        <v>6.9999999999999999E-4</v>
      </c>
      <c r="E22" s="10">
        <f t="shared" si="2"/>
        <v>121.4642958015902</v>
      </c>
      <c r="F22" s="3"/>
      <c r="G22" s="29">
        <v>7.01</v>
      </c>
      <c r="H22" s="10"/>
      <c r="I22" s="10">
        <f t="shared" si="5"/>
        <v>2016.0799868243598</v>
      </c>
      <c r="J22" s="10">
        <f t="shared" si="3"/>
        <v>350075932.99202204</v>
      </c>
      <c r="K22" s="11">
        <f t="shared" si="4"/>
        <v>7.0849070000000181E-2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173520.42257370014</v>
      </c>
      <c r="D23" s="11">
        <v>5.9900000000000002E-2</v>
      </c>
      <c r="E23" s="10">
        <f t="shared" si="2"/>
        <v>9806.4659988344647</v>
      </c>
      <c r="F23" s="3"/>
      <c r="G23" s="29">
        <v>-0.53</v>
      </c>
      <c r="H23" s="10"/>
      <c r="I23" s="10">
        <f t="shared" si="5"/>
        <v>1884.0108277958693</v>
      </c>
      <c r="J23" s="10">
        <f t="shared" si="3"/>
        <v>326914354.97256583</v>
      </c>
      <c r="K23" s="11">
        <f t="shared" si="4"/>
        <v>5.4282530000000051E-2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163713.95657486568</v>
      </c>
      <c r="D24" s="11">
        <v>6.4999999999999997E-3</v>
      </c>
      <c r="E24" s="10">
        <f t="shared" si="2"/>
        <v>1057.268472664291</v>
      </c>
      <c r="F24" s="3"/>
      <c r="G24" s="29">
        <v>8.14</v>
      </c>
      <c r="H24" s="10"/>
      <c r="I24" s="10">
        <f t="shared" si="5"/>
        <v>1894.0492890277162</v>
      </c>
      <c r="J24" s="10">
        <f t="shared" si="3"/>
        <v>310082303.05453873</v>
      </c>
      <c r="K24" s="11">
        <f t="shared" si="4"/>
        <v>8.8429099999999705E-2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162656.68810220138</v>
      </c>
      <c r="D25" s="11">
        <v>-3.15E-2</v>
      </c>
      <c r="E25" s="10">
        <f t="shared" si="2"/>
        <v>-5290.3311050277262</v>
      </c>
      <c r="F25" s="3"/>
      <c r="G25" s="29">
        <v>4.01</v>
      </c>
      <c r="H25" s="10"/>
      <c r="I25" s="10">
        <f t="shared" si="5"/>
        <v>1751.478906073346</v>
      </c>
      <c r="J25" s="10">
        <f t="shared" si="3"/>
        <v>284889758.14275712</v>
      </c>
      <c r="K25" s="11">
        <f t="shared" si="4"/>
        <v>7.3368499999999504E-3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167947.01920722911</v>
      </c>
      <c r="D26" s="11">
        <v>2.6700000000000002E-2</v>
      </c>
      <c r="E26" s="10">
        <f t="shared" si="2"/>
        <v>4367.5712601860287</v>
      </c>
      <c r="F26" s="3"/>
      <c r="G26" s="29">
        <v>7.43</v>
      </c>
      <c r="H26" s="10"/>
      <c r="I26" s="10">
        <f t="shared" si="5"/>
        <v>1683.9524142614614</v>
      </c>
      <c r="J26" s="10">
        <f t="shared" si="3"/>
        <v>282814788.46202952</v>
      </c>
      <c r="K26" s="11">
        <f t="shared" si="4"/>
        <v>0.10298381000000001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163579.44794704308</v>
      </c>
      <c r="D27" s="11">
        <v>2.07E-2</v>
      </c>
      <c r="E27" s="10">
        <f t="shared" si="2"/>
        <v>3317.4238978189242</v>
      </c>
      <c r="F27" s="3"/>
      <c r="G27" s="29">
        <v>-6.21</v>
      </c>
      <c r="H27" s="10"/>
      <c r="I27" s="10">
        <f t="shared" si="5"/>
        <v>1567.4880519980093</v>
      </c>
      <c r="J27" s="10">
        <f t="shared" si="3"/>
        <v>256408830.20942032</v>
      </c>
      <c r="K27" s="11">
        <f t="shared" si="4"/>
        <v>-4.2685470000000114E-2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160262.02404922416</v>
      </c>
      <c r="D28" s="11">
        <v>2.0899999999999998E-2</v>
      </c>
      <c r="E28" s="10">
        <f t="shared" si="2"/>
        <v>3280.9053801829577</v>
      </c>
      <c r="F28" s="3"/>
      <c r="G28" s="29">
        <v>3.53</v>
      </c>
      <c r="H28" s="10"/>
      <c r="I28" s="10">
        <f t="shared" si="5"/>
        <v>1671.2741784817244</v>
      </c>
      <c r="J28" s="10">
        <f t="shared" si="3"/>
        <v>267841782.58468547</v>
      </c>
      <c r="K28" s="11">
        <f t="shared" si="4"/>
        <v>5.6937769999999777E-2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156981.1186690412</v>
      </c>
      <c r="D29" s="11">
        <v>1.9599999999999999E-2</v>
      </c>
      <c r="E29" s="10">
        <f t="shared" si="2"/>
        <v>3017.6833325943735</v>
      </c>
      <c r="F29" s="3"/>
      <c r="G29" s="29">
        <v>2.5499999999999998</v>
      </c>
      <c r="H29" s="10"/>
      <c r="I29" s="10">
        <f t="shared" si="5"/>
        <v>1614.2897502962664</v>
      </c>
      <c r="J29" s="10">
        <f t="shared" si="3"/>
        <v>253413010.8574751</v>
      </c>
      <c r="K29" s="11">
        <f t="shared" si="4"/>
        <v>4.559980000000019E-2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153963.43533644683</v>
      </c>
      <c r="D30" s="11">
        <v>2.2200000000000001E-2</v>
      </c>
      <c r="E30" s="10">
        <f t="shared" si="2"/>
        <v>3343.7568621298415</v>
      </c>
      <c r="F30" s="3"/>
      <c r="G30" s="29">
        <v>1.2</v>
      </c>
      <c r="H30" s="10"/>
      <c r="I30" s="10">
        <f t="shared" si="5"/>
        <v>1574.1489520197624</v>
      </c>
      <c r="J30" s="10">
        <f t="shared" si="3"/>
        <v>242361380.38423023</v>
      </c>
      <c r="K30" s="11">
        <f t="shared" si="4"/>
        <v>3.4466400000000119E-2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150619.67847431698</v>
      </c>
      <c r="D31" s="11">
        <v>2.2800000000000001E-2</v>
      </c>
      <c r="E31" s="10">
        <f t="shared" si="2"/>
        <v>3357.5759378318617</v>
      </c>
      <c r="F31" s="3"/>
      <c r="G31" s="29">
        <v>7.98</v>
      </c>
      <c r="H31" s="10"/>
      <c r="I31" s="10">
        <f t="shared" si="5"/>
        <v>1555.4831541697256</v>
      </c>
      <c r="J31" s="10">
        <f t="shared" si="3"/>
        <v>234286372.55326051</v>
      </c>
      <c r="K31" s="11">
        <f t="shared" si="4"/>
        <v>0.10441944000000003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147262.10253648512</v>
      </c>
      <c r="D32" s="11">
        <v>1.8800000000000001E-2</v>
      </c>
      <c r="E32" s="10">
        <f t="shared" si="2"/>
        <v>2717.439662039571</v>
      </c>
      <c r="F32" s="3"/>
      <c r="G32" s="29">
        <v>16.55</v>
      </c>
      <c r="H32" s="10"/>
      <c r="I32" s="10">
        <f t="shared" si="5"/>
        <v>1440.5289444061173</v>
      </c>
      <c r="J32" s="10">
        <f t="shared" si="3"/>
        <v>212135321.11790833</v>
      </c>
      <c r="K32" s="11">
        <f t="shared" si="4"/>
        <v>0.18741140000000001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144544.66287444555</v>
      </c>
      <c r="D33" s="11">
        <v>2.1600000000000001E-2</v>
      </c>
      <c r="E33" s="10">
        <f t="shared" si="2"/>
        <v>3056.151838379039</v>
      </c>
      <c r="F33" s="3"/>
      <c r="G33" s="29">
        <v>-3.95</v>
      </c>
      <c r="H33" s="10"/>
      <c r="I33" s="10">
        <f t="shared" si="5"/>
        <v>1235.9750702755189</v>
      </c>
      <c r="J33" s="10">
        <f t="shared" si="3"/>
        <v>178653599.85419402</v>
      </c>
      <c r="K33" s="11">
        <f t="shared" si="4"/>
        <v>-1.8753200000000136E-2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141488.51103606651</v>
      </c>
      <c r="D34" s="11">
        <v>2.4199999999999999E-2</v>
      </c>
      <c r="E34" s="10">
        <f t="shared" si="2"/>
        <v>3343.1184993876377</v>
      </c>
      <c r="F34" s="3"/>
      <c r="G34" s="29">
        <v>0.63</v>
      </c>
      <c r="H34" s="10"/>
      <c r="I34" s="10">
        <f t="shared" si="5"/>
        <v>1286.8038212134502</v>
      </c>
      <c r="J34" s="10">
        <f t="shared" ref="J34:J65" si="6">IF(I34="","",I34*C34)</f>
        <v>182067956.65901181</v>
      </c>
      <c r="K34" s="11">
        <f t="shared" ref="K34:K65" si="7">IFERROR(J34/J35-1,"")</f>
        <v>4.3967060000000169E-2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138145.39253667888</v>
      </c>
      <c r="D35" s="11">
        <v>2.6800000000000001E-2</v>
      </c>
      <c r="E35" s="10">
        <f t="shared" si="2"/>
        <v>3605.6647058657836</v>
      </c>
      <c r="F35" s="3"/>
      <c r="G35" s="29">
        <v>-5.32</v>
      </c>
      <c r="H35" s="10"/>
      <c r="I35" s="10">
        <f t="shared" ref="I35:I66" si="8">IF(H35&lt;&gt;"",H35,I34/(1+IF(G34="",0,G34)/100))</f>
        <v>1262.438753275238</v>
      </c>
      <c r="J35" s="10">
        <f t="shared" si="6"/>
        <v>174400097.12472326</v>
      </c>
      <c r="K35" s="11">
        <f t="shared" si="7"/>
        <v>-1.021600000000733E-4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134539.72783081309</v>
      </c>
      <c r="D36" s="11">
        <v>2.5000000000000001E-2</v>
      </c>
      <c r="E36" s="10">
        <f t="shared" si="2"/>
        <v>3281.4567763612722</v>
      </c>
      <c r="F36" s="3"/>
      <c r="G36" s="29">
        <v>4.92</v>
      </c>
      <c r="H36" s="10"/>
      <c r="I36" s="10">
        <f t="shared" si="8"/>
        <v>1296.404552552103</v>
      </c>
      <c r="J36" s="10">
        <f t="shared" si="6"/>
        <v>174417915.65898699</v>
      </c>
      <c r="K36" s="11">
        <f t="shared" si="7"/>
        <v>0.1246299999999998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131258.27105445182</v>
      </c>
      <c r="D37" s="11">
        <v>4.07E-2</v>
      </c>
      <c r="E37" s="10">
        <f t="shared" si="2"/>
        <v>5133.2868568426929</v>
      </c>
      <c r="F37" s="3"/>
      <c r="G37" s="29">
        <v>-12.5</v>
      </c>
      <c r="H37" s="10"/>
      <c r="I37" s="10">
        <f t="shared" si="8"/>
        <v>1181.5571933577316</v>
      </c>
      <c r="J37" s="10">
        <f t="shared" si="6"/>
        <v>155089154.35208648</v>
      </c>
      <c r="K37" s="11">
        <f t="shared" si="7"/>
        <v>-3.4230399999999994E-2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126124.98419760913</v>
      </c>
      <c r="D38" s="11">
        <v>4.2000000000000003E-2</v>
      </c>
      <c r="E38" s="10">
        <f t="shared" si="2"/>
        <v>5083.7325684257085</v>
      </c>
      <c r="F38" s="3"/>
      <c r="G38" s="29">
        <v>-1.58</v>
      </c>
      <c r="H38" s="10"/>
      <c r="I38" s="10">
        <f t="shared" si="8"/>
        <v>1273.2297342216937</v>
      </c>
      <c r="J38" s="10">
        <f t="shared" si="6"/>
        <v>160586080.10863718</v>
      </c>
      <c r="K38" s="11">
        <f t="shared" si="7"/>
        <v>6.4090400000000214E-2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121041.25162918342</v>
      </c>
      <c r="D39" s="11">
        <v>2.4899999999999999E-2</v>
      </c>
      <c r="E39" s="10">
        <f t="shared" si="2"/>
        <v>2940.7036448108702</v>
      </c>
      <c r="F39" s="3"/>
      <c r="G39" s="29">
        <v>5.64</v>
      </c>
      <c r="H39" s="10"/>
      <c r="I39" s="10">
        <f t="shared" si="8"/>
        <v>1246.7976245805851</v>
      </c>
      <c r="J39" s="10">
        <f t="shared" si="6"/>
        <v>150913945.00752676</v>
      </c>
      <c r="K39" s="11">
        <f t="shared" si="7"/>
        <v>8.2704359999999921E-2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118100.54798437255</v>
      </c>
      <c r="D40" s="11">
        <v>2.8899999999999999E-2</v>
      </c>
      <c r="E40" s="10">
        <f t="shared" si="2"/>
        <v>3317.2376681391324</v>
      </c>
      <c r="F40" s="3"/>
      <c r="G40" s="29">
        <v>2.4300000000000002</v>
      </c>
      <c r="H40" s="10"/>
      <c r="I40" s="10">
        <f t="shared" si="8"/>
        <v>1180.2325109623107</v>
      </c>
      <c r="J40" s="10">
        <f t="shared" si="6"/>
        <v>139386106.29362088</v>
      </c>
      <c r="K40" s="11">
        <f t="shared" si="7"/>
        <v>5.390227000000003E-2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114783.31031623342</v>
      </c>
      <c r="D41" s="11">
        <v>2.5700000000000001E-2</v>
      </c>
      <c r="E41" s="10">
        <f t="shared" si="2"/>
        <v>2876.0174272469594</v>
      </c>
      <c r="F41" s="3"/>
      <c r="G41" s="29">
        <v>0.36</v>
      </c>
      <c r="H41" s="10"/>
      <c r="I41" s="10">
        <f t="shared" si="8"/>
        <v>1152.2332431536763</v>
      </c>
      <c r="J41" s="10">
        <f t="shared" si="6"/>
        <v>132257145.90558846</v>
      </c>
      <c r="K41" s="11">
        <f t="shared" si="7"/>
        <v>2.9392520000000255E-2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111907.29288898646</v>
      </c>
      <c r="D42" s="11">
        <v>2.24E-2</v>
      </c>
      <c r="E42" s="10">
        <f t="shared" si="2"/>
        <v>2451.8029740936036</v>
      </c>
      <c r="F42" s="3"/>
      <c r="G42" s="29">
        <v>-20.07</v>
      </c>
      <c r="H42" s="10"/>
      <c r="I42" s="10">
        <f t="shared" si="8"/>
        <v>1148.1000828553967</v>
      </c>
      <c r="J42" s="10">
        <f t="shared" si="6"/>
        <v>128480772.2379685</v>
      </c>
      <c r="K42" s="11">
        <f t="shared" si="7"/>
        <v>-0.18279568000000002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109455.48991489285</v>
      </c>
      <c r="D43" s="11">
        <v>2.4799999999999999E-2</v>
      </c>
      <c r="E43" s="10">
        <f t="shared" si="2"/>
        <v>2648.8057668709371</v>
      </c>
      <c r="F43" s="3"/>
      <c r="G43" s="29">
        <v>15.33</v>
      </c>
      <c r="H43" s="10"/>
      <c r="I43" s="10">
        <f t="shared" si="8"/>
        <v>1436.3819377647901</v>
      </c>
      <c r="J43" s="10">
        <f t="shared" si="6"/>
        <v>157219888.70294824</v>
      </c>
      <c r="K43" s="11">
        <f t="shared" si="7"/>
        <v>0.18190183999999987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106806.68414802192</v>
      </c>
      <c r="D44" s="11">
        <v>2.5000000000000001E-2</v>
      </c>
      <c r="E44" s="10">
        <f t="shared" si="2"/>
        <v>2605.0410767810099</v>
      </c>
      <c r="F44" s="3"/>
      <c r="G44" s="29">
        <v>33.93</v>
      </c>
      <c r="H44" s="10"/>
      <c r="I44" s="10">
        <f t="shared" si="8"/>
        <v>1245.4538608903063</v>
      </c>
      <c r="J44" s="10">
        <f t="shared" si="6"/>
        <v>133022797.14104536</v>
      </c>
      <c r="K44" s="11">
        <f t="shared" si="7"/>
        <v>0.37278249999999979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104201.64307124091</v>
      </c>
      <c r="D45" s="11">
        <v>-1.4E-3</v>
      </c>
      <c r="E45" s="10">
        <f t="shared" si="2"/>
        <v>-146.08682185031648</v>
      </c>
      <c r="F45" s="3"/>
      <c r="G45" s="29">
        <v>1.07</v>
      </c>
      <c r="H45" s="10"/>
      <c r="I45" s="10">
        <f t="shared" si="8"/>
        <v>929.9289635558174</v>
      </c>
      <c r="J45" s="10">
        <f t="shared" si="6"/>
        <v>96900125.942052275</v>
      </c>
      <c r="K45" s="11">
        <f t="shared" si="7"/>
        <v>9.2850200000000882E-3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104347.72989309122</v>
      </c>
      <c r="D46" s="11">
        <v>0</v>
      </c>
      <c r="E46" s="10">
        <f t="shared" si="2"/>
        <v>0</v>
      </c>
      <c r="F46" s="3"/>
      <c r="G46" s="29">
        <v>2.2999999999999998</v>
      </c>
      <c r="H46" s="10"/>
      <c r="I46" s="10">
        <f t="shared" si="8"/>
        <v>920.08406407026564</v>
      </c>
      <c r="J46" s="10">
        <f t="shared" si="6"/>
        <v>96008683.396541715</v>
      </c>
      <c r="K46" s="11">
        <f t="shared" si="7"/>
        <v>2.2999999999999909E-2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104347.72989309122</v>
      </c>
      <c r="D47" s="11">
        <v>2.4299999999999999E-2</v>
      </c>
      <c r="E47" s="10">
        <f t="shared" si="2"/>
        <v>2475.4953005975985</v>
      </c>
      <c r="F47" s="3"/>
      <c r="G47" s="29">
        <v>1.89</v>
      </c>
      <c r="H47" s="10"/>
      <c r="I47" s="10">
        <f t="shared" si="8"/>
        <v>899.39791209214638</v>
      </c>
      <c r="J47" s="10">
        <f t="shared" si="6"/>
        <v>93850130.397401497</v>
      </c>
      <c r="K47" s="11">
        <f t="shared" si="7"/>
        <v>4.3659270000000028E-2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101872.23459249362</v>
      </c>
      <c r="D48" s="11">
        <v>2.1700000000000001E-2</v>
      </c>
      <c r="E48" s="10">
        <f t="shared" si="2"/>
        <v>2163.67572737312</v>
      </c>
      <c r="F48" s="3"/>
      <c r="G48" s="29">
        <v>-1.26</v>
      </c>
      <c r="H48" s="10"/>
      <c r="I48" s="10">
        <f t="shared" si="8"/>
        <v>882.71460603802768</v>
      </c>
      <c r="J48" s="10">
        <f t="shared" si="6"/>
        <v>89924109.424526542</v>
      </c>
      <c r="K48" s="11">
        <f t="shared" si="7"/>
        <v>8.8265800000000283E-3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99708.558865120503</v>
      </c>
      <c r="D49" s="11">
        <v>2.1700000000000001E-2</v>
      </c>
      <c r="E49" s="10">
        <f t="shared" si="2"/>
        <v>2117.7211778145429</v>
      </c>
      <c r="F49" s="3"/>
      <c r="G49" s="29">
        <v>3.81</v>
      </c>
      <c r="H49" s="10"/>
      <c r="I49" s="10">
        <f t="shared" si="8"/>
        <v>893.9787381385737</v>
      </c>
      <c r="J49" s="10">
        <f t="shared" si="6"/>
        <v>89137331.635856122</v>
      </c>
      <c r="K49" s="11">
        <f t="shared" si="7"/>
        <v>6.0626770000000052E-2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97590.837687305961</v>
      </c>
      <c r="D50" s="11">
        <v>2.3900000000000001E-2</v>
      </c>
      <c r="E50" s="10">
        <f t="shared" si="2"/>
        <v>2277.9773617800674</v>
      </c>
      <c r="F50" s="3"/>
      <c r="G50" s="29">
        <v>-1.29</v>
      </c>
      <c r="H50" s="10"/>
      <c r="I50" s="10">
        <f t="shared" si="8"/>
        <v>861.1682286278525</v>
      </c>
      <c r="J50" s="10">
        <f t="shared" si="6"/>
        <v>84042128.821485549</v>
      </c>
      <c r="K50" s="11">
        <f t="shared" si="7"/>
        <v>1.0691690000000031E-2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95312.860325525893</v>
      </c>
      <c r="D51" s="11">
        <v>2.5399999999999999E-2</v>
      </c>
      <c r="E51" s="10">
        <f t="shared" si="2"/>
        <v>2360.9778157483524</v>
      </c>
      <c r="F51" s="3"/>
      <c r="G51" s="29">
        <v>-0.5</v>
      </c>
      <c r="H51" s="10"/>
      <c r="I51" s="10">
        <f t="shared" si="8"/>
        <v>872.4224786018159</v>
      </c>
      <c r="J51" s="10">
        <f t="shared" si="6"/>
        <v>83153081.847823977</v>
      </c>
      <c r="K51" s="11">
        <f t="shared" si="7"/>
        <v>2.0272999999999985E-2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92951.882509777541</v>
      </c>
      <c r="D52" s="11">
        <v>2.41E-2</v>
      </c>
      <c r="E52" s="10">
        <f t="shared" si="2"/>
        <v>2187.4234630267019</v>
      </c>
      <c r="F52" s="3"/>
      <c r="G52" s="29">
        <v>5.54</v>
      </c>
      <c r="H52" s="10"/>
      <c r="I52" s="10">
        <f t="shared" si="8"/>
        <v>876.80651115760395</v>
      </c>
      <c r="J52" s="10">
        <f t="shared" si="6"/>
        <v>81500815.808929548</v>
      </c>
      <c r="K52" s="11">
        <f t="shared" si="7"/>
        <v>8.0835140000000028E-2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90764.459046750839</v>
      </c>
      <c r="D53" s="11">
        <v>2.7699999999999999E-2</v>
      </c>
      <c r="E53" s="10">
        <f t="shared" si="2"/>
        <v>2446.4099597110035</v>
      </c>
      <c r="F53" s="3"/>
      <c r="G53" s="29">
        <v>3.67</v>
      </c>
      <c r="H53" s="10"/>
      <c r="I53" s="10">
        <f t="shared" si="8"/>
        <v>830.78123096229297</v>
      </c>
      <c r="J53" s="10">
        <f t="shared" si="6"/>
        <v>75405409.014486283</v>
      </c>
      <c r="K53" s="11">
        <f t="shared" si="7"/>
        <v>6.5416589999999886E-2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88318.049087039835</v>
      </c>
      <c r="D54" s="11">
        <v>2.8500000000000001E-2</v>
      </c>
      <c r="E54" s="10">
        <f t="shared" si="2"/>
        <v>2447.3158959461725</v>
      </c>
      <c r="F54" s="3"/>
      <c r="G54" s="29">
        <v>-7.57</v>
      </c>
      <c r="H54" s="10"/>
      <c r="I54" s="10">
        <f t="shared" si="8"/>
        <v>801.37091826207484</v>
      </c>
      <c r="J54" s="10">
        <f t="shared" si="6"/>
        <v>70775516.095996112</v>
      </c>
      <c r="K54" s="11">
        <f t="shared" si="7"/>
        <v>-4.9357449999999914E-2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85870.733191093663</v>
      </c>
      <c r="D55" s="11">
        <v>2.1100000000000001E-2</v>
      </c>
      <c r="E55" s="10">
        <f t="shared" si="2"/>
        <v>1774.4319560592121</v>
      </c>
      <c r="F55" s="3"/>
      <c r="G55" s="29">
        <v>3.69</v>
      </c>
      <c r="H55" s="10"/>
      <c r="I55" s="10">
        <f t="shared" si="8"/>
        <v>867.00304907722045</v>
      </c>
      <c r="J55" s="10">
        <f t="shared" si="6"/>
        <v>74450187.503174677</v>
      </c>
      <c r="K55" s="11">
        <f t="shared" si="7"/>
        <v>5.8778589999999742E-2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84096.301235034451</v>
      </c>
      <c r="D56" s="11">
        <v>2.5399999999999999E-2</v>
      </c>
      <c r="E56" s="10">
        <f t="shared" si="2"/>
        <v>2083.1344366782578</v>
      </c>
      <c r="F56" s="3"/>
      <c r="G56" s="29">
        <v>0.18</v>
      </c>
      <c r="H56" s="10"/>
      <c r="I56" s="10">
        <f t="shared" si="8"/>
        <v>836.14914560441753</v>
      </c>
      <c r="J56" s="10">
        <f t="shared" si="6"/>
        <v>70317050.426165774</v>
      </c>
      <c r="K56" s="11">
        <f t="shared" si="7"/>
        <v>2.7245720000000251E-2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82013.166798356193</v>
      </c>
      <c r="D57" s="11">
        <v>2.53E-2</v>
      </c>
      <c r="E57" s="10">
        <f t="shared" si="2"/>
        <v>2023.7326831155951</v>
      </c>
      <c r="F57" s="3"/>
      <c r="G57" s="29">
        <v>1.79</v>
      </c>
      <c r="H57" s="10"/>
      <c r="I57" s="10">
        <f t="shared" si="8"/>
        <v>834.64678139790124</v>
      </c>
      <c r="J57" s="10">
        <f t="shared" si="6"/>
        <v>68452025.70049721</v>
      </c>
      <c r="K57" s="11">
        <f t="shared" si="7"/>
        <v>4.3652870000000066E-2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79989.434115240598</v>
      </c>
      <c r="D58" s="11">
        <v>2.5399999999999999E-2</v>
      </c>
      <c r="E58" s="10">
        <f t="shared" si="2"/>
        <v>1981.4039657959074</v>
      </c>
      <c r="F58" s="3"/>
      <c r="G58" s="29">
        <v>7.41</v>
      </c>
      <c r="H58" s="10"/>
      <c r="I58" s="10">
        <f t="shared" si="8"/>
        <v>819.9693303840271</v>
      </c>
      <c r="J58" s="10">
        <f t="shared" si="6"/>
        <v>65588882.729271084</v>
      </c>
      <c r="K58" s="11">
        <f t="shared" si="7"/>
        <v>0.10138214000000012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78008.03014944469</v>
      </c>
      <c r="D59" s="11">
        <v>2.5399999999999999E-2</v>
      </c>
      <c r="E59" s="10">
        <f t="shared" si="2"/>
        <v>1932.3229625472013</v>
      </c>
      <c r="F59" s="3"/>
      <c r="G59" s="29">
        <v>11.56</v>
      </c>
      <c r="H59" s="10"/>
      <c r="I59" s="10">
        <f t="shared" si="8"/>
        <v>763.40129446422782</v>
      </c>
      <c r="J59" s="10">
        <f t="shared" si="6"/>
        <v>59551431.194690585</v>
      </c>
      <c r="K59" s="11">
        <f t="shared" si="7"/>
        <v>0.14393623999999994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76075.707186897489</v>
      </c>
      <c r="D60" s="11">
        <v>2.5399999999999999E-2</v>
      </c>
      <c r="E60" s="10">
        <f t="shared" si="2"/>
        <v>1884.4577360514959</v>
      </c>
      <c r="F60" s="3"/>
      <c r="G60" s="29">
        <v>3.64</v>
      </c>
      <c r="H60" s="10"/>
      <c r="I60" s="10">
        <f t="shared" si="8"/>
        <v>684.29660672662953</v>
      </c>
      <c r="J60" s="10">
        <f t="shared" si="6"/>
        <v>52058348.282322615</v>
      </c>
      <c r="K60" s="11">
        <f t="shared" si="7"/>
        <v>6.2724560000000151E-2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74191.249450845993</v>
      </c>
      <c r="D61" s="11">
        <v>2.5399999999999999E-2</v>
      </c>
      <c r="E61" s="10">
        <f t="shared" si="2"/>
        <v>1837.7781705202797</v>
      </c>
      <c r="F61" s="3"/>
      <c r="G61" s="29">
        <v>6.93</v>
      </c>
      <c r="H61" s="10"/>
      <c r="I61" s="10">
        <f t="shared" si="8"/>
        <v>660.26303234912154</v>
      </c>
      <c r="J61" s="10">
        <f t="shared" si="6"/>
        <v>48985739.336185671</v>
      </c>
      <c r="K61" s="11">
        <f t="shared" si="7"/>
        <v>9.6460219999999985E-2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72353.471280325713</v>
      </c>
      <c r="D62" s="11">
        <v>2.5000000000000001E-2</v>
      </c>
      <c r="E62" s="10">
        <f t="shared" si="2"/>
        <v>1764.7188117152546</v>
      </c>
      <c r="F62" s="3"/>
      <c r="G62" s="29">
        <v>2.4500000000000002</v>
      </c>
      <c r="H62" s="10"/>
      <c r="I62" s="10">
        <f t="shared" si="8"/>
        <v>617.47220831302866</v>
      </c>
      <c r="J62" s="10">
        <f t="shared" si="6"/>
        <v>44676257.690576017</v>
      </c>
      <c r="K62" s="11">
        <f t="shared" si="7"/>
        <v>5.0112499999999782E-2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70588.752468610459</v>
      </c>
      <c r="D63" s="11">
        <v>2.4899999999999999E-2</v>
      </c>
      <c r="E63" s="10">
        <f t="shared" si="2"/>
        <v>1714.9574948467052</v>
      </c>
      <c r="F63" s="3"/>
      <c r="G63" s="29">
        <v>11.33</v>
      </c>
      <c r="H63" s="10"/>
      <c r="I63" s="10">
        <f t="shared" si="8"/>
        <v>602.70591343389822</v>
      </c>
      <c r="J63" s="10">
        <f t="shared" si="6"/>
        <v>42544258.534753203</v>
      </c>
      <c r="K63" s="11">
        <f t="shared" si="7"/>
        <v>0.1410211699999997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68873.794973763754</v>
      </c>
      <c r="D64" s="11">
        <v>2.4500000000000001E-2</v>
      </c>
      <c r="E64" s="10">
        <f t="shared" si="2"/>
        <v>1647.0551262637455</v>
      </c>
      <c r="F64" s="3"/>
      <c r="G64" s="29">
        <v>10.67</v>
      </c>
      <c r="H64" s="10"/>
      <c r="I64" s="10">
        <f t="shared" si="8"/>
        <v>541.36882550426503</v>
      </c>
      <c r="J64" s="10">
        <f t="shared" si="6"/>
        <v>37286125.492968038</v>
      </c>
      <c r="K64" s="11">
        <f t="shared" si="7"/>
        <v>0.13381414999999985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67226.739847500008</v>
      </c>
      <c r="D65" s="11">
        <v>2.3900000000000001E-2</v>
      </c>
      <c r="E65" s="10">
        <f t="shared" si="2"/>
        <v>1569.2148474999995</v>
      </c>
      <c r="F65" s="3"/>
      <c r="G65" s="29">
        <v>10.45</v>
      </c>
      <c r="H65" s="10"/>
      <c r="I65" s="10">
        <f t="shared" si="8"/>
        <v>489.17396358928801</v>
      </c>
      <c r="J65" s="10">
        <f t="shared" si="6"/>
        <v>32885570.790387508</v>
      </c>
      <c r="K65" s="11">
        <f t="shared" si="7"/>
        <v>0.13089755000000003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65657.525000000009</v>
      </c>
      <c r="D66" s="11">
        <v>2.35E-2</v>
      </c>
      <c r="E66" s="10">
        <f t="shared" si="2"/>
        <v>1507.5250000000087</v>
      </c>
      <c r="F66" s="23">
        <f>SUM(F2)</f>
        <v>324028</v>
      </c>
      <c r="G66" s="29">
        <v>10.3</v>
      </c>
      <c r="H66" s="10"/>
      <c r="I66" s="10">
        <f t="shared" si="8"/>
        <v>442.89177328138345</v>
      </c>
      <c r="J66" s="10">
        <f t="shared" ref="J66:J67" si="9">IF(I66="","",I66*C66)</f>
        <v>29079177.676516771</v>
      </c>
      <c r="K66" s="11">
        <f t="shared" ref="K66" si="10">IFERROR(J66/J67-1,"")</f>
        <v>0.12892050000000022</v>
      </c>
    </row>
    <row r="67" spans="1:11" ht="22.5" customHeight="1">
      <c r="A67" s="3">
        <f t="shared" si="0"/>
        <v>1950</v>
      </c>
      <c r="B67" s="3">
        <v>1700</v>
      </c>
      <c r="C67" s="10">
        <v>64150</v>
      </c>
      <c r="D67" s="11">
        <v>2.3E-2</v>
      </c>
      <c r="E67" s="3" t="s">
        <v>72</v>
      </c>
      <c r="F67" s="10">
        <f>SUM(C2)</f>
        <v>324055.76512182388</v>
      </c>
      <c r="G67" s="29">
        <v>8.2100000000000009</v>
      </c>
      <c r="H67" s="10"/>
      <c r="I67" s="10">
        <f t="shared" ref="I67" si="11">IF(H67&lt;&gt;"",H67,I66/(1+IF(G66="",0,G66)/100))</f>
        <v>401.53379263951354</v>
      </c>
      <c r="J67" s="10">
        <f t="shared" si="9"/>
        <v>25758392.797824793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  <row r="88" spans="7:7" ht="15.75" customHeight="1">
      <c r="G88" s="10"/>
    </row>
    <row r="89" spans="7:7" ht="15.75" customHeight="1">
      <c r="G89" s="10"/>
    </row>
    <row r="90" spans="7:7" ht="15.75" customHeight="1">
      <c r="G90" s="10"/>
    </row>
    <row r="91" spans="7:7" ht="15.75" customHeight="1">
      <c r="G91" s="10"/>
    </row>
    <row r="92" spans="7:7" ht="15.75" customHeight="1">
      <c r="G92" s="10"/>
    </row>
    <row r="93" spans="7:7" ht="15.75" customHeight="1">
      <c r="G93" s="10"/>
    </row>
    <row r="94" spans="7:7" ht="15.75" customHeight="1">
      <c r="G94" s="10"/>
    </row>
    <row r="95" spans="7:7" ht="15.75" customHeight="1">
      <c r="G95" s="10"/>
    </row>
    <row r="96" spans="7:7" ht="15.75" customHeight="1">
      <c r="G96" s="10"/>
    </row>
  </sheetData>
  <dataValidations count="1">
    <dataValidation type="custom" allowBlank="1" showDropDown="1" sqref="D2:D67" xr:uid="{00000000-0002-0000-7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outlinePr summaryBelow="0" summaryRight="0"/>
  </sheetPr>
  <dimension ref="A1:M68"/>
  <sheetViews>
    <sheetView workbookViewId="0">
      <selection activeCell="G26" sqref="G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9975218.9344358966</v>
      </c>
      <c r="D2" s="11">
        <v>1.4500000000000001E-2</v>
      </c>
      <c r="E2" s="10">
        <f t="shared" ref="E2:E66" si="2">SUM(C2-C3)</f>
        <v>142573.36081746593</v>
      </c>
      <c r="F2" s="14">
        <v>9975075</v>
      </c>
      <c r="G2" s="29">
        <v>3.92</v>
      </c>
      <c r="H2" s="10"/>
      <c r="I2" s="10">
        <f>IF(H2&lt;&gt;"",H2,7112)</f>
        <v>889</v>
      </c>
      <c r="J2" s="10">
        <f t="shared" ref="J2:J33" si="3">IF(I2="","",I2*C2)</f>
        <v>8867969632.7135124</v>
      </c>
      <c r="K2" s="11">
        <f t="shared" ref="K2:K33" si="4">IFERROR(J2/J3-1,"")</f>
        <v>5.4268399999999772E-2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9832645.5736184306</v>
      </c>
      <c r="D3" s="11">
        <v>1.47E-2</v>
      </c>
      <c r="E3" s="10">
        <f t="shared" si="2"/>
        <v>142445.93469221517</v>
      </c>
      <c r="G3" s="29">
        <v>4.33</v>
      </c>
      <c r="H3" s="10"/>
      <c r="I3" s="10">
        <f t="shared" ref="I3:I34" si="5">IF(H3&lt;&gt;"",H3,I2/(1+IF(G2="",0,G2)/100))</f>
        <v>855.46574287913791</v>
      </c>
      <c r="J3" s="10">
        <f t="shared" si="3"/>
        <v>8411491450.1027575</v>
      </c>
      <c r="K3" s="11">
        <f t="shared" si="4"/>
        <v>5.863650999999992E-2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9690199.6389262155</v>
      </c>
      <c r="D4" s="11">
        <v>1.41E-2</v>
      </c>
      <c r="E4" s="10">
        <f t="shared" si="2"/>
        <v>134732.09240593575</v>
      </c>
      <c r="F4" s="3"/>
      <c r="G4" s="29">
        <v>5.79</v>
      </c>
      <c r="H4" s="10"/>
      <c r="I4" s="10">
        <f t="shared" si="5"/>
        <v>819.96141366734207</v>
      </c>
      <c r="J4" s="10">
        <f t="shared" si="3"/>
        <v>7945589794.6527071</v>
      </c>
      <c r="K4" s="11">
        <f t="shared" si="4"/>
        <v>7.2816390000000064E-2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9555467.5465202797</v>
      </c>
      <c r="D5" s="11">
        <v>1.41E-2</v>
      </c>
      <c r="E5" s="10">
        <f t="shared" si="2"/>
        <v>132858.78355777077</v>
      </c>
      <c r="F5" s="3"/>
      <c r="G5" s="29">
        <v>6.45</v>
      </c>
      <c r="H5" s="10"/>
      <c r="I5" s="10">
        <f t="shared" si="5"/>
        <v>775.08404732710278</v>
      </c>
      <c r="J5" s="10">
        <f t="shared" si="3"/>
        <v>7406290460.0597191</v>
      </c>
      <c r="K5" s="11">
        <f t="shared" si="4"/>
        <v>7.9509449999999982E-2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9422608.7629625089</v>
      </c>
      <c r="D6" s="11">
        <v>1.43E-2</v>
      </c>
      <c r="E6" s="10">
        <f t="shared" si="2"/>
        <v>132843.64124062285</v>
      </c>
      <c r="F6" s="3"/>
      <c r="G6" s="29">
        <v>6.62</v>
      </c>
      <c r="H6" s="10"/>
      <c r="I6" s="10">
        <f t="shared" si="5"/>
        <v>728.12028870559209</v>
      </c>
      <c r="J6" s="10">
        <f t="shared" si="3"/>
        <v>6860792612.8481035</v>
      </c>
      <c r="K6" s="11">
        <f t="shared" si="4"/>
        <v>8.1446659999999893E-2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9289765.1217218861</v>
      </c>
      <c r="D7" s="11">
        <v>1.46E-2</v>
      </c>
      <c r="E7" s="10">
        <f t="shared" si="2"/>
        <v>133678.85942946933</v>
      </c>
      <c r="F7" s="3"/>
      <c r="G7" s="29">
        <v>8.4499999999999993</v>
      </c>
      <c r="H7" s="10"/>
      <c r="I7" s="10">
        <f t="shared" si="5"/>
        <v>682.9115444621948</v>
      </c>
      <c r="J7" s="10">
        <f t="shared" si="3"/>
        <v>6344087846.9661226</v>
      </c>
      <c r="K7" s="11">
        <f t="shared" si="4"/>
        <v>0.10033370000000019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9156086.2622924168</v>
      </c>
      <c r="D8" s="11">
        <v>1.4999999999999999E-2</v>
      </c>
      <c r="E8" s="10">
        <f t="shared" si="2"/>
        <v>135311.61963978782</v>
      </c>
      <c r="F8" s="3"/>
      <c r="G8" s="29">
        <v>2.96</v>
      </c>
      <c r="H8" s="10"/>
      <c r="I8" s="10">
        <f t="shared" si="5"/>
        <v>629.70174685310724</v>
      </c>
      <c r="J8" s="10">
        <f t="shared" si="3"/>
        <v>5765603513.7032719</v>
      </c>
      <c r="K8" s="11">
        <f t="shared" si="4"/>
        <v>4.5043999999999862E-2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9020774.6426526289</v>
      </c>
      <c r="D9" s="11">
        <v>1.52E-2</v>
      </c>
      <c r="E9" s="10">
        <f t="shared" si="2"/>
        <v>135062.81970874779</v>
      </c>
      <c r="F9" s="3"/>
      <c r="G9" s="29">
        <v>5.8</v>
      </c>
      <c r="H9" s="10"/>
      <c r="I9" s="10">
        <f t="shared" si="5"/>
        <v>611.5984332295136</v>
      </c>
      <c r="J9" s="10">
        <f t="shared" si="3"/>
        <v>5517091637.9628735</v>
      </c>
      <c r="K9" s="11">
        <f t="shared" si="4"/>
        <v>7.4081600000000192E-2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8885711.8229438812</v>
      </c>
      <c r="D10" s="11">
        <v>1.5299999999999999E-2</v>
      </c>
      <c r="E10" s="10">
        <f t="shared" si="2"/>
        <v>133902.67988874391</v>
      </c>
      <c r="F10" s="3"/>
      <c r="G10" s="29">
        <v>4.1100000000000003</v>
      </c>
      <c r="H10" s="10"/>
      <c r="I10" s="10">
        <f t="shared" si="5"/>
        <v>578.07035276891645</v>
      </c>
      <c r="J10" s="10">
        <f t="shared" si="3"/>
        <v>5136566568.0921011</v>
      </c>
      <c r="K10" s="11">
        <f t="shared" si="4"/>
        <v>5.7028830000000141E-2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8751809.1430551372</v>
      </c>
      <c r="D11" s="11">
        <v>1.54E-2</v>
      </c>
      <c r="E11" s="10">
        <f t="shared" si="2"/>
        <v>132733.76088541374</v>
      </c>
      <c r="F11" s="3"/>
      <c r="G11" s="29">
        <v>6.25</v>
      </c>
      <c r="H11" s="10"/>
      <c r="I11" s="10">
        <f t="shared" si="5"/>
        <v>555.2495944375338</v>
      </c>
      <c r="J11" s="10">
        <f t="shared" si="3"/>
        <v>4859438477.2760649</v>
      </c>
      <c r="K11" s="11">
        <f t="shared" si="4"/>
        <v>7.8862500000000058E-2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8619075.3821697235</v>
      </c>
      <c r="D12" s="11">
        <v>1.55E-2</v>
      </c>
      <c r="E12" s="10">
        <f t="shared" si="2"/>
        <v>131556.54202228598</v>
      </c>
      <c r="F12" s="3"/>
      <c r="G12" s="29">
        <v>8.66</v>
      </c>
      <c r="H12" s="10"/>
      <c r="I12" s="10">
        <f t="shared" si="5"/>
        <v>522.58785358826708</v>
      </c>
      <c r="J12" s="10">
        <f t="shared" si="3"/>
        <v>4504224103.8835487</v>
      </c>
      <c r="K12" s="11">
        <f t="shared" si="4"/>
        <v>0.10344230000000021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8487518.8401474375</v>
      </c>
      <c r="D13" s="11">
        <v>1.54E-2</v>
      </c>
      <c r="E13" s="10">
        <f t="shared" si="2"/>
        <v>128725.41869043931</v>
      </c>
      <c r="F13" s="3"/>
      <c r="G13" s="29">
        <v>4.4800000000000004</v>
      </c>
      <c r="H13" s="10"/>
      <c r="I13" s="10">
        <f t="shared" si="5"/>
        <v>480.93857315319997</v>
      </c>
      <c r="J13" s="10">
        <f t="shared" si="3"/>
        <v>4081975200.5914111</v>
      </c>
      <c r="K13" s="11">
        <f t="shared" si="4"/>
        <v>6.0889920000000153E-2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8358793.4214569982</v>
      </c>
      <c r="D14" s="11">
        <v>1.54E-2</v>
      </c>
      <c r="E14" s="10">
        <f t="shared" si="2"/>
        <v>126773.11275402643</v>
      </c>
      <c r="F14" s="3"/>
      <c r="G14" s="29">
        <v>7.8</v>
      </c>
      <c r="H14" s="10"/>
      <c r="I14" s="10">
        <f t="shared" si="5"/>
        <v>460.31639850038283</v>
      </c>
      <c r="J14" s="10">
        <f t="shared" si="3"/>
        <v>3847689683.5737782</v>
      </c>
      <c r="K14" s="11">
        <f t="shared" si="4"/>
        <v>9.4601200000000274E-2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8232020.3087029718</v>
      </c>
      <c r="D15" s="11">
        <v>1.5599999999999999E-2</v>
      </c>
      <c r="E15" s="10">
        <f t="shared" si="2"/>
        <v>126446.94448184967</v>
      </c>
      <c r="F15" s="3"/>
      <c r="G15" s="29">
        <v>4.3499999999999996</v>
      </c>
      <c r="H15" s="10"/>
      <c r="I15" s="10">
        <f t="shared" si="5"/>
        <v>427.0096461042512</v>
      </c>
      <c r="J15" s="10">
        <f t="shared" si="3"/>
        <v>3515152078.7422647</v>
      </c>
      <c r="K15" s="11">
        <f t="shared" si="4"/>
        <v>5.9778600000000237E-2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8105573.3642211221</v>
      </c>
      <c r="D16" s="11">
        <v>1.61E-2</v>
      </c>
      <c r="E16" s="10">
        <f t="shared" si="2"/>
        <v>128431.97634480894</v>
      </c>
      <c r="F16" s="3"/>
      <c r="G16" s="29">
        <v>6.61</v>
      </c>
      <c r="H16" s="10"/>
      <c r="I16" s="10">
        <f t="shared" si="5"/>
        <v>409.20905232798384</v>
      </c>
      <c r="J16" s="10">
        <f t="shared" si="3"/>
        <v>3316873994.9478731</v>
      </c>
      <c r="K16" s="11">
        <f t="shared" si="4"/>
        <v>8.3264210000000061E-2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7977141.3878763132</v>
      </c>
      <c r="D17" s="11">
        <v>1.67E-2</v>
      </c>
      <c r="E17" s="10">
        <f t="shared" si="2"/>
        <v>131030.05918907654</v>
      </c>
      <c r="F17" s="3"/>
      <c r="G17" s="29">
        <v>-11.89</v>
      </c>
      <c r="H17" s="10"/>
      <c r="I17" s="10">
        <f t="shared" si="5"/>
        <v>383.83740017632852</v>
      </c>
      <c r="J17" s="10">
        <f t="shared" si="3"/>
        <v>3061925211.1614332</v>
      </c>
      <c r="K17" s="11">
        <f t="shared" si="4"/>
        <v>-0.10418563000000003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7846111.3286872366</v>
      </c>
      <c r="D18" s="11">
        <v>1.7399999999999999E-2</v>
      </c>
      <c r="E18" s="10">
        <f t="shared" si="2"/>
        <v>134187.47505323216</v>
      </c>
      <c r="F18" s="3"/>
      <c r="G18" s="29">
        <v>7.4</v>
      </c>
      <c r="H18" s="10"/>
      <c r="I18" s="10">
        <f t="shared" si="5"/>
        <v>435.63432093556747</v>
      </c>
      <c r="J18" s="10">
        <f t="shared" si="3"/>
        <v>3418035380.6575274</v>
      </c>
      <c r="K18" s="11">
        <f t="shared" si="4"/>
        <v>9.2687600000000092E-2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7711923.8536340045</v>
      </c>
      <c r="D19" s="11">
        <v>1.8200000000000001E-2</v>
      </c>
      <c r="E19" s="10">
        <f t="shared" si="2"/>
        <v>137848.17730911262</v>
      </c>
      <c r="F19" s="3"/>
      <c r="G19" s="29">
        <v>7.31</v>
      </c>
      <c r="H19" s="10"/>
      <c r="I19" s="10">
        <f t="shared" si="5"/>
        <v>405.61854835713916</v>
      </c>
      <c r="J19" s="10">
        <f t="shared" si="3"/>
        <v>3128099358.5518193</v>
      </c>
      <c r="K19" s="11">
        <f t="shared" si="4"/>
        <v>9.263041999999988E-2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7574075.6763248919</v>
      </c>
      <c r="D20" s="11">
        <v>1.9099999999999999E-2</v>
      </c>
      <c r="E20" s="10">
        <f t="shared" si="2"/>
        <v>141953.53293867595</v>
      </c>
      <c r="F20" s="3"/>
      <c r="G20" s="29">
        <v>6.32</v>
      </c>
      <c r="H20" s="10"/>
      <c r="I20" s="10">
        <f t="shared" si="5"/>
        <v>377.98765106433621</v>
      </c>
      <c r="J20" s="10">
        <f t="shared" si="3"/>
        <v>2862907073.8775697</v>
      </c>
      <c r="K20" s="11">
        <f t="shared" si="4"/>
        <v>8.3507119999999935E-2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7432122.1433862159</v>
      </c>
      <c r="D21" s="11">
        <v>1.9800000000000002E-2</v>
      </c>
      <c r="E21" s="10">
        <f t="shared" si="2"/>
        <v>144298.90021479409</v>
      </c>
      <c r="F21" s="3"/>
      <c r="G21" s="29">
        <v>11.01</v>
      </c>
      <c r="H21" s="10"/>
      <c r="I21" s="10">
        <f t="shared" si="5"/>
        <v>355.51885916510179</v>
      </c>
      <c r="J21" s="10">
        <f t="shared" si="3"/>
        <v>2642259585.5923586</v>
      </c>
      <c r="K21" s="11">
        <f t="shared" si="4"/>
        <v>0.1320799800000001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7287823.2431714218</v>
      </c>
      <c r="D22" s="11">
        <v>2.06E-2</v>
      </c>
      <c r="E22" s="10">
        <f t="shared" si="2"/>
        <v>147098.92103598919</v>
      </c>
      <c r="F22" s="3"/>
      <c r="G22" s="29">
        <v>5.72</v>
      </c>
      <c r="H22" s="10"/>
      <c r="I22" s="10">
        <f t="shared" si="5"/>
        <v>320.25840840023579</v>
      </c>
      <c r="J22" s="10">
        <f t="shared" si="3"/>
        <v>2333986672.5603242</v>
      </c>
      <c r="K22" s="11">
        <f t="shared" si="4"/>
        <v>7.8978319999999824E-2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7140724.3221354326</v>
      </c>
      <c r="D23" s="11">
        <v>2.1499999999999998E-2</v>
      </c>
      <c r="E23" s="10">
        <f t="shared" si="2"/>
        <v>150294.24662350677</v>
      </c>
      <c r="F23" s="3"/>
      <c r="G23" s="29">
        <v>1.32</v>
      </c>
      <c r="H23" s="10"/>
      <c r="I23" s="10">
        <f t="shared" si="5"/>
        <v>302.93076844517196</v>
      </c>
      <c r="J23" s="10">
        <f t="shared" si="3"/>
        <v>2163145106.1596165</v>
      </c>
      <c r="K23" s="11">
        <f t="shared" si="4"/>
        <v>3.4983800000000231E-2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6990430.0755119259</v>
      </c>
      <c r="D24" s="11">
        <v>2.24E-2</v>
      </c>
      <c r="E24" s="10">
        <f t="shared" si="2"/>
        <v>153154.96253077779</v>
      </c>
      <c r="F24" s="3"/>
      <c r="G24" s="29">
        <v>3.46</v>
      </c>
      <c r="H24" s="10"/>
      <c r="I24" s="10">
        <f t="shared" si="5"/>
        <v>298.98417730474927</v>
      </c>
      <c r="J24" s="10">
        <f t="shared" si="3"/>
        <v>2090027985.1333094</v>
      </c>
      <c r="K24" s="11">
        <f t="shared" si="4"/>
        <v>5.7775039999999889E-2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6837275.1129811481</v>
      </c>
      <c r="D25" s="11">
        <v>2.3300000000000001E-2</v>
      </c>
      <c r="E25" s="10">
        <f t="shared" si="2"/>
        <v>155681.1395802414</v>
      </c>
      <c r="F25" s="3"/>
      <c r="G25" s="29">
        <v>0.23</v>
      </c>
      <c r="H25" s="10"/>
      <c r="I25" s="10">
        <f t="shared" si="5"/>
        <v>288.98528639546618</v>
      </c>
      <c r="J25" s="10">
        <f t="shared" si="3"/>
        <v>1975871906.6894505</v>
      </c>
      <c r="K25" s="11">
        <f t="shared" si="4"/>
        <v>2.5653590000000115E-2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6681593.9734009067</v>
      </c>
      <c r="D26" s="11">
        <v>2.41E-2</v>
      </c>
      <c r="E26" s="10">
        <f t="shared" si="2"/>
        <v>157237.00298697595</v>
      </c>
      <c r="F26" s="3"/>
      <c r="G26" s="29">
        <v>9.07</v>
      </c>
      <c r="H26" s="10"/>
      <c r="I26" s="10">
        <f t="shared" si="5"/>
        <v>288.32214546090609</v>
      </c>
      <c r="J26" s="10">
        <f t="shared" si="3"/>
        <v>1926451509.5096097</v>
      </c>
      <c r="K26" s="11">
        <f t="shared" si="4"/>
        <v>0.11698587000000016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6524356.9704139307</v>
      </c>
      <c r="D27" s="11">
        <v>2.4899999999999999E-2</v>
      </c>
      <c r="E27" s="10">
        <f t="shared" si="2"/>
        <v>158509.59953488782</v>
      </c>
      <c r="F27" s="3"/>
      <c r="G27" s="29">
        <v>-0.6</v>
      </c>
      <c r="H27" s="10"/>
      <c r="I27" s="10">
        <f t="shared" si="5"/>
        <v>264.34596631604114</v>
      </c>
      <c r="J27" s="10">
        <f t="shared" si="3"/>
        <v>1724687447.9348691</v>
      </c>
      <c r="K27" s="11">
        <f t="shared" si="4"/>
        <v>1.8750599999999729E-2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6365847.3708790429</v>
      </c>
      <c r="D28" s="11">
        <v>2.5700000000000001E-2</v>
      </c>
      <c r="E28" s="10">
        <f t="shared" si="2"/>
        <v>159503.04907048028</v>
      </c>
      <c r="F28" s="3"/>
      <c r="G28" s="29">
        <v>2.15</v>
      </c>
      <c r="H28" s="10"/>
      <c r="I28" s="10">
        <f t="shared" si="5"/>
        <v>265.94161601211385</v>
      </c>
      <c r="J28" s="10">
        <f t="shared" si="3"/>
        <v>1692943737.0980389</v>
      </c>
      <c r="K28" s="11">
        <f t="shared" si="4"/>
        <v>4.7752550000000227E-2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6206344.3218085626</v>
      </c>
      <c r="D29" s="11">
        <v>2.6499999999999999E-2</v>
      </c>
      <c r="E29" s="10">
        <f t="shared" si="2"/>
        <v>160222.23529267125</v>
      </c>
      <c r="F29" s="3"/>
      <c r="G29" s="29">
        <v>5.8</v>
      </c>
      <c r="H29" s="10"/>
      <c r="I29" s="10">
        <f t="shared" si="5"/>
        <v>260.34421538141345</v>
      </c>
      <c r="J29" s="10">
        <f t="shared" si="3"/>
        <v>1615785842.8481407</v>
      </c>
      <c r="K29" s="11">
        <f t="shared" si="4"/>
        <v>8.6036999999999919E-2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6046122.0865158914</v>
      </c>
      <c r="D30" s="11">
        <v>2.7199999999999998E-2</v>
      </c>
      <c r="E30" s="10">
        <f t="shared" si="2"/>
        <v>160099.80602923594</v>
      </c>
      <c r="F30" s="3"/>
      <c r="G30" s="29">
        <v>-0.24</v>
      </c>
      <c r="H30" s="10"/>
      <c r="I30" s="10">
        <f t="shared" si="5"/>
        <v>246.07203722250799</v>
      </c>
      <c r="J30" s="10">
        <f t="shared" si="3"/>
        <v>1487781579.1249661</v>
      </c>
      <c r="K30" s="11">
        <f t="shared" si="4"/>
        <v>2.4734719999999877E-2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5886022.2804866554</v>
      </c>
      <c r="D31" s="11">
        <v>2.7799999999999998E-2</v>
      </c>
      <c r="E31" s="10">
        <f t="shared" si="2"/>
        <v>159205.50632178411</v>
      </c>
      <c r="F31" s="3"/>
      <c r="G31" s="29">
        <v>7.96</v>
      </c>
      <c r="H31" s="10"/>
      <c r="I31" s="10">
        <f t="shared" si="5"/>
        <v>246.66403089665997</v>
      </c>
      <c r="J31" s="10">
        <f t="shared" si="3"/>
        <v>1451869981.6523893</v>
      </c>
      <c r="K31" s="11">
        <f t="shared" si="4"/>
        <v>0.10961288000000025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5726816.7741648713</v>
      </c>
      <c r="D32" s="11">
        <v>2.8400000000000002E-2</v>
      </c>
      <c r="E32" s="10">
        <f t="shared" si="2"/>
        <v>158150.13261987735</v>
      </c>
      <c r="F32" s="3"/>
      <c r="G32" s="29">
        <v>8.52</v>
      </c>
      <c r="H32" s="10"/>
      <c r="I32" s="10">
        <f t="shared" si="5"/>
        <v>228.47724240150049</v>
      </c>
      <c r="J32" s="10">
        <f t="shared" si="3"/>
        <v>1308447304.2998464</v>
      </c>
      <c r="K32" s="11">
        <f t="shared" si="4"/>
        <v>0.11601967999999996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5568666.641544994</v>
      </c>
      <c r="D33" s="11">
        <v>2.87E-2</v>
      </c>
      <c r="E33" s="10">
        <f t="shared" si="2"/>
        <v>155361.8475866057</v>
      </c>
      <c r="F33" s="3"/>
      <c r="G33" s="29">
        <v>-1.78</v>
      </c>
      <c r="H33" s="10"/>
      <c r="I33" s="10">
        <f t="shared" si="5"/>
        <v>210.5392945093075</v>
      </c>
      <c r="J33" s="10">
        <f t="shared" si="3"/>
        <v>1172423146.0683978</v>
      </c>
      <c r="K33" s="11">
        <f t="shared" si="4"/>
        <v>1.0389140000000019E-2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5413304.7939583883</v>
      </c>
      <c r="D34" s="11">
        <v>2.86E-2</v>
      </c>
      <c r="E34" s="10">
        <f t="shared" si="2"/>
        <v>150515.76619405951</v>
      </c>
      <c r="F34" s="3"/>
      <c r="G34" s="29">
        <v>-0.95</v>
      </c>
      <c r="H34" s="10"/>
      <c r="I34" s="10">
        <f t="shared" si="5"/>
        <v>214.35481012961463</v>
      </c>
      <c r="J34" s="10">
        <f t="shared" ref="J34:J65" si="6">IF(I34="","",I34*C34)</f>
        <v>1160367921.2826829</v>
      </c>
      <c r="K34" s="11">
        <f t="shared" ref="K34:K65" si="7">IFERROR(J34/J35-1,"")</f>
        <v>3.2200100000000065E-2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5262789.0277643288</v>
      </c>
      <c r="D35" s="11">
        <v>2.8199999999999999E-2</v>
      </c>
      <c r="E35" s="10">
        <f t="shared" si="2"/>
        <v>144340.25538120419</v>
      </c>
      <c r="F35" s="3"/>
      <c r="G35" s="29">
        <v>6.86</v>
      </c>
      <c r="H35" s="10"/>
      <c r="I35" s="10">
        <f t="shared" ref="I35:I66" si="8">IF(H35&lt;&gt;"",H35,I34/(1+IF(G34="",0,G34)/100))</f>
        <v>213.60718498217699</v>
      </c>
      <c r="J35" s="10">
        <f t="shared" si="6"/>
        <v>1124169549.3758264</v>
      </c>
      <c r="K35" s="11">
        <f t="shared" si="7"/>
        <v>0.12649591999999998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5118448.7723831246</v>
      </c>
      <c r="D36" s="11">
        <v>2.7400000000000001E-2</v>
      </c>
      <c r="E36" s="10">
        <f t="shared" si="2"/>
        <v>136505.25244627055</v>
      </c>
      <c r="F36" s="3"/>
      <c r="G36" s="29">
        <v>-0.54</v>
      </c>
      <c r="H36" s="10"/>
      <c r="I36" s="10">
        <f t="shared" si="8"/>
        <v>194.96822287529847</v>
      </c>
      <c r="J36" s="10">
        <f t="shared" si="6"/>
        <v>997934861.02979088</v>
      </c>
      <c r="K36" s="11">
        <f t="shared" si="7"/>
        <v>7.1167240000000298E-2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4981943.519936854</v>
      </c>
      <c r="D37" s="11">
        <v>2.64E-2</v>
      </c>
      <c r="E37" s="10">
        <f t="shared" si="2"/>
        <v>128140.40230546892</v>
      </c>
      <c r="F37" s="3"/>
      <c r="G37" s="29">
        <v>-4.5</v>
      </c>
      <c r="H37" s="10"/>
      <c r="I37" s="10">
        <f t="shared" si="8"/>
        <v>187.00194022184775</v>
      </c>
      <c r="J37" s="10">
        <f t="shared" si="6"/>
        <v>931633104.30385327</v>
      </c>
      <c r="K37" s="11">
        <f t="shared" si="7"/>
        <v>3.4611200000000064E-2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4853803.1176313851</v>
      </c>
      <c r="D38" s="11">
        <v>2.5399999999999999E-2</v>
      </c>
      <c r="E38" s="10">
        <f t="shared" si="2"/>
        <v>120232.68889003061</v>
      </c>
      <c r="F38" s="3"/>
      <c r="G38" s="29">
        <v>-0.04</v>
      </c>
      <c r="H38" s="10"/>
      <c r="I38" s="10">
        <f t="shared" si="8"/>
        <v>185.51779783913466</v>
      </c>
      <c r="J38" s="10">
        <f t="shared" si="6"/>
        <v>900466865.5277009</v>
      </c>
      <c r="K38" s="11">
        <f t="shared" si="7"/>
        <v>6.292964000000012E-2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4733570.4287413545</v>
      </c>
      <c r="D39" s="11">
        <v>2.4299999999999999E-2</v>
      </c>
      <c r="E39" s="10">
        <f t="shared" si="2"/>
        <v>112296.94563937839</v>
      </c>
      <c r="F39" s="3"/>
      <c r="G39" s="29">
        <v>4.6100000000000003</v>
      </c>
      <c r="H39" s="10"/>
      <c r="I39" s="10">
        <f t="shared" si="8"/>
        <v>178.96758425538749</v>
      </c>
      <c r="J39" s="10">
        <f t="shared" si="6"/>
        <v>847155664.53457904</v>
      </c>
      <c r="K39" s="11">
        <f t="shared" si="7"/>
        <v>7.1520229999999962E-2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4621273.4831019761</v>
      </c>
      <c r="D40" s="11">
        <v>2.3300000000000001E-2</v>
      </c>
      <c r="E40" s="10">
        <f t="shared" si="2"/>
        <v>105223.9540274376</v>
      </c>
      <c r="F40" s="3"/>
      <c r="G40" s="29">
        <v>0.37</v>
      </c>
      <c r="H40" s="10"/>
      <c r="I40" s="10">
        <f t="shared" si="8"/>
        <v>171.08076116565098</v>
      </c>
      <c r="J40" s="10">
        <f t="shared" si="6"/>
        <v>790610985.04372525</v>
      </c>
      <c r="K40" s="11">
        <f t="shared" si="7"/>
        <v>2.7086210000000221E-2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4516049.5290745385</v>
      </c>
      <c r="D41" s="11">
        <v>2.24E-2</v>
      </c>
      <c r="E41" s="10">
        <f t="shared" si="2"/>
        <v>98943.182170647196</v>
      </c>
      <c r="F41" s="3"/>
      <c r="G41" s="29">
        <v>8.5299999999999994</v>
      </c>
      <c r="H41" s="10"/>
      <c r="I41" s="10">
        <f t="shared" si="8"/>
        <v>170.45009581114974</v>
      </c>
      <c r="J41" s="10">
        <f t="shared" si="6"/>
        <v>769761074.91865277</v>
      </c>
      <c r="K41" s="11">
        <f t="shared" si="7"/>
        <v>0.10961072000000005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4417106.3469038913</v>
      </c>
      <c r="D42" s="11">
        <v>2.1499999999999998E-2</v>
      </c>
      <c r="E42" s="10">
        <f t="shared" si="2"/>
        <v>92968.953948540613</v>
      </c>
      <c r="F42" s="3"/>
      <c r="G42" s="29">
        <v>-3</v>
      </c>
      <c r="H42" s="10"/>
      <c r="I42" s="10">
        <f t="shared" si="8"/>
        <v>157.05343758513752</v>
      </c>
      <c r="J42" s="10">
        <f t="shared" si="6"/>
        <v>693721735.96038508</v>
      </c>
      <c r="K42" s="11">
        <f t="shared" si="7"/>
        <v>-9.1449999999998477E-3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4324137.3929553507</v>
      </c>
      <c r="D43" s="11">
        <v>2.0799999999999999E-2</v>
      </c>
      <c r="E43" s="10">
        <f t="shared" si="2"/>
        <v>88109.382615077309</v>
      </c>
      <c r="F43" s="3"/>
      <c r="G43" s="29">
        <v>8.2899999999999991</v>
      </c>
      <c r="H43" s="10"/>
      <c r="I43" s="10">
        <f t="shared" si="8"/>
        <v>161.91076039704899</v>
      </c>
      <c r="J43" s="10">
        <f t="shared" si="6"/>
        <v>700124373.3547138</v>
      </c>
      <c r="K43" s="11">
        <f t="shared" si="7"/>
        <v>0.10542431999999979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4236028.0103402734</v>
      </c>
      <c r="D44" s="11">
        <v>2.0199999999999999E-2</v>
      </c>
      <c r="E44" s="10">
        <f t="shared" si="2"/>
        <v>83873.520690917037</v>
      </c>
      <c r="F44" s="3"/>
      <c r="G44" s="29">
        <v>0.45</v>
      </c>
      <c r="H44" s="10"/>
      <c r="I44" s="10">
        <f t="shared" si="8"/>
        <v>149.51589287750392</v>
      </c>
      <c r="J44" s="10">
        <f t="shared" si="6"/>
        <v>633353510.22014236</v>
      </c>
      <c r="K44" s="11">
        <f t="shared" si="7"/>
        <v>2.4790899999999949E-2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4152154.4896493563</v>
      </c>
      <c r="D45" s="11">
        <v>1.9800000000000002E-2</v>
      </c>
      <c r="E45" s="10">
        <f t="shared" si="2"/>
        <v>80616.453123217914</v>
      </c>
      <c r="F45" s="3"/>
      <c r="G45" s="29">
        <v>2.31</v>
      </c>
      <c r="H45" s="10"/>
      <c r="I45" s="10">
        <f t="shared" si="8"/>
        <v>148.84608549278639</v>
      </c>
      <c r="J45" s="10">
        <f t="shared" si="6"/>
        <v>618031942.14560497</v>
      </c>
      <c r="K45" s="11">
        <f t="shared" si="7"/>
        <v>4.3357380000000223E-2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4071538.0365261384</v>
      </c>
      <c r="D46" s="11">
        <v>1.9599999999999999E-2</v>
      </c>
      <c r="E46" s="10">
        <f t="shared" si="2"/>
        <v>78268.090933613945</v>
      </c>
      <c r="F46" s="3"/>
      <c r="G46" s="29">
        <v>1.41</v>
      </c>
      <c r="H46" s="10"/>
      <c r="I46" s="10">
        <f t="shared" si="8"/>
        <v>145.48537336798591</v>
      </c>
      <c r="J46" s="10">
        <f t="shared" si="6"/>
        <v>592349231.42596149</v>
      </c>
      <c r="K46" s="11">
        <f t="shared" si="7"/>
        <v>3.3976360000000039E-2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3993269.9455925245</v>
      </c>
      <c r="D47" s="11">
        <v>1.95E-2</v>
      </c>
      <c r="E47" s="10">
        <f t="shared" si="2"/>
        <v>76379.366296276916</v>
      </c>
      <c r="F47" s="3"/>
      <c r="G47" s="29">
        <v>0.12</v>
      </c>
      <c r="H47" s="10"/>
      <c r="I47" s="10">
        <f t="shared" si="8"/>
        <v>143.46255139333982</v>
      </c>
      <c r="J47" s="10">
        <f t="shared" si="6"/>
        <v>572884694.7970469</v>
      </c>
      <c r="K47" s="11">
        <f t="shared" si="7"/>
        <v>2.0723400000000058E-2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3916890.5792962476</v>
      </c>
      <c r="D48" s="11">
        <v>1.9699999999999999E-2</v>
      </c>
      <c r="E48" s="10">
        <f t="shared" si="2"/>
        <v>75672.00589598529</v>
      </c>
      <c r="F48" s="3"/>
      <c r="G48" s="29">
        <v>2.0299999999999998</v>
      </c>
      <c r="H48" s="10"/>
      <c r="I48" s="10">
        <f t="shared" si="8"/>
        <v>143.29060267013566</v>
      </c>
      <c r="J48" s="10">
        <f t="shared" si="6"/>
        <v>561253611.7003361</v>
      </c>
      <c r="K48" s="11">
        <f t="shared" si="7"/>
        <v>4.0399910000000094E-2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3841218.5734002623</v>
      </c>
      <c r="D49" s="11">
        <v>2.01E-2</v>
      </c>
      <c r="E49" s="10">
        <f t="shared" si="2"/>
        <v>75687.180987496395</v>
      </c>
      <c r="F49" s="3"/>
      <c r="G49" s="29">
        <v>3.07</v>
      </c>
      <c r="H49" s="10"/>
      <c r="I49" s="10">
        <f t="shared" si="8"/>
        <v>140.43967722251853</v>
      </c>
      <c r="J49" s="10">
        <f t="shared" si="6"/>
        <v>539459496.58947587</v>
      </c>
      <c r="K49" s="11">
        <f t="shared" si="7"/>
        <v>5.1417069999999843E-2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3765531.3924127659</v>
      </c>
      <c r="D50" s="11">
        <v>2.07E-2</v>
      </c>
      <c r="E50" s="10">
        <f t="shared" si="2"/>
        <v>76365.729227926116</v>
      </c>
      <c r="F50" s="3"/>
      <c r="G50" s="29">
        <v>8.82</v>
      </c>
      <c r="H50" s="10"/>
      <c r="I50" s="10">
        <f t="shared" si="8"/>
        <v>136.25659961435775</v>
      </c>
      <c r="J50" s="10">
        <f t="shared" si="6"/>
        <v>513078503.2712813</v>
      </c>
      <c r="K50" s="11">
        <f t="shared" si="7"/>
        <v>0.11072574000000013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3689165.6631848398</v>
      </c>
      <c r="D51" s="11">
        <v>2.1499999999999998E-2</v>
      </c>
      <c r="E51" s="10">
        <f t="shared" si="2"/>
        <v>77647.637551125139</v>
      </c>
      <c r="F51" s="3"/>
      <c r="G51" s="29">
        <v>0.54</v>
      </c>
      <c r="H51" s="10"/>
      <c r="I51" s="10">
        <f t="shared" si="8"/>
        <v>125.2128281697829</v>
      </c>
      <c r="J51" s="10">
        <f t="shared" si="6"/>
        <v>461930866.27422649</v>
      </c>
      <c r="K51" s="11">
        <f t="shared" si="7"/>
        <v>2.7016100000000209E-2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3611518.0256337146</v>
      </c>
      <c r="D52" s="11">
        <v>2.23E-2</v>
      </c>
      <c r="E52" s="10">
        <f t="shared" si="2"/>
        <v>78780.056707064155</v>
      </c>
      <c r="F52" s="3"/>
      <c r="G52" s="29">
        <v>3.76</v>
      </c>
      <c r="H52" s="10"/>
      <c r="I52" s="10">
        <f t="shared" si="8"/>
        <v>124.54031049312003</v>
      </c>
      <c r="J52" s="10">
        <f t="shared" si="6"/>
        <v>449779576.26392263</v>
      </c>
      <c r="K52" s="11">
        <f t="shared" si="7"/>
        <v>6.073848000000015E-2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3532737.9689266505</v>
      </c>
      <c r="D53" s="11">
        <v>2.3E-2</v>
      </c>
      <c r="E53" s="10">
        <f t="shared" si="2"/>
        <v>79426.171344391536</v>
      </c>
      <c r="F53" s="3"/>
      <c r="G53" s="29">
        <v>2.2799999999999998</v>
      </c>
      <c r="H53" s="10"/>
      <c r="I53" s="10">
        <f t="shared" si="8"/>
        <v>120.02728459244412</v>
      </c>
      <c r="J53" s="10">
        <f t="shared" si="6"/>
        <v>424024945.58689207</v>
      </c>
      <c r="K53" s="11">
        <f t="shared" si="7"/>
        <v>4.6324399999999821E-2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3453311.7975822589</v>
      </c>
      <c r="D54" s="11">
        <v>2.3199999999999998E-2</v>
      </c>
      <c r="E54" s="10">
        <f t="shared" si="2"/>
        <v>78300.267497956287</v>
      </c>
      <c r="F54" s="3"/>
      <c r="G54" s="30">
        <v>3.68</v>
      </c>
      <c r="H54" s="10"/>
      <c r="I54" s="10">
        <f t="shared" si="8"/>
        <v>117.35166659409867</v>
      </c>
      <c r="J54" s="10">
        <f t="shared" si="6"/>
        <v>405251894.71534079</v>
      </c>
      <c r="K54" s="11">
        <f t="shared" si="7"/>
        <v>6.0853759999999868E-2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3375011.5300843026</v>
      </c>
      <c r="D55" s="11">
        <v>2.3E-2</v>
      </c>
      <c r="E55" s="10">
        <f t="shared" si="2"/>
        <v>75880.024625550956</v>
      </c>
      <c r="F55" s="3"/>
      <c r="G55" s="29">
        <v>6.13</v>
      </c>
      <c r="H55" s="10"/>
      <c r="I55" s="10">
        <f t="shared" si="8"/>
        <v>113.18640682301185</v>
      </c>
      <c r="J55" s="10">
        <f t="shared" si="6"/>
        <v>382005428.07647759</v>
      </c>
      <c r="K55" s="11">
        <f t="shared" si="7"/>
        <v>8.5709899999999672E-2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3299131.5054587517</v>
      </c>
      <c r="D56" s="11">
        <v>2.2800000000000001E-2</v>
      </c>
      <c r="E56" s="10">
        <f t="shared" si="2"/>
        <v>73543.408608192578</v>
      </c>
      <c r="F56" s="3"/>
      <c r="G56" s="29">
        <v>4.04</v>
      </c>
      <c r="H56" s="10"/>
      <c r="I56" s="10">
        <f t="shared" si="8"/>
        <v>106.64883333931203</v>
      </c>
      <c r="J56" s="10">
        <f t="shared" si="6"/>
        <v>351848526.09014404</v>
      </c>
      <c r="K56" s="11">
        <f t="shared" si="7"/>
        <v>6.4121120000000031E-2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3225588.0968505591</v>
      </c>
      <c r="D57" s="11">
        <v>2.2700000000000001E-2</v>
      </c>
      <c r="E57" s="10">
        <f t="shared" si="2"/>
        <v>71595.62901975913</v>
      </c>
      <c r="F57" s="3"/>
      <c r="G57" s="30">
        <v>2.98</v>
      </c>
      <c r="H57" s="10"/>
      <c r="I57" s="10">
        <f t="shared" si="8"/>
        <v>102.50752916119957</v>
      </c>
      <c r="J57" s="10">
        <f t="shared" si="6"/>
        <v>330647065.8999269</v>
      </c>
      <c r="K57" s="11">
        <f t="shared" si="7"/>
        <v>5.3176459999999981E-2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3153992.4678308</v>
      </c>
      <c r="D58" s="11">
        <v>2.29E-2</v>
      </c>
      <c r="E58" s="10">
        <f t="shared" si="2"/>
        <v>70609.470635766163</v>
      </c>
      <c r="F58" s="3"/>
      <c r="G58" s="29">
        <v>-1.27</v>
      </c>
      <c r="H58" s="10"/>
      <c r="I58" s="10">
        <f t="shared" si="8"/>
        <v>99.541201360652138</v>
      </c>
      <c r="J58" s="10">
        <f t="shared" si="6"/>
        <v>313952199.33032584</v>
      </c>
      <c r="K58" s="11">
        <f t="shared" si="7"/>
        <v>9.9091700000000227E-3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3083382.9971950338</v>
      </c>
      <c r="D59" s="11">
        <v>2.3199999999999998E-2</v>
      </c>
      <c r="E59" s="10">
        <f t="shared" si="2"/>
        <v>69912.51518268697</v>
      </c>
      <c r="F59" s="3"/>
      <c r="G59" s="30">
        <v>3.75</v>
      </c>
      <c r="H59" s="10"/>
      <c r="I59" s="10">
        <f t="shared" si="8"/>
        <v>100.82163613962538</v>
      </c>
      <c r="J59" s="10">
        <f t="shared" si="6"/>
        <v>310871718.62230527</v>
      </c>
      <c r="K59" s="11">
        <f t="shared" si="7"/>
        <v>6.1570000000000347E-2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3013470.4820123469</v>
      </c>
      <c r="D60" s="11">
        <v>2.3199999999999998E-2</v>
      </c>
      <c r="E60" s="10">
        <f t="shared" si="2"/>
        <v>68327.321327880025</v>
      </c>
      <c r="F60" s="3"/>
      <c r="G60" s="30">
        <v>3.58</v>
      </c>
      <c r="H60" s="10"/>
      <c r="I60" s="10">
        <f t="shared" si="8"/>
        <v>97.177480616506386</v>
      </c>
      <c r="J60" s="10">
        <f t="shared" si="6"/>
        <v>292841469.35416901</v>
      </c>
      <c r="K60" s="11">
        <f t="shared" si="7"/>
        <v>5.9830560000000199E-2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2945143.1606844668</v>
      </c>
      <c r="D61" s="11">
        <v>2.3300000000000001E-2</v>
      </c>
      <c r="E61" s="10">
        <f t="shared" si="2"/>
        <v>67059.352725445293</v>
      </c>
      <c r="F61" s="3"/>
      <c r="G61" s="30">
        <v>3.89</v>
      </c>
      <c r="H61" s="10"/>
      <c r="I61" s="10">
        <f t="shared" si="8"/>
        <v>93.818768697148471</v>
      </c>
      <c r="J61" s="10">
        <f t="shared" si="6"/>
        <v>276309704.97224474</v>
      </c>
      <c r="K61" s="11">
        <f t="shared" si="7"/>
        <v>6.3106369999999856E-2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2878083.8079590215</v>
      </c>
      <c r="D62" s="11">
        <v>2.3400000000000001E-2</v>
      </c>
      <c r="E62" s="10">
        <f t="shared" si="2"/>
        <v>65807.27096564509</v>
      </c>
      <c r="F62" s="3"/>
      <c r="G62" s="30">
        <v>3.6</v>
      </c>
      <c r="H62" s="10"/>
      <c r="I62" s="10">
        <f t="shared" si="8"/>
        <v>90.305870340887935</v>
      </c>
      <c r="J62" s="10">
        <f t="shared" si="6"/>
        <v>259907863.1917564</v>
      </c>
      <c r="K62" s="11">
        <f t="shared" si="7"/>
        <v>6.0242399999999918E-2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2812276.5369933764</v>
      </c>
      <c r="D63" s="11">
        <v>2.3599999999999999E-2</v>
      </c>
      <c r="E63" s="10">
        <f t="shared" si="2"/>
        <v>64839.51374857733</v>
      </c>
      <c r="F63" s="3"/>
      <c r="G63" s="30">
        <v>3.79</v>
      </c>
      <c r="H63" s="10"/>
      <c r="I63" s="10">
        <f t="shared" si="8"/>
        <v>87.167828514370598</v>
      </c>
      <c r="J63" s="10">
        <f t="shared" si="6"/>
        <v>245140038.91162664</v>
      </c>
      <c r="K63" s="11">
        <f t="shared" si="7"/>
        <v>6.2394440000000051E-2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2747437.0232447991</v>
      </c>
      <c r="D64" s="11">
        <v>2.3699999999999999E-2</v>
      </c>
      <c r="E64" s="10">
        <f t="shared" si="2"/>
        <v>63606.776839798782</v>
      </c>
      <c r="F64" s="3"/>
      <c r="G64" s="30">
        <v>3.48</v>
      </c>
      <c r="H64" s="10"/>
      <c r="I64" s="10">
        <f t="shared" si="8"/>
        <v>83.984804426602366</v>
      </c>
      <c r="J64" s="10">
        <f t="shared" si="6"/>
        <v>230742961.07162103</v>
      </c>
      <c r="K64" s="11">
        <f t="shared" si="7"/>
        <v>5.9324759999999976E-2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2683830.2464050003</v>
      </c>
      <c r="D65" s="11">
        <v>2.3900000000000001E-2</v>
      </c>
      <c r="E65" s="10">
        <f t="shared" si="2"/>
        <v>62646.296405000146</v>
      </c>
      <c r="F65" s="3"/>
      <c r="G65" s="30">
        <v>3.8</v>
      </c>
      <c r="H65" s="10"/>
      <c r="I65" s="10">
        <f t="shared" si="8"/>
        <v>81.160421749712384</v>
      </c>
      <c r="J65" s="10">
        <f t="shared" si="6"/>
        <v>217820794.70286435</v>
      </c>
      <c r="K65" s="11">
        <f t="shared" si="7"/>
        <v>6.2808200000000092E-2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2621183.9500000002</v>
      </c>
      <c r="D66" s="11">
        <v>2.41E-2</v>
      </c>
      <c r="E66" s="10">
        <f t="shared" si="2"/>
        <v>61683.950000000186</v>
      </c>
      <c r="F66" s="23">
        <f>SUM(F2)</f>
        <v>9975075</v>
      </c>
      <c r="G66" s="30">
        <v>3.74</v>
      </c>
      <c r="H66" s="10"/>
      <c r="I66" s="10">
        <f t="shared" si="8"/>
        <v>78.189230972747964</v>
      </c>
      <c r="J66" s="10">
        <f t="shared" ref="J66:J67" si="9">IF(I66="","",I66*C66)</f>
        <v>204948357.28860986</v>
      </c>
      <c r="K66" s="11">
        <f t="shared" ref="K66" si="10">IFERROR(J66/J67-1,"")</f>
        <v>6.2401340000000083E-2</v>
      </c>
    </row>
    <row r="67" spans="1:11" ht="22.5" customHeight="1">
      <c r="A67" s="3">
        <f t="shared" si="0"/>
        <v>1950</v>
      </c>
      <c r="B67" s="3">
        <v>1700</v>
      </c>
      <c r="C67" s="10">
        <v>2559500</v>
      </c>
      <c r="D67" s="11">
        <v>2.4299999999999999E-2</v>
      </c>
      <c r="E67" s="3" t="s">
        <v>72</v>
      </c>
      <c r="F67" s="10">
        <f>SUM(C2)</f>
        <v>9975218.9344358966</v>
      </c>
      <c r="G67" s="30">
        <v>3.79</v>
      </c>
      <c r="H67" s="10"/>
      <c r="I67" s="10">
        <f t="shared" ref="I67" si="11">IF(H67&lt;&gt;"",H67,I66/(1+IF(G66="",0,G66)/100))</f>
        <v>75.370378805425062</v>
      </c>
      <c r="J67" s="10">
        <f t="shared" si="9"/>
        <v>192910484.55248544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7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outlinePr summaryBelow="0" summaryRight="0"/>
  </sheetPr>
  <dimension ref="A1:M67"/>
  <sheetViews>
    <sheetView workbookViewId="0">
      <selection activeCell="J61" sqref="J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11839031.512861243</v>
      </c>
      <c r="D2" s="11">
        <v>1.5100000000000001E-2</v>
      </c>
      <c r="E2" s="10">
        <f t="shared" ref="E2:E66" si="2">SUM(C2-C3)</f>
        <v>176110.11313585192</v>
      </c>
      <c r="F2" s="14">
        <v>11838201</v>
      </c>
      <c r="G2" s="29">
        <v>6.82</v>
      </c>
      <c r="H2" s="10"/>
      <c r="I2" s="10">
        <f>IF(H2&lt;&gt;"",H2,21304)</f>
        <v>2663</v>
      </c>
      <c r="J2" s="10">
        <f t="shared" ref="J2:J33" si="3">IF(I2="","",I2*C2)</f>
        <v>31527340918.749489</v>
      </c>
      <c r="K2" s="11">
        <f t="shared" ref="K2:K33" si="4">IFERROR(J2/J3-1,"")</f>
        <v>8.432982E-2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11662921.399725391</v>
      </c>
      <c r="D3" s="11">
        <v>1.54E-2</v>
      </c>
      <c r="E3" s="10">
        <f t="shared" si="2"/>
        <v>176884.96115400083</v>
      </c>
      <c r="F3" s="3"/>
      <c r="G3" s="29">
        <v>1.19</v>
      </c>
      <c r="H3" s="10"/>
      <c r="I3" s="10">
        <f t="shared" ref="I3:I34" si="5">IF(H3&lt;&gt;"",H3,I2/(1+IF(G2="",0,G2)/100))</f>
        <v>2492.9788429133118</v>
      </c>
      <c r="J3" s="10">
        <f t="shared" si="3"/>
        <v>29075416296.076309</v>
      </c>
      <c r="K3" s="11">
        <f t="shared" si="4"/>
        <v>2.7483260000000342E-2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11486036.43857139</v>
      </c>
      <c r="D4" s="11">
        <v>1.5599999999999999E-2</v>
      </c>
      <c r="E4" s="10">
        <f t="shared" si="2"/>
        <v>176429.86258538254</v>
      </c>
      <c r="F4" s="3"/>
      <c r="G4" s="29">
        <v>3</v>
      </c>
      <c r="H4" s="10"/>
      <c r="I4" s="10">
        <f t="shared" si="5"/>
        <v>2463.6612737556197</v>
      </c>
      <c r="J4" s="10">
        <f t="shared" si="3"/>
        <v>28297703162.654251</v>
      </c>
      <c r="K4" s="11">
        <f t="shared" si="4"/>
        <v>4.6067999999999998E-2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11309606.575986007</v>
      </c>
      <c r="D5" s="11">
        <v>1.5800000000000002E-2</v>
      </c>
      <c r="E5" s="10">
        <f t="shared" si="2"/>
        <v>175912.3684786167</v>
      </c>
      <c r="F5" s="3"/>
      <c r="G5" s="29">
        <v>2.34</v>
      </c>
      <c r="H5" s="10"/>
      <c r="I5" s="10">
        <f t="shared" si="5"/>
        <v>2391.9041492773008</v>
      </c>
      <c r="J5" s="10">
        <f t="shared" si="3"/>
        <v>27051494895.794777</v>
      </c>
      <c r="K5" s="11">
        <f t="shared" si="4"/>
        <v>3.956972000000003E-2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11133694.207507391</v>
      </c>
      <c r="D6" s="11">
        <v>1.6E-2</v>
      </c>
      <c r="E6" s="10">
        <f t="shared" si="2"/>
        <v>175333.76704736054</v>
      </c>
      <c r="F6" s="3"/>
      <c r="G6" s="29">
        <v>1.25</v>
      </c>
      <c r="H6" s="10"/>
      <c r="I6" s="10">
        <f t="shared" si="5"/>
        <v>2337.2133567298229</v>
      </c>
      <c r="J6" s="10">
        <f t="shared" si="3"/>
        <v>26021818811.531734</v>
      </c>
      <c r="K6" s="11">
        <f t="shared" si="4"/>
        <v>2.870000000000017E-2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10958360.44046003</v>
      </c>
      <c r="D7" s="11">
        <v>1.6199999999999999E-2</v>
      </c>
      <c r="E7" s="10">
        <f t="shared" si="2"/>
        <v>174695.37407542951</v>
      </c>
      <c r="F7" s="3"/>
      <c r="G7" s="29">
        <v>5.16</v>
      </c>
      <c r="H7" s="10"/>
      <c r="I7" s="10">
        <f t="shared" si="5"/>
        <v>2308.3588708442694</v>
      </c>
      <c r="J7" s="10">
        <f t="shared" si="3"/>
        <v>25295828532.644825</v>
      </c>
      <c r="K7" s="11">
        <f t="shared" si="4"/>
        <v>6.8635919999999961E-2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10783665.0663846</v>
      </c>
      <c r="D8" s="11">
        <v>1.6400000000000001E-2</v>
      </c>
      <c r="E8" s="10">
        <f t="shared" si="2"/>
        <v>173998.53117739782</v>
      </c>
      <c r="F8" s="3"/>
      <c r="G8" s="29">
        <v>3.66</v>
      </c>
      <c r="H8" s="10"/>
      <c r="I8" s="10">
        <f t="shared" si="5"/>
        <v>2195.0921175772814</v>
      </c>
      <c r="J8" s="10">
        <f t="shared" si="3"/>
        <v>23671138185.814327</v>
      </c>
      <c r="K8" s="11">
        <f t="shared" si="4"/>
        <v>5.3600239999999966E-2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10609666.535207203</v>
      </c>
      <c r="D9" s="11">
        <v>1.67E-2</v>
      </c>
      <c r="E9" s="10">
        <f t="shared" si="2"/>
        <v>174271.10370606743</v>
      </c>
      <c r="F9" s="3"/>
      <c r="G9" s="29">
        <v>2.5</v>
      </c>
      <c r="H9" s="10"/>
      <c r="I9" s="10">
        <f t="shared" si="5"/>
        <v>2117.5883827679736</v>
      </c>
      <c r="J9" s="10">
        <f t="shared" si="3"/>
        <v>22466906599.99691</v>
      </c>
      <c r="K9" s="11">
        <f t="shared" si="4"/>
        <v>4.2117499999999808E-2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10435395.431501135</v>
      </c>
      <c r="D10" s="11">
        <v>1.6899999999999998E-2</v>
      </c>
      <c r="E10" s="10">
        <f t="shared" si="2"/>
        <v>173427.26206349581</v>
      </c>
      <c r="F10" s="3"/>
      <c r="G10" s="29">
        <v>3.81</v>
      </c>
      <c r="H10" s="10"/>
      <c r="I10" s="10">
        <f t="shared" si="5"/>
        <v>2065.9398856272915</v>
      </c>
      <c r="J10" s="10">
        <f t="shared" si="3"/>
        <v>21558899644.231014</v>
      </c>
      <c r="K10" s="11">
        <f t="shared" si="4"/>
        <v>5.5643890000000029E-2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10261968.169437639</v>
      </c>
      <c r="D11" s="11">
        <v>1.72E-2</v>
      </c>
      <c r="E11" s="10">
        <f t="shared" si="2"/>
        <v>173521.28638844751</v>
      </c>
      <c r="F11" s="3"/>
      <c r="G11" s="29">
        <v>3.64</v>
      </c>
      <c r="H11" s="10"/>
      <c r="I11" s="10">
        <f t="shared" si="5"/>
        <v>1990.1164489233131</v>
      </c>
      <c r="J11" s="10">
        <f t="shared" si="3"/>
        <v>20422511652.325306</v>
      </c>
      <c r="K11" s="11">
        <f t="shared" si="4"/>
        <v>5.4226080000000065E-2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10088446.883049192</v>
      </c>
      <c r="D12" s="11">
        <v>1.7399999999999999E-2</v>
      </c>
      <c r="E12" s="10">
        <f t="shared" si="2"/>
        <v>172536.83483885974</v>
      </c>
      <c r="F12" s="3"/>
      <c r="G12" s="29">
        <v>5.18</v>
      </c>
      <c r="H12" s="10"/>
      <c r="I12" s="10">
        <f t="shared" si="5"/>
        <v>1920.2204254373921</v>
      </c>
      <c r="J12" s="10">
        <f t="shared" si="3"/>
        <v>19372041765.771252</v>
      </c>
      <c r="K12" s="11">
        <f t="shared" si="4"/>
        <v>7.0101320000000023E-2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9915910.0482103322</v>
      </c>
      <c r="D13" s="11">
        <v>1.77E-2</v>
      </c>
      <c r="E13" s="10">
        <f t="shared" si="2"/>
        <v>172459.08210015111</v>
      </c>
      <c r="F13" s="3"/>
      <c r="G13" s="29">
        <v>4.46</v>
      </c>
      <c r="H13" s="10"/>
      <c r="I13" s="10">
        <f t="shared" si="5"/>
        <v>1825.6516689840198</v>
      </c>
      <c r="J13" s="10">
        <f t="shared" si="3"/>
        <v>18102997729.010605</v>
      </c>
      <c r="K13" s="11">
        <f t="shared" si="4"/>
        <v>6.3089420000000063E-2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9743450.9661101811</v>
      </c>
      <c r="D14" s="11">
        <v>1.7999999999999999E-2</v>
      </c>
      <c r="E14" s="10">
        <f t="shared" si="2"/>
        <v>172281.05833986588</v>
      </c>
      <c r="F14" s="3"/>
      <c r="G14" s="29">
        <v>4.6100000000000003</v>
      </c>
      <c r="H14" s="10"/>
      <c r="I14" s="10">
        <f t="shared" si="5"/>
        <v>1747.7040675703809</v>
      </c>
      <c r="J14" s="10">
        <f t="shared" si="3"/>
        <v>17028668885.64332</v>
      </c>
      <c r="K14" s="11">
        <f t="shared" si="4"/>
        <v>6.4929800000000037E-2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9571169.9077703152</v>
      </c>
      <c r="D15" s="11">
        <v>1.83E-2</v>
      </c>
      <c r="E15" s="10">
        <f t="shared" si="2"/>
        <v>172004.72288342938</v>
      </c>
      <c r="F15" s="3"/>
      <c r="G15" s="29">
        <v>3.97</v>
      </c>
      <c r="H15" s="10"/>
      <c r="I15" s="10">
        <f t="shared" si="5"/>
        <v>1670.6854675178097</v>
      </c>
      <c r="J15" s="10">
        <f t="shared" si="3"/>
        <v>15990414472.055641</v>
      </c>
      <c r="K15" s="11">
        <f t="shared" si="4"/>
        <v>5.8726510000000065E-2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9399165.1848868858</v>
      </c>
      <c r="D16" s="11">
        <v>1.8599999999999998E-2</v>
      </c>
      <c r="E16" s="10">
        <f t="shared" si="2"/>
        <v>171632.11509807222</v>
      </c>
      <c r="F16" s="3"/>
      <c r="G16" s="29">
        <v>5.04</v>
      </c>
      <c r="H16" s="10"/>
      <c r="I16" s="10">
        <f t="shared" si="5"/>
        <v>1606.8918606500044</v>
      </c>
      <c r="J16" s="10">
        <f t="shared" si="3"/>
        <v>15103442032.499632</v>
      </c>
      <c r="K16" s="11">
        <f t="shared" si="4"/>
        <v>6.9937440000000128E-2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9227533.0697888136</v>
      </c>
      <c r="D17" s="11">
        <v>1.9E-2</v>
      </c>
      <c r="E17" s="10">
        <f t="shared" si="2"/>
        <v>172054.10041804425</v>
      </c>
      <c r="F17" s="3"/>
      <c r="G17" s="29">
        <v>3.27</v>
      </c>
      <c r="H17" s="10"/>
      <c r="I17" s="10">
        <f t="shared" si="5"/>
        <v>1529.7904233149318</v>
      </c>
      <c r="J17" s="10">
        <f t="shared" si="3"/>
        <v>14116191720.98476</v>
      </c>
      <c r="K17" s="11">
        <f t="shared" si="4"/>
        <v>5.2321300000000015E-2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9055478.9693707693</v>
      </c>
      <c r="D18" s="11">
        <v>1.9300000000000001E-2</v>
      </c>
      <c r="E18" s="10">
        <f t="shared" si="2"/>
        <v>171461.5364552699</v>
      </c>
      <c r="F18" s="3"/>
      <c r="G18" s="29">
        <v>2.61</v>
      </c>
      <c r="H18" s="10"/>
      <c r="I18" s="10">
        <f t="shared" si="5"/>
        <v>1481.3502695022096</v>
      </c>
      <c r="J18" s="10">
        <f t="shared" si="3"/>
        <v>13414336211.74898</v>
      </c>
      <c r="K18" s="11">
        <f t="shared" si="4"/>
        <v>4.5903730000000031E-2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8884017.4329154994</v>
      </c>
      <c r="D19" s="11">
        <v>1.9699999999999999E-2</v>
      </c>
      <c r="E19" s="10">
        <f t="shared" si="2"/>
        <v>171633.95452430658</v>
      </c>
      <c r="F19" s="3"/>
      <c r="G19" s="29">
        <v>4.32</v>
      </c>
      <c r="H19" s="10"/>
      <c r="I19" s="10">
        <f t="shared" si="5"/>
        <v>1443.6704702292268</v>
      </c>
      <c r="J19" s="10">
        <f t="shared" si="3"/>
        <v>12825593624.901768</v>
      </c>
      <c r="K19" s="11">
        <f t="shared" si="4"/>
        <v>6.375103999999987E-2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8712383.4783911929</v>
      </c>
      <c r="D20" s="11">
        <v>0.02</v>
      </c>
      <c r="E20" s="10">
        <f t="shared" si="2"/>
        <v>170831.0485959053</v>
      </c>
      <c r="F20" s="3"/>
      <c r="G20" s="29">
        <v>4</v>
      </c>
      <c r="H20" s="10"/>
      <c r="I20" s="10">
        <f t="shared" si="5"/>
        <v>1383.886570388446</v>
      </c>
      <c r="J20" s="10">
        <f t="shared" si="3"/>
        <v>12056950491.819748</v>
      </c>
      <c r="K20" s="11">
        <f t="shared" si="4"/>
        <v>6.0800000000000187E-2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8541552.4297952875</v>
      </c>
      <c r="D21" s="11">
        <v>2.0400000000000001E-2</v>
      </c>
      <c r="E21" s="10">
        <f t="shared" si="2"/>
        <v>170764.08228912484</v>
      </c>
      <c r="F21" s="3"/>
      <c r="G21" s="29">
        <v>6.31</v>
      </c>
      <c r="H21" s="10"/>
      <c r="I21" s="10">
        <f t="shared" si="5"/>
        <v>1330.6601638350442</v>
      </c>
      <c r="J21" s="10">
        <f t="shared" si="3"/>
        <v>11365903555.637016</v>
      </c>
      <c r="K21" s="11">
        <f t="shared" si="4"/>
        <v>8.4787239999999819E-2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8370788.3475061627</v>
      </c>
      <c r="D22" s="11">
        <v>2.07E-2</v>
      </c>
      <c r="E22" s="10">
        <f t="shared" si="2"/>
        <v>169761.26069695037</v>
      </c>
      <c r="F22" s="3"/>
      <c r="G22" s="29">
        <v>3.3</v>
      </c>
      <c r="H22" s="10"/>
      <c r="I22" s="10">
        <f t="shared" si="5"/>
        <v>1251.6792059402167</v>
      </c>
      <c r="J22" s="10">
        <f t="shared" si="3"/>
        <v>10477541711.900131</v>
      </c>
      <c r="K22" s="11">
        <f t="shared" si="4"/>
        <v>5.4383099999999907E-2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8201027.0868092123</v>
      </c>
      <c r="D23" s="11">
        <v>2.1100000000000001E-2</v>
      </c>
      <c r="E23" s="10">
        <f t="shared" si="2"/>
        <v>169465.94019358885</v>
      </c>
      <c r="F23" s="3"/>
      <c r="G23" s="29">
        <v>3.11</v>
      </c>
      <c r="H23" s="10"/>
      <c r="I23" s="10">
        <f t="shared" si="5"/>
        <v>1211.6933261763957</v>
      </c>
      <c r="J23" s="10">
        <f t="shared" si="3"/>
        <v>9937129788.8785706</v>
      </c>
      <c r="K23" s="11">
        <f t="shared" si="4"/>
        <v>5.2856209999999848E-2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8031561.1466156235</v>
      </c>
      <c r="D24" s="11">
        <v>2.1399999999999999E-2</v>
      </c>
      <c r="E24" s="10">
        <f t="shared" si="2"/>
        <v>168274.33771056868</v>
      </c>
      <c r="F24" s="3"/>
      <c r="G24" s="29">
        <v>5</v>
      </c>
      <c r="H24" s="10"/>
      <c r="I24" s="10">
        <f t="shared" si="5"/>
        <v>1175.1462769628511</v>
      </c>
      <c r="J24" s="10">
        <f t="shared" si="3"/>
        <v>9438259179.6448364</v>
      </c>
      <c r="K24" s="11">
        <f t="shared" si="4"/>
        <v>7.2469999999999812E-2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7863286.8089050548</v>
      </c>
      <c r="D25" s="11">
        <v>2.18E-2</v>
      </c>
      <c r="E25" s="10">
        <f t="shared" si="2"/>
        <v>167762.43142897915</v>
      </c>
      <c r="F25" s="3"/>
      <c r="G25" s="29">
        <v>1.4</v>
      </c>
      <c r="H25" s="10"/>
      <c r="I25" s="10">
        <f t="shared" si="5"/>
        <v>1119.1869304408106</v>
      </c>
      <c r="J25" s="10">
        <f t="shared" si="3"/>
        <v>8800487826.8341656</v>
      </c>
      <c r="K25" s="11">
        <f t="shared" si="4"/>
        <v>3.610520000000017E-2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7695524.3774760757</v>
      </c>
      <c r="D26" s="11">
        <v>2.2100000000000002E-2</v>
      </c>
      <c r="E26" s="10">
        <f t="shared" si="2"/>
        <v>166393.78607007302</v>
      </c>
      <c r="F26" s="3"/>
      <c r="G26" s="29">
        <v>1.3</v>
      </c>
      <c r="H26" s="10"/>
      <c r="I26" s="10">
        <f t="shared" si="5"/>
        <v>1103.7346454051385</v>
      </c>
      <c r="J26" s="10">
        <f t="shared" si="3"/>
        <v>8493816869.9801559</v>
      </c>
      <c r="K26" s="11">
        <f t="shared" si="4"/>
        <v>3.538730000000001E-2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7529130.5914060026</v>
      </c>
      <c r="D27" s="11">
        <v>2.2499999999999999E-2</v>
      </c>
      <c r="E27" s="10">
        <f t="shared" si="2"/>
        <v>165677.6902754372</v>
      </c>
      <c r="F27" s="3"/>
      <c r="G27" s="29">
        <v>-1.8</v>
      </c>
      <c r="H27" s="10"/>
      <c r="I27" s="10">
        <f t="shared" si="5"/>
        <v>1089.5702323841447</v>
      </c>
      <c r="J27" s="10">
        <f t="shared" si="3"/>
        <v>8203516568.1288109</v>
      </c>
      <c r="K27" s="11">
        <f t="shared" si="4"/>
        <v>4.0949999999997377E-3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7363452.9011305654</v>
      </c>
      <c r="D28" s="11">
        <v>2.29E-2</v>
      </c>
      <c r="E28" s="10">
        <f t="shared" si="2"/>
        <v>164848.05106646754</v>
      </c>
      <c r="F28" s="3"/>
      <c r="G28" s="29">
        <v>0.61</v>
      </c>
      <c r="H28" s="10"/>
      <c r="I28" s="10">
        <f t="shared" si="5"/>
        <v>1109.5419881712269</v>
      </c>
      <c r="J28" s="10">
        <f t="shared" si="3"/>
        <v>8170060171.7255964</v>
      </c>
      <c r="K28" s="11">
        <f t="shared" si="4"/>
        <v>2.9139690000000051E-2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7198604.8500640979</v>
      </c>
      <c r="D29" s="11">
        <v>2.3300000000000001E-2</v>
      </c>
      <c r="E29" s="10">
        <f t="shared" si="2"/>
        <v>163908.42666519526</v>
      </c>
      <c r="F29" s="3"/>
      <c r="G29" s="29">
        <v>2.6</v>
      </c>
      <c r="H29" s="10"/>
      <c r="I29" s="10">
        <f t="shared" si="5"/>
        <v>1102.814817782752</v>
      </c>
      <c r="J29" s="10">
        <f t="shared" si="3"/>
        <v>7938728096.0134726</v>
      </c>
      <c r="K29" s="11">
        <f t="shared" si="4"/>
        <v>4.9905800000000111E-2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7034696.4233989026</v>
      </c>
      <c r="D30" s="11">
        <v>2.3599999999999999E-2</v>
      </c>
      <c r="E30" s="10">
        <f t="shared" si="2"/>
        <v>162191.12504124083</v>
      </c>
      <c r="F30" s="3"/>
      <c r="G30" s="29">
        <v>-1.21</v>
      </c>
      <c r="H30" s="10"/>
      <c r="I30" s="10">
        <f t="shared" si="5"/>
        <v>1074.8682434529746</v>
      </c>
      <c r="J30" s="10">
        <f t="shared" si="3"/>
        <v>7561371787.8437014</v>
      </c>
      <c r="K30" s="11">
        <f t="shared" si="4"/>
        <v>1.1214440000000048E-2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6872505.2983576618</v>
      </c>
      <c r="D31" s="11">
        <v>2.4E-2</v>
      </c>
      <c r="E31" s="10">
        <f t="shared" si="2"/>
        <v>161074.34293025825</v>
      </c>
      <c r="F31" s="3"/>
      <c r="G31" s="29">
        <v>6.8</v>
      </c>
      <c r="H31" s="10"/>
      <c r="I31" s="10">
        <f t="shared" si="5"/>
        <v>1088.033448175903</v>
      </c>
      <c r="J31" s="10">
        <f t="shared" si="3"/>
        <v>7477515637.3792496</v>
      </c>
      <c r="K31" s="11">
        <f t="shared" si="4"/>
        <v>9.3631999999999938E-2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6711430.9554274036</v>
      </c>
      <c r="D32" s="11">
        <v>2.4400000000000002E-2</v>
      </c>
      <c r="E32" s="10">
        <f t="shared" si="2"/>
        <v>159858.37105859909</v>
      </c>
      <c r="F32" s="3"/>
      <c r="G32" s="29">
        <v>-3.35</v>
      </c>
      <c r="H32" s="10"/>
      <c r="I32" s="10">
        <f t="shared" si="5"/>
        <v>1018.7579102770627</v>
      </c>
      <c r="J32" s="10">
        <f t="shared" si="3"/>
        <v>6837323375.1200123</v>
      </c>
      <c r="K32" s="11">
        <f t="shared" si="4"/>
        <v>-9.9173999999998541E-3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6551572.5843688045</v>
      </c>
      <c r="D33" s="11">
        <v>2.4799999999999999E-2</v>
      </c>
      <c r="E33" s="10">
        <f t="shared" si="2"/>
        <v>158547.03365763649</v>
      </c>
      <c r="F33" s="3"/>
      <c r="G33" s="29">
        <v>7.92</v>
      </c>
      <c r="H33" s="10"/>
      <c r="I33" s="10">
        <f t="shared" si="5"/>
        <v>1054.0692294641103</v>
      </c>
      <c r="J33" s="10">
        <f t="shared" si="3"/>
        <v>6905811065.7838154</v>
      </c>
      <c r="K33" s="11">
        <f t="shared" si="4"/>
        <v>0.10596415999999964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6393025.550711168</v>
      </c>
      <c r="D34" s="11">
        <v>2.52E-2</v>
      </c>
      <c r="E34" s="10">
        <f t="shared" si="2"/>
        <v>157144.20979118254</v>
      </c>
      <c r="F34" s="3"/>
      <c r="G34" s="29">
        <v>1.58</v>
      </c>
      <c r="H34" s="10"/>
      <c r="I34" s="10">
        <f t="shared" si="5"/>
        <v>976.71351877697407</v>
      </c>
      <c r="J34" s="10">
        <f t="shared" ref="J34:J65" si="6">IF(I34="","",I34*C34)</f>
        <v>6244154481.2662077</v>
      </c>
      <c r="K34" s="11">
        <f t="shared" ref="K34:K65" si="7">IFERROR(J34/J35-1,"")</f>
        <v>5.4725759999999735E-2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6235881.3409199854</v>
      </c>
      <c r="D35" s="11">
        <v>2.5600000000000001E-2</v>
      </c>
      <c r="E35" s="10">
        <f t="shared" si="2"/>
        <v>155653.82442233991</v>
      </c>
      <c r="F35" s="3"/>
      <c r="G35" s="29">
        <v>2.55</v>
      </c>
      <c r="H35" s="10"/>
      <c r="I35" s="10">
        <f t="shared" ref="I35:I66" si="8">IF(H35&lt;&gt;"",H35,I34/(1+IF(G34="",0,G34)/100))</f>
        <v>949.37161622956273</v>
      </c>
      <c r="J35" s="10">
        <f t="shared" si="6"/>
        <v>5920168747.2449799</v>
      </c>
      <c r="K35" s="11">
        <f t="shared" si="7"/>
        <v>7.944400000000007E-2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6080227.5164976455</v>
      </c>
      <c r="D36" s="11">
        <v>2.5999999999999999E-2</v>
      </c>
      <c r="E36" s="10">
        <f t="shared" si="2"/>
        <v>154079.83959935606</v>
      </c>
      <c r="F36" s="3"/>
      <c r="G36" s="29">
        <v>6.77</v>
      </c>
      <c r="H36" s="10"/>
      <c r="I36" s="10">
        <f t="shared" si="8"/>
        <v>902.01578739150852</v>
      </c>
      <c r="J36" s="10">
        <f t="shared" si="6"/>
        <v>5484461210.8131399</v>
      </c>
      <c r="K36" s="11">
        <f t="shared" si="7"/>
        <v>0.14470819999999995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5926147.6768982895</v>
      </c>
      <c r="D37" s="11">
        <v>2.6499999999999999E-2</v>
      </c>
      <c r="E37" s="10">
        <f t="shared" si="2"/>
        <v>152988.71255509462</v>
      </c>
      <c r="F37" s="3"/>
      <c r="G37" s="29">
        <v>27.02</v>
      </c>
      <c r="H37" s="10"/>
      <c r="I37" s="10">
        <f t="shared" si="8"/>
        <v>808.4752060513656</v>
      </c>
      <c r="J37" s="10">
        <f t="shared" si="6"/>
        <v>4791143464.1711664</v>
      </c>
      <c r="K37" s="11">
        <f t="shared" si="7"/>
        <v>0.35826479999999994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5773158.9643431948</v>
      </c>
      <c r="D38" s="11">
        <v>2.69E-2</v>
      </c>
      <c r="E38" s="10">
        <f t="shared" si="2"/>
        <v>151229.89204482548</v>
      </c>
      <c r="F38" s="3"/>
      <c r="G38" s="29">
        <v>-25</v>
      </c>
      <c r="H38" s="10"/>
      <c r="I38" s="10">
        <f t="shared" si="8"/>
        <v>611.00000457328122</v>
      </c>
      <c r="J38" s="10">
        <f t="shared" si="6"/>
        <v>3527400153.6159716</v>
      </c>
      <c r="K38" s="11">
        <f t="shared" si="7"/>
        <v>-0.33633506800000013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5621929.0722983694</v>
      </c>
      <c r="D39" s="11">
        <v>2.7400000000000001E-2</v>
      </c>
      <c r="E39" s="10">
        <f t="shared" si="2"/>
        <v>149932.70058494806</v>
      </c>
      <c r="F39" s="3"/>
      <c r="G39" s="29">
        <v>11.45</v>
      </c>
      <c r="H39" s="10"/>
      <c r="I39" s="10">
        <f t="shared" si="8"/>
        <v>945.41066499548378</v>
      </c>
      <c r="J39" s="10">
        <f t="shared" si="6"/>
        <v>5315031702.7990446</v>
      </c>
      <c r="K39" s="11">
        <f t="shared" si="7"/>
        <v>0.14503730000000004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5471996.3717134213</v>
      </c>
      <c r="D40" s="11">
        <v>2.7799999999999998E-2</v>
      </c>
      <c r="E40" s="10">
        <f t="shared" si="2"/>
        <v>148006.90711581334</v>
      </c>
      <c r="F40" s="3"/>
      <c r="G40" s="29">
        <v>12.31</v>
      </c>
      <c r="H40" s="10"/>
      <c r="I40" s="10">
        <f t="shared" si="8"/>
        <v>848.28233736696609</v>
      </c>
      <c r="J40" s="10">
        <f t="shared" si="6"/>
        <v>4641797872.2606192</v>
      </c>
      <c r="K40" s="11">
        <f t="shared" si="7"/>
        <v>0.15432218000000009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5323989.464597608</v>
      </c>
      <c r="D41" s="11">
        <v>2.8199999999999999E-2</v>
      </c>
      <c r="E41" s="10">
        <f t="shared" si="2"/>
        <v>146018.77348925546</v>
      </c>
      <c r="F41" s="3"/>
      <c r="G41" s="29">
        <v>7.41</v>
      </c>
      <c r="H41" s="10"/>
      <c r="I41" s="10">
        <f t="shared" si="8"/>
        <v>755.30436948354202</v>
      </c>
      <c r="J41" s="10">
        <f t="shared" si="6"/>
        <v>4021232505.6949167</v>
      </c>
      <c r="K41" s="11">
        <f t="shared" si="7"/>
        <v>0.10438962000000007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5177970.6911083525</v>
      </c>
      <c r="D42" s="11">
        <v>2.86E-2</v>
      </c>
      <c r="E42" s="10">
        <f t="shared" si="2"/>
        <v>143972.35248463787</v>
      </c>
      <c r="F42" s="3"/>
      <c r="G42" s="29">
        <v>0.12</v>
      </c>
      <c r="H42" s="10"/>
      <c r="I42" s="10">
        <f t="shared" si="8"/>
        <v>703.19743923614374</v>
      </c>
      <c r="J42" s="10">
        <f t="shared" si="6"/>
        <v>3641135730.4271989</v>
      </c>
      <c r="K42" s="11">
        <f t="shared" si="7"/>
        <v>2.983431999999997E-2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5033998.3386237146</v>
      </c>
      <c r="D43" s="11">
        <v>2.9000000000000001E-2</v>
      </c>
      <c r="E43" s="10">
        <f t="shared" si="2"/>
        <v>141871.67329454515</v>
      </c>
      <c r="F43" s="3"/>
      <c r="G43" s="29">
        <v>-2.0299999999999998</v>
      </c>
      <c r="H43" s="10"/>
      <c r="I43" s="10">
        <f t="shared" si="8"/>
        <v>702.35461369970403</v>
      </c>
      <c r="J43" s="10">
        <f t="shared" si="6"/>
        <v>3535651958.4890108</v>
      </c>
      <c r="K43" s="11">
        <f t="shared" si="7"/>
        <v>8.1112999999999325E-3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4892126.6653291695</v>
      </c>
      <c r="D44" s="11">
        <v>2.9399999999999999E-2</v>
      </c>
      <c r="E44" s="10">
        <f t="shared" si="2"/>
        <v>139720.73437019438</v>
      </c>
      <c r="F44" s="3"/>
      <c r="G44" s="29">
        <v>3.07</v>
      </c>
      <c r="H44" s="10"/>
      <c r="I44" s="10">
        <f t="shared" si="8"/>
        <v>716.90784291079308</v>
      </c>
      <c r="J44" s="10">
        <f t="shared" si="6"/>
        <v>3507203974.887506</v>
      </c>
      <c r="K44" s="11">
        <f t="shared" si="7"/>
        <v>6.1002579999999806E-2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4752405.9309589751</v>
      </c>
      <c r="D45" s="11">
        <v>2.9700000000000001E-2</v>
      </c>
      <c r="E45" s="10">
        <f t="shared" si="2"/>
        <v>137075.31917012855</v>
      </c>
      <c r="F45" s="3"/>
      <c r="G45" s="29">
        <v>8.82</v>
      </c>
      <c r="H45" s="10"/>
      <c r="I45" s="10">
        <f t="shared" si="8"/>
        <v>695.55432512932293</v>
      </c>
      <c r="J45" s="10">
        <f t="shared" si="6"/>
        <v>3305556500.0487618</v>
      </c>
      <c r="K45" s="11">
        <f t="shared" si="7"/>
        <v>0.12051954000000009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4615330.6117888466</v>
      </c>
      <c r="D46" s="11">
        <v>2.9899999999999999E-2</v>
      </c>
      <c r="E46" s="10">
        <f t="shared" si="2"/>
        <v>133992.02378142253</v>
      </c>
      <c r="F46" s="3"/>
      <c r="G46" s="29">
        <v>0.54</v>
      </c>
      <c r="H46" s="10"/>
      <c r="I46" s="10">
        <f t="shared" si="8"/>
        <v>639.17875861911682</v>
      </c>
      <c r="J46" s="10">
        <f t="shared" si="6"/>
        <v>2950021291.0600038</v>
      </c>
      <c r="K46" s="11">
        <f t="shared" si="7"/>
        <v>3.5461460000000278E-2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4481338.588007424</v>
      </c>
      <c r="D47" s="11">
        <v>3.0099999999999998E-2</v>
      </c>
      <c r="E47" s="10">
        <f t="shared" si="2"/>
        <v>130946.79302885476</v>
      </c>
      <c r="F47" s="3"/>
      <c r="G47" s="29">
        <v>3.53</v>
      </c>
      <c r="H47" s="10"/>
      <c r="I47" s="10">
        <f t="shared" si="8"/>
        <v>635.74573166810899</v>
      </c>
      <c r="J47" s="10">
        <f t="shared" si="6"/>
        <v>2848991879.4853101</v>
      </c>
      <c r="K47" s="11">
        <f t="shared" si="7"/>
        <v>6.6462529999999687E-2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4350391.7949785693</v>
      </c>
      <c r="D48" s="11">
        <v>3.0200000000000001E-2</v>
      </c>
      <c r="E48" s="10">
        <f t="shared" si="2"/>
        <v>127530.41371418443</v>
      </c>
      <c r="F48" s="3"/>
      <c r="G48" s="29">
        <v>2.73</v>
      </c>
      <c r="H48" s="10"/>
      <c r="I48" s="10">
        <f t="shared" si="8"/>
        <v>614.06909269594235</v>
      </c>
      <c r="J48" s="10">
        <f t="shared" si="6"/>
        <v>2671441142.414362</v>
      </c>
      <c r="K48" s="11">
        <f t="shared" si="7"/>
        <v>5.8324460000000133E-2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4222861.3812643848</v>
      </c>
      <c r="D49" s="11">
        <v>3.0300000000000001E-2</v>
      </c>
      <c r="E49" s="10">
        <f t="shared" si="2"/>
        <v>124189.75041474402</v>
      </c>
      <c r="F49" s="3"/>
      <c r="G49" s="30">
        <v>4.17</v>
      </c>
      <c r="H49" s="10"/>
      <c r="I49" s="10">
        <f t="shared" si="8"/>
        <v>597.75050393842332</v>
      </c>
      <c r="J49" s="10">
        <f t="shared" si="6"/>
        <v>2524217518.7128925</v>
      </c>
      <c r="K49" s="11">
        <f t="shared" si="7"/>
        <v>7.3263510000000087E-2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4098671.6308496408</v>
      </c>
      <c r="D50" s="11">
        <v>3.0300000000000001E-2</v>
      </c>
      <c r="E50" s="10">
        <f t="shared" si="2"/>
        <v>120537.46521861991</v>
      </c>
      <c r="F50" s="3"/>
      <c r="G50" s="30">
        <v>5.69</v>
      </c>
      <c r="H50" s="10"/>
      <c r="I50" s="10">
        <f t="shared" si="8"/>
        <v>573.82212147299924</v>
      </c>
      <c r="J50" s="10">
        <f t="shared" si="6"/>
        <v>2351908450.4353385</v>
      </c>
      <c r="K50" s="11">
        <f t="shared" si="7"/>
        <v>8.8924070000000022E-2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3978134.1656310209</v>
      </c>
      <c r="D51" s="11">
        <v>3.0200000000000001E-2</v>
      </c>
      <c r="E51" s="10">
        <f t="shared" si="2"/>
        <v>116617.79441084899</v>
      </c>
      <c r="F51" s="3"/>
      <c r="G51" s="30">
        <v>2.93</v>
      </c>
      <c r="H51" s="10"/>
      <c r="I51" s="10">
        <f t="shared" si="8"/>
        <v>542.92943653420309</v>
      </c>
      <c r="J51" s="10">
        <f t="shared" si="6"/>
        <v>2159846141.0035124</v>
      </c>
      <c r="K51" s="11">
        <f t="shared" si="7"/>
        <v>6.0384860000000096E-2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3861516.3712201719</v>
      </c>
      <c r="D52" s="11">
        <v>3.0099999999999998E-2</v>
      </c>
      <c r="E52" s="10">
        <f t="shared" si="2"/>
        <v>112835.30023660557</v>
      </c>
      <c r="F52" s="3"/>
      <c r="G52" s="30">
        <v>3.59</v>
      </c>
      <c r="H52" s="10"/>
      <c r="I52" s="10">
        <f t="shared" si="8"/>
        <v>527.47443557194504</v>
      </c>
      <c r="J52" s="10">
        <f t="shared" si="6"/>
        <v>2036851168.3611856</v>
      </c>
      <c r="K52" s="11">
        <f t="shared" si="7"/>
        <v>6.7080589999999995E-2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3748681.0709835663</v>
      </c>
      <c r="D53" s="11">
        <v>2.9899999999999999E-2</v>
      </c>
      <c r="E53" s="10">
        <f t="shared" si="2"/>
        <v>108831.50210933946</v>
      </c>
      <c r="F53" s="3"/>
      <c r="G53" s="30">
        <v>3.6</v>
      </c>
      <c r="H53" s="10"/>
      <c r="I53" s="10">
        <f t="shared" si="8"/>
        <v>509.19435811559515</v>
      </c>
      <c r="J53" s="10">
        <f t="shared" si="6"/>
        <v>1908807251.719559</v>
      </c>
      <c r="K53" s="11">
        <f t="shared" si="7"/>
        <v>6.6976400000000158E-2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3639849.5688742269</v>
      </c>
      <c r="D54" s="11">
        <v>2.9700000000000001E-2</v>
      </c>
      <c r="E54" s="10">
        <f t="shared" si="2"/>
        <v>104985.46391722327</v>
      </c>
      <c r="F54" s="3"/>
      <c r="G54" s="30">
        <v>3.41</v>
      </c>
      <c r="H54" s="10"/>
      <c r="I54" s="10">
        <f t="shared" si="8"/>
        <v>491.50034567142387</v>
      </c>
      <c r="J54" s="10">
        <f t="shared" si="6"/>
        <v>1788987321.2936656</v>
      </c>
      <c r="K54" s="11">
        <f t="shared" si="7"/>
        <v>6.4812770000000075E-2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3534864.1049570036</v>
      </c>
      <c r="D55" s="11">
        <v>2.9399999999999999E-2</v>
      </c>
      <c r="E55" s="10">
        <f t="shared" si="2"/>
        <v>100956.87263040245</v>
      </c>
      <c r="F55" s="3"/>
      <c r="G55" s="30">
        <v>5.84</v>
      </c>
      <c r="H55" s="10"/>
      <c r="I55" s="10">
        <f t="shared" si="8"/>
        <v>475.29285917360397</v>
      </c>
      <c r="J55" s="10">
        <f t="shared" si="6"/>
        <v>1680095667.2351568</v>
      </c>
      <c r="K55" s="11">
        <f t="shared" si="7"/>
        <v>8.951696000000009E-2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3433907.2323266012</v>
      </c>
      <c r="D56" s="11">
        <v>2.92E-2</v>
      </c>
      <c r="E56" s="10">
        <f t="shared" si="2"/>
        <v>97425.273206312209</v>
      </c>
      <c r="F56" s="3"/>
      <c r="G56" s="30">
        <v>3.91</v>
      </c>
      <c r="H56" s="10"/>
      <c r="I56" s="10">
        <f t="shared" si="8"/>
        <v>449.06732726153058</v>
      </c>
      <c r="J56" s="10">
        <f t="shared" si="6"/>
        <v>1542055542.8849466</v>
      </c>
      <c r="K56" s="11">
        <f t="shared" si="7"/>
        <v>6.9441719999999929E-2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3336481.959120289</v>
      </c>
      <c r="D57" s="11">
        <v>2.8899999999999999E-2</v>
      </c>
      <c r="E57" s="10">
        <f t="shared" si="2"/>
        <v>93715.938010084443</v>
      </c>
      <c r="F57" s="3"/>
      <c r="G57" s="30">
        <v>3.01</v>
      </c>
      <c r="H57" s="10"/>
      <c r="I57" s="10">
        <f t="shared" si="8"/>
        <v>432.16949981862246</v>
      </c>
      <c r="J57" s="10">
        <f t="shared" si="6"/>
        <v>1441925739.4268727</v>
      </c>
      <c r="K57" s="11">
        <f t="shared" si="7"/>
        <v>5.986988999999987E-2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3242766.0211102045</v>
      </c>
      <c r="D58" s="11">
        <v>2.87E-2</v>
      </c>
      <c r="E58" s="10">
        <f t="shared" si="2"/>
        <v>90470.870813515037</v>
      </c>
      <c r="F58" s="3"/>
      <c r="G58" s="30">
        <v>6.58</v>
      </c>
      <c r="H58" s="10"/>
      <c r="I58" s="10">
        <f t="shared" si="8"/>
        <v>419.54130649317779</v>
      </c>
      <c r="J58" s="10">
        <f t="shared" si="6"/>
        <v>1360474293.1482589</v>
      </c>
      <c r="K58" s="11">
        <f t="shared" si="7"/>
        <v>9.6388460000000009E-2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3152295.1502966895</v>
      </c>
      <c r="D59" s="11">
        <v>2.8400000000000002E-2</v>
      </c>
      <c r="E59" s="10">
        <f t="shared" si="2"/>
        <v>87052.880463269074</v>
      </c>
      <c r="F59" s="3"/>
      <c r="G59" s="30">
        <v>5.57</v>
      </c>
      <c r="H59" s="10"/>
      <c r="I59" s="10">
        <f t="shared" si="8"/>
        <v>393.63980718068848</v>
      </c>
      <c r="J59" s="10">
        <f t="shared" si="6"/>
        <v>1240868855.1394083</v>
      </c>
      <c r="K59" s="11">
        <f t="shared" si="7"/>
        <v>8.5681880000000099E-2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3065242.2698334204</v>
      </c>
      <c r="D60" s="11">
        <v>2.8199999999999999E-2</v>
      </c>
      <c r="E60" s="10">
        <f t="shared" si="2"/>
        <v>84069.083844876848</v>
      </c>
      <c r="F60" s="3"/>
      <c r="G60" s="30">
        <v>1.58</v>
      </c>
      <c r="H60" s="10"/>
      <c r="I60" s="10">
        <f t="shared" si="8"/>
        <v>372.87089815353647</v>
      </c>
      <c r="J60" s="10">
        <f t="shared" si="6"/>
        <v>1142939638.2109723</v>
      </c>
      <c r="K60" s="11">
        <f t="shared" si="7"/>
        <v>4.4445560000000217E-2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2981173.1859885436</v>
      </c>
      <c r="D61" s="11">
        <v>2.7900000000000001E-2</v>
      </c>
      <c r="E61" s="10">
        <f t="shared" si="2"/>
        <v>80917.143583111465</v>
      </c>
      <c r="F61" s="3"/>
      <c r="G61" s="30">
        <v>14.56</v>
      </c>
      <c r="H61" s="10"/>
      <c r="I61" s="10">
        <f t="shared" si="8"/>
        <v>367.07117361049069</v>
      </c>
      <c r="J61" s="10">
        <f t="shared" si="6"/>
        <v>1094302740.1169403</v>
      </c>
      <c r="K61" s="11">
        <f t="shared" si="7"/>
        <v>0.17756223999999987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2900256.0424054321</v>
      </c>
      <c r="D62" s="11">
        <v>2.76E-2</v>
      </c>
      <c r="E62" s="10">
        <f t="shared" si="2"/>
        <v>77897.106627471745</v>
      </c>
      <c r="F62" s="3"/>
      <c r="G62" s="30">
        <v>9.9600000000000009</v>
      </c>
      <c r="H62" s="10"/>
      <c r="I62" s="10">
        <f t="shared" si="8"/>
        <v>320.4182730538501</v>
      </c>
      <c r="J62" s="10">
        <f t="shared" si="6"/>
        <v>929295032.52154243</v>
      </c>
      <c r="K62" s="11">
        <f t="shared" si="7"/>
        <v>0.12994895999999989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2822358.9357779603</v>
      </c>
      <c r="D63" s="11">
        <v>2.7300000000000001E-2</v>
      </c>
      <c r="E63" s="10">
        <f t="shared" si="2"/>
        <v>75002.821908632759</v>
      </c>
      <c r="F63" s="3"/>
      <c r="G63" s="30">
        <v>10.28</v>
      </c>
      <c r="H63" s="10"/>
      <c r="I63" s="10">
        <f t="shared" si="8"/>
        <v>291.39530106752466</v>
      </c>
      <c r="J63" s="10">
        <f t="shared" si="6"/>
        <v>822422131.81163728</v>
      </c>
      <c r="K63" s="11">
        <f t="shared" si="7"/>
        <v>0.13290644000000018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2747356.1138693276</v>
      </c>
      <c r="D64" s="11">
        <v>2.7E-2</v>
      </c>
      <c r="E64" s="10">
        <f t="shared" si="2"/>
        <v>72228.447005327791</v>
      </c>
      <c r="F64" s="3"/>
      <c r="G64" s="30">
        <v>7.53</v>
      </c>
      <c r="H64" s="10"/>
      <c r="I64" s="10">
        <f t="shared" si="8"/>
        <v>264.23222802640976</v>
      </c>
      <c r="J64" s="10">
        <f t="shared" si="6"/>
        <v>725940027.14967108</v>
      </c>
      <c r="K64" s="11">
        <f t="shared" si="7"/>
        <v>0.10433309999999962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2675127.6668639998</v>
      </c>
      <c r="D65" s="11">
        <v>2.6800000000000001E-2</v>
      </c>
      <c r="E65" s="10">
        <f t="shared" si="2"/>
        <v>69822.186863999814</v>
      </c>
      <c r="F65" s="3"/>
      <c r="G65" s="30">
        <v>7.68</v>
      </c>
      <c r="H65" s="10"/>
      <c r="I65" s="10">
        <f t="shared" si="8"/>
        <v>245.72884592802919</v>
      </c>
      <c r="J65" s="10">
        <f t="shared" si="6"/>
        <v>657356034.28863204</v>
      </c>
      <c r="K65" s="11">
        <f t="shared" si="7"/>
        <v>0.1056582399999999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2605305.48</v>
      </c>
      <c r="D66" s="11">
        <v>2.6599999999999999E-2</v>
      </c>
      <c r="E66" s="10">
        <f t="shared" si="2"/>
        <v>67505.479999999981</v>
      </c>
      <c r="F66" s="23">
        <f>SUM(F2)</f>
        <v>11838201</v>
      </c>
      <c r="G66" s="30">
        <v>9.48</v>
      </c>
      <c r="H66" s="10"/>
      <c r="I66" s="10">
        <f t="shared" si="8"/>
        <v>228.2028658321222</v>
      </c>
      <c r="J66" s="10">
        <f t="shared" ref="J66:J67" si="9">IF(I66="","",I66*C66)</f>
        <v>594538176.90413272</v>
      </c>
      <c r="K66" s="11">
        <f t="shared" ref="K66" si="10">IFERROR(J66/J67-1,"")</f>
        <v>0.12392167999999981</v>
      </c>
    </row>
    <row r="67" spans="1:11" ht="22.5" customHeight="1">
      <c r="A67" s="3">
        <f t="shared" si="0"/>
        <v>1950</v>
      </c>
      <c r="B67" s="3">
        <v>1700</v>
      </c>
      <c r="C67" s="10">
        <v>2537800</v>
      </c>
      <c r="D67" s="11">
        <v>2.64E-2</v>
      </c>
      <c r="E67" s="3" t="s">
        <v>72</v>
      </c>
      <c r="F67" s="10">
        <f>SUM(C2)</f>
        <v>11839031.512861243</v>
      </c>
      <c r="G67" s="30">
        <v>4.13</v>
      </c>
      <c r="H67" s="10"/>
      <c r="I67" s="10">
        <f t="shared" ref="I67" si="11">IF(H67&lt;&gt;"",H67,I66/(1+IF(G66="",0,G66)/100))</f>
        <v>208.44251537460926</v>
      </c>
      <c r="J67" s="10">
        <f t="shared" si="9"/>
        <v>528985415.51768339</v>
      </c>
      <c r="K67" s="11"/>
    </row>
  </sheetData>
  <dataValidations count="1">
    <dataValidation type="custom" allowBlank="1" showDropDown="1" sqref="D2:D67" xr:uid="{00000000-0002-0000-7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outlinePr summaryBelow="0" summaryRight="0"/>
  </sheetPr>
  <dimension ref="A1:M67"/>
  <sheetViews>
    <sheetView topLeftCell="A35" workbookViewId="0">
      <selection activeCell="K67" sqref="K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2547824.340408396</v>
      </c>
      <c r="D2" s="11">
        <v>2.8899999999999999E-2</v>
      </c>
      <c r="E2" s="10">
        <f t="shared" ref="E2:E66" si="2">SUM(C2-C3)</f>
        <v>71563.925977065228</v>
      </c>
      <c r="F2" s="14">
        <v>2549416</v>
      </c>
      <c r="G2" s="29">
        <v>1.78</v>
      </c>
      <c r="H2" s="10"/>
      <c r="I2" s="10">
        <f>IF(H2&lt;&gt;"",H2,15240)</f>
        <v>1905</v>
      </c>
      <c r="J2" s="10">
        <f t="shared" ref="J2:J33" si="3">IF(I2="","",I2*C2)</f>
        <v>4853605368.477994</v>
      </c>
      <c r="K2" s="11">
        <f t="shared" ref="K2:K33" si="4">IFERROR(J2/J3-1,"")</f>
        <v>4.7214419999999757E-2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2476260.4144313307</v>
      </c>
      <c r="D3" s="11">
        <v>2.9399999999999999E-2</v>
      </c>
      <c r="E3" s="10">
        <f t="shared" si="2"/>
        <v>70722.805696795695</v>
      </c>
      <c r="F3" s="3"/>
      <c r="G3" s="29">
        <v>6.36</v>
      </c>
      <c r="H3" s="10"/>
      <c r="I3" s="10">
        <f t="shared" ref="I3:I34" si="5">IF(H3&lt;&gt;"",H3,I2/(1+IF(G2="",0,G2)/100))</f>
        <v>1871.6840243662803</v>
      </c>
      <c r="J3" s="10">
        <f t="shared" si="3"/>
        <v>4634777057.8617458</v>
      </c>
      <c r="K3" s="11">
        <f t="shared" si="4"/>
        <v>9.4869840000000316E-2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2405537.6087345351</v>
      </c>
      <c r="D4" s="11">
        <v>2.98E-2</v>
      </c>
      <c r="E4" s="10">
        <f t="shared" si="2"/>
        <v>69610.624140890781</v>
      </c>
      <c r="F4" s="3"/>
      <c r="G4" s="29">
        <v>7.19</v>
      </c>
      <c r="H4" s="10"/>
      <c r="I4" s="10">
        <f t="shared" si="5"/>
        <v>1759.7630917321173</v>
      </c>
      <c r="J4" s="10">
        <f t="shared" si="3"/>
        <v>4233176299.6245699</v>
      </c>
      <c r="K4" s="11">
        <f t="shared" si="4"/>
        <v>0.10384262000000022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2335926.9845936443</v>
      </c>
      <c r="D5" s="11">
        <v>3.0099999999999998E-2</v>
      </c>
      <c r="E5" s="10">
        <f t="shared" si="2"/>
        <v>68256.870436140802</v>
      </c>
      <c r="F5" s="3"/>
      <c r="G5" s="29">
        <v>4.8099999999999996</v>
      </c>
      <c r="H5" s="10"/>
      <c r="I5" s="10">
        <f t="shared" si="5"/>
        <v>1641.7231940779152</v>
      </c>
      <c r="J5" s="10">
        <f t="shared" si="3"/>
        <v>3834945510.2798705</v>
      </c>
      <c r="K5" s="11">
        <f t="shared" si="4"/>
        <v>7.9647809999999986E-2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2267670.1141575035</v>
      </c>
      <c r="D6" s="11">
        <v>3.0300000000000001E-2</v>
      </c>
      <c r="E6" s="10">
        <f t="shared" si="2"/>
        <v>66689.706356374081</v>
      </c>
      <c r="F6" s="3"/>
      <c r="G6" s="29">
        <v>2.96</v>
      </c>
      <c r="H6" s="10"/>
      <c r="I6" s="10">
        <f t="shared" si="5"/>
        <v>1566.3803015722881</v>
      </c>
      <c r="J6" s="10">
        <f t="shared" si="3"/>
        <v>3552033797.2804952</v>
      </c>
      <c r="K6" s="11">
        <f t="shared" si="4"/>
        <v>6.0796880000000053E-2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2200980.4078011294</v>
      </c>
      <c r="D7" s="11">
        <v>3.0300000000000001E-2</v>
      </c>
      <c r="E7" s="10">
        <f t="shared" si="2"/>
        <v>64728.434782465454</v>
      </c>
      <c r="F7" s="3"/>
      <c r="G7" s="29">
        <v>2.11</v>
      </c>
      <c r="H7" s="10"/>
      <c r="I7" s="10">
        <f t="shared" si="5"/>
        <v>1521.3483892504739</v>
      </c>
      <c r="J7" s="10">
        <f t="shared" si="3"/>
        <v>3348457998.1800995</v>
      </c>
      <c r="K7" s="11">
        <f t="shared" si="4"/>
        <v>5.2039329999999939E-2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2136251.9730186639</v>
      </c>
      <c r="D8" s="11">
        <v>3.0300000000000001E-2</v>
      </c>
      <c r="E8" s="10">
        <f t="shared" si="2"/>
        <v>62824.84206781094</v>
      </c>
      <c r="F8" s="3"/>
      <c r="G8" s="29">
        <v>2.3199999999999998</v>
      </c>
      <c r="H8" s="10"/>
      <c r="I8" s="10">
        <f t="shared" si="5"/>
        <v>1489.9112616300795</v>
      </c>
      <c r="J8" s="10">
        <f t="shared" si="3"/>
        <v>3182825872.279984</v>
      </c>
      <c r="K8" s="11">
        <f t="shared" si="4"/>
        <v>5.4202960000000244E-2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2073427.130950853</v>
      </c>
      <c r="D9" s="11">
        <v>3.0200000000000001E-2</v>
      </c>
      <c r="E9" s="10">
        <f t="shared" si="2"/>
        <v>60781.886385862716</v>
      </c>
      <c r="F9" s="3"/>
      <c r="G9" s="29">
        <v>4.9000000000000004</v>
      </c>
      <c r="H9" s="10"/>
      <c r="I9" s="10">
        <f t="shared" si="5"/>
        <v>1456.1290672694286</v>
      </c>
      <c r="J9" s="10">
        <f t="shared" si="3"/>
        <v>3019177514.2425928</v>
      </c>
      <c r="K9" s="11">
        <f t="shared" si="4"/>
        <v>8.0679799999999968E-2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2012645.2445649903</v>
      </c>
      <c r="D10" s="11">
        <v>0.03</v>
      </c>
      <c r="E10" s="10">
        <f t="shared" si="2"/>
        <v>58620.735278591979</v>
      </c>
      <c r="F10" s="3"/>
      <c r="G10" s="29">
        <v>5.99</v>
      </c>
      <c r="H10" s="10"/>
      <c r="I10" s="10">
        <f t="shared" si="5"/>
        <v>1388.111598922239</v>
      </c>
      <c r="J10" s="10">
        <f t="shared" si="3"/>
        <v>2793776208.4963493</v>
      </c>
      <c r="K10" s="11">
        <f t="shared" si="4"/>
        <v>9.169700000000014E-2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1954024.5092863983</v>
      </c>
      <c r="D11" s="11">
        <v>2.9700000000000001E-2</v>
      </c>
      <c r="E11" s="10">
        <f t="shared" si="2"/>
        <v>56360.617583574029</v>
      </c>
      <c r="F11" s="3"/>
      <c r="G11" s="29">
        <v>3.94</v>
      </c>
      <c r="H11" s="10"/>
      <c r="I11" s="10">
        <f t="shared" si="5"/>
        <v>1309.6627973603536</v>
      </c>
      <c r="J11" s="10">
        <f t="shared" si="3"/>
        <v>2559113204.9427166</v>
      </c>
      <c r="K11" s="11">
        <f t="shared" si="4"/>
        <v>7.0270180000000071E-2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1897663.8917028243</v>
      </c>
      <c r="D12" s="11">
        <v>2.93E-2</v>
      </c>
      <c r="E12" s="10">
        <f t="shared" si="2"/>
        <v>54018.801153106848</v>
      </c>
      <c r="F12" s="3"/>
      <c r="G12" s="29">
        <v>1.71</v>
      </c>
      <c r="H12" s="10"/>
      <c r="I12" s="10">
        <f t="shared" si="5"/>
        <v>1260.0180848185043</v>
      </c>
      <c r="J12" s="10">
        <f t="shared" si="3"/>
        <v>2391090822.4526224</v>
      </c>
      <c r="K12" s="11">
        <f t="shared" si="4"/>
        <v>4.6901030000000121E-2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1843645.0905497174</v>
      </c>
      <c r="D13" s="11">
        <v>2.9100000000000001E-2</v>
      </c>
      <c r="E13" s="10">
        <f t="shared" si="2"/>
        <v>52133.001783108106</v>
      </c>
      <c r="F13" s="3"/>
      <c r="G13" s="29">
        <v>4.43</v>
      </c>
      <c r="H13" s="10"/>
      <c r="I13" s="10">
        <f t="shared" si="5"/>
        <v>1238.8340230247807</v>
      </c>
      <c r="J13" s="10">
        <f t="shared" si="3"/>
        <v>2283970264.5555925</v>
      </c>
      <c r="K13" s="11">
        <f t="shared" si="4"/>
        <v>7.4689130000000103E-2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1791512.0887666093</v>
      </c>
      <c r="D14" s="11">
        <v>2.92E-2</v>
      </c>
      <c r="E14" s="10">
        <f t="shared" si="2"/>
        <v>50827.976090152282</v>
      </c>
      <c r="F14" s="3"/>
      <c r="G14" s="29">
        <v>3.44</v>
      </c>
      <c r="H14" s="10"/>
      <c r="I14" s="10">
        <f t="shared" si="5"/>
        <v>1186.2817418603663</v>
      </c>
      <c r="J14" s="10">
        <f t="shared" si="3"/>
        <v>2125238081.2259564</v>
      </c>
      <c r="K14" s="11">
        <f t="shared" si="4"/>
        <v>6.4604479999999631E-2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1740684.112676457</v>
      </c>
      <c r="D15" s="11">
        <v>2.9399999999999999E-2</v>
      </c>
      <c r="E15" s="10">
        <f t="shared" si="2"/>
        <v>49714.506423827494</v>
      </c>
      <c r="F15" s="3"/>
      <c r="G15" s="29">
        <v>4.6399999999999997</v>
      </c>
      <c r="H15" s="10"/>
      <c r="I15" s="10">
        <f t="shared" si="5"/>
        <v>1146.8307635927749</v>
      </c>
      <c r="J15" s="10">
        <f t="shared" si="3"/>
        <v>1996270090.1145532</v>
      </c>
      <c r="K15" s="11">
        <f t="shared" si="4"/>
        <v>7.7164160000000148E-2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1690969.6062526295</v>
      </c>
      <c r="D16" s="11">
        <v>2.9700000000000001E-2</v>
      </c>
      <c r="E16" s="10">
        <f t="shared" si="2"/>
        <v>48773.232306208694</v>
      </c>
      <c r="F16" s="3"/>
      <c r="G16" s="29">
        <v>5.33</v>
      </c>
      <c r="H16" s="10"/>
      <c r="I16" s="10">
        <f t="shared" si="5"/>
        <v>1095.9774116903429</v>
      </c>
      <c r="J16" s="10">
        <f t="shared" si="3"/>
        <v>1853264492.3077953</v>
      </c>
      <c r="K16" s="11">
        <f t="shared" si="4"/>
        <v>8.4583010000000014E-2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1642196.3739464208</v>
      </c>
      <c r="D17" s="11">
        <v>2.9899999999999999E-2</v>
      </c>
      <c r="E17" s="10">
        <f t="shared" si="2"/>
        <v>47676.154559664195</v>
      </c>
      <c r="F17" s="3"/>
      <c r="G17" s="29">
        <v>5.86</v>
      </c>
      <c r="H17" s="10"/>
      <c r="I17" s="10">
        <f t="shared" si="5"/>
        <v>1040.5178122950185</v>
      </c>
      <c r="J17" s="10">
        <f t="shared" si="3"/>
        <v>1708734578.377542</v>
      </c>
      <c r="K17" s="11">
        <f t="shared" si="4"/>
        <v>9.0252140000000036E-2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1594520.2193867567</v>
      </c>
      <c r="D18" s="11">
        <v>2.9899999999999999E-2</v>
      </c>
      <c r="E18" s="10">
        <f t="shared" si="2"/>
        <v>46292.023069874849</v>
      </c>
      <c r="F18" s="3"/>
      <c r="G18" s="29">
        <v>5.34</v>
      </c>
      <c r="H18" s="10"/>
      <c r="I18" s="10">
        <f t="shared" si="5"/>
        <v>982.91877224165739</v>
      </c>
      <c r="J18" s="10">
        <f t="shared" si="3"/>
        <v>1567283856.3541291</v>
      </c>
      <c r="K18" s="11">
        <f t="shared" si="4"/>
        <v>8.4896660000000068E-2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1548228.1963168818</v>
      </c>
      <c r="D19" s="11">
        <v>2.9700000000000001E-2</v>
      </c>
      <c r="E19" s="10">
        <f t="shared" si="2"/>
        <v>44656.09151268471</v>
      </c>
      <c r="F19" s="3"/>
      <c r="G19" s="29">
        <v>3.96</v>
      </c>
      <c r="H19" s="10"/>
      <c r="I19" s="10">
        <f t="shared" si="5"/>
        <v>933.09167670557952</v>
      </c>
      <c r="J19" s="10">
        <f t="shared" si="3"/>
        <v>1444638843.6241744</v>
      </c>
      <c r="K19" s="11">
        <f t="shared" si="4"/>
        <v>7.0476120000000142E-2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1503572.1048041971</v>
      </c>
      <c r="D20" s="11">
        <v>2.93E-2</v>
      </c>
      <c r="E20" s="10">
        <f t="shared" si="2"/>
        <v>42800.604945849627</v>
      </c>
      <c r="F20" s="3"/>
      <c r="G20" s="29">
        <v>5.73</v>
      </c>
      <c r="H20" s="10"/>
      <c r="I20" s="10">
        <f t="shared" si="5"/>
        <v>897.54874635011493</v>
      </c>
      <c r="J20" s="10">
        <f t="shared" si="3"/>
        <v>1349529257.7140107</v>
      </c>
      <c r="K20" s="11">
        <f t="shared" si="4"/>
        <v>8.8278889999999999E-2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1460771.4998583475</v>
      </c>
      <c r="D21" s="11">
        <v>2.9100000000000001E-2</v>
      </c>
      <c r="E21" s="10">
        <f t="shared" si="2"/>
        <v>41306.433432978112</v>
      </c>
      <c r="F21" s="3"/>
      <c r="G21" s="29">
        <v>4.32</v>
      </c>
      <c r="H21" s="10"/>
      <c r="I21" s="10">
        <f t="shared" si="5"/>
        <v>848.90640910821435</v>
      </c>
      <c r="J21" s="10">
        <f t="shared" si="3"/>
        <v>1240058288.4723701</v>
      </c>
      <c r="K21" s="11">
        <f t="shared" si="4"/>
        <v>7.3557120000000031E-2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1419465.0664253694</v>
      </c>
      <c r="D22" s="11">
        <v>2.92E-2</v>
      </c>
      <c r="E22" s="10">
        <f t="shared" si="2"/>
        <v>40272.425125943031</v>
      </c>
      <c r="F22" s="3"/>
      <c r="G22" s="29">
        <v>6.05</v>
      </c>
      <c r="H22" s="10"/>
      <c r="I22" s="10">
        <f t="shared" si="5"/>
        <v>813.75230934453066</v>
      </c>
      <c r="J22" s="10">
        <f t="shared" si="3"/>
        <v>1155092975.8375318</v>
      </c>
      <c r="K22" s="11">
        <f t="shared" si="4"/>
        <v>9.1466599999999731E-2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1379192.6412994263</v>
      </c>
      <c r="D23" s="11">
        <v>0.03</v>
      </c>
      <c r="E23" s="10">
        <f t="shared" si="2"/>
        <v>40170.659455323126</v>
      </c>
      <c r="F23" s="3"/>
      <c r="G23" s="29">
        <v>2.02</v>
      </c>
      <c r="H23" s="10"/>
      <c r="I23" s="10">
        <f t="shared" si="5"/>
        <v>767.32891027301332</v>
      </c>
      <c r="J23" s="10">
        <f t="shared" si="3"/>
        <v>1058294386.5048478</v>
      </c>
      <c r="K23" s="11">
        <f t="shared" si="4"/>
        <v>5.0806000000000129E-2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1339021.9818441032</v>
      </c>
      <c r="D24" s="11">
        <v>3.1699999999999999E-2</v>
      </c>
      <c r="E24" s="10">
        <f t="shared" si="2"/>
        <v>41142.770984257106</v>
      </c>
      <c r="F24" s="3"/>
      <c r="G24" s="29">
        <v>5.84</v>
      </c>
      <c r="H24" s="10"/>
      <c r="I24" s="10">
        <f t="shared" si="5"/>
        <v>752.13576776417699</v>
      </c>
      <c r="J24" s="10">
        <f t="shared" si="3"/>
        <v>1007126326.3674244</v>
      </c>
      <c r="K24" s="11">
        <f t="shared" si="4"/>
        <v>9.1951279999999969E-2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1297879.2108598461</v>
      </c>
      <c r="D25" s="11">
        <v>3.4000000000000002E-2</v>
      </c>
      <c r="E25" s="10">
        <f t="shared" si="2"/>
        <v>42676.879273921484</v>
      </c>
      <c r="F25" s="3"/>
      <c r="G25" s="29">
        <v>2.96</v>
      </c>
      <c r="H25" s="10"/>
      <c r="I25" s="10">
        <f t="shared" si="5"/>
        <v>710.63470121331909</v>
      </c>
      <c r="J25" s="10">
        <f t="shared" si="3"/>
        <v>922318005.22036505</v>
      </c>
      <c r="K25" s="11">
        <f t="shared" si="4"/>
        <v>6.4606399999999953E-2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1255202.3315859246</v>
      </c>
      <c r="D26" s="11">
        <v>3.6600000000000001E-2</v>
      </c>
      <c r="E26" s="10">
        <f t="shared" si="2"/>
        <v>44318.353594486602</v>
      </c>
      <c r="F26" s="3"/>
      <c r="G26" s="29">
        <v>4.2300000000000004</v>
      </c>
      <c r="H26" s="10"/>
      <c r="I26" s="10">
        <f t="shared" si="5"/>
        <v>690.2046437580799</v>
      </c>
      <c r="J26" s="10">
        <f t="shared" si="3"/>
        <v>866346478.11657441</v>
      </c>
      <c r="K26" s="11">
        <f t="shared" si="4"/>
        <v>8.0448179999999869E-2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1210883.977991438</v>
      </c>
      <c r="D27" s="11">
        <v>3.9100000000000003E-2</v>
      </c>
      <c r="E27" s="10">
        <f t="shared" si="2"/>
        <v>45564.010720301419</v>
      </c>
      <c r="F27" s="3"/>
      <c r="G27" s="29">
        <v>-3.98</v>
      </c>
      <c r="H27" s="10"/>
      <c r="I27" s="10">
        <f t="shared" si="5"/>
        <v>662.1938441505132</v>
      </c>
      <c r="J27" s="10">
        <f t="shared" si="3"/>
        <v>801839916.20641577</v>
      </c>
      <c r="K27" s="11">
        <f t="shared" si="4"/>
        <v>-2.256180000000052E-3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1165319.9672711366</v>
      </c>
      <c r="D28" s="11">
        <v>4.1500000000000002E-2</v>
      </c>
      <c r="E28" s="10">
        <f t="shared" si="2"/>
        <v>46433.776900386205</v>
      </c>
      <c r="F28" s="3"/>
      <c r="G28" s="29">
        <v>-2.85</v>
      </c>
      <c r="H28" s="10"/>
      <c r="I28" s="10">
        <f t="shared" si="5"/>
        <v>689.64157899449413</v>
      </c>
      <c r="J28" s="10">
        <f t="shared" si="3"/>
        <v>803653102.26267886</v>
      </c>
      <c r="K28" s="11">
        <f t="shared" si="4"/>
        <v>1.1817250000000001E-2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1118886.1903707504</v>
      </c>
      <c r="D29" s="11">
        <v>4.36E-2</v>
      </c>
      <c r="E29" s="10">
        <f t="shared" si="2"/>
        <v>46745.341031204211</v>
      </c>
      <c r="F29" s="3"/>
      <c r="G29" s="29">
        <v>3.41</v>
      </c>
      <c r="H29" s="10"/>
      <c r="I29" s="10">
        <f t="shared" si="5"/>
        <v>709.87295830622145</v>
      </c>
      <c r="J29" s="10">
        <f t="shared" si="3"/>
        <v>794267049.96646261</v>
      </c>
      <c r="K29" s="11">
        <f t="shared" si="4"/>
        <v>7.9186760000000023E-2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1072140.8493395462</v>
      </c>
      <c r="D30" s="11">
        <v>4.5499999999999999E-2</v>
      </c>
      <c r="E30" s="10">
        <f t="shared" si="2"/>
        <v>46659.405686226091</v>
      </c>
      <c r="F30" s="3"/>
      <c r="G30" s="29">
        <v>-1.5</v>
      </c>
      <c r="H30" s="10"/>
      <c r="I30" s="10">
        <f t="shared" si="5"/>
        <v>686.46451823442749</v>
      </c>
      <c r="J30" s="10">
        <f t="shared" si="3"/>
        <v>735986651.62132144</v>
      </c>
      <c r="K30" s="11">
        <f t="shared" si="4"/>
        <v>2.981749999999983E-2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1025481.4436533201</v>
      </c>
      <c r="D31" s="11">
        <v>4.7E-2</v>
      </c>
      <c r="E31" s="10">
        <f t="shared" si="2"/>
        <v>46034.028511658078</v>
      </c>
      <c r="F31" s="3"/>
      <c r="G31" s="29">
        <v>2.17</v>
      </c>
      <c r="H31" s="10"/>
      <c r="I31" s="10">
        <f t="shared" si="5"/>
        <v>696.91829262378428</v>
      </c>
      <c r="J31" s="10">
        <f t="shared" si="3"/>
        <v>714676776.82824528</v>
      </c>
      <c r="K31" s="11">
        <f t="shared" si="4"/>
        <v>6.9719899999999946E-2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979447.415141662</v>
      </c>
      <c r="D32" s="11">
        <v>4.6699999999999998E-2</v>
      </c>
      <c r="E32" s="10">
        <f t="shared" si="2"/>
        <v>43699.4308656879</v>
      </c>
      <c r="F32" s="3"/>
      <c r="G32" s="29">
        <v>7.53</v>
      </c>
      <c r="H32" s="10"/>
      <c r="I32" s="10">
        <f t="shared" si="5"/>
        <v>682.11636745011674</v>
      </c>
      <c r="J32" s="10">
        <f t="shared" si="3"/>
        <v>668097112.92483699</v>
      </c>
      <c r="K32" s="11">
        <f t="shared" si="4"/>
        <v>0.12551650999999997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935747.9842759741</v>
      </c>
      <c r="D33" s="11">
        <v>4.4699999999999997E-2</v>
      </c>
      <c r="E33" s="10">
        <f t="shared" si="2"/>
        <v>40038.226186595159</v>
      </c>
      <c r="F33" s="3"/>
      <c r="G33" s="29">
        <v>7.93</v>
      </c>
      <c r="H33" s="10"/>
      <c r="I33" s="10">
        <f t="shared" si="5"/>
        <v>634.34982558366664</v>
      </c>
      <c r="J33" s="10">
        <f t="shared" si="3"/>
        <v>593591570.61573184</v>
      </c>
      <c r="K33" s="11">
        <f t="shared" si="4"/>
        <v>0.12754470999999978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895709.75808937894</v>
      </c>
      <c r="D34" s="11">
        <v>4.1200000000000001E-2</v>
      </c>
      <c r="E34" s="10">
        <f t="shared" si="2"/>
        <v>35442.990811834694</v>
      </c>
      <c r="F34" s="3"/>
      <c r="G34" s="29">
        <v>-5.65</v>
      </c>
      <c r="H34" s="10"/>
      <c r="I34" s="10">
        <f t="shared" si="5"/>
        <v>587.74189343432477</v>
      </c>
      <c r="J34" s="10">
        <f t="shared" ref="J34:J65" si="6">IF(I34="","",I34*C34)</f>
        <v>526446149.18705255</v>
      </c>
      <c r="K34" s="11">
        <f t="shared" ref="K34:K65" si="7">IFERROR(J34/J35-1,"")</f>
        <v>-4.0921999999999903E-3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860266.76727754425</v>
      </c>
      <c r="D35" s="11">
        <v>3.73E-2</v>
      </c>
      <c r="E35" s="10">
        <f t="shared" si="2"/>
        <v>30934.108184182434</v>
      </c>
      <c r="F35" s="3"/>
      <c r="G35" s="29">
        <v>-0.46</v>
      </c>
      <c r="H35" s="10"/>
      <c r="I35" s="10">
        <f t="shared" ref="I35:I66" si="8">IF(H35&lt;&gt;"",H35,I34/(1+IF(G34="",0,G34)/100))</f>
        <v>614.47139930405092</v>
      </c>
      <c r="J35" s="10">
        <f t="shared" si="6"/>
        <v>528609324.26380491</v>
      </c>
      <c r="K35" s="11">
        <f t="shared" si="7"/>
        <v>6.0535519999999954E-2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829332.65909336181</v>
      </c>
      <c r="D36" s="11">
        <v>3.3700000000000001E-2</v>
      </c>
      <c r="E36" s="10">
        <f t="shared" si="2"/>
        <v>27037.351853967644</v>
      </c>
      <c r="F36" s="3"/>
      <c r="G36" s="29">
        <v>5.15</v>
      </c>
      <c r="H36" s="10"/>
      <c r="I36" s="10">
        <f t="shared" si="8"/>
        <v>601.00880213620007</v>
      </c>
      <c r="J36" s="10">
        <f t="shared" si="6"/>
        <v>498436228.01413095</v>
      </c>
      <c r="K36" s="11">
        <f t="shared" si="7"/>
        <v>0.13655315000000012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802295.30723939417</v>
      </c>
      <c r="D37" s="11">
        <v>3.0800000000000001E-2</v>
      </c>
      <c r="E37" s="10">
        <f t="shared" si="2"/>
        <v>23972.347170133144</v>
      </c>
      <c r="F37" s="3"/>
      <c r="G37" s="29">
        <v>1.48</v>
      </c>
      <c r="H37" s="10"/>
      <c r="I37" s="10">
        <f t="shared" si="8"/>
        <v>546.62010198835844</v>
      </c>
      <c r="J37" s="10">
        <f t="shared" si="6"/>
        <v>438550742.667979</v>
      </c>
      <c r="K37" s="11">
        <f t="shared" si="7"/>
        <v>0.10068823999999998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778322.96006926103</v>
      </c>
      <c r="D38" s="11">
        <v>2.87E-2</v>
      </c>
      <c r="E38" s="10">
        <f t="shared" si="2"/>
        <v>21714.658261872013</v>
      </c>
      <c r="F38" s="3"/>
      <c r="G38" s="29">
        <v>2.84</v>
      </c>
      <c r="H38" s="10"/>
      <c r="I38" s="10">
        <f t="shared" si="8"/>
        <v>511.91243864802249</v>
      </c>
      <c r="J38" s="10">
        <f t="shared" si="6"/>
        <v>398433204.54480284</v>
      </c>
      <c r="K38" s="11">
        <f t="shared" si="7"/>
        <v>9.5976979999999879E-2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756608.30180738901</v>
      </c>
      <c r="D39" s="11">
        <v>2.75E-2</v>
      </c>
      <c r="E39" s="10">
        <f t="shared" si="2"/>
        <v>20249.857225988526</v>
      </c>
      <c r="F39" s="3"/>
      <c r="G39" s="29">
        <v>1.26</v>
      </c>
      <c r="H39" s="10"/>
      <c r="I39" s="10">
        <f t="shared" si="8"/>
        <v>480.48849131595881</v>
      </c>
      <c r="J39" s="10">
        <f t="shared" si="6"/>
        <v>363541581.45256197</v>
      </c>
      <c r="K39" s="11">
        <f t="shared" si="7"/>
        <v>4.0446500000000052E-2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736358.44458140049</v>
      </c>
      <c r="D40" s="11">
        <v>2.7099999999999999E-2</v>
      </c>
      <c r="E40" s="10">
        <f t="shared" si="2"/>
        <v>19428.793543136911</v>
      </c>
      <c r="F40" s="3"/>
      <c r="G40" s="29">
        <v>4.9800000000000004</v>
      </c>
      <c r="H40" s="10"/>
      <c r="I40" s="10">
        <f t="shared" si="8"/>
        <v>474.5096694805045</v>
      </c>
      <c r="J40" s="10">
        <f t="shared" si="6"/>
        <v>349409202.15749872</v>
      </c>
      <c r="K40" s="11">
        <f t="shared" si="7"/>
        <v>7.8249580000000041E-2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716929.65103826358</v>
      </c>
      <c r="D41" s="11">
        <v>2.7400000000000001E-2</v>
      </c>
      <c r="E41" s="10">
        <f t="shared" si="2"/>
        <v>19119.984853463597</v>
      </c>
      <c r="F41" s="3"/>
      <c r="G41" s="29">
        <v>0.88</v>
      </c>
      <c r="H41" s="10"/>
      <c r="I41" s="10">
        <f t="shared" si="8"/>
        <v>452.00006618451562</v>
      </c>
      <c r="J41" s="10">
        <f t="shared" si="6"/>
        <v>324052249.7189368</v>
      </c>
      <c r="K41" s="11">
        <f t="shared" si="7"/>
        <v>3.6441119999999882E-2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697809.66618479998</v>
      </c>
      <c r="D42" s="11">
        <v>2.8199999999999999E-2</v>
      </c>
      <c r="E42" s="10">
        <f t="shared" si="2"/>
        <v>19138.526149009354</v>
      </c>
      <c r="F42" s="3"/>
      <c r="G42" s="29">
        <v>-14.9</v>
      </c>
      <c r="H42" s="10"/>
      <c r="I42" s="10">
        <f t="shared" si="8"/>
        <v>448.05716314880618</v>
      </c>
      <c r="J42" s="10">
        <f t="shared" si="6"/>
        <v>312658619.44857693</v>
      </c>
      <c r="K42" s="11">
        <f t="shared" si="7"/>
        <v>-0.12500179999999983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678671.14003579062</v>
      </c>
      <c r="D43" s="11">
        <v>2.9000000000000001E-2</v>
      </c>
      <c r="E43" s="10">
        <f t="shared" si="2"/>
        <v>19126.786259512068</v>
      </c>
      <c r="F43" s="3"/>
      <c r="G43" s="29">
        <v>3.34</v>
      </c>
      <c r="H43" s="10"/>
      <c r="I43" s="10">
        <f t="shared" si="8"/>
        <v>526.50665469894966</v>
      </c>
      <c r="J43" s="10">
        <f t="shared" si="6"/>
        <v>357324871.58096653</v>
      </c>
      <c r="K43" s="11">
        <f t="shared" si="7"/>
        <v>6.3368599999999997E-2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659544.35377627856</v>
      </c>
      <c r="D44" s="11">
        <v>2.9700000000000001E-2</v>
      </c>
      <c r="E44" s="10">
        <f t="shared" si="2"/>
        <v>19023.470240997849</v>
      </c>
      <c r="F44" s="3"/>
      <c r="G44" s="29">
        <v>3.71</v>
      </c>
      <c r="H44" s="10"/>
      <c r="I44" s="10">
        <f t="shared" si="8"/>
        <v>509.4896987603538</v>
      </c>
      <c r="J44" s="10">
        <f t="shared" si="6"/>
        <v>336031054.1245684</v>
      </c>
      <c r="K44" s="11">
        <f t="shared" si="7"/>
        <v>6.7901870000000031E-2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640520.88353528071</v>
      </c>
      <c r="D45" s="11">
        <v>3.0099999999999998E-2</v>
      </c>
      <c r="E45" s="10">
        <f t="shared" si="2"/>
        <v>18716.317439483479</v>
      </c>
      <c r="F45" s="3"/>
      <c r="G45" s="29">
        <v>6.43</v>
      </c>
      <c r="H45" s="10"/>
      <c r="I45" s="10">
        <f t="shared" si="8"/>
        <v>491.26381135893729</v>
      </c>
      <c r="J45" s="10">
        <f t="shared" si="6"/>
        <v>314664730.50053596</v>
      </c>
      <c r="K45" s="11">
        <f t="shared" si="7"/>
        <v>9.6335429999999889E-2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621804.56609579723</v>
      </c>
      <c r="D46" s="11">
        <v>3.0099999999999998E-2</v>
      </c>
      <c r="E46" s="10">
        <f t="shared" si="2"/>
        <v>18169.417958920007</v>
      </c>
      <c r="F46" s="3"/>
      <c r="G46" s="29">
        <v>-1.5</v>
      </c>
      <c r="H46" s="10"/>
      <c r="I46" s="10">
        <f t="shared" si="8"/>
        <v>461.58396256594688</v>
      </c>
      <c r="J46" s="10">
        <f t="shared" si="6"/>
        <v>287015015.56009734</v>
      </c>
      <c r="K46" s="11">
        <f t="shared" si="7"/>
        <v>1.4648500000000064E-2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603635.14813687722</v>
      </c>
      <c r="D47" s="11">
        <v>2.98E-2</v>
      </c>
      <c r="E47" s="10">
        <f t="shared" si="2"/>
        <v>17467.787351406994</v>
      </c>
      <c r="F47" s="3"/>
      <c r="G47" s="29">
        <v>2.1</v>
      </c>
      <c r="H47" s="10"/>
      <c r="I47" s="10">
        <f t="shared" si="8"/>
        <v>468.61315996542828</v>
      </c>
      <c r="J47" s="10">
        <f t="shared" si="6"/>
        <v>282871374.23462147</v>
      </c>
      <c r="K47" s="11">
        <f t="shared" si="7"/>
        <v>5.1425799999999855E-2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586167.36078547023</v>
      </c>
      <c r="D48" s="11">
        <v>2.93E-2</v>
      </c>
      <c r="E48" s="10">
        <f t="shared" si="2"/>
        <v>16685.809454011847</v>
      </c>
      <c r="F48" s="3"/>
      <c r="G48" s="29">
        <v>2.88</v>
      </c>
      <c r="H48" s="10"/>
      <c r="I48" s="10">
        <f t="shared" si="8"/>
        <v>458.97469144508159</v>
      </c>
      <c r="J48" s="10">
        <f t="shared" si="6"/>
        <v>269035983.55168903</v>
      </c>
      <c r="K48" s="11">
        <f t="shared" si="7"/>
        <v>5.8943840000000414E-2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569481.55133145838</v>
      </c>
      <c r="D49" s="11">
        <v>2.86E-2</v>
      </c>
      <c r="E49" s="10">
        <f t="shared" si="2"/>
        <v>15834.311071436619</v>
      </c>
      <c r="F49" s="3"/>
      <c r="G49" s="29">
        <v>3.84</v>
      </c>
      <c r="H49" s="10"/>
      <c r="I49" s="10">
        <f t="shared" si="8"/>
        <v>446.12625529265318</v>
      </c>
      <c r="J49" s="10">
        <f t="shared" si="6"/>
        <v>254060671.95375437</v>
      </c>
      <c r="K49" s="11">
        <f t="shared" si="7"/>
        <v>6.8098239999999866E-2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553647.24026002176</v>
      </c>
      <c r="D50" s="11">
        <v>2.7900000000000001E-2</v>
      </c>
      <c r="E50" s="10">
        <f t="shared" si="2"/>
        <v>15027.491004236392</v>
      </c>
      <c r="F50" s="3"/>
      <c r="G50" s="29">
        <v>1.08</v>
      </c>
      <c r="H50" s="10"/>
      <c r="I50" s="10">
        <f t="shared" si="8"/>
        <v>429.6285201200435</v>
      </c>
      <c r="J50" s="10">
        <f t="shared" si="6"/>
        <v>237862644.50145933</v>
      </c>
      <c r="K50" s="11">
        <f t="shared" si="7"/>
        <v>3.9001319999999895E-2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538619.74925578537</v>
      </c>
      <c r="D51" s="11">
        <v>2.7199999999999998E-2</v>
      </c>
      <c r="E51" s="10">
        <f t="shared" si="2"/>
        <v>14262.516724841669</v>
      </c>
      <c r="F51" s="3"/>
      <c r="G51" s="29">
        <v>3.58</v>
      </c>
      <c r="H51" s="10"/>
      <c r="I51" s="10">
        <f t="shared" si="8"/>
        <v>425.03810854772809</v>
      </c>
      <c r="J51" s="10">
        <f t="shared" si="6"/>
        <v>228933919.45013058</v>
      </c>
      <c r="K51" s="11">
        <f t="shared" si="7"/>
        <v>6.3973760000000102E-2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524357.2325309437</v>
      </c>
      <c r="D52" s="11">
        <v>2.6499999999999999E-2</v>
      </c>
      <c r="E52" s="10">
        <f t="shared" si="2"/>
        <v>13536.742973278102</v>
      </c>
      <c r="F52" s="3"/>
      <c r="G52" s="29">
        <v>5.29</v>
      </c>
      <c r="H52" s="10"/>
      <c r="I52" s="10">
        <f t="shared" si="8"/>
        <v>410.34766223955211</v>
      </c>
      <c r="J52" s="10">
        <f t="shared" si="6"/>
        <v>215168764.54747397</v>
      </c>
      <c r="K52" s="11">
        <f t="shared" si="7"/>
        <v>8.0801850000000064E-2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510820.4895576656</v>
      </c>
      <c r="D53" s="11">
        <v>2.5700000000000001E-2</v>
      </c>
      <c r="E53" s="10">
        <f t="shared" si="2"/>
        <v>12799.148466054408</v>
      </c>
      <c r="F53" s="3"/>
      <c r="G53" s="29">
        <v>6.65</v>
      </c>
      <c r="H53" s="10"/>
      <c r="I53" s="10">
        <f t="shared" si="8"/>
        <v>389.7308977486486</v>
      </c>
      <c r="J53" s="10">
        <f t="shared" si="6"/>
        <v>199082527.98371318</v>
      </c>
      <c r="K53" s="11">
        <f t="shared" si="7"/>
        <v>9.3909049999999938E-2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498021.34109161119</v>
      </c>
      <c r="D54" s="11">
        <v>2.5000000000000001E-2</v>
      </c>
      <c r="E54" s="10">
        <f t="shared" si="2"/>
        <v>12146.86197784415</v>
      </c>
      <c r="F54" s="3"/>
      <c r="G54" s="29">
        <v>4.7300000000000004</v>
      </c>
      <c r="H54" s="10"/>
      <c r="I54" s="10">
        <f t="shared" si="8"/>
        <v>365.42981504795932</v>
      </c>
      <c r="J54" s="10">
        <f t="shared" si="6"/>
        <v>181991846.56504413</v>
      </c>
      <c r="K54" s="11">
        <f t="shared" si="7"/>
        <v>7.3482499999999895E-2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485874.47911376704</v>
      </c>
      <c r="D55" s="11">
        <v>2.4400000000000002E-2</v>
      </c>
      <c r="E55" s="10">
        <f t="shared" si="2"/>
        <v>11572.957136251382</v>
      </c>
      <c r="F55" s="3"/>
      <c r="G55" s="29">
        <v>-3.43</v>
      </c>
      <c r="H55" s="10"/>
      <c r="I55" s="10">
        <f t="shared" si="8"/>
        <v>348.92563262480604</v>
      </c>
      <c r="J55" s="10">
        <f t="shared" si="6"/>
        <v>169534060.00101927</v>
      </c>
      <c r="K55" s="11">
        <f t="shared" si="7"/>
        <v>-1.0736920000000039E-2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474301.52197751566</v>
      </c>
      <c r="D56" s="11">
        <v>2.3699999999999999E-2</v>
      </c>
      <c r="E56" s="10">
        <f t="shared" si="2"/>
        <v>10980.703400280501</v>
      </c>
      <c r="F56" s="3"/>
      <c r="G56" s="29">
        <v>3.14</v>
      </c>
      <c r="H56" s="10"/>
      <c r="I56" s="10">
        <f t="shared" si="8"/>
        <v>361.31886986103973</v>
      </c>
      <c r="J56" s="10">
        <f t="shared" si="6"/>
        <v>171374089.89428705</v>
      </c>
      <c r="K56" s="11">
        <f t="shared" si="7"/>
        <v>5.5844180000000021E-2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463320.81857723516</v>
      </c>
      <c r="D57" s="11">
        <v>2.3099999999999999E-2</v>
      </c>
      <c r="E57" s="10">
        <f t="shared" si="2"/>
        <v>10461.060413580388</v>
      </c>
      <c r="F57" s="3"/>
      <c r="G57" s="30">
        <v>3.06</v>
      </c>
      <c r="H57" s="10"/>
      <c r="I57" s="10">
        <f t="shared" si="8"/>
        <v>350.31885772836893</v>
      </c>
      <c r="J57" s="10">
        <f t="shared" si="6"/>
        <v>162310019.92574987</v>
      </c>
      <c r="K57" s="11">
        <f t="shared" si="7"/>
        <v>5.4406860000000057E-2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452859.75816365477</v>
      </c>
      <c r="D58" s="11">
        <v>2.2499999999999999E-2</v>
      </c>
      <c r="E58" s="10">
        <f t="shared" si="2"/>
        <v>9965.1291527454159</v>
      </c>
      <c r="F58" s="3"/>
      <c r="G58" s="30">
        <v>3.82</v>
      </c>
      <c r="H58" s="10"/>
      <c r="I58" s="10">
        <f t="shared" si="8"/>
        <v>339.91738572517846</v>
      </c>
      <c r="J58" s="10">
        <f t="shared" si="6"/>
        <v>153934905.09512606</v>
      </c>
      <c r="K58" s="11">
        <f t="shared" si="7"/>
        <v>6.1559499999999767E-2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442894.62901090935</v>
      </c>
      <c r="D59" s="11">
        <v>2.1899999999999999E-2</v>
      </c>
      <c r="E59" s="10">
        <f t="shared" si="2"/>
        <v>9491.5279140218627</v>
      </c>
      <c r="F59" s="3"/>
      <c r="G59" s="30">
        <v>3.73</v>
      </c>
      <c r="H59" s="10"/>
      <c r="I59" s="10">
        <f t="shared" si="8"/>
        <v>327.41031181388792</v>
      </c>
      <c r="J59" s="10">
        <f t="shared" si="6"/>
        <v>145008268.58515805</v>
      </c>
      <c r="K59" s="11">
        <f t="shared" si="7"/>
        <v>6.0016870000000333E-2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433403.10109688749</v>
      </c>
      <c r="D60" s="11">
        <v>2.1299999999999999E-2</v>
      </c>
      <c r="E60" s="10">
        <f t="shared" si="2"/>
        <v>9038.9562845038017</v>
      </c>
      <c r="F60" s="3"/>
      <c r="G60" s="30">
        <v>0.06</v>
      </c>
      <c r="H60" s="10"/>
      <c r="I60" s="10">
        <f t="shared" si="8"/>
        <v>315.63704985432167</v>
      </c>
      <c r="J60" s="10">
        <f t="shared" si="6"/>
        <v>136798076.22793588</v>
      </c>
      <c r="K60" s="11">
        <f t="shared" si="7"/>
        <v>2.1912779999999854E-2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424364.14481238369</v>
      </c>
      <c r="D61" s="11">
        <v>2.07E-2</v>
      </c>
      <c r="E61" s="10">
        <f t="shared" si="2"/>
        <v>8606.1896714179893</v>
      </c>
      <c r="F61" s="3"/>
      <c r="G61" s="30">
        <v>7.0000000000000007E-2</v>
      </c>
      <c r="H61" s="10"/>
      <c r="I61" s="10">
        <f t="shared" si="8"/>
        <v>315.44778118561032</v>
      </c>
      <c r="J61" s="10">
        <f t="shared" si="6"/>
        <v>133864727.89579546</v>
      </c>
      <c r="K61" s="11">
        <f t="shared" si="7"/>
        <v>2.1414489999999953E-2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415757.9551409657</v>
      </c>
      <c r="D62" s="11">
        <v>0.02</v>
      </c>
      <c r="E62" s="10">
        <f t="shared" si="2"/>
        <v>8152.11676746991</v>
      </c>
      <c r="F62" s="3"/>
      <c r="G62" s="30">
        <v>0.01</v>
      </c>
      <c r="H62" s="10"/>
      <c r="I62" s="10">
        <f t="shared" si="8"/>
        <v>315.22712220007031</v>
      </c>
      <c r="J62" s="10">
        <f t="shared" si="6"/>
        <v>131058183.73087254</v>
      </c>
      <c r="K62" s="11">
        <f t="shared" si="7"/>
        <v>2.0101999999999842E-2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407605.83837349579</v>
      </c>
      <c r="D63" s="11">
        <v>1.9400000000000001E-2</v>
      </c>
      <c r="E63" s="10">
        <f t="shared" si="2"/>
        <v>7757.0661805433338</v>
      </c>
      <c r="F63" s="3"/>
      <c r="G63" s="30">
        <v>2.97</v>
      </c>
      <c r="H63" s="10"/>
      <c r="I63" s="10">
        <f t="shared" si="8"/>
        <v>315.19560263980634</v>
      </c>
      <c r="J63" s="10">
        <f t="shared" si="6"/>
        <v>128475567.86563751</v>
      </c>
      <c r="K63" s="11">
        <f t="shared" si="7"/>
        <v>4.9676180000000292E-2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399848.77219295246</v>
      </c>
      <c r="D64" s="11">
        <v>1.8700000000000001E-2</v>
      </c>
      <c r="E64" s="10">
        <f t="shared" si="2"/>
        <v>7339.9156179524725</v>
      </c>
      <c r="F64" s="3"/>
      <c r="G64" s="30">
        <v>-2.72</v>
      </c>
      <c r="H64" s="10"/>
      <c r="I64" s="10">
        <f t="shared" si="8"/>
        <v>306.10430478761418</v>
      </c>
      <c r="J64" s="10">
        <f t="shared" si="6"/>
        <v>122395430.43230483</v>
      </c>
      <c r="K64" s="11">
        <f t="shared" si="7"/>
        <v>-9.0086400000000122E-3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392508.85657499998</v>
      </c>
      <c r="D65" s="11">
        <v>1.8100000000000002E-2</v>
      </c>
      <c r="E65" s="10">
        <f t="shared" si="2"/>
        <v>6978.1065749999834</v>
      </c>
      <c r="F65" s="3"/>
      <c r="G65" s="30">
        <v>-0.03</v>
      </c>
      <c r="H65" s="10"/>
      <c r="I65" s="10">
        <f t="shared" si="8"/>
        <v>314.66314225700472</v>
      </c>
      <c r="J65" s="10">
        <f t="shared" si="6"/>
        <v>123508070.17359348</v>
      </c>
      <c r="K65" s="11">
        <f t="shared" si="7"/>
        <v>1.7794569999999954E-2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385530.75</v>
      </c>
      <c r="D66" s="11">
        <v>1.7500000000000002E-2</v>
      </c>
      <c r="E66" s="10">
        <f t="shared" si="2"/>
        <v>6630.75</v>
      </c>
      <c r="F66" s="23">
        <f>SUM(F2)</f>
        <v>2549416</v>
      </c>
      <c r="G66" s="30">
        <v>0.1</v>
      </c>
      <c r="H66" s="10"/>
      <c r="I66" s="10">
        <f t="shared" si="8"/>
        <v>314.7575695278631</v>
      </c>
      <c r="J66" s="10">
        <f t="shared" ref="J66:J67" si="9">IF(I66="","",I66*C66)</f>
        <v>121348721.8482542</v>
      </c>
      <c r="K66" s="11">
        <f t="shared" ref="K66" si="10">IFERROR(J66/J67-1,"")</f>
        <v>1.8517499999999965E-2</v>
      </c>
    </row>
    <row r="67" spans="1:11" ht="22.5" customHeight="1">
      <c r="A67" s="3">
        <f t="shared" si="0"/>
        <v>1950</v>
      </c>
      <c r="B67" s="3">
        <v>1700</v>
      </c>
      <c r="C67" s="10">
        <v>378900</v>
      </c>
      <c r="D67" s="11">
        <v>1.6799999999999999E-2</v>
      </c>
      <c r="E67" s="3" t="s">
        <v>72</v>
      </c>
      <c r="F67" s="10">
        <f>SUM(C2)</f>
        <v>2547824.340408396</v>
      </c>
      <c r="G67" s="30">
        <v>0.01</v>
      </c>
      <c r="H67" s="10"/>
      <c r="I67" s="10">
        <f t="shared" ref="I67" si="11">IF(H67&lt;&gt;"",H67,I66/(1+IF(G66="",0,G66)/100))</f>
        <v>314.44312640146165</v>
      </c>
      <c r="J67" s="10">
        <f t="shared" si="9"/>
        <v>119142500.59351382</v>
      </c>
      <c r="K67" s="11"/>
    </row>
  </sheetData>
  <dataValidations count="1">
    <dataValidation type="custom" allowBlank="1" showDropDown="1" sqref="D2:D67" xr:uid="{00000000-0002-0000-7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outlinePr summaryBelow="0" summaryRight="0"/>
  </sheetPr>
  <dimension ref="A1:M67"/>
  <sheetViews>
    <sheetView workbookViewId="0">
      <selection activeCell="I64" sqref="I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18288748.218598638</v>
      </c>
      <c r="D2" s="11">
        <v>7.7999999999999996E-3</v>
      </c>
      <c r="E2" s="10">
        <f t="shared" ref="E2:E66" si="2">SUM(C2-C3)</f>
        <v>141548.16045353189</v>
      </c>
      <c r="F2" s="14">
        <v>18288844</v>
      </c>
      <c r="G2" s="29">
        <v>2.73</v>
      </c>
      <c r="H2" s="10"/>
      <c r="I2" s="10">
        <f>IF(H2&lt;&gt;"",H2,60000)</f>
        <v>7500</v>
      </c>
      <c r="J2" s="10">
        <f t="shared" ref="J2:J33" si="3">IF(I2="","",I2*C2)</f>
        <v>137165611639.48978</v>
      </c>
      <c r="K2" s="11">
        <f t="shared" ref="K2:K33" si="4">IFERROR(J2/J3-1,"")</f>
        <v>3.531294000000007E-2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18147200.058145106</v>
      </c>
      <c r="D3" s="11">
        <v>7.1999999999999998E-3</v>
      </c>
      <c r="E3" s="10">
        <f t="shared" si="2"/>
        <v>129725.81455385685</v>
      </c>
      <c r="F3" s="3"/>
      <c r="G3" s="29">
        <v>2.5099999999999998</v>
      </c>
      <c r="H3" s="10"/>
      <c r="I3" s="10">
        <f t="shared" ref="I3:I34" si="5">IF(H3&lt;&gt;"",H3,I2/(1+IF(G2="",0,G2)/100))</f>
        <v>7300.691132093837</v>
      </c>
      <c r="J3" s="10">
        <f t="shared" si="3"/>
        <v>132487102536.83273</v>
      </c>
      <c r="K3" s="11">
        <f t="shared" si="4"/>
        <v>3.2480719999999907E-2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18017474.243591249</v>
      </c>
      <c r="D4" s="11">
        <v>6.8999999999999999E-3</v>
      </c>
      <c r="E4" s="10">
        <f t="shared" si="2"/>
        <v>123468.63867392763</v>
      </c>
      <c r="F4" s="3"/>
      <c r="G4" s="29">
        <v>2.41</v>
      </c>
      <c r="H4" s="10"/>
      <c r="I4" s="10">
        <f t="shared" si="5"/>
        <v>7121.9306722210886</v>
      </c>
      <c r="J4" s="10">
        <f t="shared" si="3"/>
        <v>128319202451.38597</v>
      </c>
      <c r="K4" s="11">
        <f t="shared" si="4"/>
        <v>3.1166290000000041E-2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17894005.604917321</v>
      </c>
      <c r="D5" s="11">
        <v>8.2000000000000007E-3</v>
      </c>
      <c r="E5" s="10">
        <f t="shared" si="2"/>
        <v>145537.43896084279</v>
      </c>
      <c r="F5" s="3"/>
      <c r="G5" s="29">
        <v>5.03</v>
      </c>
      <c r="H5" s="10"/>
      <c r="I5" s="10">
        <f t="shared" si="5"/>
        <v>6954.3312881760457</v>
      </c>
      <c r="J5" s="10">
        <f t="shared" si="3"/>
        <v>124440843049.07405</v>
      </c>
      <c r="K5" s="11">
        <f t="shared" si="4"/>
        <v>5.8912459999999944E-2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17748468.165956479</v>
      </c>
      <c r="D6" s="11">
        <v>1.03E-2</v>
      </c>
      <c r="E6" s="10">
        <f t="shared" si="2"/>
        <v>180945.48362798244</v>
      </c>
      <c r="F6" s="3"/>
      <c r="G6" s="29">
        <v>6</v>
      </c>
      <c r="H6" s="10"/>
      <c r="I6" s="10">
        <f t="shared" si="5"/>
        <v>6621.2808608740797</v>
      </c>
      <c r="J6" s="10">
        <f t="shared" si="3"/>
        <v>117517592577.08051</v>
      </c>
      <c r="K6" s="11">
        <f t="shared" si="4"/>
        <v>7.0918000000000037E-2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17567522.682328496</v>
      </c>
      <c r="D7" s="11">
        <v>9.2999999999999992E-3</v>
      </c>
      <c r="E7" s="10">
        <f t="shared" si="2"/>
        <v>161872.54626538977</v>
      </c>
      <c r="F7" s="3"/>
      <c r="G7" s="29">
        <v>10.130000000000001</v>
      </c>
      <c r="H7" s="10"/>
      <c r="I7" s="10">
        <f t="shared" si="5"/>
        <v>6246.4913781830937</v>
      </c>
      <c r="J7" s="10">
        <f t="shared" si="3"/>
        <v>109735378971.20088</v>
      </c>
      <c r="K7" s="11">
        <f t="shared" si="4"/>
        <v>0.11154208999999993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17405650.136063106</v>
      </c>
      <c r="D8" s="11">
        <v>7.4000000000000003E-3</v>
      </c>
      <c r="E8" s="10">
        <f t="shared" si="2"/>
        <v>127855.6789823994</v>
      </c>
      <c r="F8" s="3"/>
      <c r="G8" s="29">
        <v>5.92</v>
      </c>
      <c r="H8" s="10"/>
      <c r="I8" s="10">
        <f t="shared" si="5"/>
        <v>5671.9253411269356</v>
      </c>
      <c r="J8" s="10">
        <f t="shared" si="3"/>
        <v>98723548085.525833</v>
      </c>
      <c r="K8" s="11">
        <f t="shared" si="4"/>
        <v>6.7038080000000111E-2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17277794.457080707</v>
      </c>
      <c r="D9" s="11">
        <v>6.6E-3</v>
      </c>
      <c r="E9" s="10">
        <f t="shared" si="2"/>
        <v>113285.75741777569</v>
      </c>
      <c r="F9" s="3"/>
      <c r="G9" s="29">
        <v>4.0599999999999996</v>
      </c>
      <c r="H9" s="10"/>
      <c r="I9" s="10">
        <f t="shared" si="5"/>
        <v>5354.9144081636477</v>
      </c>
      <c r="J9" s="10">
        <f t="shared" si="3"/>
        <v>92521110479.51149</v>
      </c>
      <c r="K9" s="11">
        <f t="shared" si="4"/>
        <v>4.7467959999999865E-2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17164508.699662931</v>
      </c>
      <c r="D10" s="11">
        <v>6.6E-3</v>
      </c>
      <c r="E10" s="10">
        <f t="shared" si="2"/>
        <v>112542.97379075363</v>
      </c>
      <c r="F10" s="3"/>
      <c r="G10" s="29">
        <v>9.01</v>
      </c>
      <c r="H10" s="10"/>
      <c r="I10" s="10">
        <f t="shared" si="5"/>
        <v>5145.9873228557062</v>
      </c>
      <c r="J10" s="10">
        <f t="shared" si="3"/>
        <v>88328344171.511932</v>
      </c>
      <c r="K10" s="11">
        <f t="shared" si="4"/>
        <v>9.7294659999999755E-2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17051965.725872178</v>
      </c>
      <c r="D11" s="11">
        <v>7.7000000000000002E-3</v>
      </c>
      <c r="E11" s="10">
        <f t="shared" si="2"/>
        <v>130296.85034158453</v>
      </c>
      <c r="F11" s="3"/>
      <c r="G11" s="29">
        <v>8.0500000000000007</v>
      </c>
      <c r="H11" s="10"/>
      <c r="I11" s="10">
        <f t="shared" si="5"/>
        <v>4720.6561992988773</v>
      </c>
      <c r="J11" s="10">
        <f t="shared" si="3"/>
        <v>80496467714.07048</v>
      </c>
      <c r="K11" s="11">
        <f t="shared" si="4"/>
        <v>8.8819850000000145E-2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16921668.875530593</v>
      </c>
      <c r="D12" s="11">
        <v>8.5000000000000006E-3</v>
      </c>
      <c r="E12" s="10">
        <f t="shared" si="2"/>
        <v>142621.899297975</v>
      </c>
      <c r="F12" s="3"/>
      <c r="G12" s="29">
        <v>8.85</v>
      </c>
      <c r="H12" s="10"/>
      <c r="I12" s="10">
        <f t="shared" si="5"/>
        <v>4368.9552978240417</v>
      </c>
      <c r="J12" s="10">
        <f t="shared" si="3"/>
        <v>73930014881.773575</v>
      </c>
      <c r="K12" s="11">
        <f t="shared" si="4"/>
        <v>9.7752249999999652E-2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16779046.976232618</v>
      </c>
      <c r="D13" s="11">
        <v>9.5999999999999992E-3</v>
      </c>
      <c r="E13" s="10">
        <f t="shared" si="2"/>
        <v>159547.19787226059</v>
      </c>
      <c r="F13" s="3"/>
      <c r="G13" s="29">
        <v>9.0299999999999994</v>
      </c>
      <c r="H13" s="10"/>
      <c r="I13" s="10">
        <f t="shared" si="5"/>
        <v>4013.7393641010949</v>
      </c>
      <c r="J13" s="10">
        <f t="shared" si="3"/>
        <v>67346721340.606308</v>
      </c>
      <c r="K13" s="11">
        <f t="shared" si="4"/>
        <v>0.10076688000000011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16619499.778360358</v>
      </c>
      <c r="D14" s="11">
        <v>1.0200000000000001E-2</v>
      </c>
      <c r="E14" s="10">
        <f t="shared" si="2"/>
        <v>167807.2636500448</v>
      </c>
      <c r="F14" s="3"/>
      <c r="G14" s="29">
        <v>8.84</v>
      </c>
      <c r="H14" s="10"/>
      <c r="I14" s="10">
        <f t="shared" si="5"/>
        <v>3681.3164854637207</v>
      </c>
      <c r="J14" s="10">
        <f t="shared" si="3"/>
        <v>61181638514.23864</v>
      </c>
      <c r="K14" s="11">
        <f t="shared" si="4"/>
        <v>9.9501679999999926E-2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16451692.514710313</v>
      </c>
      <c r="D15" s="11">
        <v>1.06E-2</v>
      </c>
      <c r="E15" s="10">
        <f t="shared" si="2"/>
        <v>172558.81719367579</v>
      </c>
      <c r="F15" s="3"/>
      <c r="G15" s="29">
        <v>0.89</v>
      </c>
      <c r="H15" s="10"/>
      <c r="I15" s="10">
        <f t="shared" si="5"/>
        <v>3382.3194464018015</v>
      </c>
      <c r="J15" s="10">
        <f t="shared" si="3"/>
        <v>55644879518.727646</v>
      </c>
      <c r="K15" s="11">
        <f t="shared" si="4"/>
        <v>1.9594339999999821E-2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16279133.697516637</v>
      </c>
      <c r="D16" s="11">
        <v>1.11E-2</v>
      </c>
      <c r="E16" s="10">
        <f t="shared" si="2"/>
        <v>178714.65141176619</v>
      </c>
      <c r="F16" s="3"/>
      <c r="G16" s="29">
        <v>-4.41</v>
      </c>
      <c r="H16" s="10"/>
      <c r="I16" s="10">
        <f t="shared" si="5"/>
        <v>3352.4823534560433</v>
      </c>
      <c r="J16" s="10">
        <f t="shared" si="3"/>
        <v>54575508450.476158</v>
      </c>
      <c r="K16" s="11">
        <f t="shared" si="4"/>
        <v>-3.3489509999999889E-2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16100419.046104871</v>
      </c>
      <c r="D17" s="11">
        <v>1.1599999999999999E-2</v>
      </c>
      <c r="E17" s="10">
        <f t="shared" si="2"/>
        <v>184623.23144999705</v>
      </c>
      <c r="F17" s="3"/>
      <c r="G17" s="29">
        <v>-0.79</v>
      </c>
      <c r="H17" s="10"/>
      <c r="I17" s="10">
        <f t="shared" si="5"/>
        <v>3507.147560891352</v>
      </c>
      <c r="J17" s="10">
        <f t="shared" si="3"/>
        <v>56466545386.875366</v>
      </c>
      <c r="K17" s="11">
        <f t="shared" si="4"/>
        <v>3.6083600000000882E-3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15915795.814654874</v>
      </c>
      <c r="D18" s="11">
        <v>1.23E-2</v>
      </c>
      <c r="E18" s="10">
        <f t="shared" si="2"/>
        <v>193385.64508569986</v>
      </c>
      <c r="F18" s="3"/>
      <c r="G18" s="29">
        <v>3.39</v>
      </c>
      <c r="H18" s="10"/>
      <c r="I18" s="10">
        <f t="shared" si="5"/>
        <v>3535.0746506313394</v>
      </c>
      <c r="J18" s="10">
        <f t="shared" si="3"/>
        <v>56263526329.010811</v>
      </c>
      <c r="K18" s="11">
        <f t="shared" si="4"/>
        <v>4.6616969999999869E-2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15722410.169569174</v>
      </c>
      <c r="D19" s="11">
        <v>1.3100000000000001E-2</v>
      </c>
      <c r="E19" s="10">
        <f t="shared" si="2"/>
        <v>203300.33878329583</v>
      </c>
      <c r="F19" s="3"/>
      <c r="G19" s="29">
        <v>3.85</v>
      </c>
      <c r="H19" s="10"/>
      <c r="I19" s="10">
        <f t="shared" si="5"/>
        <v>3419.1649585369373</v>
      </c>
      <c r="J19" s="10">
        <f t="shared" si="3"/>
        <v>53757513915.535706</v>
      </c>
      <c r="K19" s="11">
        <f t="shared" si="4"/>
        <v>5.2104350000000021E-2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15519109.830785878</v>
      </c>
      <c r="D20" s="11">
        <v>1.3299999999999999E-2</v>
      </c>
      <c r="E20" s="10">
        <f t="shared" si="2"/>
        <v>203695.01702304743</v>
      </c>
      <c r="F20" s="3"/>
      <c r="G20" s="29">
        <v>8.11</v>
      </c>
      <c r="H20" s="10"/>
      <c r="I20" s="10">
        <f t="shared" si="5"/>
        <v>3292.4072783215574</v>
      </c>
      <c r="J20" s="10">
        <f t="shared" si="3"/>
        <v>51095230159.951057</v>
      </c>
      <c r="K20" s="11">
        <f t="shared" si="4"/>
        <v>9.547863000000012E-2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15315414.813762831</v>
      </c>
      <c r="D21" s="11">
        <v>1.34E-2</v>
      </c>
      <c r="E21" s="10">
        <f t="shared" si="2"/>
        <v>202512.88583424501</v>
      </c>
      <c r="F21" s="3"/>
      <c r="G21" s="29">
        <v>5.53</v>
      </c>
      <c r="H21" s="10"/>
      <c r="I21" s="10">
        <f t="shared" si="5"/>
        <v>3045.4234375372839</v>
      </c>
      <c r="J21" s="10">
        <f t="shared" si="3"/>
        <v>46641923229.439041</v>
      </c>
      <c r="K21" s="11">
        <f t="shared" si="4"/>
        <v>6.9441020000000186E-2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15112901.927928586</v>
      </c>
      <c r="D22" s="11">
        <v>1.35E-2</v>
      </c>
      <c r="E22" s="10">
        <f t="shared" si="2"/>
        <v>201306.53776717931</v>
      </c>
      <c r="F22" s="3"/>
      <c r="G22" s="29">
        <v>-2.85</v>
      </c>
      <c r="H22" s="10"/>
      <c r="I22" s="10">
        <f t="shared" si="5"/>
        <v>2885.8366697027236</v>
      </c>
      <c r="J22" s="10">
        <f t="shared" si="3"/>
        <v>43613366569.237297</v>
      </c>
      <c r="K22" s="11">
        <f t="shared" si="4"/>
        <v>-1.5384749999999947E-2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14911595.390161406</v>
      </c>
      <c r="D23" s="11">
        <v>1.34E-2</v>
      </c>
      <c r="E23" s="10">
        <f t="shared" si="2"/>
        <v>197173.25658985972</v>
      </c>
      <c r="F23" s="3"/>
      <c r="G23" s="29">
        <v>5.84</v>
      </c>
      <c r="H23" s="10"/>
      <c r="I23" s="10">
        <f t="shared" si="5"/>
        <v>2970.4958000028032</v>
      </c>
      <c r="J23" s="10">
        <f t="shared" si="3"/>
        <v>44294831477.81562</v>
      </c>
      <c r="K23" s="11">
        <f t="shared" si="4"/>
        <v>7.2582560000000296E-2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14714422.133571547</v>
      </c>
      <c r="D24" s="11">
        <v>1.34E-2</v>
      </c>
      <c r="E24" s="10">
        <f t="shared" si="2"/>
        <v>194566.07123530656</v>
      </c>
      <c r="F24" s="3"/>
      <c r="G24" s="29">
        <v>8.2100000000000009</v>
      </c>
      <c r="H24" s="10"/>
      <c r="I24" s="10">
        <f t="shared" si="5"/>
        <v>2806.5908919149688</v>
      </c>
      <c r="J24" s="10">
        <f t="shared" si="3"/>
        <v>41297363139.873924</v>
      </c>
      <c r="K24" s="11">
        <f t="shared" si="4"/>
        <v>9.6600140000000057E-2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14519856.06233624</v>
      </c>
      <c r="D25" s="11">
        <v>1.24E-2</v>
      </c>
      <c r="E25" s="10">
        <f t="shared" si="2"/>
        <v>177840.98693497479</v>
      </c>
      <c r="F25" s="3"/>
      <c r="G25" s="29">
        <v>-2.4700000000000002</v>
      </c>
      <c r="H25" s="10"/>
      <c r="I25" s="10">
        <f t="shared" si="5"/>
        <v>2593.6520579567218</v>
      </c>
      <c r="J25" s="10">
        <f t="shared" si="3"/>
        <v>37659454557.313774</v>
      </c>
      <c r="K25" s="11">
        <f t="shared" si="4"/>
        <v>-1.2606280000000081E-2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14342015.075401265</v>
      </c>
      <c r="D26" s="11">
        <v>1.09E-2</v>
      </c>
      <c r="E26" s="10">
        <f t="shared" si="2"/>
        <v>154642.36256986111</v>
      </c>
      <c r="F26" s="3"/>
      <c r="G26" s="29">
        <v>-7.16</v>
      </c>
      <c r="H26" s="10"/>
      <c r="I26" s="10">
        <f t="shared" si="5"/>
        <v>2659.3376991251121</v>
      </c>
      <c r="J26" s="10">
        <f t="shared" si="3"/>
        <v>38140261371.435272</v>
      </c>
      <c r="K26" s="11">
        <f t="shared" si="4"/>
        <v>-6.1480440000000081E-2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14187372.712831404</v>
      </c>
      <c r="D27" s="11">
        <v>1.0699999999999999E-2</v>
      </c>
      <c r="E27" s="10">
        <f t="shared" si="2"/>
        <v>150197.77186830342</v>
      </c>
      <c r="F27" s="3"/>
      <c r="G27" s="29">
        <v>-1.0900000000000001</v>
      </c>
      <c r="H27" s="10"/>
      <c r="I27" s="10">
        <f t="shared" si="5"/>
        <v>2864.4309555419131</v>
      </c>
      <c r="J27" s="10">
        <f t="shared" si="3"/>
        <v>40638749576.444923</v>
      </c>
      <c r="K27" s="11">
        <f t="shared" si="4"/>
        <v>-3.1663000000003994E-4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14037174.940963101</v>
      </c>
      <c r="D28" s="11">
        <v>1.0800000000000001E-2</v>
      </c>
      <c r="E28" s="10">
        <f t="shared" si="2"/>
        <v>149981.68714127503</v>
      </c>
      <c r="F28" s="3"/>
      <c r="G28" s="29">
        <v>7.94</v>
      </c>
      <c r="H28" s="10"/>
      <c r="I28" s="10">
        <f t="shared" si="5"/>
        <v>2895.9973263996694</v>
      </c>
      <c r="J28" s="10">
        <f t="shared" si="3"/>
        <v>40651621099.233574</v>
      </c>
      <c r="K28" s="11">
        <f t="shared" si="4"/>
        <v>9.1057519999999892E-2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13887193.253821826</v>
      </c>
      <c r="D29" s="11">
        <v>1.0699999999999999E-2</v>
      </c>
      <c r="E29" s="10">
        <f t="shared" si="2"/>
        <v>147019.8553635031</v>
      </c>
      <c r="F29" s="3"/>
      <c r="G29" s="29">
        <v>9.1300000000000008</v>
      </c>
      <c r="H29" s="10"/>
      <c r="I29" s="10">
        <f t="shared" si="5"/>
        <v>2682.9695445614875</v>
      </c>
      <c r="J29" s="10">
        <f t="shared" si="3"/>
        <v>37258916559.443703</v>
      </c>
      <c r="K29" s="11">
        <f t="shared" si="4"/>
        <v>0.10297690999999976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13740173.398458323</v>
      </c>
      <c r="D30" s="11">
        <v>1.04E-2</v>
      </c>
      <c r="E30" s="10">
        <f t="shared" si="2"/>
        <v>141426.9629294984</v>
      </c>
      <c r="F30" s="3"/>
      <c r="G30" s="29">
        <v>2.7</v>
      </c>
      <c r="H30" s="10"/>
      <c r="I30" s="10">
        <f t="shared" si="5"/>
        <v>2458.5077838921356</v>
      </c>
      <c r="J30" s="10">
        <f t="shared" si="3"/>
        <v>33780323252.137444</v>
      </c>
      <c r="K30" s="11">
        <f t="shared" si="4"/>
        <v>3.7680799999999959E-2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13598746.435528824</v>
      </c>
      <c r="D31" s="11">
        <v>8.0999999999999996E-3</v>
      </c>
      <c r="E31" s="10">
        <f t="shared" si="2"/>
        <v>109264.80123775825</v>
      </c>
      <c r="F31" s="3"/>
      <c r="G31" s="29">
        <v>6.15</v>
      </c>
      <c r="H31" s="10"/>
      <c r="I31" s="10">
        <f t="shared" si="5"/>
        <v>2393.8732072951661</v>
      </c>
      <c r="J31" s="10">
        <f t="shared" si="3"/>
        <v>32553674744.813095</v>
      </c>
      <c r="K31" s="11">
        <f t="shared" si="4"/>
        <v>7.009814999999997E-2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13489481.634291066</v>
      </c>
      <c r="D32" s="11">
        <v>4.7000000000000002E-3</v>
      </c>
      <c r="E32" s="10">
        <f t="shared" si="2"/>
        <v>63103.974998673424</v>
      </c>
      <c r="F32" s="3"/>
      <c r="G32" s="29">
        <v>7.3</v>
      </c>
      <c r="H32" s="10"/>
      <c r="I32" s="10">
        <f t="shared" si="5"/>
        <v>2255.1796583091532</v>
      </c>
      <c r="J32" s="10">
        <f t="shared" si="3"/>
        <v>30421204582.788124</v>
      </c>
      <c r="K32" s="11">
        <f t="shared" si="4"/>
        <v>7.8043099999999921E-2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13426377.659292392</v>
      </c>
      <c r="D33" s="11">
        <v>3.5000000000000001E-3</v>
      </c>
      <c r="E33" s="10">
        <f t="shared" si="2"/>
        <v>46828.422329371795</v>
      </c>
      <c r="F33" s="3"/>
      <c r="G33" s="29">
        <v>1.57</v>
      </c>
      <c r="H33" s="10"/>
      <c r="I33" s="10">
        <f t="shared" si="5"/>
        <v>2101.7517784801057</v>
      </c>
      <c r="J33" s="10">
        <f t="shared" si="3"/>
        <v>28218913123.963345</v>
      </c>
      <c r="K33" s="11">
        <f t="shared" si="4"/>
        <v>1.9254950000000326E-2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13379549.236963021</v>
      </c>
      <c r="D34" s="11">
        <v>3.2000000000000002E-3</v>
      </c>
      <c r="E34" s="10">
        <f t="shared" si="2"/>
        <v>42677.987996693701</v>
      </c>
      <c r="F34" s="3"/>
      <c r="G34" s="29">
        <v>3.05</v>
      </c>
      <c r="H34" s="10"/>
      <c r="I34" s="10">
        <f t="shared" si="5"/>
        <v>2069.2643285223053</v>
      </c>
      <c r="J34" s="10">
        <f t="shared" ref="J34:J65" si="6">IF(I34="","",I34*C34)</f>
        <v>27685823967.755405</v>
      </c>
      <c r="K34" s="11">
        <f t="shared" ref="K34:K65" si="7">IFERROR(J34/J35-1,"")</f>
        <v>4.6839200000000192E-2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13336871.248966327</v>
      </c>
      <c r="D35" s="11">
        <v>1.6000000000000001E-3</v>
      </c>
      <c r="E35" s="10">
        <f t="shared" si="2"/>
        <v>21304.906148508191</v>
      </c>
      <c r="F35" s="3"/>
      <c r="G35" s="29">
        <v>1.6</v>
      </c>
      <c r="H35" s="10"/>
      <c r="I35" s="10">
        <f t="shared" ref="I35:I66" si="8">IF(H35&lt;&gt;"",H35,I34/(1+IF(G34="",0,G34)/100))</f>
        <v>1983.0036689241065</v>
      </c>
      <c r="J35" s="10">
        <f t="shared" si="6"/>
        <v>26447064618.668655</v>
      </c>
      <c r="K35" s="11">
        <f t="shared" si="7"/>
        <v>4.4668799999999731E-2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13315566.342817819</v>
      </c>
      <c r="D36" s="11">
        <v>1E-4</v>
      </c>
      <c r="E36" s="10">
        <f t="shared" si="2"/>
        <v>1331.4234919324517</v>
      </c>
      <c r="F36" s="3"/>
      <c r="G36" s="29">
        <v>0.39</v>
      </c>
      <c r="H36" s="10"/>
      <c r="I36" s="10">
        <f t="shared" si="8"/>
        <v>1901.2499222666411</v>
      </c>
      <c r="J36" s="10">
        <f t="shared" si="6"/>
        <v>25316219474.218681</v>
      </c>
      <c r="K36" s="11">
        <f t="shared" si="7"/>
        <v>5.2005190000000034E-2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13314234.919325886</v>
      </c>
      <c r="D37" s="11">
        <v>1.1000000000000001E-3</v>
      </c>
      <c r="E37" s="10">
        <f t="shared" si="2"/>
        <v>14629.565888782963</v>
      </c>
      <c r="F37" s="3"/>
      <c r="G37" s="29">
        <v>-3.78</v>
      </c>
      <c r="H37" s="10"/>
      <c r="I37" s="10">
        <f t="shared" si="8"/>
        <v>1807.4435994549301</v>
      </c>
      <c r="J37" s="10">
        <f t="shared" si="6"/>
        <v>24064728686.574902</v>
      </c>
      <c r="K37" s="11">
        <f t="shared" si="7"/>
        <v>1.6316720000000284E-2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13299605.353437103</v>
      </c>
      <c r="D38" s="11">
        <v>2.3999999999999998E-3</v>
      </c>
      <c r="E38" s="10">
        <f t="shared" si="2"/>
        <v>31842.630534963682</v>
      </c>
      <c r="F38" s="3"/>
      <c r="G38" s="29">
        <v>6.52</v>
      </c>
      <c r="H38" s="10"/>
      <c r="I38" s="10">
        <f t="shared" si="8"/>
        <v>1780.3817961533982</v>
      </c>
      <c r="J38" s="10">
        <f t="shared" si="6"/>
        <v>23678375267.283699</v>
      </c>
      <c r="K38" s="11">
        <f t="shared" si="7"/>
        <v>0.10484527999999993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13267762.72290214</v>
      </c>
      <c r="D39" s="11">
        <v>4.7000000000000002E-3</v>
      </c>
      <c r="E39" s="10">
        <f t="shared" si="2"/>
        <v>62066.770974060521</v>
      </c>
      <c r="F39" s="3"/>
      <c r="G39" s="29">
        <v>-4.51</v>
      </c>
      <c r="H39" s="10"/>
      <c r="I39" s="10">
        <f t="shared" si="8"/>
        <v>1615.2983089760462</v>
      </c>
      <c r="J39" s="10">
        <f t="shared" si="6"/>
        <v>21431394690.199249</v>
      </c>
      <c r="K39" s="11">
        <f t="shared" si="7"/>
        <v>-4.0611969999999942E-2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13205695.951928079</v>
      </c>
      <c r="D40" s="11">
        <v>6.7000000000000002E-3</v>
      </c>
      <c r="E40" s="10">
        <f t="shared" si="2"/>
        <v>87889.304537516087</v>
      </c>
      <c r="F40" s="3"/>
      <c r="G40" s="29">
        <v>6.93</v>
      </c>
      <c r="H40" s="10"/>
      <c r="I40" s="10">
        <f t="shared" si="8"/>
        <v>1691.5889715949797</v>
      </c>
      <c r="J40" s="10">
        <f t="shared" si="6"/>
        <v>22338609634.518005</v>
      </c>
      <c r="K40" s="11">
        <f t="shared" si="7"/>
        <v>7.6464309999999758E-2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13117806.647390563</v>
      </c>
      <c r="D41" s="11">
        <v>8.8999999999999999E-3</v>
      </c>
      <c r="E41" s="10">
        <f t="shared" si="2"/>
        <v>115718.58376625553</v>
      </c>
      <c r="F41" s="3"/>
      <c r="G41" s="29">
        <v>-2.02</v>
      </c>
      <c r="H41" s="10"/>
      <c r="I41" s="10">
        <f t="shared" si="8"/>
        <v>1581.9591990975216</v>
      </c>
      <c r="J41" s="10">
        <f t="shared" si="6"/>
        <v>20751834897.822121</v>
      </c>
      <c r="K41" s="11">
        <f t="shared" si="7"/>
        <v>-1.147978000000005E-2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13002088.063624308</v>
      </c>
      <c r="D42" s="11">
        <v>1.11E-2</v>
      </c>
      <c r="E42" s="10">
        <f t="shared" si="2"/>
        <v>142738.77708063647</v>
      </c>
      <c r="F42" s="3"/>
      <c r="G42" s="29">
        <v>-12.03</v>
      </c>
      <c r="H42" s="10"/>
      <c r="I42" s="10">
        <f t="shared" si="8"/>
        <v>1614.5735855251291</v>
      </c>
      <c r="J42" s="10">
        <f t="shared" si="6"/>
        <v>20992827944.199383</v>
      </c>
      <c r="K42" s="11">
        <f t="shared" si="7"/>
        <v>-0.11053532999999982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12859349.286543671</v>
      </c>
      <c r="D43" s="11">
        <v>1.3299999999999999E-2</v>
      </c>
      <c r="E43" s="10">
        <f t="shared" si="2"/>
        <v>168784.5115079768</v>
      </c>
      <c r="F43" s="3"/>
      <c r="G43" s="29">
        <v>5.53</v>
      </c>
      <c r="H43" s="10"/>
      <c r="I43" s="10">
        <f t="shared" si="8"/>
        <v>1835.3684045983052</v>
      </c>
      <c r="J43" s="10">
        <f t="shared" si="6"/>
        <v>23601643384.216011</v>
      </c>
      <c r="K43" s="11">
        <f t="shared" si="7"/>
        <v>6.9335490000000055E-2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12690564.775035694</v>
      </c>
      <c r="D44" s="11">
        <v>1.55E-2</v>
      </c>
      <c r="E44" s="10">
        <f t="shared" si="2"/>
        <v>193701.38258301653</v>
      </c>
      <c r="F44" s="3"/>
      <c r="G44" s="29">
        <v>2.81</v>
      </c>
      <c r="H44" s="10"/>
      <c r="I44" s="10">
        <f t="shared" si="8"/>
        <v>1739.1911348415667</v>
      </c>
      <c r="J44" s="10">
        <f t="shared" si="6"/>
        <v>22071317752.874741</v>
      </c>
      <c r="K44" s="11">
        <f t="shared" si="7"/>
        <v>4.4035550000000034E-2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12496863.392452678</v>
      </c>
      <c r="D45" s="11">
        <v>1.7100000000000001E-2</v>
      </c>
      <c r="E45" s="10">
        <f t="shared" si="2"/>
        <v>210103.5925778579</v>
      </c>
      <c r="F45" s="3"/>
      <c r="G45" s="29">
        <v>1.63</v>
      </c>
      <c r="H45" s="10"/>
      <c r="I45" s="10">
        <f t="shared" si="8"/>
        <v>1691.655612140421</v>
      </c>
      <c r="J45" s="10">
        <f t="shared" si="6"/>
        <v>21140389091.994751</v>
      </c>
      <c r="K45" s="11">
        <f t="shared" si="7"/>
        <v>3.3678729999999879E-2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12286759.79987482</v>
      </c>
      <c r="D46" s="11">
        <v>1.8499999999999999E-2</v>
      </c>
      <c r="E46" s="10">
        <f t="shared" si="2"/>
        <v>223176.29484308697</v>
      </c>
      <c r="F46" s="3"/>
      <c r="G46" s="29">
        <v>5.66</v>
      </c>
      <c r="H46" s="10"/>
      <c r="I46" s="10">
        <f t="shared" si="8"/>
        <v>1664.5238730103522</v>
      </c>
      <c r="J46" s="10">
        <f t="shared" si="6"/>
        <v>20451605008.835533</v>
      </c>
      <c r="K46" s="11">
        <f t="shared" si="7"/>
        <v>7.6147099999999801E-2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12063583.505031733</v>
      </c>
      <c r="D47" s="11">
        <v>1.9300000000000001E-2</v>
      </c>
      <c r="E47" s="10">
        <f t="shared" si="2"/>
        <v>228418.68110184744</v>
      </c>
      <c r="F47" s="3"/>
      <c r="G47" s="29">
        <v>3.05</v>
      </c>
      <c r="H47" s="10"/>
      <c r="I47" s="10">
        <f t="shared" si="8"/>
        <v>1575.3585775225745</v>
      </c>
      <c r="J47" s="10">
        <f t="shared" si="6"/>
        <v>19004469750.311584</v>
      </c>
      <c r="K47" s="11">
        <f t="shared" si="7"/>
        <v>5.0388650000000146E-2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11835164.823929885</v>
      </c>
      <c r="D48" s="11">
        <v>1.9800000000000002E-2</v>
      </c>
      <c r="E48" s="10">
        <f t="shared" si="2"/>
        <v>229786.49099216796</v>
      </c>
      <c r="F48" s="3"/>
      <c r="G48" s="29">
        <v>9.68</v>
      </c>
      <c r="H48" s="10"/>
      <c r="I48" s="10">
        <f t="shared" si="8"/>
        <v>1528.7322440781898</v>
      </c>
      <c r="J48" s="10">
        <f t="shared" si="6"/>
        <v>18092798080.321587</v>
      </c>
      <c r="K48" s="11">
        <f t="shared" si="7"/>
        <v>0.11851663999999995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11605378.332937717</v>
      </c>
      <c r="D49" s="11">
        <v>2.0299999999999999E-2</v>
      </c>
      <c r="E49" s="10">
        <f t="shared" si="2"/>
        <v>230901.87215391174</v>
      </c>
      <c r="F49" s="3"/>
      <c r="G49" s="29">
        <v>4.82</v>
      </c>
      <c r="H49" s="10"/>
      <c r="I49" s="10">
        <f t="shared" si="8"/>
        <v>1393.8113093346005</v>
      </c>
      <c r="J49" s="10">
        <f t="shared" si="6"/>
        <v>16175707569.555323</v>
      </c>
      <c r="K49" s="11">
        <f t="shared" si="7"/>
        <v>6.947846000000002E-2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11374476.460783806</v>
      </c>
      <c r="D50" s="11">
        <v>2.1100000000000001E-2</v>
      </c>
      <c r="E50" s="10">
        <f t="shared" si="2"/>
        <v>235042.06573551707</v>
      </c>
      <c r="F50" s="3"/>
      <c r="G50" s="29">
        <v>3.19</v>
      </c>
      <c r="H50" s="10"/>
      <c r="I50" s="10">
        <f t="shared" si="8"/>
        <v>1329.7188602696056</v>
      </c>
      <c r="J50" s="10">
        <f t="shared" si="6"/>
        <v>15124855875.596899</v>
      </c>
      <c r="K50" s="11">
        <f t="shared" si="7"/>
        <v>5.3673089999999979E-2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11139434.395048289</v>
      </c>
      <c r="D51" s="11">
        <v>2.2200000000000001E-2</v>
      </c>
      <c r="E51" s="10">
        <f t="shared" si="2"/>
        <v>241924.71489930712</v>
      </c>
      <c r="F51" s="3"/>
      <c r="G51" s="29">
        <v>6.66</v>
      </c>
      <c r="H51" s="10"/>
      <c r="I51" s="10">
        <f t="shared" si="8"/>
        <v>1288.6121332198909</v>
      </c>
      <c r="J51" s="10">
        <f t="shared" si="6"/>
        <v>14354410318.666201</v>
      </c>
      <c r="K51" s="11">
        <f t="shared" si="7"/>
        <v>9.0278520000000029E-2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10897509.680148982</v>
      </c>
      <c r="D52" s="11">
        <v>2.35E-2</v>
      </c>
      <c r="E52" s="10">
        <f t="shared" si="2"/>
        <v>250211.50706741773</v>
      </c>
      <c r="F52" s="3"/>
      <c r="G52" s="29">
        <v>10.57</v>
      </c>
      <c r="H52" s="10"/>
      <c r="I52" s="10">
        <f t="shared" si="8"/>
        <v>1208.149384230162</v>
      </c>
      <c r="J52" s="10">
        <f t="shared" si="6"/>
        <v>13165819609.714222</v>
      </c>
      <c r="K52" s="11">
        <f t="shared" si="7"/>
        <v>0.13168394999999999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10647298.173081564</v>
      </c>
      <c r="D53" s="11">
        <v>2.5000000000000001E-2</v>
      </c>
      <c r="E53" s="10">
        <f t="shared" si="2"/>
        <v>259690.19934345223</v>
      </c>
      <c r="F53" s="3"/>
      <c r="G53" s="29">
        <v>10.130000000000001</v>
      </c>
      <c r="H53" s="10"/>
      <c r="I53" s="10">
        <f t="shared" si="8"/>
        <v>1092.6556789636991</v>
      </c>
      <c r="J53" s="10">
        <f t="shared" si="6"/>
        <v>11633830814.437389</v>
      </c>
      <c r="K53" s="11">
        <f t="shared" si="7"/>
        <v>0.12883249999999991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10387607.973738112</v>
      </c>
      <c r="D54" s="11">
        <v>2.5399999999999999E-2</v>
      </c>
      <c r="E54" s="10">
        <f t="shared" si="2"/>
        <v>257309.57922074199</v>
      </c>
      <c r="F54" s="3"/>
      <c r="G54" s="29">
        <v>5.31</v>
      </c>
      <c r="H54" s="10"/>
      <c r="I54" s="10">
        <f t="shared" si="8"/>
        <v>992.15080265477081</v>
      </c>
      <c r="J54" s="10">
        <f t="shared" si="6"/>
        <v>10306073588.807365</v>
      </c>
      <c r="K54" s="11">
        <f t="shared" si="7"/>
        <v>7.9848740000000085E-2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10130298.39451737</v>
      </c>
      <c r="D55" s="11">
        <v>2.4500000000000001E-2</v>
      </c>
      <c r="E55" s="10">
        <f t="shared" si="2"/>
        <v>242257.01382691599</v>
      </c>
      <c r="F55" s="3"/>
      <c r="G55" s="29">
        <v>4.8499999999999996</v>
      </c>
      <c r="H55" s="10"/>
      <c r="I55" s="10">
        <f t="shared" si="8"/>
        <v>942.12401733431852</v>
      </c>
      <c r="J55" s="10">
        <f t="shared" si="6"/>
        <v>9543997420.238102</v>
      </c>
      <c r="K55" s="11">
        <f t="shared" si="7"/>
        <v>7.4188249999999956E-2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9888041.3806904536</v>
      </c>
      <c r="D56" s="11">
        <v>2.2100000000000002E-2</v>
      </c>
      <c r="E56" s="10">
        <f t="shared" si="2"/>
        <v>213800.71863150224</v>
      </c>
      <c r="F56" s="3"/>
      <c r="G56" s="29">
        <v>5.43</v>
      </c>
      <c r="H56" s="10"/>
      <c r="I56" s="10">
        <f t="shared" si="8"/>
        <v>898.54460403845349</v>
      </c>
      <c r="J56" s="10">
        <f t="shared" si="6"/>
        <v>8884846227.1283474</v>
      </c>
      <c r="K56" s="11">
        <f t="shared" si="7"/>
        <v>7.7600029999999931E-2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9674240.6620589513</v>
      </c>
      <c r="D57" s="11">
        <v>2.01E-2</v>
      </c>
      <c r="E57" s="10">
        <f t="shared" si="2"/>
        <v>190620.76003076695</v>
      </c>
      <c r="F57" s="3"/>
      <c r="G57" s="30">
        <v>7.82</v>
      </c>
      <c r="H57" s="10"/>
      <c r="I57" s="10">
        <f t="shared" si="8"/>
        <v>852.26653138428674</v>
      </c>
      <c r="J57" s="10">
        <f t="shared" si="6"/>
        <v>8245031532.8298082</v>
      </c>
      <c r="K57" s="11">
        <f t="shared" si="7"/>
        <v>9.9871820000000167E-2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9483619.9020281844</v>
      </c>
      <c r="D58" s="11">
        <v>1.8499999999999999E-2</v>
      </c>
      <c r="E58" s="10">
        <f t="shared" si="2"/>
        <v>172260.15531420894</v>
      </c>
      <c r="F58" s="3"/>
      <c r="G58" s="30">
        <v>6.48</v>
      </c>
      <c r="H58" s="10"/>
      <c r="I58" s="10">
        <f t="shared" si="8"/>
        <v>790.45309903940517</v>
      </c>
      <c r="J58" s="10">
        <f t="shared" si="6"/>
        <v>7496356741.6699581</v>
      </c>
      <c r="K58" s="11">
        <f t="shared" si="7"/>
        <v>8.4498799999999985E-2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9311359.7467139754</v>
      </c>
      <c r="D59" s="11">
        <v>1.6899999999999998E-2</v>
      </c>
      <c r="E59" s="10">
        <f t="shared" si="2"/>
        <v>154746.75948418304</v>
      </c>
      <c r="F59" s="3"/>
      <c r="G59" s="30">
        <v>6.13</v>
      </c>
      <c r="H59" s="10"/>
      <c r="I59" s="10">
        <f t="shared" si="8"/>
        <v>742.34889090853233</v>
      </c>
      <c r="J59" s="10">
        <f t="shared" si="6"/>
        <v>6912277580.823472</v>
      </c>
      <c r="K59" s="11">
        <f t="shared" si="7"/>
        <v>7.9235969999999822E-2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9156612.9872297924</v>
      </c>
      <c r="D60" s="11">
        <v>1.54E-2</v>
      </c>
      <c r="E60" s="10">
        <f t="shared" si="2"/>
        <v>138873.19283370115</v>
      </c>
      <c r="F60" s="3"/>
      <c r="G60" s="30">
        <v>5.15</v>
      </c>
      <c r="H60" s="10"/>
      <c r="I60" s="10">
        <f t="shared" si="8"/>
        <v>699.4713002059101</v>
      </c>
      <c r="J60" s="10">
        <f t="shared" si="6"/>
        <v>6404787991.6599455</v>
      </c>
      <c r="K60" s="11">
        <f t="shared" si="7"/>
        <v>6.7693100000000284E-2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9017739.7943960913</v>
      </c>
      <c r="D61" s="11">
        <v>1.41E-2</v>
      </c>
      <c r="E61" s="10">
        <f t="shared" si="2"/>
        <v>125382.24149589241</v>
      </c>
      <c r="F61" s="3"/>
      <c r="G61" s="30">
        <v>2.74</v>
      </c>
      <c r="H61" s="10"/>
      <c r="I61" s="10">
        <f t="shared" si="8"/>
        <v>665.21283899753689</v>
      </c>
      <c r="J61" s="10">
        <f t="shared" si="6"/>
        <v>5998716289.9712887</v>
      </c>
      <c r="K61" s="11">
        <f t="shared" si="7"/>
        <v>4.1886340000000022E-2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8892357.5529001988</v>
      </c>
      <c r="D62" s="11">
        <v>1.3100000000000001E-2</v>
      </c>
      <c r="E62" s="10">
        <f t="shared" si="2"/>
        <v>114983.59879872948</v>
      </c>
      <c r="F62" s="3"/>
      <c r="G62" s="30">
        <v>7.13</v>
      </c>
      <c r="H62" s="10"/>
      <c r="I62" s="10">
        <f t="shared" si="8"/>
        <v>647.47210336532692</v>
      </c>
      <c r="J62" s="10">
        <f t="shared" si="6"/>
        <v>5757553448.6528435</v>
      </c>
      <c r="K62" s="11">
        <f t="shared" si="7"/>
        <v>8.5334029999999839E-2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8777373.9541014694</v>
      </c>
      <c r="D63" s="11">
        <v>1.2500000000000001E-2</v>
      </c>
      <c r="E63" s="10">
        <f t="shared" si="2"/>
        <v>108362.64140865952</v>
      </c>
      <c r="F63" s="3"/>
      <c r="G63" s="30">
        <v>4.1399999999999997</v>
      </c>
      <c r="H63" s="10"/>
      <c r="I63" s="10">
        <f t="shared" si="8"/>
        <v>604.37982205295157</v>
      </c>
      <c r="J63" s="10">
        <f t="shared" si="6"/>
        <v>5304867708.4720583</v>
      </c>
      <c r="K63" s="11">
        <f t="shared" si="7"/>
        <v>5.4417500000000008E-2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8669011.3126928098</v>
      </c>
      <c r="D64" s="11">
        <v>1.1900000000000001E-2</v>
      </c>
      <c r="E64" s="10">
        <f t="shared" si="2"/>
        <v>101948.0527928099</v>
      </c>
      <c r="F64" s="3"/>
      <c r="G64" s="30">
        <v>5.37</v>
      </c>
      <c r="H64" s="10"/>
      <c r="I64" s="10">
        <f t="shared" si="8"/>
        <v>580.35319958992852</v>
      </c>
      <c r="J64" s="10">
        <f t="shared" si="6"/>
        <v>5031088452.6025581</v>
      </c>
      <c r="K64" s="11">
        <f t="shared" si="7"/>
        <v>6.6239029999999977E-2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8567063.2598999999</v>
      </c>
      <c r="D65" s="11">
        <v>1.0999999999999999E-2</v>
      </c>
      <c r="E65" s="10">
        <f t="shared" si="2"/>
        <v>93212.359899999574</v>
      </c>
      <c r="F65" s="3"/>
      <c r="G65" s="30">
        <v>-5.0999999999999996</v>
      </c>
      <c r="H65" s="10"/>
      <c r="I65" s="10">
        <f t="shared" si="8"/>
        <v>550.77650146144867</v>
      </c>
      <c r="J65" s="10">
        <f t="shared" si="6"/>
        <v>4718537130.0866356</v>
      </c>
      <c r="K65" s="11">
        <f t="shared" si="7"/>
        <v>-4.0561000000000291E-2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8473850.9000000004</v>
      </c>
      <c r="D66" s="11">
        <v>1.0500000000000001E-2</v>
      </c>
      <c r="E66" s="10">
        <f t="shared" si="2"/>
        <v>88050.900000000373</v>
      </c>
      <c r="F66" s="23">
        <f>SUM(F2)</f>
        <v>18288844</v>
      </c>
      <c r="G66" s="30">
        <v>3.9</v>
      </c>
      <c r="H66" s="10"/>
      <c r="I66" s="10">
        <f t="shared" si="8"/>
        <v>580.37566012797549</v>
      </c>
      <c r="J66" s="10">
        <f t="shared" ref="J66:J67" si="9">IF(I66="","",I66*C66)</f>
        <v>4918016809.9135399</v>
      </c>
      <c r="K66" s="11">
        <f t="shared" ref="K66" si="10">IFERROR(J66/J67-1,"")</f>
        <v>4.9909499999999829E-2</v>
      </c>
    </row>
    <row r="67" spans="1:11" ht="22.5" customHeight="1">
      <c r="A67" s="3">
        <f t="shared" si="0"/>
        <v>1950</v>
      </c>
      <c r="B67" s="3">
        <v>1700</v>
      </c>
      <c r="C67" s="10">
        <v>8385800</v>
      </c>
      <c r="D67" s="11">
        <v>9.5999999999999992E-3</v>
      </c>
      <c r="E67" s="3" t="s">
        <v>72</v>
      </c>
      <c r="F67" s="10">
        <f>SUM(C2)</f>
        <v>18288748.218598638</v>
      </c>
      <c r="G67" s="30">
        <v>1.25</v>
      </c>
      <c r="H67" s="10"/>
      <c r="I67" s="10">
        <f t="shared" ref="I67" si="11">IF(H67&lt;&gt;"",H67,I66/(1+IF(G66="",0,G66)/100))</f>
        <v>558.5906257247118</v>
      </c>
      <c r="J67" s="10">
        <f t="shared" si="9"/>
        <v>4684229269.2022886</v>
      </c>
      <c r="K67" s="11"/>
    </row>
  </sheetData>
  <dataValidations count="1">
    <dataValidation type="custom" allowBlank="1" showDropDown="1" sqref="D2:D67" xr:uid="{00000000-0002-0000-7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outlinePr summaryBelow="0" summaryRight="0"/>
  </sheetPr>
  <dimension ref="A1:M67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38792385.688430578</v>
      </c>
      <c r="D2" s="11">
        <v>8.8000000000000005E-3</v>
      </c>
      <c r="E2" s="10">
        <f t="shared" ref="E2:E66" si="2">SUM(C2-C3)</f>
        <v>338395.11702833325</v>
      </c>
      <c r="F2" s="14">
        <v>38792291</v>
      </c>
      <c r="G2" s="26">
        <v>2.92</v>
      </c>
      <c r="H2" s="10"/>
      <c r="I2" s="10">
        <f>IF(H2&lt;&gt;"",H2,122224)</f>
        <v>15278</v>
      </c>
      <c r="J2" s="10">
        <f t="shared" ref="J2:J33" si="3">IF(I2="","",I2*C2)</f>
        <v>592670068547.84241</v>
      </c>
      <c r="K2" s="11">
        <f t="shared" ref="K2:K33" si="4">IFERROR(J2/J3-1,"")</f>
        <v>3.8256959999999784E-2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38453990.571402244</v>
      </c>
      <c r="D3" s="11">
        <v>9.2999999999999992E-3</v>
      </c>
      <c r="E3" s="10">
        <f t="shared" si="2"/>
        <v>354326.87240071595</v>
      </c>
      <c r="F3" s="3"/>
      <c r="G3" s="26">
        <v>3.21</v>
      </c>
      <c r="H3" s="10"/>
      <c r="I3" s="10">
        <f t="shared" ref="I3:I34" si="5">IF(H3&lt;&gt;"",H3,I2/(1+IF(G2="",0,G2)/100))</f>
        <v>14844.539448115042</v>
      </c>
      <c r="J3" s="10">
        <f t="shared" si="3"/>
        <v>570831779974.62451</v>
      </c>
      <c r="K3" s="11">
        <f t="shared" si="4"/>
        <v>4.1698530000000122E-2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38099663.699001528</v>
      </c>
      <c r="D4" s="11">
        <v>9.4999999999999998E-3</v>
      </c>
      <c r="E4" s="10">
        <f t="shared" si="2"/>
        <v>358540.66878703982</v>
      </c>
      <c r="F4" s="3"/>
      <c r="G4" s="26">
        <v>3.29</v>
      </c>
      <c r="H4" s="10"/>
      <c r="I4" s="10">
        <f t="shared" si="5"/>
        <v>14382.849964262225</v>
      </c>
      <c r="J4" s="10">
        <f t="shared" si="3"/>
        <v>547981746671.58691</v>
      </c>
      <c r="K4" s="11">
        <f t="shared" si="4"/>
        <v>4.2712550000000071E-2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37741123.030214489</v>
      </c>
      <c r="D5" s="11">
        <v>9.5999999999999992E-3</v>
      </c>
      <c r="E5" s="10">
        <f t="shared" si="2"/>
        <v>358869.63261693716</v>
      </c>
      <c r="F5" s="3"/>
      <c r="G5" s="26">
        <v>2.5499999999999998</v>
      </c>
      <c r="H5" s="10"/>
      <c r="I5" s="10">
        <f t="shared" si="5"/>
        <v>13924.726463609473</v>
      </c>
      <c r="J5" s="10">
        <f t="shared" si="3"/>
        <v>525534814625.16864</v>
      </c>
      <c r="K5" s="11">
        <f t="shared" si="4"/>
        <v>3.5344800000000065E-2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37382253.397597551</v>
      </c>
      <c r="D6" s="11">
        <v>7.3000000000000001E-3</v>
      </c>
      <c r="E6" s="10">
        <f t="shared" si="2"/>
        <v>270912.78646130115</v>
      </c>
      <c r="F6" s="3"/>
      <c r="G6" s="26">
        <v>3.69</v>
      </c>
      <c r="H6" s="10"/>
      <c r="I6" s="10">
        <f t="shared" si="5"/>
        <v>13578.475342378813</v>
      </c>
      <c r="J6" s="10">
        <f t="shared" si="3"/>
        <v>507594006001.83496</v>
      </c>
      <c r="K6" s="11">
        <f t="shared" si="4"/>
        <v>4.4469370000000286E-2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37111340.61113625</v>
      </c>
      <c r="D7" s="11">
        <v>4.5999999999999999E-3</v>
      </c>
      <c r="E7" s="10">
        <f t="shared" si="2"/>
        <v>169930.48657298833</v>
      </c>
      <c r="F7" s="3"/>
      <c r="G7" s="26">
        <v>6.98</v>
      </c>
      <c r="H7" s="10"/>
      <c r="I7" s="10">
        <f t="shared" si="5"/>
        <v>13095.260239539795</v>
      </c>
      <c r="J7" s="10">
        <f t="shared" si="3"/>
        <v>485982663141.03101</v>
      </c>
      <c r="K7" s="11">
        <f t="shared" si="4"/>
        <v>7.4721079999999995E-2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36941410.124563262</v>
      </c>
      <c r="D8" s="11">
        <v>3.8999999999999998E-3</v>
      </c>
      <c r="E8" s="10">
        <f t="shared" si="2"/>
        <v>143511.8034523353</v>
      </c>
      <c r="F8" s="3"/>
      <c r="G8" s="26">
        <v>0.82</v>
      </c>
      <c r="H8" s="10"/>
      <c r="I8" s="10">
        <f t="shared" si="5"/>
        <v>12240.848980687786</v>
      </c>
      <c r="J8" s="10">
        <f t="shared" si="3"/>
        <v>452194222468.42969</v>
      </c>
      <c r="K8" s="11">
        <f t="shared" si="4"/>
        <v>1.2131980000000153E-2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36797898.321110927</v>
      </c>
      <c r="D9" s="11">
        <v>3.7000000000000002E-3</v>
      </c>
      <c r="E9" s="10">
        <f t="shared" si="2"/>
        <v>135650.31761294603</v>
      </c>
      <c r="F9" s="3"/>
      <c r="G9" s="26">
        <v>3</v>
      </c>
      <c r="H9" s="10"/>
      <c r="I9" s="10">
        <f t="shared" si="5"/>
        <v>12141.290399412603</v>
      </c>
      <c r="J9" s="10">
        <f t="shared" si="3"/>
        <v>446773969604.66522</v>
      </c>
      <c r="K9" s="11">
        <f t="shared" si="4"/>
        <v>3.3811000000000035E-2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36662248.003497981</v>
      </c>
      <c r="D10" s="11">
        <v>3.5999999999999999E-3</v>
      </c>
      <c r="E10" s="10">
        <f t="shared" si="2"/>
        <v>131510.65445654839</v>
      </c>
      <c r="F10" s="3"/>
      <c r="G10" s="26">
        <v>5.84</v>
      </c>
      <c r="H10" s="10"/>
      <c r="I10" s="10">
        <f t="shared" si="5"/>
        <v>11787.660581953984</v>
      </c>
      <c r="J10" s="10">
        <f t="shared" si="3"/>
        <v>432162135636.6543</v>
      </c>
      <c r="K10" s="11">
        <f t="shared" si="4"/>
        <v>6.2210239999999972E-2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36530737.349041432</v>
      </c>
      <c r="D11" s="11">
        <v>3.2000000000000002E-3</v>
      </c>
      <c r="E11" s="10">
        <f t="shared" si="2"/>
        <v>116525.47798737884</v>
      </c>
      <c r="F11" s="3"/>
      <c r="G11" s="26">
        <v>5.25</v>
      </c>
      <c r="H11" s="10"/>
      <c r="I11" s="10">
        <f t="shared" si="5"/>
        <v>11137.245447802328</v>
      </c>
      <c r="J11" s="10">
        <f t="shared" si="3"/>
        <v>406851788245.47418</v>
      </c>
      <c r="K11" s="11">
        <f t="shared" si="4"/>
        <v>5.5868000000000251E-2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36414211.871054053</v>
      </c>
      <c r="D12" s="11">
        <v>3.2000000000000002E-3</v>
      </c>
      <c r="E12" s="10">
        <f t="shared" si="2"/>
        <v>116153.78587258607</v>
      </c>
      <c r="F12" s="3"/>
      <c r="G12" s="26">
        <v>4.3600000000000003</v>
      </c>
      <c r="H12" s="10"/>
      <c r="I12" s="10">
        <f t="shared" si="5"/>
        <v>10581.705888648294</v>
      </c>
      <c r="J12" s="10">
        <f t="shared" si="3"/>
        <v>385324480186.41925</v>
      </c>
      <c r="K12" s="11">
        <f t="shared" si="4"/>
        <v>4.6939520000000234E-2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36298058.085181467</v>
      </c>
      <c r="D13" s="11">
        <v>3.8E-3</v>
      </c>
      <c r="E13" s="10">
        <f t="shared" si="2"/>
        <v>137410.46097199619</v>
      </c>
      <c r="F13" s="3"/>
      <c r="G13" s="26">
        <v>5.18</v>
      </c>
      <c r="H13" s="10"/>
      <c r="I13" s="10">
        <f t="shared" si="5"/>
        <v>10139.61852112715</v>
      </c>
      <c r="J13" s="10">
        <f t="shared" si="3"/>
        <v>368048462041.45508</v>
      </c>
      <c r="K13" s="11">
        <f t="shared" si="4"/>
        <v>5.5796840000000181E-2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36160647.624209471</v>
      </c>
      <c r="D14" s="11">
        <v>4.4999999999999997E-3</v>
      </c>
      <c r="E14" s="10">
        <f t="shared" si="2"/>
        <v>161993.94157186896</v>
      </c>
      <c r="F14" s="3"/>
      <c r="G14" s="26">
        <v>3.07</v>
      </c>
      <c r="H14" s="10"/>
      <c r="I14" s="10">
        <f t="shared" si="5"/>
        <v>9640.2533952530412</v>
      </c>
      <c r="J14" s="10">
        <f t="shared" si="3"/>
        <v>348597806033.83417</v>
      </c>
      <c r="K14" s="11">
        <f t="shared" si="4"/>
        <v>3.5338150000000068E-2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35998653.682637602</v>
      </c>
      <c r="D15" s="11">
        <v>5.4000000000000003E-3</v>
      </c>
      <c r="E15" s="10">
        <f t="shared" si="2"/>
        <v>193348.64719141275</v>
      </c>
      <c r="F15" s="3"/>
      <c r="G15" s="26">
        <v>7.74</v>
      </c>
      <c r="H15" s="10"/>
      <c r="I15" s="10">
        <f t="shared" si="5"/>
        <v>9353.1128313311747</v>
      </c>
      <c r="J15" s="10">
        <f t="shared" si="3"/>
        <v>336699469669.72498</v>
      </c>
      <c r="K15" s="11">
        <f t="shared" si="4"/>
        <v>8.3217959999999813E-2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35805305.035446189</v>
      </c>
      <c r="D16" s="11">
        <v>5.8999999999999999E-3</v>
      </c>
      <c r="E16" s="10">
        <f t="shared" si="2"/>
        <v>210012.22756648809</v>
      </c>
      <c r="F16" s="3"/>
      <c r="G16" s="26">
        <v>4.7300000000000004</v>
      </c>
      <c r="H16" s="10"/>
      <c r="I16" s="10">
        <f t="shared" si="5"/>
        <v>8681.1888169028916</v>
      </c>
      <c r="J16" s="10">
        <f t="shared" si="3"/>
        <v>310832613659.51227</v>
      </c>
      <c r="K16" s="11">
        <f t="shared" si="4"/>
        <v>5.3479069999999851E-2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35595292.807879701</v>
      </c>
      <c r="D17" s="11">
        <v>5.7000000000000002E-3</v>
      </c>
      <c r="E17" s="10">
        <f t="shared" si="2"/>
        <v>201743.23257921636</v>
      </c>
      <c r="F17" s="3"/>
      <c r="G17" s="26">
        <v>9.1999999999999993</v>
      </c>
      <c r="H17" s="10"/>
      <c r="I17" s="10">
        <f t="shared" si="5"/>
        <v>8289.1137371363438</v>
      </c>
      <c r="J17" s="10">
        <f t="shared" si="3"/>
        <v>295053430591.18616</v>
      </c>
      <c r="K17" s="11">
        <f t="shared" si="4"/>
        <v>9.8224400000000323E-2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35393549.575300485</v>
      </c>
      <c r="D18" s="11">
        <v>5.7999999999999996E-3</v>
      </c>
      <c r="E18" s="10">
        <f t="shared" si="2"/>
        <v>204098.81441314518</v>
      </c>
      <c r="F18" s="3"/>
      <c r="G18" s="26">
        <v>2.1</v>
      </c>
      <c r="H18" s="10"/>
      <c r="I18" s="10">
        <f t="shared" si="5"/>
        <v>7590.7634955461017</v>
      </c>
      <c r="J18" s="10">
        <f t="shared" si="3"/>
        <v>268664064093.99216</v>
      </c>
      <c r="K18" s="11">
        <f t="shared" si="4"/>
        <v>2.6921799999999774E-2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35189450.76088734</v>
      </c>
      <c r="D19" s="11">
        <v>6.3E-3</v>
      </c>
      <c r="E19" s="10">
        <f t="shared" si="2"/>
        <v>220305.61442272365</v>
      </c>
      <c r="F19" s="3"/>
      <c r="G19" s="26">
        <v>3.2</v>
      </c>
      <c r="H19" s="10"/>
      <c r="I19" s="10">
        <f t="shared" si="5"/>
        <v>7434.6361366759083</v>
      </c>
      <c r="J19" s="10">
        <f t="shared" si="3"/>
        <v>261620762256.67056</v>
      </c>
      <c r="K19" s="11">
        <f t="shared" si="4"/>
        <v>3.8501599999999803E-2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34969145.146464616</v>
      </c>
      <c r="D20" s="11">
        <v>6.6E-3</v>
      </c>
      <c r="E20" s="10">
        <f t="shared" si="2"/>
        <v>229283.08957546949</v>
      </c>
      <c r="F20" s="3"/>
      <c r="G20" s="26">
        <v>6.28</v>
      </c>
      <c r="H20" s="10"/>
      <c r="I20" s="10">
        <f t="shared" si="5"/>
        <v>7204.1047836006865</v>
      </c>
      <c r="J20" s="10">
        <f t="shared" si="3"/>
        <v>251921385828.07248</v>
      </c>
      <c r="K20" s="11">
        <f t="shared" si="4"/>
        <v>6.9814480000000234E-2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34739862.056889147</v>
      </c>
      <c r="D21" s="11">
        <v>6.0000000000000001E-3</v>
      </c>
      <c r="E21" s="10">
        <f t="shared" si="2"/>
        <v>207195.99636315554</v>
      </c>
      <c r="F21" s="3"/>
      <c r="G21" s="26">
        <v>7.99</v>
      </c>
      <c r="H21" s="10"/>
      <c r="I21" s="10">
        <f t="shared" si="5"/>
        <v>6778.4200071515679</v>
      </c>
      <c r="J21" s="10">
        <f t="shared" si="3"/>
        <v>235481376012.103</v>
      </c>
      <c r="K21" s="11">
        <f t="shared" si="4"/>
        <v>8.6379399999999995E-2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34532666.060525991</v>
      </c>
      <c r="D22" s="11">
        <v>5.3E-3</v>
      </c>
      <c r="E22" s="10">
        <f t="shared" si="2"/>
        <v>182058.22154659033</v>
      </c>
      <c r="F22" s="3"/>
      <c r="G22" s="26">
        <v>9.74</v>
      </c>
      <c r="H22" s="10"/>
      <c r="I22" s="10">
        <f t="shared" si="5"/>
        <v>6276.8960155121467</v>
      </c>
      <c r="J22" s="10">
        <f t="shared" si="3"/>
        <v>216757954000.32715</v>
      </c>
      <c r="K22" s="11">
        <f t="shared" si="4"/>
        <v>0.10321621999999997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34350607.838979401</v>
      </c>
      <c r="D23" s="11">
        <v>5.4000000000000003E-3</v>
      </c>
      <c r="E23" s="10">
        <f t="shared" si="2"/>
        <v>184496.99853838235</v>
      </c>
      <c r="F23" s="3"/>
      <c r="G23" s="26">
        <v>9.3699999999999992</v>
      </c>
      <c r="H23" s="10"/>
      <c r="I23" s="10">
        <f t="shared" si="5"/>
        <v>5719.7886053509637</v>
      </c>
      <c r="J23" s="10">
        <f t="shared" si="3"/>
        <v>196478215304.27386</v>
      </c>
      <c r="K23" s="11">
        <f t="shared" si="4"/>
        <v>9.9605979999999761E-2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34166110.840441018</v>
      </c>
      <c r="D24" s="11">
        <v>5.1999999999999998E-3</v>
      </c>
      <c r="E24" s="10">
        <f t="shared" si="2"/>
        <v>176744.70390996337</v>
      </c>
      <c r="F24" s="3"/>
      <c r="G24" s="26">
        <v>6.99</v>
      </c>
      <c r="H24" s="10"/>
      <c r="I24" s="10">
        <f t="shared" si="5"/>
        <v>5229.760085353355</v>
      </c>
      <c r="J24" s="10">
        <f t="shared" si="3"/>
        <v>178680562745.09702</v>
      </c>
      <c r="K24" s="11">
        <f t="shared" si="4"/>
        <v>7.5463480000000249E-2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33989366.136531055</v>
      </c>
      <c r="D25" s="11">
        <v>4.7999999999999996E-3</v>
      </c>
      <c r="E25" s="10">
        <f t="shared" si="2"/>
        <v>162369.58345476538</v>
      </c>
      <c r="F25" s="3"/>
      <c r="G25" s="26">
        <v>6.35</v>
      </c>
      <c r="H25" s="10"/>
      <c r="I25" s="10">
        <f t="shared" si="5"/>
        <v>4888.0830781880122</v>
      </c>
      <c r="J25" s="10">
        <f t="shared" si="3"/>
        <v>166142845450.31412</v>
      </c>
      <c r="K25" s="11">
        <f t="shared" si="4"/>
        <v>6.860479999999991E-2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33826996.55307629</v>
      </c>
      <c r="D26" s="11">
        <v>8.0999999999999996E-3</v>
      </c>
      <c r="E26" s="10">
        <f t="shared" si="2"/>
        <v>271797.11544481665</v>
      </c>
      <c r="F26" s="3"/>
      <c r="G26" s="26">
        <v>10.87</v>
      </c>
      <c r="H26" s="10"/>
      <c r="I26" s="10">
        <f t="shared" si="5"/>
        <v>4596.2229226027384</v>
      </c>
      <c r="J26" s="10">
        <f t="shared" si="3"/>
        <v>155476416960.05307</v>
      </c>
      <c r="K26" s="11">
        <f t="shared" si="4"/>
        <v>0.11768047000000004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33555199.437631473</v>
      </c>
      <c r="D27" s="11">
        <v>1.2800000000000001E-2</v>
      </c>
      <c r="E27" s="10">
        <f t="shared" si="2"/>
        <v>424078.34992266819</v>
      </c>
      <c r="F27" s="3"/>
      <c r="G27" s="26">
        <v>-4.32</v>
      </c>
      <c r="H27" s="10"/>
      <c r="I27" s="10">
        <f t="shared" si="5"/>
        <v>4145.5965749100196</v>
      </c>
      <c r="J27" s="10">
        <f t="shared" si="3"/>
        <v>139106319859.06766</v>
      </c>
      <c r="K27" s="11">
        <f t="shared" si="4"/>
        <v>-3.0952960000000251E-2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33131121.087708805</v>
      </c>
      <c r="D28" s="11">
        <v>1.4E-2</v>
      </c>
      <c r="E28" s="10">
        <f t="shared" si="2"/>
        <v>457431.65209854394</v>
      </c>
      <c r="F28" s="3"/>
      <c r="G28" s="26">
        <v>7.17</v>
      </c>
      <c r="H28" s="10"/>
      <c r="I28" s="10">
        <f t="shared" si="5"/>
        <v>4332.7723399979304</v>
      </c>
      <c r="J28" s="10">
        <f t="shared" si="3"/>
        <v>143549605041.94687</v>
      </c>
      <c r="K28" s="11">
        <f t="shared" si="4"/>
        <v>8.670380000000022E-2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32673689.435610261</v>
      </c>
      <c r="D29" s="11">
        <v>1.4200000000000001E-2</v>
      </c>
      <c r="E29" s="10">
        <f t="shared" si="2"/>
        <v>457470.31156149134</v>
      </c>
      <c r="F29" s="3"/>
      <c r="G29" s="26">
        <v>12.13</v>
      </c>
      <c r="H29" s="10"/>
      <c r="I29" s="10">
        <f t="shared" si="5"/>
        <v>4042.8966501800223</v>
      </c>
      <c r="J29" s="10">
        <f t="shared" si="3"/>
        <v>132096349568.25111</v>
      </c>
      <c r="K29" s="11">
        <f t="shared" si="4"/>
        <v>0.13722246000000005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32216219.124048769</v>
      </c>
      <c r="D30" s="11">
        <v>1.4500000000000001E-2</v>
      </c>
      <c r="E30" s="10">
        <f t="shared" si="2"/>
        <v>460458.52863352001</v>
      </c>
      <c r="F30" s="3"/>
      <c r="G30" s="26">
        <v>12.89</v>
      </c>
      <c r="H30" s="10"/>
      <c r="I30" s="10">
        <f t="shared" si="5"/>
        <v>3605.5441453491685</v>
      </c>
      <c r="J30" s="10">
        <f t="shared" si="3"/>
        <v>116157000247.99995</v>
      </c>
      <c r="K30" s="11">
        <f t="shared" si="4"/>
        <v>0.14526905000000001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31755760.595415249</v>
      </c>
      <c r="D31" s="11">
        <v>1.38E-2</v>
      </c>
      <c r="E31" s="10">
        <f t="shared" si="2"/>
        <v>432264.24957263097</v>
      </c>
      <c r="F31" s="3"/>
      <c r="G31" s="26">
        <v>11.5</v>
      </c>
      <c r="H31" s="10"/>
      <c r="I31" s="10">
        <f t="shared" si="5"/>
        <v>3193.856094737504</v>
      </c>
      <c r="J31" s="10">
        <f t="shared" si="3"/>
        <v>101423329520.69206</v>
      </c>
      <c r="K31" s="11">
        <f t="shared" si="4"/>
        <v>0.13038700000000025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31323496.345842618</v>
      </c>
      <c r="D32" s="11">
        <v>1.3599999999999999E-2</v>
      </c>
      <c r="E32" s="10">
        <f t="shared" si="2"/>
        <v>420283.69209102169</v>
      </c>
      <c r="F32" s="3"/>
      <c r="G32" s="26">
        <v>7.94</v>
      </c>
      <c r="H32" s="10"/>
      <c r="I32" s="10">
        <f t="shared" si="5"/>
        <v>2864.4449280156987</v>
      </c>
      <c r="J32" s="10">
        <f t="shared" si="3"/>
        <v>89724430235.567154</v>
      </c>
      <c r="K32" s="11">
        <f t="shared" si="4"/>
        <v>9.4079839999999804E-2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30903212.653751597</v>
      </c>
      <c r="D33" s="11">
        <v>1.49E-2</v>
      </c>
      <c r="E33" s="10">
        <f t="shared" si="2"/>
        <v>453697.77174194157</v>
      </c>
      <c r="F33" s="3"/>
      <c r="G33" s="26">
        <v>10.64</v>
      </c>
      <c r="H33" s="10"/>
      <c r="I33" s="10">
        <f t="shared" si="5"/>
        <v>2653.7381211929765</v>
      </c>
      <c r="J33" s="10">
        <f t="shared" si="3"/>
        <v>82009033486.593781</v>
      </c>
      <c r="K33" s="11">
        <f t="shared" si="4"/>
        <v>0.12288535999999994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30449514.882009655</v>
      </c>
      <c r="D34" s="11">
        <v>1.6400000000000001E-2</v>
      </c>
      <c r="E34" s="10">
        <f t="shared" si="2"/>
        <v>491314.4864865765</v>
      </c>
      <c r="F34" s="3"/>
      <c r="G34" s="26">
        <v>12.17</v>
      </c>
      <c r="H34" s="10"/>
      <c r="I34" s="10">
        <f t="shared" si="5"/>
        <v>2398.5340936306729</v>
      </c>
      <c r="J34" s="10">
        <f t="shared" ref="J34:J65" si="6">IF(I34="","",I34*C34)</f>
        <v>73034199579.014709</v>
      </c>
      <c r="K34" s="11">
        <f t="shared" ref="K34:K65" si="7">IFERROR(J34/J35-1,"")</f>
        <v>0.15330907999999988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29958200.395523079</v>
      </c>
      <c r="D35" s="11">
        <v>1.72E-2</v>
      </c>
      <c r="E35" s="10">
        <f t="shared" si="2"/>
        <v>506568.07589756325</v>
      </c>
      <c r="F35" s="3"/>
      <c r="G35" s="26">
        <v>5.77</v>
      </c>
      <c r="H35" s="10"/>
      <c r="I35" s="10">
        <f t="shared" ref="I35:I66" si="8">IF(H35&lt;&gt;"",H35,I34/(1+IF(G34="",0,G34)/100))</f>
        <v>2113.8046123474687</v>
      </c>
      <c r="J35" s="10">
        <f t="shared" si="6"/>
        <v>63325782173.686447</v>
      </c>
      <c r="K35" s="11">
        <f t="shared" si="7"/>
        <v>0.10335684000000001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29451632.319625515</v>
      </c>
      <c r="D36" s="11">
        <v>1.44E-2</v>
      </c>
      <c r="E36" s="10">
        <f t="shared" si="2"/>
        <v>418083.10863821581</v>
      </c>
      <c r="F36" s="3"/>
      <c r="G36" s="26">
        <v>2.6</v>
      </c>
      <c r="H36" s="10"/>
      <c r="I36" s="10">
        <f t="shared" si="8"/>
        <v>1948.7458397229361</v>
      </c>
      <c r="J36" s="10">
        <f t="shared" si="6"/>
        <v>57393745955.919792</v>
      </c>
      <c r="K36" s="11">
        <f t="shared" si="7"/>
        <v>8.9465600000000256E-2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29033549.2109873</v>
      </c>
      <c r="D37" s="11">
        <v>1.14E-2</v>
      </c>
      <c r="E37" s="10">
        <f t="shared" si="2"/>
        <v>327251.7905925028</v>
      </c>
      <c r="F37" s="3"/>
      <c r="G37" s="26">
        <v>-6.82</v>
      </c>
      <c r="H37" s="10"/>
      <c r="I37" s="10">
        <f t="shared" si="8"/>
        <v>1814.4747111014301</v>
      </c>
      <c r="J37" s="10">
        <f t="shared" si="6"/>
        <v>52680640816.855331</v>
      </c>
      <c r="K37" s="11">
        <f t="shared" si="7"/>
        <v>-3.9732799999999679E-3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28706297.420394797</v>
      </c>
      <c r="D38" s="11">
        <v>1.15E-2</v>
      </c>
      <c r="E38" s="10">
        <f t="shared" si="2"/>
        <v>326369.17482406646</v>
      </c>
      <c r="F38" s="3"/>
      <c r="G38" s="26">
        <v>-12.44</v>
      </c>
      <c r="H38" s="10"/>
      <c r="I38" s="10">
        <f t="shared" si="8"/>
        <v>1842.4804133848802</v>
      </c>
      <c r="J38" s="10">
        <f t="shared" si="6"/>
        <v>52890790737.878326</v>
      </c>
      <c r="K38" s="11">
        <f t="shared" si="7"/>
        <v>-7.6905099999999837E-2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28379928.24557073</v>
      </c>
      <c r="D39" s="11">
        <v>1.1900000000000001E-2</v>
      </c>
      <c r="E39" s="10">
        <f t="shared" si="2"/>
        <v>333749.52675392106</v>
      </c>
      <c r="F39" s="3"/>
      <c r="G39" s="26">
        <v>11.07</v>
      </c>
      <c r="H39" s="10"/>
      <c r="I39" s="10">
        <f t="shared" si="8"/>
        <v>2018.9353642174888</v>
      </c>
      <c r="J39" s="10">
        <f t="shared" si="6"/>
        <v>57297240768.937538</v>
      </c>
      <c r="K39" s="11">
        <f t="shared" si="7"/>
        <v>0.12391733000000005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28046178.718816809</v>
      </c>
      <c r="D40" s="11">
        <v>1.2699999999999999E-2</v>
      </c>
      <c r="E40" s="10">
        <f t="shared" si="2"/>
        <v>351719.63042260334</v>
      </c>
      <c r="F40" s="3"/>
      <c r="G40" s="26">
        <v>12.38</v>
      </c>
      <c r="H40" s="10"/>
      <c r="I40" s="10">
        <f t="shared" si="8"/>
        <v>1817.7143821171233</v>
      </c>
      <c r="J40" s="10">
        <f t="shared" si="6"/>
        <v>50979942420.620506</v>
      </c>
      <c r="K40" s="11">
        <f t="shared" si="7"/>
        <v>0.13807225999999972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27694459.088394206</v>
      </c>
      <c r="D41" s="11">
        <v>1.41E-2</v>
      </c>
      <c r="E41" s="10">
        <f t="shared" si="2"/>
        <v>385062.49200903252</v>
      </c>
      <c r="F41" s="3"/>
      <c r="G41" s="26">
        <v>13.26</v>
      </c>
      <c r="H41" s="10"/>
      <c r="I41" s="10">
        <f t="shared" si="8"/>
        <v>1617.4714202857479</v>
      </c>
      <c r="J41" s="10">
        <f t="shared" si="6"/>
        <v>44794996075.750511</v>
      </c>
      <c r="K41" s="11">
        <f t="shared" si="7"/>
        <v>0.14856965999999994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27309396.596385173</v>
      </c>
      <c r="D42" s="11">
        <v>1.67E-2</v>
      </c>
      <c r="E42" s="10">
        <f t="shared" si="2"/>
        <v>448575.70882229879</v>
      </c>
      <c r="F42" s="3"/>
      <c r="G42" s="26">
        <v>7.93</v>
      </c>
      <c r="H42" s="10"/>
      <c r="I42" s="10">
        <f t="shared" si="8"/>
        <v>1428.1047327262474</v>
      </c>
      <c r="J42" s="10">
        <f t="shared" si="6"/>
        <v>39000678527.19574</v>
      </c>
      <c r="K42" s="11">
        <f t="shared" si="7"/>
        <v>9.7324309999999858E-2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26860820.887562875</v>
      </c>
      <c r="D43" s="11">
        <v>1.9099999999999999E-2</v>
      </c>
      <c r="E43" s="10">
        <f t="shared" si="2"/>
        <v>503426.23781027272</v>
      </c>
      <c r="F43" s="3"/>
      <c r="G43" s="26">
        <v>9.65</v>
      </c>
      <c r="H43" s="10"/>
      <c r="I43" s="10">
        <f t="shared" si="8"/>
        <v>1323.1768115688387</v>
      </c>
      <c r="J43" s="10">
        <f t="shared" si="6"/>
        <v>35541615338.127106</v>
      </c>
      <c r="K43" s="11">
        <f t="shared" si="7"/>
        <v>0.11744314999999994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26357394.649752602</v>
      </c>
      <c r="D44" s="11">
        <v>2.0299999999999999E-2</v>
      </c>
      <c r="E44" s="10">
        <f t="shared" si="2"/>
        <v>524409.59657941386</v>
      </c>
      <c r="F44" s="3"/>
      <c r="G44" s="26">
        <v>14.97</v>
      </c>
      <c r="H44" s="10"/>
      <c r="I44" s="10">
        <f t="shared" si="8"/>
        <v>1206.7275983299942</v>
      </c>
      <c r="J44" s="10">
        <f t="shared" si="6"/>
        <v>31806195543.931797</v>
      </c>
      <c r="K44" s="11">
        <f t="shared" si="7"/>
        <v>0.17303890999999982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25832985.053173188</v>
      </c>
      <c r="D45" s="11">
        <v>2.1000000000000001E-2</v>
      </c>
      <c r="E45" s="10">
        <f t="shared" si="2"/>
        <v>531334.65829249099</v>
      </c>
      <c r="F45" s="3"/>
      <c r="G45" s="26">
        <v>7.34</v>
      </c>
      <c r="H45" s="10"/>
      <c r="I45" s="10">
        <f t="shared" si="8"/>
        <v>1049.602155631899</v>
      </c>
      <c r="J45" s="10">
        <f t="shared" si="6"/>
        <v>27114356798.217205</v>
      </c>
      <c r="K45" s="11">
        <f t="shared" si="7"/>
        <v>9.5941399999999843E-2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25301650.394880697</v>
      </c>
      <c r="D46" s="11">
        <v>2.1399999999999999E-2</v>
      </c>
      <c r="E46" s="10">
        <f t="shared" si="2"/>
        <v>530110.94424363598</v>
      </c>
      <c r="F46" s="3"/>
      <c r="G46" s="26">
        <v>10.65</v>
      </c>
      <c r="H46" s="10"/>
      <c r="I46" s="10">
        <f t="shared" si="8"/>
        <v>977.82947236062887</v>
      </c>
      <c r="J46" s="10">
        <f t="shared" si="6"/>
        <v>24740699455.47929</v>
      </c>
      <c r="K46" s="11">
        <f t="shared" si="7"/>
        <v>0.1301791000000001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24771539.450637061</v>
      </c>
      <c r="D47" s="11">
        <v>2.1600000000000001E-2</v>
      </c>
      <c r="E47" s="10">
        <f t="shared" si="2"/>
        <v>523752.20451621339</v>
      </c>
      <c r="F47" s="3"/>
      <c r="G47" s="26">
        <v>10.17</v>
      </c>
      <c r="H47" s="10"/>
      <c r="I47" s="10">
        <f t="shared" si="8"/>
        <v>883.7139379671296</v>
      </c>
      <c r="J47" s="10">
        <f t="shared" si="6"/>
        <v>21890954677.430584</v>
      </c>
      <c r="K47" s="11">
        <f t="shared" si="7"/>
        <v>0.12549672000000012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24247787.246120848</v>
      </c>
      <c r="D48" s="11">
        <v>2.1700000000000001E-2</v>
      </c>
      <c r="E48" s="10">
        <f t="shared" si="2"/>
        <v>515001.45173810795</v>
      </c>
      <c r="F48" s="3"/>
      <c r="G48" s="26">
        <v>14.59</v>
      </c>
      <c r="H48" s="10"/>
      <c r="I48" s="10">
        <f t="shared" si="8"/>
        <v>802.13664152412605</v>
      </c>
      <c r="J48" s="10">
        <f t="shared" si="6"/>
        <v>19450038625.994915</v>
      </c>
      <c r="K48" s="11">
        <f t="shared" si="7"/>
        <v>0.17076603000000001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23732785.79438274</v>
      </c>
      <c r="D49" s="11">
        <v>2.23E-2</v>
      </c>
      <c r="E49" s="10">
        <f t="shared" si="2"/>
        <v>517696.49145528302</v>
      </c>
      <c r="F49" s="3"/>
      <c r="G49" s="26">
        <v>13.22</v>
      </c>
      <c r="H49" s="10"/>
      <c r="I49" s="10">
        <f t="shared" si="8"/>
        <v>700.00579590202119</v>
      </c>
      <c r="J49" s="10">
        <f t="shared" si="6"/>
        <v>16613087608.969072</v>
      </c>
      <c r="K49" s="11">
        <f t="shared" si="7"/>
        <v>0.15744806000000011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23215089.302927457</v>
      </c>
      <c r="D50" s="11">
        <v>2.18E-2</v>
      </c>
      <c r="E50" s="10">
        <f t="shared" si="2"/>
        <v>495291.59013879299</v>
      </c>
      <c r="F50" s="3"/>
      <c r="G50" s="26">
        <v>9.15</v>
      </c>
      <c r="H50" s="10"/>
      <c r="I50" s="10">
        <f t="shared" si="8"/>
        <v>618.27044329802254</v>
      </c>
      <c r="J50" s="10">
        <f t="shared" si="6"/>
        <v>14353203554.524139</v>
      </c>
      <c r="K50" s="11">
        <f t="shared" si="7"/>
        <v>0.11529469999999997</v>
      </c>
      <c r="L50" t="s">
        <v>140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22719797.712788664</v>
      </c>
      <c r="D51" s="11">
        <v>1.9199999999999998E-2</v>
      </c>
      <c r="E51" s="10">
        <f t="shared" si="2"/>
        <v>428002.46868675947</v>
      </c>
      <c r="F51" s="3"/>
      <c r="G51" s="26">
        <v>5.74</v>
      </c>
      <c r="H51" s="10"/>
      <c r="I51" s="10">
        <f t="shared" si="8"/>
        <v>566.44108410263175</v>
      </c>
      <c r="J51" s="10">
        <f t="shared" si="6"/>
        <v>12869426847.024504</v>
      </c>
      <c r="K51" s="11">
        <f t="shared" si="7"/>
        <v>7.7702080000000118E-2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22291795.244101904</v>
      </c>
      <c r="D52" s="11">
        <v>1.8800000000000001E-2</v>
      </c>
      <c r="E52" s="10">
        <f t="shared" si="2"/>
        <v>411352.32684443891</v>
      </c>
      <c r="F52" s="3"/>
      <c r="G52" s="26">
        <v>4.32</v>
      </c>
      <c r="H52" s="10"/>
      <c r="I52" s="10">
        <f t="shared" si="8"/>
        <v>535.69234358107792</v>
      </c>
      <c r="J52" s="10">
        <f t="shared" si="6"/>
        <v>11941544036.942476</v>
      </c>
      <c r="K52" s="11">
        <f t="shared" si="7"/>
        <v>6.2812160000000006E-2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21880442.917257465</v>
      </c>
      <c r="D53" s="11">
        <v>2.1299999999999999E-2</v>
      </c>
      <c r="E53" s="10">
        <f t="shared" si="2"/>
        <v>456333.52994965762</v>
      </c>
      <c r="F53" s="3"/>
      <c r="G53" s="26">
        <v>4.26</v>
      </c>
      <c r="H53" s="10"/>
      <c r="I53" s="10">
        <f t="shared" si="8"/>
        <v>513.50876493584929</v>
      </c>
      <c r="J53" s="10">
        <f t="shared" si="6"/>
        <v>11235799218.690231</v>
      </c>
      <c r="K53" s="11">
        <f t="shared" si="7"/>
        <v>6.480737999999997E-2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21424109.387307808</v>
      </c>
      <c r="D54" s="11">
        <v>2.3099999999999999E-2</v>
      </c>
      <c r="E54" s="10">
        <f t="shared" si="2"/>
        <v>483722.92722784355</v>
      </c>
      <c r="F54" s="3"/>
      <c r="G54" s="26">
        <v>-3.64</v>
      </c>
      <c r="H54" s="10"/>
      <c r="I54" s="10">
        <f t="shared" si="8"/>
        <v>492.52711004781247</v>
      </c>
      <c r="J54" s="10">
        <f t="shared" si="6"/>
        <v>10551954681.878925</v>
      </c>
      <c r="K54" s="11">
        <f t="shared" si="7"/>
        <v>-1.4140840000000154E-2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20940386.460079964</v>
      </c>
      <c r="D55" s="11">
        <v>2.4400000000000002E-2</v>
      </c>
      <c r="E55" s="10">
        <f t="shared" si="2"/>
        <v>498775.31201283634</v>
      </c>
      <c r="F55" s="3"/>
      <c r="G55" s="26">
        <v>6.88</v>
      </c>
      <c r="H55" s="10"/>
      <c r="I55" s="10">
        <f t="shared" si="8"/>
        <v>511.13232674119183</v>
      </c>
      <c r="J55" s="10">
        <f t="shared" si="6"/>
        <v>10703308454.200422</v>
      </c>
      <c r="K55" s="11">
        <f t="shared" si="7"/>
        <v>9.4878719999999861E-2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20441611.148067128</v>
      </c>
      <c r="D56" s="11">
        <v>2.8199999999999999E-2</v>
      </c>
      <c r="E56" s="10">
        <f t="shared" si="2"/>
        <v>560643.29349882528</v>
      </c>
      <c r="F56" s="3"/>
      <c r="G56" s="26">
        <v>1.28</v>
      </c>
      <c r="H56" s="10"/>
      <c r="I56" s="10">
        <f t="shared" si="8"/>
        <v>478.23009612761211</v>
      </c>
      <c r="J56" s="10">
        <f t="shared" si="6"/>
        <v>9775793664.3434105</v>
      </c>
      <c r="K56" s="11">
        <f t="shared" si="7"/>
        <v>4.1360960000000002E-2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19880967.854568303</v>
      </c>
      <c r="D57" s="11">
        <v>3.2300000000000002E-2</v>
      </c>
      <c r="E57" s="10">
        <f t="shared" si="2"/>
        <v>622062.6384796612</v>
      </c>
      <c r="F57" s="3"/>
      <c r="G57" s="26">
        <v>2.85</v>
      </c>
      <c r="H57" s="10"/>
      <c r="I57" s="10">
        <f t="shared" si="8"/>
        <v>472.18611387007519</v>
      </c>
      <c r="J57" s="10">
        <f t="shared" si="6"/>
        <v>9387516951.224493</v>
      </c>
      <c r="K57" s="11">
        <f t="shared" si="7"/>
        <v>6.1720549999999763E-2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19258905.216088641</v>
      </c>
      <c r="D58" s="11">
        <v>3.3700000000000001E-2</v>
      </c>
      <c r="E58" s="10">
        <f t="shared" si="2"/>
        <v>627866.02087857947</v>
      </c>
      <c r="F58" s="3"/>
      <c r="G58" s="26">
        <v>6.1</v>
      </c>
      <c r="H58" s="10"/>
      <c r="I58" s="10">
        <f t="shared" si="8"/>
        <v>459.10171499278096</v>
      </c>
      <c r="J58" s="10">
        <f t="shared" si="6"/>
        <v>8841796413.5897102</v>
      </c>
      <c r="K58" s="11">
        <f t="shared" si="7"/>
        <v>9.6755699999999889E-2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18631039.195210062</v>
      </c>
      <c r="D59" s="11">
        <v>3.44E-2</v>
      </c>
      <c r="E59" s="10">
        <f t="shared" si="2"/>
        <v>619593.72420265526</v>
      </c>
      <c r="F59" s="3"/>
      <c r="G59" s="26">
        <v>5.0599999999999996</v>
      </c>
      <c r="H59" s="10"/>
      <c r="I59" s="10">
        <f t="shared" si="8"/>
        <v>432.70661168028369</v>
      </c>
      <c r="J59" s="10">
        <f t="shared" si="6"/>
        <v>8061773842.2419052</v>
      </c>
      <c r="K59" s="11">
        <f t="shared" si="7"/>
        <v>8.6740639999999924E-2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18011445.471007407</v>
      </c>
      <c r="D60" s="11">
        <v>3.44E-2</v>
      </c>
      <c r="E60" s="10">
        <f t="shared" si="2"/>
        <v>598988.51914409921</v>
      </c>
      <c r="F60" s="3"/>
      <c r="G60" s="26">
        <v>4.7699999999999996</v>
      </c>
      <c r="H60" s="10"/>
      <c r="I60" s="10">
        <f t="shared" si="8"/>
        <v>411.86618282912974</v>
      </c>
      <c r="J60" s="10">
        <f t="shared" si="6"/>
        <v>7418305293.3788376</v>
      </c>
      <c r="K60" s="11">
        <f t="shared" si="7"/>
        <v>8.3740880000000129E-2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17412456.951863308</v>
      </c>
      <c r="D61" s="11">
        <v>3.39E-2</v>
      </c>
      <c r="E61" s="10">
        <f t="shared" si="2"/>
        <v>570927.83699406683</v>
      </c>
      <c r="F61" s="3"/>
      <c r="G61" s="26">
        <v>7.43</v>
      </c>
      <c r="H61" s="10"/>
      <c r="I61" s="10">
        <f t="shared" si="8"/>
        <v>393.11461566204991</v>
      </c>
      <c r="J61" s="10">
        <f t="shared" si="6"/>
        <v>6845091322.3637333</v>
      </c>
      <c r="K61" s="11">
        <f t="shared" si="7"/>
        <v>0.11071877000000008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16841529.114869241</v>
      </c>
      <c r="D62" s="11">
        <v>3.3099999999999997E-2</v>
      </c>
      <c r="E62" s="10">
        <f t="shared" si="2"/>
        <v>539594.05062643439</v>
      </c>
      <c r="F62" s="3"/>
      <c r="G62" s="26">
        <v>12.47</v>
      </c>
      <c r="H62" s="10"/>
      <c r="I62" s="10">
        <f t="shared" si="8"/>
        <v>365.92629215493798</v>
      </c>
      <c r="J62" s="10">
        <f t="shared" si="6"/>
        <v>6162758303.2235355</v>
      </c>
      <c r="K62" s="11">
        <f t="shared" si="7"/>
        <v>0.1619275699999998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16301935.064242806</v>
      </c>
      <c r="D63" s="11">
        <v>3.0800000000000001E-2</v>
      </c>
      <c r="E63" s="10">
        <f t="shared" si="2"/>
        <v>487097.01200880669</v>
      </c>
      <c r="F63" s="3"/>
      <c r="G63" s="26">
        <v>5.23</v>
      </c>
      <c r="H63" s="10"/>
      <c r="I63" s="10">
        <f t="shared" si="8"/>
        <v>325.35457646922555</v>
      </c>
      <c r="J63" s="10">
        <f t="shared" si="6"/>
        <v>5303909178.4555359</v>
      </c>
      <c r="K63" s="11">
        <f t="shared" si="7"/>
        <v>8.4710840000000287E-2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15814838.052234</v>
      </c>
      <c r="D64" s="11">
        <v>2.7E-2</v>
      </c>
      <c r="E64" s="10">
        <f t="shared" si="2"/>
        <v>415774.71023399942</v>
      </c>
      <c r="F64" s="3"/>
      <c r="G64" s="26">
        <v>2.5299999999999998</v>
      </c>
      <c r="H64" s="10"/>
      <c r="I64" s="10">
        <f t="shared" si="8"/>
        <v>309.18424068157896</v>
      </c>
      <c r="J64" s="10">
        <f t="shared" si="6"/>
        <v>4889698694.6821098</v>
      </c>
      <c r="K64" s="11">
        <f t="shared" si="7"/>
        <v>5.2983099999999839E-2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15399063.342</v>
      </c>
      <c r="D65" s="11">
        <v>1.8200000000000001E-2</v>
      </c>
      <c r="E65" s="10">
        <f t="shared" si="2"/>
        <v>275253.34200000018</v>
      </c>
      <c r="F65" s="3"/>
      <c r="G65" s="26">
        <v>5.13</v>
      </c>
      <c r="H65" s="10"/>
      <c r="I65" s="10">
        <f t="shared" si="8"/>
        <v>301.55490166934453</v>
      </c>
      <c r="J65" s="10">
        <f t="shared" si="6"/>
        <v>4643663031.8968182</v>
      </c>
      <c r="K65" s="11">
        <f t="shared" si="7"/>
        <v>7.0433659999999954E-2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15123810</v>
      </c>
      <c r="D66" s="11">
        <v>1.4E-2</v>
      </c>
      <c r="E66" s="10">
        <f t="shared" si="2"/>
        <v>208810</v>
      </c>
      <c r="F66" s="23">
        <f>SUM(F2)</f>
        <v>38792291</v>
      </c>
      <c r="G66" s="26">
        <v>-0.59</v>
      </c>
      <c r="H66" s="10"/>
      <c r="I66" s="10">
        <f t="shared" si="8"/>
        <v>286.84000919751219</v>
      </c>
      <c r="J66" s="10">
        <f t="shared" ref="J66:J67" si="9">IF(I66="","",I66*C66)</f>
        <v>4338113799.5014267</v>
      </c>
      <c r="K66" s="11">
        <f t="shared" ref="K66" si="10">IFERROR(J66/J67-1,"")</f>
        <v>8.0173999999999523E-3</v>
      </c>
    </row>
    <row r="67" spans="1:11" ht="22.5" customHeight="1">
      <c r="A67" s="3">
        <f t="shared" si="0"/>
        <v>1950</v>
      </c>
      <c r="B67" s="3">
        <v>1700</v>
      </c>
      <c r="C67" s="10">
        <v>14915000</v>
      </c>
      <c r="D67" s="11">
        <v>5.5999999999999999E-3</v>
      </c>
      <c r="E67" s="3" t="s">
        <v>72</v>
      </c>
      <c r="F67" s="10">
        <f>SUM(C2)</f>
        <v>38792385.688430578</v>
      </c>
      <c r="G67" s="26">
        <v>-13.41</v>
      </c>
      <c r="H67" s="10"/>
      <c r="I67" s="10">
        <f t="shared" ref="I67" si="11">IF(H67&lt;&gt;"",H67,I66/(1+IF(G66="",0,G66)/100))</f>
        <v>288.5424094130492</v>
      </c>
      <c r="J67" s="10">
        <f t="shared" si="9"/>
        <v>4303610036.3956289</v>
      </c>
      <c r="K67" s="11"/>
    </row>
  </sheetData>
  <dataValidations count="1">
    <dataValidation type="custom" allowBlank="1" showDropDown="1" sqref="D2:D67" xr:uid="{00000000-0002-0000-7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outlinePr summaryBelow="0" summaryRight="0"/>
  </sheetPr>
  <dimension ref="A1:M75"/>
  <sheetViews>
    <sheetView topLeftCell="A16" workbookViewId="0">
      <selection activeCell="J39" sqref="J39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9388375.5467029884</v>
      </c>
      <c r="D2" s="11">
        <v>2.3199999999999998E-2</v>
      </c>
      <c r="E2" s="10">
        <f t="shared" ref="E2:E66" si="2">SUM(C2-C3)</f>
        <v>212871.68948740326</v>
      </c>
      <c r="F2" s="14">
        <v>9388939</v>
      </c>
      <c r="G2" s="29">
        <v>1</v>
      </c>
      <c r="H2" s="10"/>
      <c r="I2" s="10">
        <f>IF(H2&lt;&gt;"",H2,5336)</f>
        <v>667</v>
      </c>
      <c r="J2" s="10">
        <f t="shared" ref="J2:J33" si="3">IF(I2="","",I2*C2)</f>
        <v>6262046489.6508932</v>
      </c>
      <c r="K2" s="11">
        <f t="shared" ref="K2:K33" si="4">IFERROR(J2/J3-1,"")</f>
        <v>3.3432000000000128E-2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9175503.8572155852</v>
      </c>
      <c r="D3" s="11">
        <v>2.4500000000000001E-2</v>
      </c>
      <c r="E3" s="10">
        <f t="shared" si="2"/>
        <v>219423.9575420022</v>
      </c>
      <c r="F3" s="3"/>
      <c r="G3" s="29">
        <v>1.85</v>
      </c>
      <c r="H3" s="10"/>
      <c r="I3" s="10">
        <f t="shared" ref="I3:I34" si="5">IF(H3&lt;&gt;"",H3,I2/(1+IF(G2="",0,G2)/100))</f>
        <v>660.39603960396039</v>
      </c>
      <c r="J3" s="10">
        <f t="shared" si="3"/>
        <v>6059466408.6760349</v>
      </c>
      <c r="K3" s="11">
        <f t="shared" si="4"/>
        <v>4.3453249999999999E-2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8956079.899673583</v>
      </c>
      <c r="D4" s="11">
        <v>2.5499999999999998E-2</v>
      </c>
      <c r="E4" s="10">
        <f t="shared" si="2"/>
        <v>222701.157914849</v>
      </c>
      <c r="F4" s="3"/>
      <c r="G4" s="29">
        <v>-2.86</v>
      </c>
      <c r="H4" s="10"/>
      <c r="I4" s="10">
        <f t="shared" si="5"/>
        <v>648.40062798621545</v>
      </c>
      <c r="J4" s="10">
        <f t="shared" si="3"/>
        <v>5807127831.2430725</v>
      </c>
      <c r="K4" s="11">
        <f t="shared" si="4"/>
        <v>-3.8292999999998134E-3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8733378.741758734</v>
      </c>
      <c r="D5" s="11">
        <v>2.5899999999999999E-2</v>
      </c>
      <c r="E5" s="10">
        <f t="shared" si="2"/>
        <v>220483.974472709</v>
      </c>
      <c r="F5" s="3"/>
      <c r="G5" s="29">
        <v>-4.18</v>
      </c>
      <c r="H5" s="10"/>
      <c r="I5" s="10">
        <f t="shared" si="5"/>
        <v>667.49086677600928</v>
      </c>
      <c r="J5" s="10">
        <f t="shared" si="3"/>
        <v>5829450546.2197104</v>
      </c>
      <c r="K5" s="11">
        <f t="shared" si="4"/>
        <v>-1.6982619999999948E-2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8512894.767286025</v>
      </c>
      <c r="D6" s="11">
        <v>2.5600000000000001E-2</v>
      </c>
      <c r="E6" s="10">
        <f t="shared" si="2"/>
        <v>212490.35300557967</v>
      </c>
      <c r="F6" s="3"/>
      <c r="G6" s="29">
        <v>-2.3199999999999998</v>
      </c>
      <c r="H6" s="10"/>
      <c r="I6" s="10">
        <f t="shared" si="5"/>
        <v>696.60912834064834</v>
      </c>
      <c r="J6" s="10">
        <f t="shared" si="3"/>
        <v>5930160203.4947844</v>
      </c>
      <c r="K6" s="11">
        <f t="shared" si="4"/>
        <v>1.8060799999999322E-3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8300404.4142804453</v>
      </c>
      <c r="D7" s="11">
        <v>2.4799999999999999E-2</v>
      </c>
      <c r="E7" s="10">
        <f t="shared" si="2"/>
        <v>200868.49089983851</v>
      </c>
      <c r="F7" s="3"/>
      <c r="G7" s="29">
        <v>1.54</v>
      </c>
      <c r="H7" s="10"/>
      <c r="I7" s="10">
        <f t="shared" si="5"/>
        <v>713.15430829304705</v>
      </c>
      <c r="J7" s="10">
        <f t="shared" si="3"/>
        <v>5919469168.6187258</v>
      </c>
      <c r="K7" s="11">
        <f t="shared" si="4"/>
        <v>4.0581919999999938E-2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8099535.9233806068</v>
      </c>
      <c r="D8" s="11">
        <v>2.3699999999999999E-2</v>
      </c>
      <c r="E8" s="10">
        <f t="shared" si="2"/>
        <v>187514.89829454012</v>
      </c>
      <c r="F8" s="3"/>
      <c r="G8" s="29">
        <v>4.5199999999999996</v>
      </c>
      <c r="H8" s="10"/>
      <c r="I8" s="10">
        <f t="shared" si="5"/>
        <v>702.33829849620543</v>
      </c>
      <c r="J8" s="10">
        <f t="shared" si="3"/>
        <v>5688614279.0360279</v>
      </c>
      <c r="K8" s="11">
        <f t="shared" si="4"/>
        <v>6.9971240000000101E-2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7912021.0250860667</v>
      </c>
      <c r="D9" s="11">
        <v>2.2800000000000001E-2</v>
      </c>
      <c r="E9" s="10">
        <f t="shared" si="2"/>
        <v>176372.77998823021</v>
      </c>
      <c r="F9" s="3"/>
      <c r="G9" s="29">
        <v>0.61</v>
      </c>
      <c r="H9" s="10"/>
      <c r="I9" s="10">
        <f t="shared" si="5"/>
        <v>671.9654597169972</v>
      </c>
      <c r="J9" s="10">
        <f t="shared" si="3"/>
        <v>5316604845.4125061</v>
      </c>
      <c r="K9" s="11">
        <f t="shared" si="4"/>
        <v>2.9039079999999995E-2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7735648.2450978365</v>
      </c>
      <c r="D10" s="11">
        <v>2.1499999999999998E-2</v>
      </c>
      <c r="E10" s="10">
        <f t="shared" si="2"/>
        <v>162815.89551601</v>
      </c>
      <c r="F10" s="3"/>
      <c r="G10" s="29">
        <v>1.45</v>
      </c>
      <c r="H10" s="10"/>
      <c r="I10" s="10">
        <f t="shared" si="5"/>
        <v>667.89132264883926</v>
      </c>
      <c r="J10" s="10">
        <f t="shared" si="3"/>
        <v>5166572337.9645662</v>
      </c>
      <c r="K10" s="11">
        <f t="shared" si="4"/>
        <v>3.6311750000000087E-2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7572832.3495818265</v>
      </c>
      <c r="D11" s="11">
        <v>2.0500000000000001E-2</v>
      </c>
      <c r="E11" s="10">
        <f t="shared" si="2"/>
        <v>152124.5106971357</v>
      </c>
      <c r="F11" s="3"/>
      <c r="G11" s="29">
        <v>2.52</v>
      </c>
      <c r="H11" s="10"/>
      <c r="I11" s="10">
        <f t="shared" si="5"/>
        <v>658.34531557303035</v>
      </c>
      <c r="J11" s="10">
        <f t="shared" si="3"/>
        <v>4985538702.9671001</v>
      </c>
      <c r="K11" s="11">
        <f t="shared" si="4"/>
        <v>4.6216599999999941E-2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7420707.8388846908</v>
      </c>
      <c r="D12" s="11">
        <v>2.0199999999999999E-2</v>
      </c>
      <c r="E12" s="10">
        <f t="shared" si="2"/>
        <v>146930.30616101809</v>
      </c>
      <c r="F12" s="3"/>
      <c r="G12" s="29">
        <v>3.4</v>
      </c>
      <c r="H12" s="10"/>
      <c r="I12" s="10">
        <f t="shared" si="5"/>
        <v>642.16281269316266</v>
      </c>
      <c r="J12" s="10">
        <f t="shared" si="3"/>
        <v>4765302617.9923935</v>
      </c>
      <c r="K12" s="11">
        <f t="shared" si="4"/>
        <v>5.4886800000000013E-2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7273777.5327236727</v>
      </c>
      <c r="D13" s="11">
        <v>2.0500000000000001E-2</v>
      </c>
      <c r="E13" s="10">
        <f t="shared" si="2"/>
        <v>146117.04009880964</v>
      </c>
      <c r="F13" s="3"/>
      <c r="G13" s="29">
        <v>0.88</v>
      </c>
      <c r="H13" s="10"/>
      <c r="I13" s="10">
        <f t="shared" si="5"/>
        <v>621.04720763361956</v>
      </c>
      <c r="J13" s="10">
        <f t="shared" si="3"/>
        <v>4517359225.6461954</v>
      </c>
      <c r="K13" s="11">
        <f t="shared" si="4"/>
        <v>2.948039999999974E-2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7127660.4926248631</v>
      </c>
      <c r="D14" s="11">
        <v>2.1100000000000001E-2</v>
      </c>
      <c r="E14" s="10">
        <f t="shared" si="2"/>
        <v>147285.90382370353</v>
      </c>
      <c r="F14" s="3"/>
      <c r="G14" s="29">
        <v>-1.26</v>
      </c>
      <c r="H14" s="10"/>
      <c r="I14" s="10">
        <f t="shared" si="5"/>
        <v>615.62966656782282</v>
      </c>
      <c r="J14" s="10">
        <f t="shared" si="3"/>
        <v>4387999252.4832878</v>
      </c>
      <c r="K14" s="11">
        <f t="shared" si="4"/>
        <v>8.2341399999996678E-3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6980374.5888011595</v>
      </c>
      <c r="D15" s="11">
        <v>2.24E-2</v>
      </c>
      <c r="E15" s="10">
        <f t="shared" si="2"/>
        <v>152934.65452772472</v>
      </c>
      <c r="F15" s="3"/>
      <c r="G15" s="29">
        <v>2.7</v>
      </c>
      <c r="H15" s="10"/>
      <c r="I15" s="10">
        <f t="shared" si="5"/>
        <v>623.48558493804217</v>
      </c>
      <c r="J15" s="10">
        <f t="shared" si="3"/>
        <v>4352162933.5853367</v>
      </c>
      <c r="K15" s="11">
        <f t="shared" si="4"/>
        <v>5.000479999999996E-2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6827439.9342734348</v>
      </c>
      <c r="D16" s="11">
        <v>2.41E-2</v>
      </c>
      <c r="E16" s="10">
        <f t="shared" si="2"/>
        <v>160669.1752914656</v>
      </c>
      <c r="F16" s="3"/>
      <c r="G16" s="29">
        <v>2.63</v>
      </c>
      <c r="H16" s="10"/>
      <c r="I16" s="10">
        <f t="shared" si="5"/>
        <v>607.09404570403331</v>
      </c>
      <c r="J16" s="10">
        <f t="shared" si="3"/>
        <v>4144898131.4993386</v>
      </c>
      <c r="K16" s="11">
        <f t="shared" si="4"/>
        <v>5.1033830000000169E-2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6666770.7589819692</v>
      </c>
      <c r="D17" s="11">
        <v>2.6100000000000002E-2</v>
      </c>
      <c r="E17" s="10">
        <f t="shared" si="2"/>
        <v>169576.76328762248</v>
      </c>
      <c r="F17" s="3"/>
      <c r="G17" s="29">
        <v>4.1500000000000004</v>
      </c>
      <c r="H17" s="10"/>
      <c r="I17" s="10">
        <f t="shared" si="5"/>
        <v>591.53663227519564</v>
      </c>
      <c r="J17" s="10">
        <f t="shared" si="3"/>
        <v>3943639122.9189439</v>
      </c>
      <c r="K17" s="11">
        <f t="shared" si="4"/>
        <v>6.8683150000000026E-2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6497193.9956943467</v>
      </c>
      <c r="D18" s="11">
        <v>2.81E-2</v>
      </c>
      <c r="E18" s="10">
        <f t="shared" si="2"/>
        <v>177581.12175762188</v>
      </c>
      <c r="F18" s="3"/>
      <c r="G18" s="29">
        <v>7.14</v>
      </c>
      <c r="H18" s="10"/>
      <c r="I18" s="10">
        <f t="shared" si="5"/>
        <v>567.96604155083594</v>
      </c>
      <c r="J18" s="10">
        <f t="shared" si="3"/>
        <v>3690185554.9223771</v>
      </c>
      <c r="K18" s="11">
        <f t="shared" si="4"/>
        <v>0.10150633999999981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6319612.8739367248</v>
      </c>
      <c r="D19" s="11">
        <v>3.0300000000000001E-2</v>
      </c>
      <c r="E19" s="10">
        <f t="shared" si="2"/>
        <v>185852.92641005758</v>
      </c>
      <c r="F19" s="3"/>
      <c r="G19" s="29">
        <v>4.72</v>
      </c>
      <c r="H19" s="10"/>
      <c r="I19" s="10">
        <f t="shared" si="5"/>
        <v>530.11577520145227</v>
      </c>
      <c r="J19" s="10">
        <f t="shared" si="3"/>
        <v>3350126477.6400447</v>
      </c>
      <c r="K19" s="11">
        <f t="shared" si="4"/>
        <v>7.893015999999986E-2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6133759.9475266673</v>
      </c>
      <c r="D20" s="11">
        <v>3.2599999999999997E-2</v>
      </c>
      <c r="E20" s="10">
        <f t="shared" si="2"/>
        <v>193647.66055526771</v>
      </c>
      <c r="F20" s="3"/>
      <c r="G20" s="29">
        <v>1.29</v>
      </c>
      <c r="H20" s="10"/>
      <c r="I20" s="10">
        <f t="shared" si="5"/>
        <v>506.22209243836164</v>
      </c>
      <c r="J20" s="10">
        <f t="shared" si="3"/>
        <v>3105044795.1515646</v>
      </c>
      <c r="K20" s="11">
        <f t="shared" si="4"/>
        <v>4.5920539999999788E-2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5940112.2869713996</v>
      </c>
      <c r="D21" s="11">
        <v>3.4700000000000002E-2</v>
      </c>
      <c r="E21" s="10">
        <f t="shared" si="2"/>
        <v>199209.33251948096</v>
      </c>
      <c r="F21" s="3"/>
      <c r="G21" s="29">
        <v>4.22</v>
      </c>
      <c r="H21" s="10"/>
      <c r="I21" s="10">
        <f t="shared" si="5"/>
        <v>499.77499500282522</v>
      </c>
      <c r="J21" s="10">
        <f t="shared" si="3"/>
        <v>2968719588.5373521</v>
      </c>
      <c r="K21" s="11">
        <f t="shared" si="4"/>
        <v>7.836433999999981E-2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5740902.9544519186</v>
      </c>
      <c r="D22" s="11">
        <v>3.6299999999999999E-2</v>
      </c>
      <c r="E22" s="10">
        <f t="shared" si="2"/>
        <v>201095.02773965523</v>
      </c>
      <c r="F22" s="3"/>
      <c r="G22" s="29">
        <v>4.38</v>
      </c>
      <c r="H22" s="10"/>
      <c r="I22" s="10">
        <f t="shared" si="5"/>
        <v>479.53847150530152</v>
      </c>
      <c r="J22" s="10">
        <f t="shared" si="3"/>
        <v>2752983827.8381429</v>
      </c>
      <c r="K22" s="11">
        <f t="shared" si="4"/>
        <v>8.1689939999999961E-2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5539807.9267122634</v>
      </c>
      <c r="D23" s="11">
        <v>3.73E-2</v>
      </c>
      <c r="E23" s="10">
        <f t="shared" si="2"/>
        <v>199204.50753530115</v>
      </c>
      <c r="F23" s="3"/>
      <c r="G23" s="29">
        <v>3.15</v>
      </c>
      <c r="H23" s="10"/>
      <c r="I23" s="10">
        <f t="shared" si="5"/>
        <v>459.41604857760251</v>
      </c>
      <c r="J23" s="10">
        <f t="shared" si="3"/>
        <v>2545076667.5690289</v>
      </c>
      <c r="K23" s="11">
        <f t="shared" si="4"/>
        <v>6.9974950000000202E-2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5340603.4191769622</v>
      </c>
      <c r="D24" s="11">
        <v>3.7699999999999997E-2</v>
      </c>
      <c r="E24" s="10">
        <f t="shared" si="2"/>
        <v>194025.96984000411</v>
      </c>
      <c r="F24" s="3"/>
      <c r="G24" s="29">
        <v>0.31</v>
      </c>
      <c r="H24" s="10"/>
      <c r="I24" s="10">
        <f t="shared" si="5"/>
        <v>445.38637768066161</v>
      </c>
      <c r="J24" s="10">
        <f t="shared" si="3"/>
        <v>2378632011.4961834</v>
      </c>
      <c r="K24" s="11">
        <f t="shared" si="4"/>
        <v>4.0916870000000216E-2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5146577.4493369581</v>
      </c>
      <c r="D25" s="11">
        <v>3.7999999999999999E-2</v>
      </c>
      <c r="E25" s="10">
        <f t="shared" si="2"/>
        <v>188410.34978304897</v>
      </c>
      <c r="F25" s="3"/>
      <c r="G25" s="29">
        <v>-3.83</v>
      </c>
      <c r="H25" s="10"/>
      <c r="I25" s="10">
        <f t="shared" si="5"/>
        <v>444.00994684544071</v>
      </c>
      <c r="J25" s="10">
        <f t="shared" si="3"/>
        <v>2285131579.7160468</v>
      </c>
      <c r="K25" s="11">
        <f t="shared" si="4"/>
        <v>-1.7553999999998515E-3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4958167.0995539092</v>
      </c>
      <c r="D26" s="11">
        <v>3.8699999999999998E-2</v>
      </c>
      <c r="E26" s="10">
        <f t="shared" si="2"/>
        <v>184731.94064959697</v>
      </c>
      <c r="F26" s="3"/>
      <c r="G26" s="29">
        <v>-4.18</v>
      </c>
      <c r="H26" s="10"/>
      <c r="I26" s="10">
        <f t="shared" si="5"/>
        <v>461.69278033216256</v>
      </c>
      <c r="J26" s="10">
        <f t="shared" si="3"/>
        <v>2289149953.5444984</v>
      </c>
      <c r="K26" s="11">
        <f t="shared" si="4"/>
        <v>-4.7176599999998459E-3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4773435.1589043122</v>
      </c>
      <c r="D27" s="11">
        <v>3.9699999999999999E-2</v>
      </c>
      <c r="E27" s="10">
        <f t="shared" si="2"/>
        <v>182269.28518659342</v>
      </c>
      <c r="F27" s="3"/>
      <c r="G27" s="29">
        <v>-14.6</v>
      </c>
      <c r="H27" s="10"/>
      <c r="I27" s="10">
        <f t="shared" si="5"/>
        <v>481.8334171698628</v>
      </c>
      <c r="J27" s="10">
        <f t="shared" si="3"/>
        <v>2300000574.2536316</v>
      </c>
      <c r="K27" s="11">
        <f t="shared" si="4"/>
        <v>-0.11209619999999998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4591165.8737177188</v>
      </c>
      <c r="D28" s="11">
        <v>4.0099999999999997E-2</v>
      </c>
      <c r="E28" s="10">
        <f t="shared" si="2"/>
        <v>177007.74111727811</v>
      </c>
      <c r="F28" s="3"/>
      <c r="G28" s="29">
        <v>6.73</v>
      </c>
      <c r="H28" s="10"/>
      <c r="I28" s="10">
        <f t="shared" si="5"/>
        <v>564.20774844246228</v>
      </c>
      <c r="J28" s="10">
        <f t="shared" si="3"/>
        <v>2590371360.336144</v>
      </c>
      <c r="K28" s="11">
        <f t="shared" si="4"/>
        <v>0.11009873000000003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4414158.1326004406</v>
      </c>
      <c r="D29" s="11">
        <v>3.9300000000000002E-2</v>
      </c>
      <c r="E29" s="10">
        <f t="shared" si="2"/>
        <v>166916.59252496529</v>
      </c>
      <c r="F29" s="3"/>
      <c r="G29" s="29">
        <v>2.31</v>
      </c>
      <c r="H29" s="10"/>
      <c r="I29" s="10">
        <f t="shared" si="5"/>
        <v>528.63088957412378</v>
      </c>
      <c r="J29" s="10">
        <f t="shared" si="3"/>
        <v>2333460340.3574238</v>
      </c>
      <c r="K29" s="11">
        <f t="shared" si="4"/>
        <v>6.3307829999999621E-2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4247241.5400754754</v>
      </c>
      <c r="D30" s="11">
        <v>3.7100000000000001E-2</v>
      </c>
      <c r="E30" s="10">
        <f t="shared" si="2"/>
        <v>151935.84142011311</v>
      </c>
      <c r="F30" s="3"/>
      <c r="G30" s="29">
        <v>2.98</v>
      </c>
      <c r="H30" s="10"/>
      <c r="I30" s="10">
        <f t="shared" si="5"/>
        <v>516.69522976651729</v>
      </c>
      <c r="J30" s="10">
        <f t="shared" si="3"/>
        <v>2194529443.4231944</v>
      </c>
      <c r="K30" s="11">
        <f t="shared" si="4"/>
        <v>6.8005579999999899E-2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4095305.6986553622</v>
      </c>
      <c r="D31" s="11">
        <v>3.4000000000000002E-2</v>
      </c>
      <c r="E31" s="10">
        <f t="shared" si="2"/>
        <v>134661.88951091142</v>
      </c>
      <c r="F31" s="3"/>
      <c r="G31" s="29">
        <v>1.8</v>
      </c>
      <c r="H31" s="10"/>
      <c r="I31" s="10">
        <f t="shared" si="5"/>
        <v>501.74328002186564</v>
      </c>
      <c r="J31" s="10">
        <f t="shared" si="3"/>
        <v>2054792113.9355795</v>
      </c>
      <c r="K31" s="11">
        <f t="shared" si="4"/>
        <v>5.2612000000000103E-2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3960643.8091444508</v>
      </c>
      <c r="D32" s="11">
        <v>3.1099999999999999E-2</v>
      </c>
      <c r="E32" s="10">
        <f t="shared" si="2"/>
        <v>119460.79183822311</v>
      </c>
      <c r="F32" s="3"/>
      <c r="G32" s="29">
        <v>4.83</v>
      </c>
      <c r="H32" s="10"/>
      <c r="I32" s="10">
        <f t="shared" si="5"/>
        <v>492.87159137707823</v>
      </c>
      <c r="J32" s="10">
        <f t="shared" si="3"/>
        <v>1952088817.0907984</v>
      </c>
      <c r="K32" s="11">
        <f t="shared" si="4"/>
        <v>8.0902129999999683E-2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3841183.0173062277</v>
      </c>
      <c r="D33" s="11">
        <v>2.9100000000000001E-2</v>
      </c>
      <c r="E33" s="10">
        <f t="shared" si="2"/>
        <v>108617.65212672343</v>
      </c>
      <c r="F33" s="3"/>
      <c r="G33" s="29">
        <v>14.17</v>
      </c>
      <c r="H33" s="10"/>
      <c r="I33" s="10">
        <f t="shared" si="5"/>
        <v>470.1627314481334</v>
      </c>
      <c r="J33" s="10">
        <f t="shared" si="3"/>
        <v>1805981099.4088788</v>
      </c>
      <c r="K33" s="11">
        <f t="shared" si="4"/>
        <v>0.17492346999999997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3732565.3651795043</v>
      </c>
      <c r="D34" s="11">
        <v>2.7799999999999998E-2</v>
      </c>
      <c r="E34" s="10">
        <f t="shared" si="2"/>
        <v>100958.66623077495</v>
      </c>
      <c r="F34" s="3"/>
      <c r="G34" s="29">
        <v>2.3</v>
      </c>
      <c r="H34" s="10"/>
      <c r="I34" s="10">
        <f t="shared" si="5"/>
        <v>411.80934698093495</v>
      </c>
      <c r="J34" s="10">
        <f t="shared" ref="J34:J65" si="6">IF(I34="","",I34*C34)</f>
        <v>1537105305.5982265</v>
      </c>
      <c r="K34" s="11">
        <f t="shared" ref="K34:K65" si="7">IFERROR(J34/J35-1,"")</f>
        <v>6.4800799999999992E-2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3631606.6989487293</v>
      </c>
      <c r="D35" s="11">
        <v>2.6800000000000001E-2</v>
      </c>
      <c r="E35" s="10">
        <f t="shared" si="2"/>
        <v>94786.773988922592</v>
      </c>
      <c r="F35" s="3"/>
      <c r="G35" s="29">
        <v>4</v>
      </c>
      <c r="H35" s="10"/>
      <c r="I35" s="10">
        <f t="shared" ref="I35:I66" si="8">IF(H35&lt;&gt;"",H35,I34/(1+IF(G34="",0,G34)/100))</f>
        <v>397.49936967271714</v>
      </c>
      <c r="J35" s="10">
        <f t="shared" si="6"/>
        <v>1443561373.7313368</v>
      </c>
      <c r="K35" s="11">
        <f t="shared" si="7"/>
        <v>9.5595599999999781E-2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3536819.9249598067</v>
      </c>
      <c r="D36" s="11">
        <v>2.5899999999999999E-2</v>
      </c>
      <c r="E36" s="10">
        <f t="shared" si="2"/>
        <v>89290.999177755322</v>
      </c>
      <c r="F36" s="3"/>
      <c r="G36" s="29">
        <v>-14.03</v>
      </c>
      <c r="H36" s="10"/>
      <c r="I36" s="10">
        <f t="shared" si="8"/>
        <v>372.53924055549874</v>
      </c>
      <c r="J36" s="10">
        <f t="shared" si="6"/>
        <v>1317604208.8260825</v>
      </c>
      <c r="K36" s="11">
        <f t="shared" si="7"/>
        <v>-6.8790569999999884E-2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3447528.9257820514</v>
      </c>
      <c r="D37" s="11">
        <v>2.5399999999999999E-2</v>
      </c>
      <c r="E37" s="10">
        <f t="shared" si="2"/>
        <v>85398.122405758128</v>
      </c>
      <c r="F37" s="3"/>
      <c r="G37" s="29">
        <v>1.2</v>
      </c>
      <c r="H37" s="10"/>
      <c r="I37" s="10">
        <f t="shared" si="8"/>
        <v>410.42110890767736</v>
      </c>
      <c r="J37" s="10">
        <f t="shared" si="6"/>
        <v>1414938644.7107632</v>
      </c>
      <c r="K37" s="11">
        <f t="shared" si="7"/>
        <v>9.2051000000000105E-2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3362130.8033762933</v>
      </c>
      <c r="D38" s="11">
        <v>2.53E-2</v>
      </c>
      <c r="E38" s="10">
        <f t="shared" si="2"/>
        <v>82962.9467720869</v>
      </c>
      <c r="F38" s="3"/>
      <c r="G38" s="29">
        <v>22.44</v>
      </c>
      <c r="H38" s="10"/>
      <c r="I38" s="10">
        <f t="shared" si="8"/>
        <v>385.37193324664543</v>
      </c>
      <c r="J38" s="10">
        <f t="shared" si="6"/>
        <v>1295670847.5252192</v>
      </c>
      <c r="K38" s="11">
        <f t="shared" si="7"/>
        <v>0.29331342000000027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3279167.8566042064</v>
      </c>
      <c r="D39" s="11">
        <v>2.52E-2</v>
      </c>
      <c r="E39" s="10">
        <f t="shared" si="2"/>
        <v>80603.813876731787</v>
      </c>
      <c r="F39" s="3"/>
      <c r="G39" s="29">
        <v>14.18</v>
      </c>
      <c r="H39" s="10"/>
      <c r="I39" s="10">
        <f t="shared" si="8"/>
        <v>305.51128369006295</v>
      </c>
      <c r="J39" s="10">
        <f t="shared" si="6"/>
        <v>1001822781.3063433</v>
      </c>
      <c r="K39" s="11">
        <f t="shared" si="7"/>
        <v>0.17057335999999967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3198564.0427274746</v>
      </c>
      <c r="D40" s="11">
        <v>2.53E-2</v>
      </c>
      <c r="E40" s="10">
        <f t="shared" si="2"/>
        <v>78926.821692192927</v>
      </c>
      <c r="F40" s="3"/>
      <c r="G40" s="29">
        <v>9.15</v>
      </c>
      <c r="H40" s="10"/>
      <c r="I40" s="10">
        <f t="shared" si="8"/>
        <v>267.56987536351636</v>
      </c>
      <c r="J40" s="10">
        <f t="shared" si="6"/>
        <v>855839382.25481534</v>
      </c>
      <c r="K40" s="11">
        <f t="shared" si="7"/>
        <v>0.11911494999999994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3119637.2210352817</v>
      </c>
      <c r="D41" s="11">
        <v>2.5499999999999998E-2</v>
      </c>
      <c r="E41" s="10">
        <f t="shared" si="2"/>
        <v>77572.646646903828</v>
      </c>
      <c r="F41" s="3"/>
      <c r="G41" s="29">
        <v>5.19</v>
      </c>
      <c r="H41" s="10"/>
      <c r="I41" s="10">
        <f t="shared" si="8"/>
        <v>245.13960179891561</v>
      </c>
      <c r="J41" s="10">
        <f t="shared" si="6"/>
        <v>764746626.12166464</v>
      </c>
      <c r="K41" s="11">
        <f t="shared" si="7"/>
        <v>7.8723450000000028E-2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3042064.5743883778</v>
      </c>
      <c r="D42" s="11">
        <v>2.5399999999999999E-2</v>
      </c>
      <c r="E42" s="10">
        <f t="shared" si="2"/>
        <v>75354.437477535568</v>
      </c>
      <c r="F42" s="3"/>
      <c r="G42" s="29">
        <v>-14.8</v>
      </c>
      <c r="H42" s="10"/>
      <c r="I42" s="10">
        <f t="shared" si="8"/>
        <v>233.04458769741953</v>
      </c>
      <c r="J42" s="10">
        <f t="shared" si="6"/>
        <v>708936684.48726559</v>
      </c>
      <c r="K42" s="11">
        <f t="shared" si="7"/>
        <v>-0.12635919999999989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2966710.1369108423</v>
      </c>
      <c r="D43" s="11">
        <v>2.52E-2</v>
      </c>
      <c r="E43" s="10">
        <f t="shared" si="2"/>
        <v>72923.425136707723</v>
      </c>
      <c r="F43" s="3"/>
      <c r="G43" s="29">
        <v>6.75</v>
      </c>
      <c r="H43" s="10"/>
      <c r="I43" s="10">
        <f t="shared" si="8"/>
        <v>273.52651138194778</v>
      </c>
      <c r="J43" s="10">
        <f t="shared" si="6"/>
        <v>811473874.0306834</v>
      </c>
      <c r="K43" s="11">
        <f t="shared" si="7"/>
        <v>9.4400999999999735E-2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2893786.7117741345</v>
      </c>
      <c r="D44" s="11">
        <v>2.4799999999999999E-2</v>
      </c>
      <c r="E44" s="10">
        <f t="shared" si="2"/>
        <v>70029.186623729765</v>
      </c>
      <c r="F44" s="3"/>
      <c r="G44" s="29">
        <v>7.57</v>
      </c>
      <c r="H44" s="10"/>
      <c r="I44" s="10">
        <f t="shared" si="8"/>
        <v>256.23092401119231</v>
      </c>
      <c r="J44" s="10">
        <f t="shared" si="6"/>
        <v>741477643.04919636</v>
      </c>
      <c r="K44" s="11">
        <f t="shared" si="7"/>
        <v>0.10237735999999997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2823757.5251504048</v>
      </c>
      <c r="D45" s="11">
        <v>2.4400000000000002E-2</v>
      </c>
      <c r="E45" s="10">
        <f t="shared" si="2"/>
        <v>67258.574398349971</v>
      </c>
      <c r="F45" s="3"/>
      <c r="G45" s="29">
        <v>-3.5</v>
      </c>
      <c r="H45" s="10"/>
      <c r="I45" s="10">
        <f t="shared" si="8"/>
        <v>238.19924143459355</v>
      </c>
      <c r="J45" s="10">
        <f t="shared" si="6"/>
        <v>672616900.48605168</v>
      </c>
      <c r="K45" s="11">
        <f t="shared" si="7"/>
        <v>-1.1453999999999853E-2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2756498.9507520548</v>
      </c>
      <c r="D46" s="11">
        <v>2.3900000000000001E-2</v>
      </c>
      <c r="E46" s="10">
        <f t="shared" si="2"/>
        <v>64342.538258593995</v>
      </c>
      <c r="F46" s="3"/>
      <c r="G46" s="29">
        <v>1.63</v>
      </c>
      <c r="H46" s="10"/>
      <c r="I46" s="10">
        <f t="shared" si="8"/>
        <v>246.83859216020056</v>
      </c>
      <c r="J46" s="10">
        <f t="shared" si="6"/>
        <v>680410320.29470718</v>
      </c>
      <c r="K46" s="11">
        <f t="shared" si="7"/>
        <v>4.0589570000000075E-2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2692156.4124934608</v>
      </c>
      <c r="D47" s="11">
        <v>2.3300000000000001E-2</v>
      </c>
      <c r="E47" s="10">
        <f t="shared" si="2"/>
        <v>61298.978218604345</v>
      </c>
      <c r="F47" s="3"/>
      <c r="G47" s="29">
        <v>-5.65</v>
      </c>
      <c r="H47" s="10"/>
      <c r="I47" s="10">
        <f t="shared" si="8"/>
        <v>242.87965380320827</v>
      </c>
      <c r="J47" s="10">
        <f t="shared" si="6"/>
        <v>653870017.45049894</v>
      </c>
      <c r="K47" s="11">
        <f t="shared" si="7"/>
        <v>-3.4516450000000032E-2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2630857.4342748565</v>
      </c>
      <c r="D48" s="11">
        <v>2.2700000000000001E-2</v>
      </c>
      <c r="E48" s="10">
        <f t="shared" si="2"/>
        <v>58394.89953851467</v>
      </c>
      <c r="F48" s="3"/>
      <c r="G48" s="29">
        <v>8.98</v>
      </c>
      <c r="H48" s="10"/>
      <c r="I48" s="10">
        <f t="shared" si="8"/>
        <v>257.42411637859914</v>
      </c>
      <c r="J48" s="10">
        <f t="shared" si="6"/>
        <v>677246150.33627343</v>
      </c>
      <c r="K48" s="11">
        <f t="shared" si="7"/>
        <v>0.11453846000000012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2572462.5347363418</v>
      </c>
      <c r="D49" s="11">
        <v>2.23E-2</v>
      </c>
      <c r="E49" s="10">
        <f t="shared" si="2"/>
        <v>56114.559840184171</v>
      </c>
      <c r="F49" s="3"/>
      <c r="G49" s="29">
        <v>8.42</v>
      </c>
      <c r="H49" s="10"/>
      <c r="I49" s="10">
        <f t="shared" si="8"/>
        <v>236.21225580711976</v>
      </c>
      <c r="J49" s="10">
        <f t="shared" si="6"/>
        <v>607647178.30937243</v>
      </c>
      <c r="K49" s="11">
        <f t="shared" si="7"/>
        <v>0.10837765999999993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2516347.9748961576</v>
      </c>
      <c r="D50" s="11">
        <v>2.2100000000000002E-2</v>
      </c>
      <c r="E50" s="10">
        <f t="shared" si="2"/>
        <v>54408.854559441563</v>
      </c>
      <c r="F50" s="3"/>
      <c r="G50" s="29">
        <v>9.6</v>
      </c>
      <c r="H50" s="10"/>
      <c r="I50" s="10">
        <f t="shared" si="8"/>
        <v>217.86778805305272</v>
      </c>
      <c r="J50" s="10">
        <f t="shared" si="6"/>
        <v>548231167.26240444</v>
      </c>
      <c r="K50" s="11">
        <f t="shared" si="7"/>
        <v>0.12022160000000004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2461939.1203367161</v>
      </c>
      <c r="D51" s="11">
        <v>2.1899999999999999E-2</v>
      </c>
      <c r="E51" s="10">
        <f t="shared" si="2"/>
        <v>52761.000817471649</v>
      </c>
      <c r="F51" s="3"/>
      <c r="G51" s="29">
        <v>9.07</v>
      </c>
      <c r="H51" s="10"/>
      <c r="I51" s="10">
        <f t="shared" si="8"/>
        <v>198.78447815059553</v>
      </c>
      <c r="J51" s="10">
        <f t="shared" si="6"/>
        <v>489395283.2746703</v>
      </c>
      <c r="K51" s="11">
        <f t="shared" si="7"/>
        <v>0.11458633000000007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2409178.1195192444</v>
      </c>
      <c r="D52" s="11">
        <v>2.18E-2</v>
      </c>
      <c r="E52" s="10">
        <f t="shared" si="2"/>
        <v>51399.572328752838</v>
      </c>
      <c r="F52" s="3"/>
      <c r="G52" s="29">
        <v>10.43</v>
      </c>
      <c r="H52" s="10"/>
      <c r="I52" s="10">
        <f t="shared" si="8"/>
        <v>182.25403699513663</v>
      </c>
      <c r="J52" s="10">
        <f t="shared" si="6"/>
        <v>439082438.12273407</v>
      </c>
      <c r="K52" s="11">
        <f t="shared" si="7"/>
        <v>0.12837374000000001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2357778.5471904916</v>
      </c>
      <c r="D53" s="11">
        <v>2.1899999999999999E-2</v>
      </c>
      <c r="E53" s="10">
        <f t="shared" si="2"/>
        <v>50528.77011789009</v>
      </c>
      <c r="F53" s="3"/>
      <c r="G53" s="29">
        <v>10.5</v>
      </c>
      <c r="H53" s="10"/>
      <c r="I53" s="10">
        <f t="shared" si="8"/>
        <v>165.0403305217211</v>
      </c>
      <c r="J53" s="10">
        <f t="shared" si="6"/>
        <v>389128550.72534215</v>
      </c>
      <c r="K53" s="11">
        <f t="shared" si="7"/>
        <v>0.12919950000000013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2307249.7770726015</v>
      </c>
      <c r="D54" s="11">
        <v>2.2100000000000002E-2</v>
      </c>
      <c r="E54" s="10">
        <f t="shared" si="2"/>
        <v>49887.701862150803</v>
      </c>
      <c r="F54" s="3"/>
      <c r="G54" s="29">
        <v>10.52</v>
      </c>
      <c r="H54" s="10"/>
      <c r="I54" s="10">
        <f t="shared" si="8"/>
        <v>149.35776517802816</v>
      </c>
      <c r="J54" s="10">
        <f t="shared" si="6"/>
        <v>344605670.41106743</v>
      </c>
      <c r="K54" s="11">
        <f t="shared" si="7"/>
        <v>0.12962491999999992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2257362.0752104507</v>
      </c>
      <c r="D55" s="11">
        <v>2.24E-2</v>
      </c>
      <c r="E55" s="10">
        <f t="shared" si="2"/>
        <v>49457.072070338298</v>
      </c>
      <c r="F55" s="3"/>
      <c r="G55" s="29">
        <v>10.45</v>
      </c>
      <c r="H55" s="10"/>
      <c r="I55" s="10">
        <f t="shared" si="8"/>
        <v>135.14093845279422</v>
      </c>
      <c r="J55" s="10">
        <f t="shared" si="6"/>
        <v>305062029.27168733</v>
      </c>
      <c r="K55" s="11">
        <f t="shared" si="7"/>
        <v>0.12924079999999982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2207905.0031401124</v>
      </c>
      <c r="D56" s="11">
        <v>2.2800000000000001E-2</v>
      </c>
      <c r="E56" s="10">
        <f t="shared" si="2"/>
        <v>49218.062252243049</v>
      </c>
      <c r="F56" s="3"/>
      <c r="G56" s="30">
        <v>3.73</v>
      </c>
      <c r="H56" s="10"/>
      <c r="I56" s="10">
        <f t="shared" si="8"/>
        <v>122.35485600071907</v>
      </c>
      <c r="J56" s="10">
        <f t="shared" si="6"/>
        <v>270147898.72247565</v>
      </c>
      <c r="K56" s="11">
        <f t="shared" si="7"/>
        <v>6.0950439999999828E-2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2158686.9408878693</v>
      </c>
      <c r="D57" s="11">
        <v>2.3099999999999999E-2</v>
      </c>
      <c r="E57" s="10">
        <f t="shared" si="2"/>
        <v>48739.779429683927</v>
      </c>
      <c r="F57" s="3"/>
      <c r="G57" s="30">
        <v>3.73</v>
      </c>
      <c r="H57" s="10"/>
      <c r="I57" s="10">
        <f t="shared" si="8"/>
        <v>117.9551296642428</v>
      </c>
      <c r="J57" s="10">
        <f t="shared" si="6"/>
        <v>254628198.01693627</v>
      </c>
      <c r="K57" s="11">
        <f t="shared" si="7"/>
        <v>6.1261630000000178E-2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2109947.1614581854</v>
      </c>
      <c r="D58" s="11">
        <v>2.3099999999999999E-2</v>
      </c>
      <c r="E58" s="10">
        <f t="shared" si="2"/>
        <v>47639.311337780906</v>
      </c>
      <c r="F58" s="3"/>
      <c r="G58" s="30">
        <v>3.76</v>
      </c>
      <c r="H58" s="10"/>
      <c r="I58" s="10">
        <f t="shared" si="8"/>
        <v>113.71361193892103</v>
      </c>
      <c r="J58" s="10">
        <f t="shared" si="6"/>
        <v>239929712.72968405</v>
      </c>
      <c r="K58" s="11">
        <f t="shared" si="7"/>
        <v>6.1568559999999994E-2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2062307.8501204045</v>
      </c>
      <c r="D59" s="11">
        <v>2.29E-2</v>
      </c>
      <c r="E59" s="10">
        <f t="shared" si="2"/>
        <v>46169.566690543666</v>
      </c>
      <c r="F59" s="3"/>
      <c r="G59" s="30">
        <v>3.87</v>
      </c>
      <c r="H59" s="10"/>
      <c r="I59" s="10">
        <f t="shared" si="8"/>
        <v>109.59291821407191</v>
      </c>
      <c r="J59" s="10">
        <f t="shared" si="6"/>
        <v>226014335.55048397</v>
      </c>
      <c r="K59" s="11">
        <f t="shared" si="7"/>
        <v>6.2486229999999754E-2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2016138.2834298608</v>
      </c>
      <c r="D60" s="11">
        <v>2.2599999999999999E-2</v>
      </c>
      <c r="E60" s="10">
        <f t="shared" si="2"/>
        <v>44557.720717303688</v>
      </c>
      <c r="F60" s="3"/>
      <c r="G60" s="29">
        <v>4.92</v>
      </c>
      <c r="H60" s="10"/>
      <c r="I60" s="10">
        <f t="shared" si="8"/>
        <v>105.50969309143345</v>
      </c>
      <c r="J60" s="10">
        <f t="shared" si="6"/>
        <v>212722131.51457408</v>
      </c>
      <c r="K60" s="11">
        <f t="shared" si="7"/>
        <v>7.2911919999999908E-2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1971580.5627125571</v>
      </c>
      <c r="D61" s="11">
        <v>2.2200000000000001E-2</v>
      </c>
      <c r="E61" s="10">
        <f t="shared" si="2"/>
        <v>42818.517405809835</v>
      </c>
      <c r="F61" s="3"/>
      <c r="G61" s="29">
        <v>5</v>
      </c>
      <c r="H61" s="10"/>
      <c r="I61" s="10">
        <f t="shared" si="8"/>
        <v>100.56204068950959</v>
      </c>
      <c r="J61" s="10">
        <f t="shared" si="6"/>
        <v>198266164.77014637</v>
      </c>
      <c r="K61" s="11">
        <f t="shared" si="7"/>
        <v>7.3310000000000208E-2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1928762.0453067473</v>
      </c>
      <c r="D62" s="11">
        <v>2.1600000000000001E-2</v>
      </c>
      <c r="E62" s="10">
        <f t="shared" si="2"/>
        <v>40780.403463807655</v>
      </c>
      <c r="F62" s="3"/>
      <c r="G62" s="29">
        <v>6.09</v>
      </c>
      <c r="H62" s="10"/>
      <c r="I62" s="10">
        <f t="shared" si="8"/>
        <v>95.773372085247217</v>
      </c>
      <c r="J62" s="10">
        <f t="shared" si="6"/>
        <v>184724045.02906555</v>
      </c>
      <c r="K62" s="11">
        <f t="shared" si="7"/>
        <v>8.3815439999999741E-2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1887981.6418429397</v>
      </c>
      <c r="D63" s="11">
        <v>2.1100000000000001E-2</v>
      </c>
      <c r="E63" s="10">
        <f t="shared" si="2"/>
        <v>39013.233417770825</v>
      </c>
      <c r="F63" s="3"/>
      <c r="G63" s="29">
        <v>7.18</v>
      </c>
      <c r="H63" s="10"/>
      <c r="I63" s="10">
        <f t="shared" si="8"/>
        <v>90.275588731498942</v>
      </c>
      <c r="J63" s="10">
        <f t="shared" si="6"/>
        <v>170438654.23163337</v>
      </c>
      <c r="K63" s="11">
        <f t="shared" si="7"/>
        <v>9.4414979999999815E-2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1848968.4084251688</v>
      </c>
      <c r="D64" s="11">
        <v>2.06E-2</v>
      </c>
      <c r="E64" s="10">
        <f t="shared" si="2"/>
        <v>37319.958077168791</v>
      </c>
      <c r="F64" s="3"/>
      <c r="G64" s="29">
        <v>2.2999999999999998</v>
      </c>
      <c r="H64" s="10"/>
      <c r="I64" s="10">
        <f t="shared" si="8"/>
        <v>84.22801710346981</v>
      </c>
      <c r="J64" s="10">
        <f t="shared" si="6"/>
        <v>155734942.72861049</v>
      </c>
      <c r="K64" s="11">
        <f t="shared" si="7"/>
        <v>4.4073800000000052E-2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1811648.450348</v>
      </c>
      <c r="D65" s="11">
        <v>2.0199999999999999E-2</v>
      </c>
      <c r="E65" s="10">
        <f t="shared" si="2"/>
        <v>35870.710348000051</v>
      </c>
      <c r="F65" s="3"/>
      <c r="G65" s="29">
        <v>6.23</v>
      </c>
      <c r="H65" s="10"/>
      <c r="I65" s="10">
        <f t="shared" si="8"/>
        <v>82.33432756937421</v>
      </c>
      <c r="J65" s="10">
        <f t="shared" si="6"/>
        <v>149160856.9515014</v>
      </c>
      <c r="K65" s="11">
        <f t="shared" si="7"/>
        <v>8.375846000000009E-2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1775777.74</v>
      </c>
      <c r="D66" s="11">
        <v>1.9800000000000002E-2</v>
      </c>
      <c r="E66" s="10">
        <f t="shared" si="2"/>
        <v>34477.739999999991</v>
      </c>
      <c r="F66" s="23">
        <f>SUM(F2)</f>
        <v>9388939</v>
      </c>
      <c r="G66" s="29">
        <v>16.22</v>
      </c>
      <c r="H66" s="10"/>
      <c r="I66" s="10">
        <f t="shared" si="8"/>
        <v>77.505721142214256</v>
      </c>
      <c r="J66" s="10">
        <f t="shared" ref="J66:J67" si="9">IF(I66="","",I66*C66)</f>
        <v>137632934.32699144</v>
      </c>
      <c r="K66" s="11">
        <f t="shared" ref="K66" si="10">IFERROR(J66/J67-1,"")</f>
        <v>0.18521155999999972</v>
      </c>
    </row>
    <row r="67" spans="1:11" ht="22.5" customHeight="1">
      <c r="A67" s="3">
        <f t="shared" si="0"/>
        <v>1950</v>
      </c>
      <c r="B67" s="3">
        <v>1700</v>
      </c>
      <c r="C67" s="10">
        <v>1741300</v>
      </c>
      <c r="D67" s="11">
        <v>1.9400000000000001E-2</v>
      </c>
      <c r="E67" s="3" t="s">
        <v>72</v>
      </c>
      <c r="F67" s="10">
        <f>SUM(C2)</f>
        <v>9388375.5467029884</v>
      </c>
      <c r="G67" s="29">
        <v>0.48</v>
      </c>
      <c r="H67" s="10"/>
      <c r="I67" s="10">
        <f t="shared" ref="I67" si="11">IF(H67&lt;&gt;"",H67,I66/(1+IF(G66="",0,G66)/100))</f>
        <v>66.688798091734867</v>
      </c>
      <c r="J67" s="10">
        <f t="shared" si="9"/>
        <v>116125204.11713792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</sheetData>
  <dataValidations count="1">
    <dataValidation type="custom" allowBlank="1" showDropDown="1" sqref="D2:D67" xr:uid="{00000000-0002-0000-7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outlinePr summaryBelow="0" summaryRight="0"/>
  </sheetPr>
  <dimension ref="A1:M67"/>
  <sheetViews>
    <sheetView workbookViewId="0">
      <selection activeCell="K63" sqref="K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31644961.407579832</v>
      </c>
      <c r="D2" s="11">
        <v>1.6400000000000001E-2</v>
      </c>
      <c r="E2" s="10">
        <f t="shared" ref="E2:E66" si="2">SUM(C2-C3)</f>
        <v>510603.47017346323</v>
      </c>
      <c r="F2" s="14">
        <v>31644352</v>
      </c>
      <c r="G2" s="29">
        <v>-4.8499999999999996</v>
      </c>
      <c r="H2" s="10"/>
      <c r="I2" s="10">
        <f>IF(H2&lt;&gt;"",H2,51112)</f>
        <v>6389</v>
      </c>
      <c r="J2" s="10">
        <f t="shared" ref="J2:J33" si="3">IF(I2="","",I2*C2)</f>
        <v>202179658433.02756</v>
      </c>
      <c r="K2" s="11">
        <f t="shared" ref="K2:K33" si="4">IFERROR(J2/J3-1,"")</f>
        <v>-3.2895400000000019E-2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31134357.937406369</v>
      </c>
      <c r="D3" s="11">
        <v>1.6899999999999998E-2</v>
      </c>
      <c r="E3" s="10">
        <f t="shared" si="2"/>
        <v>517426.14725358039</v>
      </c>
      <c r="F3" s="3"/>
      <c r="G3" s="29">
        <v>5.7</v>
      </c>
      <c r="H3" s="10"/>
      <c r="I3" s="10">
        <f t="shared" ref="I3:I34" si="5">IF(H3&lt;&gt;"",H3,I2/(1+IF(G2="",0,G2)/100))</f>
        <v>6714.661061481871</v>
      </c>
      <c r="J3" s="10">
        <f t="shared" si="3"/>
        <v>209056660916.54156</v>
      </c>
      <c r="K3" s="11">
        <f t="shared" si="4"/>
        <v>7.4863299999999855E-2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30616931.790152788</v>
      </c>
      <c r="D4" s="11">
        <v>1.72E-2</v>
      </c>
      <c r="E4" s="10">
        <f t="shared" si="2"/>
        <v>517706.67203168571</v>
      </c>
      <c r="F4" s="3"/>
      <c r="G4" s="29">
        <v>11.1</v>
      </c>
      <c r="H4" s="10"/>
      <c r="I4" s="10">
        <f t="shared" si="5"/>
        <v>6352.56486422126</v>
      </c>
      <c r="J4" s="10">
        <f t="shared" si="3"/>
        <v>194496045140.38351</v>
      </c>
      <c r="K4" s="11">
        <f t="shared" si="4"/>
        <v>0.13010919999999992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30099225.118121102</v>
      </c>
      <c r="D5" s="11">
        <v>1.6799999999999999E-2</v>
      </c>
      <c r="E5" s="10">
        <f t="shared" si="2"/>
        <v>497312.13806493953</v>
      </c>
      <c r="F5" s="3"/>
      <c r="G5" s="29">
        <v>-0.17</v>
      </c>
      <c r="H5" s="10"/>
      <c r="I5" s="10">
        <f t="shared" si="5"/>
        <v>5717.8801658157154</v>
      </c>
      <c r="J5" s="10">
        <f t="shared" si="3"/>
        <v>172103762309.32684</v>
      </c>
      <c r="K5" s="11">
        <f t="shared" si="4"/>
        <v>1.5071439999999825E-2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29601912.980056163</v>
      </c>
      <c r="D6" s="11">
        <v>1.55E-2</v>
      </c>
      <c r="E6" s="10">
        <f t="shared" si="2"/>
        <v>451826.34287628904</v>
      </c>
      <c r="F6" s="3"/>
      <c r="G6" s="29">
        <v>6.84</v>
      </c>
      <c r="H6" s="10"/>
      <c r="I6" s="10">
        <f t="shared" si="5"/>
        <v>5727.6171149110642</v>
      </c>
      <c r="J6" s="10">
        <f t="shared" si="3"/>
        <v>169548423418.67767</v>
      </c>
      <c r="K6" s="11">
        <f t="shared" si="4"/>
        <v>8.4960200000000041E-2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29150086.637179874</v>
      </c>
      <c r="D7" s="11">
        <v>1.41E-2</v>
      </c>
      <c r="E7" s="10">
        <f t="shared" si="2"/>
        <v>405301.47084531561</v>
      </c>
      <c r="F7" s="3"/>
      <c r="G7" s="29">
        <v>10.119999999999999</v>
      </c>
      <c r="H7" s="10"/>
      <c r="I7" s="10">
        <f t="shared" si="5"/>
        <v>5360.9295347351781</v>
      </c>
      <c r="J7" s="10">
        <f t="shared" si="3"/>
        <v>156271560393.34683</v>
      </c>
      <c r="K7" s="11">
        <f t="shared" si="4"/>
        <v>0.11672692000000007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28744785.166334558</v>
      </c>
      <c r="D8" s="11">
        <v>1.3299999999999999E-2</v>
      </c>
      <c r="E8" s="10">
        <f t="shared" si="2"/>
        <v>377287.71608827636</v>
      </c>
      <c r="F8" s="3"/>
      <c r="G8" s="29">
        <v>-14.14</v>
      </c>
      <c r="H8" s="10"/>
      <c r="I8" s="10">
        <f t="shared" si="5"/>
        <v>4868.2614736062278</v>
      </c>
      <c r="J8" s="10">
        <f t="shared" si="3"/>
        <v>139937130192.35431</v>
      </c>
      <c r="K8" s="11">
        <f t="shared" si="4"/>
        <v>-0.12998061999999988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28367497.450246282</v>
      </c>
      <c r="D9" s="11">
        <v>1.2999999999999999E-2</v>
      </c>
      <c r="E9" s="10">
        <f t="shared" si="2"/>
        <v>364044.88336939737</v>
      </c>
      <c r="F9" s="3"/>
      <c r="G9" s="29">
        <v>3.25</v>
      </c>
      <c r="H9" s="10"/>
      <c r="I9" s="10">
        <f t="shared" si="5"/>
        <v>5669.9993869161744</v>
      </c>
      <c r="J9" s="10">
        <f t="shared" si="3"/>
        <v>160843693151.24255</v>
      </c>
      <c r="K9" s="11">
        <f t="shared" si="4"/>
        <v>4.5922499999999866E-2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28003452.566876885</v>
      </c>
      <c r="D10" s="11">
        <v>1.2699999999999999E-2</v>
      </c>
      <c r="E10" s="10">
        <f t="shared" si="2"/>
        <v>351183.81317204982</v>
      </c>
      <c r="F10" s="3"/>
      <c r="G10" s="29">
        <v>5.79</v>
      </c>
      <c r="H10" s="10"/>
      <c r="I10" s="10">
        <f t="shared" si="5"/>
        <v>5491.5248299430259</v>
      </c>
      <c r="J10" s="10">
        <f t="shared" si="3"/>
        <v>153781655095.13617</v>
      </c>
      <c r="K10" s="11">
        <f t="shared" si="4"/>
        <v>7.1335329999999919E-2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27652268.753704835</v>
      </c>
      <c r="D11" s="11">
        <v>1.2500000000000001E-2</v>
      </c>
      <c r="E11" s="10">
        <f t="shared" si="2"/>
        <v>341386.03399635479</v>
      </c>
      <c r="F11" s="3"/>
      <c r="G11" s="29">
        <v>8.36</v>
      </c>
      <c r="H11" s="10"/>
      <c r="I11" s="10">
        <f t="shared" si="5"/>
        <v>5190.9677946337324</v>
      </c>
      <c r="J11" s="10">
        <f t="shared" si="3"/>
        <v>143542036549.03845</v>
      </c>
      <c r="K11" s="11">
        <f t="shared" si="4"/>
        <v>9.7144999999999815E-2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27310882.71970848</v>
      </c>
      <c r="D12" s="11">
        <v>1.24E-2</v>
      </c>
      <c r="E12" s="10">
        <f t="shared" si="2"/>
        <v>334507.05820267275</v>
      </c>
      <c r="F12" s="3"/>
      <c r="G12" s="29">
        <v>4.5599999999999996</v>
      </c>
      <c r="H12" s="10"/>
      <c r="I12" s="10">
        <f t="shared" si="5"/>
        <v>4790.4833837520609</v>
      </c>
      <c r="J12" s="10">
        <f t="shared" si="3"/>
        <v>130832329864.36476</v>
      </c>
      <c r="K12" s="11">
        <f t="shared" si="4"/>
        <v>5.8565439999999969E-2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26976375.661505807</v>
      </c>
      <c r="D13" s="11">
        <v>1.26E-2</v>
      </c>
      <c r="E13" s="10">
        <f t="shared" si="2"/>
        <v>335672.85535746813</v>
      </c>
      <c r="F13" s="3"/>
      <c r="G13" s="29">
        <v>2.71</v>
      </c>
      <c r="H13" s="10"/>
      <c r="I13" s="10">
        <f t="shared" si="5"/>
        <v>4581.5640625019705</v>
      </c>
      <c r="J13" s="10">
        <f t="shared" si="3"/>
        <v>123593993267.30783</v>
      </c>
      <c r="K13" s="11">
        <f t="shared" si="4"/>
        <v>4.0041459999999862E-2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26640702.806148339</v>
      </c>
      <c r="D14" s="11">
        <v>1.3100000000000001E-2</v>
      </c>
      <c r="E14" s="10">
        <f t="shared" si="2"/>
        <v>344480.51205265522</v>
      </c>
      <c r="F14" s="3"/>
      <c r="G14" s="29">
        <v>4.63</v>
      </c>
      <c r="H14" s="10"/>
      <c r="I14" s="10">
        <f t="shared" si="5"/>
        <v>4460.6796441456245</v>
      </c>
      <c r="J14" s="10">
        <f t="shared" si="3"/>
        <v>118835640713.11911</v>
      </c>
      <c r="K14" s="11">
        <f t="shared" si="4"/>
        <v>6.0006530000000113E-2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26296222.294095684</v>
      </c>
      <c r="D15" s="11">
        <v>1.3599999999999999E-2</v>
      </c>
      <c r="E15" s="10">
        <f t="shared" si="2"/>
        <v>352830.13338565826</v>
      </c>
      <c r="F15" s="3"/>
      <c r="G15" s="29">
        <v>6.07</v>
      </c>
      <c r="H15" s="10"/>
      <c r="I15" s="10">
        <f t="shared" si="5"/>
        <v>4263.28934736273</v>
      </c>
      <c r="J15" s="10">
        <f t="shared" si="3"/>
        <v>112108404382.30046</v>
      </c>
      <c r="K15" s="11">
        <f t="shared" si="4"/>
        <v>7.5125520000000057E-2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25943392.160710026</v>
      </c>
      <c r="D16" s="11">
        <v>1.4200000000000001E-2</v>
      </c>
      <c r="E16" s="10">
        <f t="shared" si="2"/>
        <v>363238.18643470854</v>
      </c>
      <c r="F16" s="3"/>
      <c r="G16" s="29">
        <v>0.25</v>
      </c>
      <c r="H16" s="10"/>
      <c r="I16" s="10">
        <f t="shared" si="5"/>
        <v>4019.3168165953898</v>
      </c>
      <c r="J16" s="10">
        <f t="shared" si="3"/>
        <v>104274712391.07082</v>
      </c>
      <c r="K16" s="11">
        <f t="shared" si="4"/>
        <v>1.6735500000000014E-2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25580153.974275317</v>
      </c>
      <c r="D17" s="11">
        <v>1.4500000000000001E-2</v>
      </c>
      <c r="E17" s="10">
        <f t="shared" si="2"/>
        <v>365610.87494035438</v>
      </c>
      <c r="F17" s="3"/>
      <c r="G17" s="29">
        <v>-0.99</v>
      </c>
      <c r="H17" s="10"/>
      <c r="I17" s="10">
        <f t="shared" si="5"/>
        <v>4009.2935826387929</v>
      </c>
      <c r="J17" s="10">
        <f t="shared" si="3"/>
        <v>102558347171.97424</v>
      </c>
      <c r="K17" s="11">
        <f t="shared" si="4"/>
        <v>4.4564499999997231E-3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25214543.099334963</v>
      </c>
      <c r="D18" s="11">
        <v>1.46E-2</v>
      </c>
      <c r="E18" s="10">
        <f t="shared" si="2"/>
        <v>362834.93913886324</v>
      </c>
      <c r="F18" s="3"/>
      <c r="G18" s="29">
        <v>9.67</v>
      </c>
      <c r="H18" s="10"/>
      <c r="I18" s="10">
        <f t="shared" si="5"/>
        <v>4049.3824690827119</v>
      </c>
      <c r="J18" s="10">
        <f t="shared" si="3"/>
        <v>102103328792.37747</v>
      </c>
      <c r="K18" s="11">
        <f t="shared" si="4"/>
        <v>0.11271182000000013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24851708.160196099</v>
      </c>
      <c r="D19" s="11">
        <v>1.44E-2</v>
      </c>
      <c r="E19" s="10">
        <f t="shared" si="2"/>
        <v>352784.50069678947</v>
      </c>
      <c r="F19" s="3"/>
      <c r="G19" s="29">
        <v>0.44</v>
      </c>
      <c r="H19" s="10"/>
      <c r="I19" s="10">
        <f t="shared" si="5"/>
        <v>3692.333791449541</v>
      </c>
      <c r="J19" s="10">
        <f t="shared" si="3"/>
        <v>91760801815.134354</v>
      </c>
      <c r="K19" s="11">
        <f t="shared" si="4"/>
        <v>1.8863359999999885E-2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24498923.65949931</v>
      </c>
      <c r="D20" s="11">
        <v>1.41E-2</v>
      </c>
      <c r="E20" s="10">
        <f t="shared" si="2"/>
        <v>340631.91361694038</v>
      </c>
      <c r="F20" s="3"/>
      <c r="G20" s="29">
        <v>8.33</v>
      </c>
      <c r="H20" s="10"/>
      <c r="I20" s="10">
        <f t="shared" si="5"/>
        <v>3676.1586931994634</v>
      </c>
      <c r="J20" s="10">
        <f t="shared" si="3"/>
        <v>90061931184.898392</v>
      </c>
      <c r="K20" s="11">
        <f t="shared" si="4"/>
        <v>9.8574529999999827E-2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24158291.74588237</v>
      </c>
      <c r="D21" s="11">
        <v>1.4E-2</v>
      </c>
      <c r="E21" s="10">
        <f t="shared" si="2"/>
        <v>333546.43436129391</v>
      </c>
      <c r="F21" s="3"/>
      <c r="G21" s="29">
        <v>5.83</v>
      </c>
      <c r="H21" s="10"/>
      <c r="I21" s="10">
        <f t="shared" si="5"/>
        <v>3393.4816700816614</v>
      </c>
      <c r="J21" s="10">
        <f t="shared" si="3"/>
        <v>81980720220.136917</v>
      </c>
      <c r="K21" s="11">
        <f t="shared" si="4"/>
        <v>7.3116200000000076E-2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23824745.311521076</v>
      </c>
      <c r="D22" s="11">
        <v>1.43E-2</v>
      </c>
      <c r="E22" s="10">
        <f t="shared" si="2"/>
        <v>335890.62205930427</v>
      </c>
      <c r="F22" s="3"/>
      <c r="G22" s="29">
        <v>7.03</v>
      </c>
      <c r="H22" s="10"/>
      <c r="I22" s="10">
        <f t="shared" si="5"/>
        <v>3206.5403667028831</v>
      </c>
      <c r="J22" s="10">
        <f t="shared" si="3"/>
        <v>76395007567.807587</v>
      </c>
      <c r="K22" s="11">
        <f t="shared" si="4"/>
        <v>8.5605290000000167E-2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23488854.689461771</v>
      </c>
      <c r="D23" s="11">
        <v>1.4999999999999999E-2</v>
      </c>
      <c r="E23" s="10">
        <f t="shared" si="2"/>
        <v>347125.93137135357</v>
      </c>
      <c r="F23" s="3"/>
      <c r="G23" s="29">
        <v>3.63</v>
      </c>
      <c r="H23" s="10"/>
      <c r="I23" s="10">
        <f t="shared" si="5"/>
        <v>2995.9267183994048</v>
      </c>
      <c r="J23" s="10">
        <f t="shared" si="3"/>
        <v>70370887348.759674</v>
      </c>
      <c r="K23" s="11">
        <f t="shared" si="4"/>
        <v>5.1844499999999849E-2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23141728.758090418</v>
      </c>
      <c r="D24" s="11">
        <v>1.6E-2</v>
      </c>
      <c r="E24" s="10">
        <f t="shared" si="2"/>
        <v>364436.67335575446</v>
      </c>
      <c r="F24" s="3"/>
      <c r="G24" s="29">
        <v>1.92</v>
      </c>
      <c r="H24" s="10"/>
      <c r="I24" s="10">
        <f t="shared" si="5"/>
        <v>2890.9839992274483</v>
      </c>
      <c r="J24" s="10">
        <f t="shared" si="3"/>
        <v>66902367554.101089</v>
      </c>
      <c r="K24" s="11">
        <f t="shared" si="4"/>
        <v>3.5507200000000072E-2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22777292.084734663</v>
      </c>
      <c r="D25" s="11">
        <v>1.7399999999999999E-2</v>
      </c>
      <c r="E25" s="10">
        <f t="shared" si="2"/>
        <v>389546.76850244403</v>
      </c>
      <c r="F25" s="3"/>
      <c r="G25" s="29">
        <v>2.92</v>
      </c>
      <c r="H25" s="10"/>
      <c r="I25" s="10">
        <f t="shared" si="5"/>
        <v>2836.5227621933359</v>
      </c>
      <c r="J25" s="10">
        <f t="shared" si="3"/>
        <v>64608307459.475975</v>
      </c>
      <c r="K25" s="11">
        <f t="shared" si="4"/>
        <v>4.7108080000000108E-2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22387745.316232219</v>
      </c>
      <c r="D26" s="11">
        <v>1.89E-2</v>
      </c>
      <c r="E26" s="10">
        <f t="shared" si="2"/>
        <v>415279.60199900717</v>
      </c>
      <c r="F26" s="3"/>
      <c r="G26" s="29">
        <v>7.46</v>
      </c>
      <c r="H26" s="10"/>
      <c r="I26" s="10">
        <f t="shared" si="5"/>
        <v>2756.0462127801557</v>
      </c>
      <c r="J26" s="10">
        <f t="shared" si="3"/>
        <v>61701660691.48848</v>
      </c>
      <c r="K26" s="11">
        <f t="shared" si="4"/>
        <v>9.490993999999997E-2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21972465.714233212</v>
      </c>
      <c r="D27" s="11">
        <v>2.06E-2</v>
      </c>
      <c r="E27" s="10">
        <f t="shared" si="2"/>
        <v>443496.76044797525</v>
      </c>
      <c r="F27" s="3"/>
      <c r="G27" s="29">
        <v>-6.77</v>
      </c>
      <c r="H27" s="10"/>
      <c r="I27" s="10">
        <f t="shared" si="5"/>
        <v>2564.7182326262382</v>
      </c>
      <c r="J27" s="10">
        <f t="shared" si="3"/>
        <v>56353183433.04882</v>
      </c>
      <c r="K27" s="11">
        <f t="shared" si="4"/>
        <v>-4.8494619999999933E-2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21528968.953785237</v>
      </c>
      <c r="D28" s="11">
        <v>2.24E-2</v>
      </c>
      <c r="E28" s="10">
        <f t="shared" si="2"/>
        <v>471683.20086540282</v>
      </c>
      <c r="F28" s="3"/>
      <c r="G28" s="29">
        <v>13.06</v>
      </c>
      <c r="H28" s="10"/>
      <c r="I28" s="10">
        <f t="shared" si="5"/>
        <v>2750.9580957055005</v>
      </c>
      <c r="J28" s="10">
        <f t="shared" si="3"/>
        <v>59225291435.607872</v>
      </c>
      <c r="K28" s="11">
        <f t="shared" si="4"/>
        <v>0.15592543999999986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21057285.752919834</v>
      </c>
      <c r="D29" s="11">
        <v>2.41E-2</v>
      </c>
      <c r="E29" s="10">
        <f t="shared" si="2"/>
        <v>495538.11800153181</v>
      </c>
      <c r="F29" s="3"/>
      <c r="G29" s="29">
        <v>19.45</v>
      </c>
      <c r="H29" s="10"/>
      <c r="I29" s="10">
        <f t="shared" si="5"/>
        <v>2433.1842346590311</v>
      </c>
      <c r="J29" s="10">
        <f t="shared" si="3"/>
        <v>51236255718.714767</v>
      </c>
      <c r="K29" s="11">
        <f t="shared" si="4"/>
        <v>0.22328745000000016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20561747.634918302</v>
      </c>
      <c r="D30" s="11">
        <v>2.5399999999999999E-2</v>
      </c>
      <c r="E30" s="10">
        <f t="shared" si="2"/>
        <v>509331.37305141985</v>
      </c>
      <c r="F30" s="3"/>
      <c r="G30" s="29">
        <v>11.88</v>
      </c>
      <c r="H30" s="10"/>
      <c r="I30" s="10">
        <f t="shared" si="5"/>
        <v>2036.9897318200342</v>
      </c>
      <c r="J30" s="10">
        <f t="shared" si="3"/>
        <v>41884068800.603455</v>
      </c>
      <c r="K30" s="11">
        <f t="shared" si="4"/>
        <v>0.1472175200000001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20052416.261866882</v>
      </c>
      <c r="D31" s="11">
        <v>2.6100000000000002E-2</v>
      </c>
      <c r="E31" s="10">
        <f t="shared" si="2"/>
        <v>510055.6129370667</v>
      </c>
      <c r="F31" s="3"/>
      <c r="G31" s="29">
        <v>8.17</v>
      </c>
      <c r="H31" s="10"/>
      <c r="I31" s="10">
        <f t="shared" si="5"/>
        <v>1820.6915729531947</v>
      </c>
      <c r="J31" s="10">
        <f t="shared" si="3"/>
        <v>36509265305.330635</v>
      </c>
      <c r="K31" s="11">
        <f t="shared" si="4"/>
        <v>0.10993237000000011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19542360.648929816</v>
      </c>
      <c r="D32" s="11">
        <v>2.58E-2</v>
      </c>
      <c r="E32" s="10">
        <f t="shared" si="2"/>
        <v>491511.89777967334</v>
      </c>
      <c r="F32" s="3"/>
      <c r="G32" s="29">
        <v>7.13</v>
      </c>
      <c r="H32" s="10"/>
      <c r="I32" s="10">
        <f t="shared" si="5"/>
        <v>1683.1760866720851</v>
      </c>
      <c r="J32" s="10">
        <f t="shared" si="3"/>
        <v>32893234121.400238</v>
      </c>
      <c r="K32" s="11">
        <f t="shared" si="4"/>
        <v>9.8939539999999937E-2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19050848.751150142</v>
      </c>
      <c r="D33" s="11">
        <v>2.47E-2</v>
      </c>
      <c r="E33" s="10">
        <f t="shared" si="2"/>
        <v>459213.39333796129</v>
      </c>
      <c r="F33" s="3"/>
      <c r="G33" s="29">
        <v>8.5500000000000007</v>
      </c>
      <c r="H33" s="10"/>
      <c r="I33" s="10">
        <f t="shared" si="5"/>
        <v>1571.1528859069217</v>
      </c>
      <c r="J33" s="10">
        <f t="shared" si="3"/>
        <v>29931795994.345821</v>
      </c>
      <c r="K33" s="11">
        <f t="shared" si="4"/>
        <v>0.11231184999999977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18591635.357812181</v>
      </c>
      <c r="D34" s="11">
        <v>2.3300000000000001E-2</v>
      </c>
      <c r="E34" s="10">
        <f t="shared" si="2"/>
        <v>423321.70803970098</v>
      </c>
      <c r="F34" s="3"/>
      <c r="G34" s="29">
        <v>1.85</v>
      </c>
      <c r="H34" s="10"/>
      <c r="I34" s="10">
        <f t="shared" si="5"/>
        <v>1447.4001712638617</v>
      </c>
      <c r="J34" s="10">
        <f t="shared" ref="J34:J65" si="6">IF(I34="","",I34*C34)</f>
        <v>26909536200.972618</v>
      </c>
      <c r="K34" s="11">
        <f t="shared" ref="K34:K65" si="7">IFERROR(J34/J35-1,"")</f>
        <v>5.5533950000000276E-2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18168313.64977248</v>
      </c>
      <c r="D35" s="11">
        <v>2.23E-2</v>
      </c>
      <c r="E35" s="10">
        <f t="shared" si="2"/>
        <v>396315.55745859817</v>
      </c>
      <c r="F35" s="3"/>
      <c r="G35" s="29">
        <v>-0.53</v>
      </c>
      <c r="H35" s="10"/>
      <c r="I35" s="10">
        <f t="shared" ref="I35:I66" si="8">IF(H35&lt;&gt;"",H35,I34/(1+IF(G34="",0,G34)/100))</f>
        <v>1403.1993904642381</v>
      </c>
      <c r="J35" s="10">
        <f t="shared" si="6"/>
        <v>25493766639.12384</v>
      </c>
      <c r="K35" s="11">
        <f t="shared" si="7"/>
        <v>4.4483909999999849E-2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17771998.092313882</v>
      </c>
      <c r="D36" s="11">
        <v>2.1899999999999999E-2</v>
      </c>
      <c r="E36" s="10">
        <f t="shared" si="2"/>
        <v>380865.79726164415</v>
      </c>
      <c r="F36" s="3"/>
      <c r="G36" s="29">
        <v>-6.86</v>
      </c>
      <c r="H36" s="10"/>
      <c r="I36" s="10">
        <f t="shared" si="8"/>
        <v>1373.3966824549652</v>
      </c>
      <c r="J36" s="10">
        <f t="shared" si="6"/>
        <v>24408003220.579857</v>
      </c>
      <c r="K36" s="11">
        <f t="shared" si="7"/>
        <v>8.4886000000028439E-4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17391132.295052238</v>
      </c>
      <c r="D37" s="11">
        <v>2.23E-2</v>
      </c>
      <c r="E37" s="10">
        <f t="shared" si="2"/>
        <v>379362.46716195345</v>
      </c>
      <c r="F37" s="3"/>
      <c r="G37" s="29">
        <v>-3.31</v>
      </c>
      <c r="H37" s="10"/>
      <c r="I37" s="10">
        <f t="shared" si="8"/>
        <v>1402.2837272360273</v>
      </c>
      <c r="J37" s="10">
        <f t="shared" si="6"/>
        <v>24387301815.560696</v>
      </c>
      <c r="K37" s="11">
        <f t="shared" si="7"/>
        <v>4.2643769999999748E-2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17011769.827890284</v>
      </c>
      <c r="D38" s="11">
        <v>2.3400000000000001E-2</v>
      </c>
      <c r="E38" s="10">
        <f t="shared" si="2"/>
        <v>388973.43558005989</v>
      </c>
      <c r="F38" s="3"/>
      <c r="G38" s="29">
        <v>8.45</v>
      </c>
      <c r="H38" s="10"/>
      <c r="I38" s="10">
        <f t="shared" si="8"/>
        <v>1374.9227642278922</v>
      </c>
      <c r="J38" s="10">
        <f t="shared" si="6"/>
        <v>23389869596.171566</v>
      </c>
      <c r="K38" s="11">
        <f t="shared" si="7"/>
        <v>0.14774310000000024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16622796.392310224</v>
      </c>
      <c r="D39" s="11">
        <v>2.4799999999999999E-2</v>
      </c>
      <c r="E39" s="10">
        <f t="shared" si="2"/>
        <v>402269.07740953565</v>
      </c>
      <c r="F39" s="3"/>
      <c r="G39" s="29">
        <v>14.33</v>
      </c>
      <c r="H39" s="10"/>
      <c r="I39" s="10">
        <f t="shared" si="8"/>
        <v>1225.967689904496</v>
      </c>
      <c r="J39" s="10">
        <f t="shared" si="6"/>
        <v>20379011292.833355</v>
      </c>
      <c r="K39" s="11">
        <f t="shared" si="7"/>
        <v>0.17165383999999961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16220527.314900689</v>
      </c>
      <c r="D40" s="11">
        <v>2.6200000000000001E-2</v>
      </c>
      <c r="E40" s="10">
        <f t="shared" si="2"/>
        <v>414127.67067861743</v>
      </c>
      <c r="F40" s="3"/>
      <c r="G40" s="29">
        <v>12.01</v>
      </c>
      <c r="H40" s="10"/>
      <c r="I40" s="10">
        <f t="shared" si="8"/>
        <v>1072.3062100100551</v>
      </c>
      <c r="J40" s="10">
        <f t="shared" si="6"/>
        <v>17393372169.405735</v>
      </c>
      <c r="K40" s="11">
        <f t="shared" si="7"/>
        <v>0.14944661999999997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15806399.644222071</v>
      </c>
      <c r="D41" s="11">
        <v>2.7199999999999998E-2</v>
      </c>
      <c r="E41" s="10">
        <f t="shared" si="2"/>
        <v>418549.52328936756</v>
      </c>
      <c r="F41" s="3"/>
      <c r="G41" s="29">
        <v>10.65</v>
      </c>
      <c r="H41" s="10"/>
      <c r="I41" s="10">
        <f t="shared" si="8"/>
        <v>957.33078297478357</v>
      </c>
      <c r="J41" s="10">
        <f t="shared" si="6"/>
        <v>15131952947.415457</v>
      </c>
      <c r="K41" s="11">
        <f t="shared" si="7"/>
        <v>0.13659679999999996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15387850.120932704</v>
      </c>
      <c r="D42" s="11">
        <v>2.76E-2</v>
      </c>
      <c r="E42" s="10">
        <f t="shared" si="2"/>
        <v>413297.64824615046</v>
      </c>
      <c r="F42" s="3"/>
      <c r="G42" s="29">
        <v>8.4499999999999993</v>
      </c>
      <c r="H42" s="10"/>
      <c r="I42" s="10">
        <f t="shared" si="8"/>
        <v>865.18823585610801</v>
      </c>
      <c r="J42" s="10">
        <f t="shared" si="6"/>
        <v>13313386899.747965</v>
      </c>
      <c r="K42" s="11">
        <f t="shared" si="7"/>
        <v>0.11443220000000021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14974552.472686553</v>
      </c>
      <c r="D43" s="11">
        <v>2.7300000000000001E-2</v>
      </c>
      <c r="E43" s="10">
        <f t="shared" si="2"/>
        <v>397941.48009767756</v>
      </c>
      <c r="F43" s="3"/>
      <c r="G43" s="29">
        <v>8.8000000000000007</v>
      </c>
      <c r="H43" s="10"/>
      <c r="I43" s="10">
        <f t="shared" si="8"/>
        <v>797.77615108908071</v>
      </c>
      <c r="J43" s="10">
        <f t="shared" si="6"/>
        <v>11946340835.941355</v>
      </c>
      <c r="K43" s="11">
        <f t="shared" si="7"/>
        <v>0.11770240000000021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14576610.992588876</v>
      </c>
      <c r="D44" s="11">
        <v>2.6599999999999999E-2</v>
      </c>
      <c r="E44" s="10">
        <f t="shared" si="2"/>
        <v>377691.26476024091</v>
      </c>
      <c r="F44" s="3"/>
      <c r="G44" s="29">
        <v>21.3</v>
      </c>
      <c r="H44" s="10"/>
      <c r="I44" s="10">
        <f t="shared" si="8"/>
        <v>733.25013886864031</v>
      </c>
      <c r="J44" s="10">
        <f t="shared" si="6"/>
        <v>10688302034.549942</v>
      </c>
      <c r="K44" s="11">
        <f t="shared" si="7"/>
        <v>0.24526580000000009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14198919.727828635</v>
      </c>
      <c r="D45" s="11">
        <v>2.5700000000000001E-2</v>
      </c>
      <c r="E45" s="10">
        <f t="shared" si="2"/>
        <v>355768.97436404042</v>
      </c>
      <c r="F45" s="3"/>
      <c r="G45" s="29">
        <v>26.36</v>
      </c>
      <c r="H45" s="10"/>
      <c r="I45" s="10">
        <f t="shared" si="8"/>
        <v>604.49310706400684</v>
      </c>
      <c r="J45" s="10">
        <f t="shared" si="6"/>
        <v>8583149103.2275534</v>
      </c>
      <c r="K45" s="11">
        <f t="shared" si="7"/>
        <v>0.2960745199999999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13843150.753464594</v>
      </c>
      <c r="D46" s="11">
        <v>2.5100000000000001E-2</v>
      </c>
      <c r="E46" s="10">
        <f t="shared" si="2"/>
        <v>338955.30573793687</v>
      </c>
      <c r="F46" s="3"/>
      <c r="G46" s="29">
        <v>25.82</v>
      </c>
      <c r="H46" s="10"/>
      <c r="I46" s="10">
        <f t="shared" si="8"/>
        <v>478.38960672998326</v>
      </c>
      <c r="J46" s="10">
        <f t="shared" si="6"/>
        <v>6622419444.8537989</v>
      </c>
      <c r="K46" s="11">
        <f t="shared" si="7"/>
        <v>0.28978081999999983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13504195.447726658</v>
      </c>
      <c r="D47" s="11">
        <v>2.4899999999999999E-2</v>
      </c>
      <c r="E47" s="10">
        <f t="shared" si="2"/>
        <v>328085.14650052972</v>
      </c>
      <c r="F47" s="3"/>
      <c r="G47" s="29">
        <v>17.12</v>
      </c>
      <c r="H47" s="10"/>
      <c r="I47" s="10">
        <f t="shared" si="8"/>
        <v>380.21745885390499</v>
      </c>
      <c r="J47" s="10">
        <f t="shared" si="6"/>
        <v>5134530877.0011015</v>
      </c>
      <c r="K47" s="11">
        <f t="shared" si="7"/>
        <v>0.20036287999999991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13176110.301226128</v>
      </c>
      <c r="D48" s="11">
        <v>2.5100000000000001E-2</v>
      </c>
      <c r="E48" s="10">
        <f t="shared" si="2"/>
        <v>322622.54273805022</v>
      </c>
      <c r="F48" s="3"/>
      <c r="G48" s="29">
        <v>15.12</v>
      </c>
      <c r="H48" s="10"/>
      <c r="I48" s="10">
        <f t="shared" si="8"/>
        <v>324.63922374821124</v>
      </c>
      <c r="J48" s="10">
        <f t="shared" si="6"/>
        <v>4277482220.2108598</v>
      </c>
      <c r="K48" s="11">
        <f t="shared" si="7"/>
        <v>0.18009512000000005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12853487.758488078</v>
      </c>
      <c r="D49" s="11">
        <v>2.53E-2</v>
      </c>
      <c r="E49" s="10">
        <f t="shared" si="2"/>
        <v>317168.86793109216</v>
      </c>
      <c r="F49" s="3"/>
      <c r="G49" s="29">
        <v>10.57</v>
      </c>
      <c r="H49" s="10"/>
      <c r="I49" s="10">
        <f t="shared" si="8"/>
        <v>282.0007155561251</v>
      </c>
      <c r="J49" s="10">
        <f t="shared" si="6"/>
        <v>3624692745.2855325</v>
      </c>
      <c r="K49" s="11">
        <f t="shared" si="7"/>
        <v>0.1336742099999999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12536318.890556986</v>
      </c>
      <c r="D50" s="11">
        <v>2.5499999999999998E-2</v>
      </c>
      <c r="E50" s="10">
        <f t="shared" si="2"/>
        <v>311727.09089147113</v>
      </c>
      <c r="F50" s="3"/>
      <c r="G50" s="29">
        <v>5.92</v>
      </c>
      <c r="H50" s="10"/>
      <c r="I50" s="10">
        <f t="shared" si="8"/>
        <v>255.0427019590532</v>
      </c>
      <c r="J50" s="10">
        <f t="shared" si="6"/>
        <v>3197296642.4679737</v>
      </c>
      <c r="K50" s="11">
        <f t="shared" si="7"/>
        <v>8.6209599999999886E-2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12224591.799665514</v>
      </c>
      <c r="D51" s="11">
        <v>2.5600000000000001E-2</v>
      </c>
      <c r="E51" s="10">
        <f t="shared" si="2"/>
        <v>305138.01684032567</v>
      </c>
      <c r="F51" s="3"/>
      <c r="G51" s="29">
        <v>6.34</v>
      </c>
      <c r="H51" s="10"/>
      <c r="I51" s="10">
        <f t="shared" si="8"/>
        <v>240.78804943264089</v>
      </c>
      <c r="J51" s="10">
        <f t="shared" si="6"/>
        <v>2943535614.5517163</v>
      </c>
      <c r="K51" s="11">
        <f t="shared" si="7"/>
        <v>9.0623039999999877E-2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11919453.782825189</v>
      </c>
      <c r="D52" s="11">
        <v>2.5600000000000001E-2</v>
      </c>
      <c r="E52" s="10">
        <f t="shared" si="2"/>
        <v>297521.46727800928</v>
      </c>
      <c r="F52" s="3"/>
      <c r="G52" s="29">
        <v>5.81</v>
      </c>
      <c r="H52" s="10"/>
      <c r="I52" s="10">
        <f t="shared" si="8"/>
        <v>226.43224509370032</v>
      </c>
      <c r="J52" s="10">
        <f t="shared" si="6"/>
        <v>2698948680.3357067</v>
      </c>
      <c r="K52" s="11">
        <f t="shared" si="7"/>
        <v>8.5187360000000378E-2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11621932.315547179</v>
      </c>
      <c r="D53" s="11">
        <v>2.5600000000000001E-2</v>
      </c>
      <c r="E53" s="10">
        <f t="shared" si="2"/>
        <v>290095.03439743444</v>
      </c>
      <c r="F53" s="3"/>
      <c r="G53" s="29">
        <v>6.83</v>
      </c>
      <c r="H53" s="10"/>
      <c r="I53" s="10">
        <f t="shared" si="8"/>
        <v>213.99890850930942</v>
      </c>
      <c r="J53" s="10">
        <f t="shared" si="6"/>
        <v>2487080830.2961674</v>
      </c>
      <c r="K53" s="11">
        <f t="shared" si="7"/>
        <v>9.5648480000000147E-2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11331837.281149745</v>
      </c>
      <c r="D54" s="11">
        <v>2.5499999999999998E-2</v>
      </c>
      <c r="E54" s="10">
        <f t="shared" si="2"/>
        <v>281776.54867802933</v>
      </c>
      <c r="F54" s="3"/>
      <c r="G54" s="29">
        <v>5.92</v>
      </c>
      <c r="H54" s="10"/>
      <c r="I54" s="10">
        <f t="shared" si="8"/>
        <v>200.3172409522694</v>
      </c>
      <c r="J54" s="10">
        <f t="shared" si="6"/>
        <v>2269962379.0799828</v>
      </c>
      <c r="K54" s="11">
        <f t="shared" si="7"/>
        <v>8.6209599999999886E-2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11050060.732471716</v>
      </c>
      <c r="D55" s="11">
        <v>2.5600000000000001E-2</v>
      </c>
      <c r="E55" s="10">
        <f t="shared" si="2"/>
        <v>275820.5487044435</v>
      </c>
      <c r="F55" s="3"/>
      <c r="G55" s="29">
        <v>6.67</v>
      </c>
      <c r="H55" s="10"/>
      <c r="I55" s="10">
        <f t="shared" si="8"/>
        <v>189.12126222835104</v>
      </c>
      <c r="J55" s="10">
        <f t="shared" si="6"/>
        <v>2089801433.424988</v>
      </c>
      <c r="K55" s="11">
        <f t="shared" si="7"/>
        <v>9.4007520000000122E-2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10774240.183767272</v>
      </c>
      <c r="D56" s="11">
        <v>2.5700000000000001E-2</v>
      </c>
      <c r="E56" s="10">
        <f t="shared" si="2"/>
        <v>269960.00070470758</v>
      </c>
      <c r="F56" s="3"/>
      <c r="G56" s="29">
        <v>6.34</v>
      </c>
      <c r="H56" s="10"/>
      <c r="I56" s="10">
        <f t="shared" si="8"/>
        <v>177.29564285024003</v>
      </c>
      <c r="J56" s="10">
        <f t="shared" si="6"/>
        <v>1910225839.6039069</v>
      </c>
      <c r="K56" s="11">
        <f t="shared" si="7"/>
        <v>9.0729379999999971E-2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10504280.183062565</v>
      </c>
      <c r="D57" s="11">
        <v>2.5999999999999999E-2</v>
      </c>
      <c r="E57" s="10">
        <f t="shared" si="2"/>
        <v>266190.33602302894</v>
      </c>
      <c r="F57" s="3"/>
      <c r="G57" s="30">
        <v>2.4700000000000002</v>
      </c>
      <c r="H57" s="10"/>
      <c r="I57" s="10">
        <f t="shared" si="8"/>
        <v>166.72526128478469</v>
      </c>
      <c r="J57" s="10">
        <f t="shared" si="6"/>
        <v>1751328858.1296921</v>
      </c>
      <c r="K57" s="11">
        <f t="shared" si="7"/>
        <v>5.1342200000000116E-2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10238089.847039536</v>
      </c>
      <c r="D58" s="11">
        <v>2.6599999999999999E-2</v>
      </c>
      <c r="E58" s="10">
        <f t="shared" si="2"/>
        <v>265276.82635033317</v>
      </c>
      <c r="F58" s="3"/>
      <c r="G58" s="30">
        <v>3.19</v>
      </c>
      <c r="H58" s="10"/>
      <c r="I58" s="10">
        <f t="shared" si="8"/>
        <v>162.70641288648844</v>
      </c>
      <c r="J58" s="10">
        <f t="shared" si="6"/>
        <v>1665802873.8213799</v>
      </c>
      <c r="K58" s="11">
        <f t="shared" si="7"/>
        <v>5.9348540000000227E-2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9972813.0206892025</v>
      </c>
      <c r="D59" s="11">
        <v>2.7400000000000001E-2</v>
      </c>
      <c r="E59" s="10">
        <f t="shared" si="2"/>
        <v>265967.56547292694</v>
      </c>
      <c r="F59" s="3"/>
      <c r="G59" s="30">
        <v>2.61</v>
      </c>
      <c r="H59" s="10"/>
      <c r="I59" s="10">
        <f t="shared" si="8"/>
        <v>157.67653153066036</v>
      </c>
      <c r="J59" s="10">
        <f t="shared" si="6"/>
        <v>1572478566.7060812</v>
      </c>
      <c r="K59" s="11">
        <f t="shared" si="7"/>
        <v>5.4215140000000162E-2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9706845.4552162755</v>
      </c>
      <c r="D60" s="11">
        <v>2.81E-2</v>
      </c>
      <c r="E60" s="10">
        <f t="shared" si="2"/>
        <v>265307.22428905591</v>
      </c>
      <c r="F60" s="3"/>
      <c r="G60" s="30">
        <v>2.79</v>
      </c>
      <c r="H60" s="10"/>
      <c r="I60" s="10">
        <f t="shared" si="8"/>
        <v>153.66585277327781</v>
      </c>
      <c r="J60" s="10">
        <f t="shared" si="6"/>
        <v>1491610684.6142249</v>
      </c>
      <c r="K60" s="11">
        <f t="shared" si="7"/>
        <v>5.6783990000000228E-2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9441538.2309272196</v>
      </c>
      <c r="D61" s="11">
        <v>2.8400000000000002E-2</v>
      </c>
      <c r="E61" s="10">
        <f t="shared" si="2"/>
        <v>260734.81695676036</v>
      </c>
      <c r="F61" s="3"/>
      <c r="G61" s="30">
        <v>2.98</v>
      </c>
      <c r="H61" s="10"/>
      <c r="I61" s="10">
        <f t="shared" si="8"/>
        <v>149.49494384013795</v>
      </c>
      <c r="J61" s="10">
        <f t="shared" si="6"/>
        <v>1411462227.5969801</v>
      </c>
      <c r="K61" s="11">
        <f t="shared" si="7"/>
        <v>5.9046319999999985E-2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9180803.4139704593</v>
      </c>
      <c r="D62" s="11">
        <v>2.8000000000000001E-2</v>
      </c>
      <c r="E62" s="10">
        <f t="shared" si="2"/>
        <v>250060.79337662831</v>
      </c>
      <c r="F62" s="3"/>
      <c r="G62" s="30">
        <v>2.98</v>
      </c>
      <c r="H62" s="10"/>
      <c r="I62" s="10">
        <f t="shared" si="8"/>
        <v>145.16891031281602</v>
      </c>
      <c r="J62" s="10">
        <f t="shared" si="6"/>
        <v>1332767227.4022727</v>
      </c>
      <c r="K62" s="11">
        <f t="shared" si="7"/>
        <v>5.8634400000000086E-2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8930742.6205938309</v>
      </c>
      <c r="D63" s="11">
        <v>2.7300000000000001E-2</v>
      </c>
      <c r="E63" s="10">
        <f t="shared" si="2"/>
        <v>237330.16016958281</v>
      </c>
      <c r="F63" s="3"/>
      <c r="H63" s="10"/>
      <c r="I63" s="10">
        <f t="shared" si="8"/>
        <v>140.96806206332883</v>
      </c>
      <c r="J63" s="10">
        <f t="shared" si="6"/>
        <v>1258949480.011487</v>
      </c>
      <c r="K63" s="11">
        <f t="shared" si="7"/>
        <v>5.7913540000000152E-2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8693412.4604242481</v>
      </c>
      <c r="D64" s="11">
        <v>2.6499999999999999E-2</v>
      </c>
      <c r="E64" s="10">
        <f t="shared" si="2"/>
        <v>224428.08592424914</v>
      </c>
      <c r="F64" s="3"/>
      <c r="G64" s="30">
        <v>3.18</v>
      </c>
      <c r="H64" s="10"/>
      <c r="I64" s="10">
        <f>IF(H64&lt;&gt;"",H64,I63/(1+IF(G67="",0,G67)/100))</f>
        <v>136.88877652294505</v>
      </c>
      <c r="J64" s="10">
        <f t="shared" si="6"/>
        <v>1190030595.5168009</v>
      </c>
      <c r="K64" s="11">
        <f t="shared" si="7"/>
        <v>5.9142700000000215E-2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8468984.374499999</v>
      </c>
      <c r="D65" s="11">
        <v>2.5700000000000001E-2</v>
      </c>
      <c r="E65" s="10">
        <f t="shared" si="2"/>
        <v>212199.37449999992</v>
      </c>
      <c r="F65" s="3"/>
      <c r="G65" s="30">
        <v>2.8</v>
      </c>
      <c r="H65" s="10"/>
      <c r="I65" s="10">
        <f t="shared" si="8"/>
        <v>132.66987451341834</v>
      </c>
      <c r="J65" s="10">
        <f t="shared" si="6"/>
        <v>1123579094.2210155</v>
      </c>
      <c r="K65" s="11">
        <f t="shared" si="7"/>
        <v>5.4419599999999901E-2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8256784.9999999991</v>
      </c>
      <c r="D66" s="11">
        <v>2.5000000000000001E-2</v>
      </c>
      <c r="E66" s="10">
        <f t="shared" si="2"/>
        <v>201384.99999999907</v>
      </c>
      <c r="F66" s="23">
        <f>SUM(F2)</f>
        <v>31644352</v>
      </c>
      <c r="G66" s="30">
        <v>3.03</v>
      </c>
      <c r="H66" s="10"/>
      <c r="I66" s="10">
        <f t="shared" si="8"/>
        <v>129.05629816480382</v>
      </c>
      <c r="J66" s="10">
        <f t="shared" ref="J66:J67" si="9">IF(I66="","",I66*C66)</f>
        <v>1065590106.8426796</v>
      </c>
      <c r="K66" s="11">
        <f t="shared" ref="K66" si="10">IFERROR(J66/J67-1,"")</f>
        <v>5.6057499999999871E-2</v>
      </c>
    </row>
    <row r="67" spans="1:11" ht="22.5" customHeight="1">
      <c r="A67" s="3">
        <f t="shared" si="0"/>
        <v>1950</v>
      </c>
      <c r="B67" s="3">
        <v>1700</v>
      </c>
      <c r="C67" s="10">
        <v>8055400</v>
      </c>
      <c r="D67" s="11">
        <v>2.4400000000000002E-2</v>
      </c>
      <c r="E67" s="3" t="s">
        <v>72</v>
      </c>
      <c r="F67" s="10">
        <f>SUM(C2)</f>
        <v>31644961.407579832</v>
      </c>
      <c r="G67" s="30">
        <v>2.98</v>
      </c>
      <c r="H67" s="10"/>
      <c r="I67" s="10">
        <f t="shared" ref="I67" si="11">IF(H67&lt;&gt;"",H67,I66/(1+IF(G66="",0,G66)/100))</f>
        <v>125.2608931037599</v>
      </c>
      <c r="J67" s="10">
        <f t="shared" si="9"/>
        <v>1009026598.3080275</v>
      </c>
      <c r="K67" s="11"/>
    </row>
  </sheetData>
  <dataValidations count="1">
    <dataValidation type="custom" allowBlank="1" showDropDown="1" sqref="D2:D67" xr:uid="{00000000-0002-0000-8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outlinePr summaryBelow="0" summaryRight="0"/>
  </sheetPr>
  <dimension ref="A1:M67"/>
  <sheetViews>
    <sheetView topLeftCell="A32" workbookViewId="0">
      <selection activeCell="M73" sqref="M7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71957417.637829334</v>
      </c>
      <c r="D2" s="11">
        <v>8.0000000000000002E-3</v>
      </c>
      <c r="E2" s="10">
        <f t="shared" ref="E2:E66" si="2">SUM(C2-C3)</f>
        <v>571090.61617325246</v>
      </c>
      <c r="F2" s="14">
        <v>71957346</v>
      </c>
      <c r="G2" s="29">
        <v>4.75</v>
      </c>
      <c r="H2" s="10"/>
      <c r="I2" s="10">
        <f>IF(H2&lt;&gt;"",H2,87936)</f>
        <v>10992</v>
      </c>
      <c r="J2" s="10">
        <f t="shared" ref="J2:J33" si="3">IF(I2="","",I2*C2)</f>
        <v>790955934675.02002</v>
      </c>
      <c r="K2" s="11">
        <f t="shared" ref="K2:K33" si="4">IFERROR(J2/J3-1,"")</f>
        <v>5.5880000000000152E-2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71386327.021656081</v>
      </c>
      <c r="D3" s="11">
        <v>8.3000000000000001E-3</v>
      </c>
      <c r="E3" s="10">
        <f t="shared" si="2"/>
        <v>587629.1919862628</v>
      </c>
      <c r="F3" s="3"/>
      <c r="G3" s="29">
        <v>4.12</v>
      </c>
      <c r="H3" s="10"/>
      <c r="I3" s="10">
        <f t="shared" ref="I3:I34" si="5">IF(H3&lt;&gt;"",H3,I2/(1+IF(G2="",0,G2)/100))</f>
        <v>10493.556085918854</v>
      </c>
      <c r="J3" s="10">
        <f t="shared" si="3"/>
        <v>749096426369.49268</v>
      </c>
      <c r="K3" s="11">
        <f t="shared" si="4"/>
        <v>4.9841959999999963E-2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70798697.829669818</v>
      </c>
      <c r="D4" s="11">
        <v>8.6999999999999994E-3</v>
      </c>
      <c r="E4" s="10">
        <f t="shared" si="2"/>
        <v>610636.13672858477</v>
      </c>
      <c r="F4" s="3"/>
      <c r="G4" s="29">
        <v>4.43</v>
      </c>
      <c r="H4" s="10"/>
      <c r="I4" s="10">
        <f t="shared" si="5"/>
        <v>10078.328933844463</v>
      </c>
      <c r="J4" s="10">
        <f t="shared" si="3"/>
        <v>713532564815.27246</v>
      </c>
      <c r="K4" s="11">
        <f t="shared" si="4"/>
        <v>5.3385409999999967E-2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70188061.692941234</v>
      </c>
      <c r="D5" s="11">
        <v>8.8999999999999999E-3</v>
      </c>
      <c r="E5" s="10">
        <f t="shared" si="2"/>
        <v>619163.19661727548</v>
      </c>
      <c r="F5" s="3"/>
      <c r="G5" s="29">
        <v>4.63</v>
      </c>
      <c r="H5" s="10"/>
      <c r="I5" s="10">
        <f t="shared" si="5"/>
        <v>9650.7985577367253</v>
      </c>
      <c r="J5" s="10">
        <f t="shared" si="3"/>
        <v>677370844556.57361</v>
      </c>
      <c r="K5" s="11">
        <f t="shared" si="4"/>
        <v>5.5612070000000013E-2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69568898.496323958</v>
      </c>
      <c r="D6" s="11">
        <v>8.9999999999999993E-3</v>
      </c>
      <c r="E6" s="10">
        <f t="shared" si="2"/>
        <v>620535.26904550195</v>
      </c>
      <c r="F6" s="3"/>
      <c r="G6" s="29">
        <v>3.02</v>
      </c>
      <c r="H6" s="10"/>
      <c r="I6" s="10">
        <f t="shared" si="5"/>
        <v>9223.7394224760828</v>
      </c>
      <c r="J6" s="10">
        <f t="shared" si="3"/>
        <v>641685391638.7804</v>
      </c>
      <c r="K6" s="11">
        <f t="shared" si="4"/>
        <v>3.9471800000000057E-2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68948363.227278456</v>
      </c>
      <c r="D7" s="11">
        <v>9.4999999999999998E-3</v>
      </c>
      <c r="E7" s="10">
        <f t="shared" si="2"/>
        <v>648845.41917696595</v>
      </c>
      <c r="F7" s="3"/>
      <c r="G7" s="29">
        <v>6.73</v>
      </c>
      <c r="H7" s="10"/>
      <c r="I7" s="10">
        <f t="shared" si="5"/>
        <v>8953.3483037042151</v>
      </c>
      <c r="J7" s="10">
        <f t="shared" si="3"/>
        <v>617318710944.13562</v>
      </c>
      <c r="K7" s="11">
        <f t="shared" si="4"/>
        <v>7.7439349999999685E-2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68299517.80810149</v>
      </c>
      <c r="D8" s="11">
        <v>1.01E-2</v>
      </c>
      <c r="E8" s="10">
        <f t="shared" si="2"/>
        <v>682927.56149077415</v>
      </c>
      <c r="F8" s="3"/>
      <c r="G8" s="29">
        <v>1.96</v>
      </c>
      <c r="H8" s="10"/>
      <c r="I8" s="10">
        <f t="shared" si="5"/>
        <v>8388.783194700849</v>
      </c>
      <c r="J8" s="10">
        <f t="shared" si="3"/>
        <v>572949847194.77319</v>
      </c>
      <c r="K8" s="11">
        <f t="shared" si="4"/>
        <v>2.9897960000000445E-2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67616590.246610716</v>
      </c>
      <c r="D9" s="11">
        <v>1.03E-2</v>
      </c>
      <c r="E9" s="10">
        <f t="shared" si="2"/>
        <v>689350.56868266314</v>
      </c>
      <c r="F9" s="3"/>
      <c r="G9" s="29">
        <v>7.66</v>
      </c>
      <c r="H9" s="10"/>
      <c r="I9" s="10">
        <f t="shared" si="5"/>
        <v>8227.5237296006744</v>
      </c>
      <c r="J9" s="10">
        <f t="shared" si="3"/>
        <v>556317100768.67517</v>
      </c>
      <c r="K9" s="11">
        <f t="shared" si="4"/>
        <v>8.7688980000000027E-2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66927239.677928053</v>
      </c>
      <c r="D10" s="11">
        <v>1.0699999999999999E-2</v>
      </c>
      <c r="E10" s="10">
        <f t="shared" si="2"/>
        <v>708540.08563750237</v>
      </c>
      <c r="F10" s="3"/>
      <c r="G10" s="29">
        <v>7.99</v>
      </c>
      <c r="H10" s="10"/>
      <c r="I10" s="10">
        <f t="shared" si="5"/>
        <v>7642.1361040318361</v>
      </c>
      <c r="J10" s="10">
        <f t="shared" si="3"/>
        <v>511467074685.88599</v>
      </c>
      <c r="K10" s="11">
        <f t="shared" si="4"/>
        <v>9.1454930000000045E-2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66218699.59229055</v>
      </c>
      <c r="D11" s="11">
        <v>1.12E-2</v>
      </c>
      <c r="E11" s="10">
        <f t="shared" si="2"/>
        <v>733434.96383866668</v>
      </c>
      <c r="F11" s="3"/>
      <c r="G11" s="29">
        <v>6.17</v>
      </c>
      <c r="H11" s="10"/>
      <c r="I11" s="10">
        <f t="shared" si="5"/>
        <v>7076.7071988441849</v>
      </c>
      <c r="J11" s="10">
        <f t="shared" si="3"/>
        <v>468610348102.86304</v>
      </c>
      <c r="K11" s="11">
        <f t="shared" si="4"/>
        <v>7.3591040000000163E-2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65485264.628451884</v>
      </c>
      <c r="D12" s="11">
        <v>1.15E-2</v>
      </c>
      <c r="E12" s="10">
        <f t="shared" si="2"/>
        <v>744518.5795622319</v>
      </c>
      <c r="F12" s="3"/>
      <c r="G12" s="29">
        <v>7.49</v>
      </c>
      <c r="H12" s="10"/>
      <c r="I12" s="10">
        <f t="shared" si="5"/>
        <v>6665.4489958031309</v>
      </c>
      <c r="J12" s="10">
        <f t="shared" si="3"/>
        <v>436488691357.61688</v>
      </c>
      <c r="K12" s="11">
        <f t="shared" si="4"/>
        <v>8.7261350000000126E-2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64740746.048889652</v>
      </c>
      <c r="D13" s="11">
        <v>1.17E-2</v>
      </c>
      <c r="E13" s="10">
        <f t="shared" si="2"/>
        <v>748706.85852724314</v>
      </c>
      <c r="F13" s="3"/>
      <c r="G13" s="29">
        <v>9.2200000000000006</v>
      </c>
      <c r="H13" s="10"/>
      <c r="I13" s="10">
        <f t="shared" si="5"/>
        <v>6200.9945072128858</v>
      </c>
      <c r="J13" s="10">
        <f t="shared" si="3"/>
        <v>401457010642.02905</v>
      </c>
      <c r="K13" s="11">
        <f t="shared" si="4"/>
        <v>0.10497873999999996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63992039.190362409</v>
      </c>
      <c r="D14" s="11">
        <v>1.2E-2</v>
      </c>
      <c r="E14" s="10">
        <f t="shared" si="2"/>
        <v>758798.88368018717</v>
      </c>
      <c r="F14" s="3"/>
      <c r="G14" s="29">
        <v>3.72</v>
      </c>
      <c r="H14" s="10"/>
      <c r="I14" s="10">
        <f t="shared" si="5"/>
        <v>5677.5265585175657</v>
      </c>
      <c r="J14" s="10">
        <f t="shared" si="3"/>
        <v>363316502036.97949</v>
      </c>
      <c r="K14" s="11">
        <f t="shared" si="4"/>
        <v>4.9646399999999868E-2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63233240.306682222</v>
      </c>
      <c r="D15" s="11">
        <v>1.26E-2</v>
      </c>
      <c r="E15" s="10">
        <f t="shared" si="2"/>
        <v>786824.83494389802</v>
      </c>
      <c r="F15" s="3"/>
      <c r="G15" s="29">
        <v>7.18</v>
      </c>
      <c r="H15" s="10"/>
      <c r="I15" s="10">
        <f t="shared" si="5"/>
        <v>5473.8975689525323</v>
      </c>
      <c r="J15" s="10">
        <f t="shared" si="3"/>
        <v>346132280391.73907</v>
      </c>
      <c r="K15" s="11">
        <f t="shared" si="4"/>
        <v>8.5304680000000133E-2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62446415.471738324</v>
      </c>
      <c r="D16" s="11">
        <v>1.34E-2</v>
      </c>
      <c r="E16" s="10">
        <f t="shared" si="2"/>
        <v>825717.35476741195</v>
      </c>
      <c r="F16" s="3"/>
      <c r="G16" s="29">
        <v>3.9</v>
      </c>
      <c r="H16" s="10"/>
      <c r="I16" s="10">
        <f t="shared" si="5"/>
        <v>5107.2005681587343</v>
      </c>
      <c r="J16" s="10">
        <f t="shared" si="3"/>
        <v>318926368576.73834</v>
      </c>
      <c r="K16" s="11">
        <f t="shared" si="4"/>
        <v>5.2922600000000042E-2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61620698.116970912</v>
      </c>
      <c r="D17" s="11">
        <v>1.43E-2</v>
      </c>
      <c r="E17" s="10">
        <f t="shared" si="2"/>
        <v>868752.81777845323</v>
      </c>
      <c r="F17" s="3"/>
      <c r="G17" s="29">
        <v>-18.03</v>
      </c>
      <c r="H17" s="10"/>
      <c r="I17" s="10">
        <f t="shared" si="5"/>
        <v>4915.4962157446917</v>
      </c>
      <c r="J17" s="10">
        <f t="shared" si="3"/>
        <v>302896308405.51654</v>
      </c>
      <c r="K17" s="11">
        <f t="shared" si="4"/>
        <v>-0.16857829000000002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60751945.299192458</v>
      </c>
      <c r="D18" s="11">
        <v>1.5100000000000001E-2</v>
      </c>
      <c r="E18" s="10">
        <f t="shared" si="2"/>
        <v>903708.37751729041</v>
      </c>
      <c r="F18" s="3"/>
      <c r="G18" s="29">
        <v>14.28</v>
      </c>
      <c r="H18" s="10"/>
      <c r="I18" s="10">
        <f t="shared" si="5"/>
        <v>5996.7014953576818</v>
      </c>
      <c r="J18" s="10">
        <f t="shared" si="3"/>
        <v>364311281221.55548</v>
      </c>
      <c r="K18" s="11">
        <f t="shared" si="4"/>
        <v>0.16005627999999983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59848236.921675168</v>
      </c>
      <c r="D19" s="11">
        <v>1.5900000000000001E-2</v>
      </c>
      <c r="E19" s="10">
        <f t="shared" si="2"/>
        <v>936693.53977225721</v>
      </c>
      <c r="F19" s="3"/>
      <c r="G19" s="29">
        <v>21.22</v>
      </c>
      <c r="H19" s="10"/>
      <c r="I19" s="10">
        <f t="shared" si="5"/>
        <v>5247.3761772468333</v>
      </c>
      <c r="J19" s="10">
        <f t="shared" si="3"/>
        <v>314046212673.02264</v>
      </c>
      <c r="K19" s="11">
        <f t="shared" si="4"/>
        <v>0.23147397999999986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58911543.381902911</v>
      </c>
      <c r="D20" s="11">
        <v>1.6799999999999999E-2</v>
      </c>
      <c r="E20" s="10">
        <f t="shared" si="2"/>
        <v>973361.45634929836</v>
      </c>
      <c r="F20" s="3"/>
      <c r="G20" s="29">
        <v>30.01</v>
      </c>
      <c r="H20" s="10"/>
      <c r="I20" s="10">
        <f t="shared" si="5"/>
        <v>4328.8039739703299</v>
      </c>
      <c r="J20" s="10">
        <f t="shared" si="3"/>
        <v>255016523104.30682</v>
      </c>
      <c r="K20" s="11">
        <f t="shared" si="4"/>
        <v>0.32194168000000012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57938181.925553612</v>
      </c>
      <c r="D21" s="11">
        <v>1.7899999999999999E-2</v>
      </c>
      <c r="E21" s="10">
        <f t="shared" si="2"/>
        <v>1018855.9352268502</v>
      </c>
      <c r="F21" s="3"/>
      <c r="G21" s="29">
        <v>14.37</v>
      </c>
      <c r="H21" s="10"/>
      <c r="I21" s="10">
        <f t="shared" si="5"/>
        <v>3329.5930882011612</v>
      </c>
      <c r="J21" s="10">
        <f t="shared" si="3"/>
        <v>192910570082.26474</v>
      </c>
      <c r="K21" s="11">
        <f t="shared" si="4"/>
        <v>0.1641722299999997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56919325.990326762</v>
      </c>
      <c r="D22" s="11">
        <v>1.9099999999999999E-2</v>
      </c>
      <c r="E22" s="10">
        <f t="shared" si="2"/>
        <v>1066783.5604113787</v>
      </c>
      <c r="F22" s="3"/>
      <c r="G22" s="29">
        <v>2.4</v>
      </c>
      <c r="H22" s="10"/>
      <c r="I22" s="10">
        <f t="shared" si="5"/>
        <v>2911.2469075816748</v>
      </c>
      <c r="J22" s="10">
        <f t="shared" si="3"/>
        <v>165706211770.97205</v>
      </c>
      <c r="K22" s="11">
        <f t="shared" si="4"/>
        <v>4.3558399999999997E-2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55852542.429915383</v>
      </c>
      <c r="D23" s="11">
        <v>2.0199999999999999E-2</v>
      </c>
      <c r="E23" s="10">
        <f t="shared" si="2"/>
        <v>1105882.5299787223</v>
      </c>
      <c r="F23" s="3"/>
      <c r="G23" s="29">
        <v>1.42</v>
      </c>
      <c r="H23" s="10"/>
      <c r="I23" s="10">
        <f t="shared" si="5"/>
        <v>2843.0145581852294</v>
      </c>
      <c r="J23" s="10">
        <f t="shared" si="3"/>
        <v>158789591239.90765</v>
      </c>
      <c r="K23" s="11">
        <f t="shared" si="4"/>
        <v>3.4686839999999997E-2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54746659.899936661</v>
      </c>
      <c r="D24" s="11">
        <v>2.12E-2</v>
      </c>
      <c r="E24" s="10">
        <f t="shared" si="2"/>
        <v>1136534.6551886648</v>
      </c>
      <c r="F24" s="3"/>
      <c r="G24" s="29">
        <v>-1.33</v>
      </c>
      <c r="H24" s="10"/>
      <c r="I24" s="10">
        <f t="shared" si="5"/>
        <v>2803.2089905198477</v>
      </c>
      <c r="J24" s="10">
        <f t="shared" si="3"/>
        <v>153466329232.43488</v>
      </c>
      <c r="K24" s="11">
        <f t="shared" si="4"/>
        <v>7.6180400000001036E-3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53610125.244747996</v>
      </c>
      <c r="D25" s="11">
        <v>2.1899999999999999E-2</v>
      </c>
      <c r="E25" s="10">
        <f t="shared" si="2"/>
        <v>1148900.8150112331</v>
      </c>
      <c r="F25" s="3"/>
      <c r="G25" s="29">
        <v>11.33</v>
      </c>
      <c r="H25" s="10"/>
      <c r="I25" s="10">
        <f t="shared" si="5"/>
        <v>2840.9942135601982</v>
      </c>
      <c r="J25" s="10">
        <f t="shared" si="3"/>
        <v>152306055608.56656</v>
      </c>
      <c r="K25" s="11">
        <f t="shared" si="4"/>
        <v>0.13768126999999986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52461224.429736763</v>
      </c>
      <c r="D26" s="11">
        <v>2.24E-2</v>
      </c>
      <c r="E26" s="10">
        <f t="shared" si="2"/>
        <v>1149385.1987735778</v>
      </c>
      <c r="F26" s="3"/>
      <c r="G26" s="29">
        <v>-1.66</v>
      </c>
      <c r="H26" s="10"/>
      <c r="I26" s="10">
        <f t="shared" si="5"/>
        <v>2551.8676130065555</v>
      </c>
      <c r="J26" s="10">
        <f t="shared" si="3"/>
        <v>133874099560.91356</v>
      </c>
      <c r="K26" s="11">
        <f t="shared" si="4"/>
        <v>5.4281600000001262E-3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51311839.230963185</v>
      </c>
      <c r="D27" s="11">
        <v>2.2800000000000001E-2</v>
      </c>
      <c r="E27" s="10">
        <f t="shared" si="2"/>
        <v>1143830.5968576074</v>
      </c>
      <c r="F27" s="3"/>
      <c r="G27" s="29">
        <v>-6.41</v>
      </c>
      <c r="H27" s="10"/>
      <c r="I27" s="10">
        <f t="shared" si="5"/>
        <v>2594.943678062391</v>
      </c>
      <c r="J27" s="10">
        <f t="shared" si="3"/>
        <v>133151332822.14169</v>
      </c>
      <c r="K27" s="11">
        <f t="shared" si="4"/>
        <v>-4.2761480000000129E-2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50168008.634105578</v>
      </c>
      <c r="D28" s="11">
        <v>2.3300000000000001E-2</v>
      </c>
      <c r="E28" s="10">
        <f t="shared" si="2"/>
        <v>1142299.0336896926</v>
      </c>
      <c r="F28" s="3"/>
      <c r="G28" s="29">
        <v>6.22</v>
      </c>
      <c r="H28" s="10"/>
      <c r="I28" s="10">
        <f t="shared" si="5"/>
        <v>2772.6719500613217</v>
      </c>
      <c r="J28" s="10">
        <f t="shared" si="3"/>
        <v>139099430330.21875</v>
      </c>
      <c r="K28" s="11">
        <f t="shared" si="4"/>
        <v>8.6949260000000139E-2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49025709.600415885</v>
      </c>
      <c r="D29" s="11">
        <v>2.3900000000000001E-2</v>
      </c>
      <c r="E29" s="10">
        <f t="shared" si="2"/>
        <v>1144364.1561187059</v>
      </c>
      <c r="F29" s="3"/>
      <c r="G29" s="29">
        <v>5.9</v>
      </c>
      <c r="H29" s="10"/>
      <c r="I29" s="10">
        <f t="shared" si="5"/>
        <v>2610.3106289411803</v>
      </c>
      <c r="J29" s="10">
        <f t="shared" si="3"/>
        <v>127972330861.34926</v>
      </c>
      <c r="K29" s="11">
        <f t="shared" si="4"/>
        <v>8.4310099999999943E-2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47881345.44429718</v>
      </c>
      <c r="D30" s="11">
        <v>2.4500000000000001E-2</v>
      </c>
      <c r="E30" s="10">
        <f t="shared" si="2"/>
        <v>1145039.4957396612</v>
      </c>
      <c r="F30" s="3"/>
      <c r="G30" s="29">
        <v>0.04</v>
      </c>
      <c r="H30" s="10"/>
      <c r="I30" s="10">
        <f t="shared" si="5"/>
        <v>2464.8825580181119</v>
      </c>
      <c r="J30" s="10">
        <f t="shared" si="3"/>
        <v>118021893240.0881</v>
      </c>
      <c r="K30" s="11">
        <f t="shared" si="4"/>
        <v>2.4909800000000093E-2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46736305.948557518</v>
      </c>
      <c r="D31" s="11">
        <v>2.5100000000000001E-2</v>
      </c>
      <c r="E31" s="10">
        <f t="shared" si="2"/>
        <v>1144357.8961162716</v>
      </c>
      <c r="F31" s="3"/>
      <c r="G31" s="29">
        <v>5.34</v>
      </c>
      <c r="H31" s="10"/>
      <c r="I31" s="10">
        <f t="shared" si="5"/>
        <v>2463.8969992184248</v>
      </c>
      <c r="J31" s="10">
        <f t="shared" si="3"/>
        <v>115153443981.20508</v>
      </c>
      <c r="K31" s="11">
        <f t="shared" si="4"/>
        <v>7.9840339999999621E-2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45591948.052441247</v>
      </c>
      <c r="D32" s="11">
        <v>2.58E-2</v>
      </c>
      <c r="E32" s="10">
        <f t="shared" si="2"/>
        <v>1146687.7166630775</v>
      </c>
      <c r="F32" s="3"/>
      <c r="G32" s="29">
        <v>-2.12</v>
      </c>
      <c r="H32" s="10"/>
      <c r="I32" s="10">
        <f t="shared" si="5"/>
        <v>2338.9946831388124</v>
      </c>
      <c r="J32" s="10">
        <f t="shared" si="3"/>
        <v>106639324088.60101</v>
      </c>
      <c r="K32" s="11">
        <f t="shared" si="4"/>
        <v>4.0530400000000633E-3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44445260.335778169</v>
      </c>
      <c r="D33" s="11">
        <v>2.64E-2</v>
      </c>
      <c r="E33" s="10">
        <f t="shared" si="2"/>
        <v>1143175.0515048131</v>
      </c>
      <c r="F33" s="3"/>
      <c r="G33" s="29">
        <v>4.66</v>
      </c>
      <c r="H33" s="10"/>
      <c r="I33" s="10">
        <f t="shared" si="5"/>
        <v>2389.6553771340546</v>
      </c>
      <c r="J33" s="10">
        <f t="shared" si="3"/>
        <v>106208855349.51521</v>
      </c>
      <c r="K33" s="11">
        <f t="shared" si="4"/>
        <v>7.4230239999999892E-2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43302085.284273356</v>
      </c>
      <c r="D34" s="11">
        <v>2.6800000000000001E-2</v>
      </c>
      <c r="E34" s="10">
        <f t="shared" si="2"/>
        <v>1130206.3552965745</v>
      </c>
      <c r="F34" s="3"/>
      <c r="G34" s="29">
        <v>-3.13</v>
      </c>
      <c r="H34" s="10"/>
      <c r="I34" s="10">
        <f t="shared" si="5"/>
        <v>2283.2556632276464</v>
      </c>
      <c r="J34" s="10">
        <f t="shared" ref="J34:J65" si="6">IF(I34="","",I34*C34)</f>
        <v>98869731454.883667</v>
      </c>
      <c r="K34" s="11">
        <f t="shared" ref="K34:K65" si="7">IFERROR(J34/J35-1,"")</f>
        <v>8.0095599999998601E-3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42171878.928976782</v>
      </c>
      <c r="D35" s="11">
        <v>2.7099999999999999E-2</v>
      </c>
      <c r="E35" s="10">
        <f t="shared" si="2"/>
        <v>1112703.6500586793</v>
      </c>
      <c r="F35" s="3"/>
      <c r="G35" s="29">
        <v>-9.57</v>
      </c>
      <c r="H35" s="10"/>
      <c r="I35" s="10">
        <f t="shared" ref="I35:I66" si="8">IF(H35&lt;&gt;"",H35,I34/(1+IF(G34="",0,G34)/100))</f>
        <v>2325.8181350999757</v>
      </c>
      <c r="J35" s="10">
        <f t="shared" si="6"/>
        <v>98084120804.254745</v>
      </c>
      <c r="K35" s="11">
        <f t="shared" si="7"/>
        <v>-4.3461770000000066E-2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41059175.278918102</v>
      </c>
      <c r="D36" s="11">
        <v>2.7199999999999998E-2</v>
      </c>
      <c r="E36" s="10">
        <f t="shared" si="2"/>
        <v>1087236.7285694778</v>
      </c>
      <c r="F36" s="3"/>
      <c r="G36" s="29">
        <v>-3.9</v>
      </c>
      <c r="H36" s="10"/>
      <c r="I36" s="10">
        <f t="shared" si="8"/>
        <v>2497.388741651429</v>
      </c>
      <c r="J36" s="10">
        <f t="shared" si="6"/>
        <v>102540722083.06274</v>
      </c>
      <c r="K36" s="11">
        <f t="shared" si="7"/>
        <v>3.6444799999999944E-2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39971938.550348625</v>
      </c>
      <c r="D37" s="11">
        <v>2.7300000000000001E-2</v>
      </c>
      <c r="E37" s="10">
        <f t="shared" si="2"/>
        <v>1062234.9093979597</v>
      </c>
      <c r="F37" s="3"/>
      <c r="G37" s="29">
        <v>-6.32</v>
      </c>
      <c r="H37" s="10"/>
      <c r="I37" s="10">
        <f t="shared" si="8"/>
        <v>2475.112727107462</v>
      </c>
      <c r="J37" s="10">
        <f t="shared" si="6"/>
        <v>98935053833.125275</v>
      </c>
      <c r="K37" s="11">
        <f t="shared" si="7"/>
        <v>1.6821540000000246E-2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38909703.640950665</v>
      </c>
      <c r="D38" s="11">
        <v>2.76E-2</v>
      </c>
      <c r="E38" s="10">
        <f t="shared" si="2"/>
        <v>1045064.0526374504</v>
      </c>
      <c r="F38" s="3"/>
      <c r="G38" s="29">
        <v>1.53</v>
      </c>
      <c r="H38" s="10"/>
      <c r="I38" s="10">
        <f t="shared" si="8"/>
        <v>2500.6190413290178</v>
      </c>
      <c r="J38" s="10">
        <f t="shared" si="6"/>
        <v>97298345817.030243</v>
      </c>
      <c r="K38" s="11">
        <f t="shared" si="7"/>
        <v>8.1343480000000135E-2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37864639.588313214</v>
      </c>
      <c r="D39" s="11">
        <v>2.81E-2</v>
      </c>
      <c r="E39" s="10">
        <f t="shared" si="2"/>
        <v>1034915.2537998259</v>
      </c>
      <c r="F39" s="3"/>
      <c r="G39" s="29">
        <v>8.86</v>
      </c>
      <c r="H39" s="10"/>
      <c r="I39" s="10">
        <f t="shared" si="8"/>
        <v>2376.3366353026872</v>
      </c>
      <c r="J39" s="10">
        <f t="shared" si="6"/>
        <v>89979130236.24115</v>
      </c>
      <c r="K39" s="11">
        <f t="shared" si="7"/>
        <v>0.11918965999999998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36829724.334513389</v>
      </c>
      <c r="D40" s="11">
        <v>2.8799999999999999E-2</v>
      </c>
      <c r="E40" s="10">
        <f t="shared" si="2"/>
        <v>1031003.169550918</v>
      </c>
      <c r="F40" s="3"/>
      <c r="G40" s="29">
        <v>-7.31</v>
      </c>
      <c r="H40" s="10"/>
      <c r="I40" s="10">
        <f t="shared" si="8"/>
        <v>2182.929115655601</v>
      </c>
      <c r="J40" s="10">
        <f t="shared" si="6"/>
        <v>80396677571.378876</v>
      </c>
      <c r="K40" s="11">
        <f t="shared" si="7"/>
        <v>-4.6405279999999993E-2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35798721.164962471</v>
      </c>
      <c r="D41" s="11">
        <v>2.9700000000000001E-2</v>
      </c>
      <c r="E41" s="10">
        <f t="shared" si="2"/>
        <v>1032555.131202668</v>
      </c>
      <c r="F41" s="3"/>
      <c r="G41" s="29">
        <v>8.35</v>
      </c>
      <c r="H41" s="10"/>
      <c r="I41" s="10">
        <f t="shared" si="8"/>
        <v>2355.0858945469854</v>
      </c>
      <c r="J41" s="10">
        <f t="shared" si="6"/>
        <v>84309063258.423737</v>
      </c>
      <c r="K41" s="11">
        <f t="shared" si="7"/>
        <v>0.11567994999999986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34766166.033759803</v>
      </c>
      <c r="D42" s="11">
        <v>3.0499999999999999E-2</v>
      </c>
      <c r="E42" s="10">
        <f t="shared" si="2"/>
        <v>1028984.0504897386</v>
      </c>
      <c r="F42" s="3"/>
      <c r="G42" s="29">
        <v>-5.88</v>
      </c>
      <c r="H42" s="10"/>
      <c r="I42" s="10">
        <f t="shared" si="8"/>
        <v>2173.5910424983717</v>
      </c>
      <c r="J42" s="10">
        <f t="shared" si="6"/>
        <v>75567427072.991455</v>
      </c>
      <c r="K42" s="11">
        <f t="shared" si="7"/>
        <v>-3.0093399999999826E-2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33737181.983270064</v>
      </c>
      <c r="D43" s="11">
        <v>3.1300000000000001E-2</v>
      </c>
      <c r="E43" s="10">
        <f t="shared" si="2"/>
        <v>1023924.9452888146</v>
      </c>
      <c r="F43" s="3"/>
      <c r="G43" s="29">
        <v>5.94</v>
      </c>
      <c r="H43" s="10"/>
      <c r="I43" s="10">
        <f t="shared" si="8"/>
        <v>2309.3827480858176</v>
      </c>
      <c r="J43" s="10">
        <f t="shared" si="6"/>
        <v>77912066041.195557</v>
      </c>
      <c r="K43" s="11">
        <f t="shared" si="7"/>
        <v>9.2559220000000053E-2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32713257.037981249</v>
      </c>
      <c r="D44" s="11">
        <v>3.2099999999999997E-2</v>
      </c>
      <c r="E44" s="10">
        <f t="shared" si="2"/>
        <v>1017435.8598190099</v>
      </c>
      <c r="F44" s="3"/>
      <c r="G44" s="29">
        <v>10.78</v>
      </c>
      <c r="H44" s="10"/>
      <c r="I44" s="10">
        <f t="shared" si="8"/>
        <v>2179.8968737831015</v>
      </c>
      <c r="J44" s="10">
        <f t="shared" si="6"/>
        <v>71311526748.358368</v>
      </c>
      <c r="K44" s="11">
        <f t="shared" si="7"/>
        <v>0.14336038000000006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31695821.178162239</v>
      </c>
      <c r="D45" s="11">
        <v>3.27E-2</v>
      </c>
      <c r="E45" s="10">
        <f t="shared" si="2"/>
        <v>1003634.5042373426</v>
      </c>
      <c r="F45" s="3"/>
      <c r="G45" s="29">
        <v>11.08</v>
      </c>
      <c r="H45" s="10"/>
      <c r="I45" s="10">
        <f t="shared" si="8"/>
        <v>1967.7711444151487</v>
      </c>
      <c r="J45" s="10">
        <f t="shared" si="6"/>
        <v>62370122312.930214</v>
      </c>
      <c r="K45" s="11">
        <f t="shared" si="7"/>
        <v>0.14712315999999981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30692186.673924897</v>
      </c>
      <c r="D46" s="11">
        <v>3.3300000000000003E-2</v>
      </c>
      <c r="E46" s="10">
        <f t="shared" si="2"/>
        <v>989112.37418146059</v>
      </c>
      <c r="F46" s="3"/>
      <c r="G46" s="29">
        <v>16.34</v>
      </c>
      <c r="H46" s="10"/>
      <c r="I46" s="10">
        <f t="shared" si="8"/>
        <v>1771.4900471868461</v>
      </c>
      <c r="J46" s="10">
        <f t="shared" si="6"/>
        <v>54370903219.258705</v>
      </c>
      <c r="K46" s="11">
        <f t="shared" si="7"/>
        <v>0.20214122000000012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29703074.299743436</v>
      </c>
      <c r="D47" s="11">
        <v>3.3799999999999997E-2</v>
      </c>
      <c r="E47" s="10">
        <f t="shared" si="2"/>
        <v>971139.39962403849</v>
      </c>
      <c r="F47" s="3"/>
      <c r="G47" s="29">
        <v>17.170000000000002</v>
      </c>
      <c r="H47" s="10"/>
      <c r="I47" s="10">
        <f>IF(H47&lt;&gt;"",H47,I46/(1+IF(G46="",0,G46)/100))</f>
        <v>1522.6835543981831</v>
      </c>
      <c r="J47" s="10">
        <f t="shared" si="6"/>
        <v>45228382751.286659</v>
      </c>
      <c r="K47" s="11">
        <f t="shared" si="7"/>
        <v>0.21130346000000011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28731934.900119398</v>
      </c>
      <c r="D48" s="11">
        <v>3.4200000000000001E-2</v>
      </c>
      <c r="E48" s="10">
        <f t="shared" si="2"/>
        <v>950137.47204030678</v>
      </c>
      <c r="F48" s="3"/>
      <c r="G48" s="29">
        <v>22.37</v>
      </c>
      <c r="H48" s="10"/>
      <c r="I48" s="10">
        <f t="shared" si="8"/>
        <v>1299.5506993242154</v>
      </c>
      <c r="J48" s="10">
        <f t="shared" si="6"/>
        <v>37338606092.387993</v>
      </c>
      <c r="K48" s="11">
        <f t="shared" si="7"/>
        <v>0.26555054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27781797.428079091</v>
      </c>
      <c r="D49" s="11">
        <v>3.4299999999999997E-2</v>
      </c>
      <c r="E49" s="10">
        <f t="shared" si="2"/>
        <v>921314.56229634956</v>
      </c>
      <c r="F49" s="3"/>
      <c r="G49" s="29">
        <v>-18.399999999999999</v>
      </c>
      <c r="H49" s="10"/>
      <c r="I49" s="10">
        <f t="shared" si="8"/>
        <v>1061.9847179245039</v>
      </c>
      <c r="J49" s="10">
        <f t="shared" si="6"/>
        <v>29503844305.09428</v>
      </c>
      <c r="K49" s="11">
        <f t="shared" si="7"/>
        <v>-0.15601119999999979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26860482.865782741</v>
      </c>
      <c r="D50" s="11">
        <v>3.4000000000000002E-2</v>
      </c>
      <c r="E50" s="10">
        <f t="shared" si="2"/>
        <v>883226.70931974426</v>
      </c>
      <c r="F50" s="3"/>
      <c r="G50" s="29">
        <v>-9.3800000000000008</v>
      </c>
      <c r="H50" s="10"/>
      <c r="I50" s="10">
        <f t="shared" si="8"/>
        <v>1301.4518602015978</v>
      </c>
      <c r="J50" s="10">
        <f t="shared" si="6"/>
        <v>34957625391.58609</v>
      </c>
      <c r="K50" s="11">
        <f t="shared" si="7"/>
        <v>-6.2989200000000078E-2</v>
      </c>
      <c r="L50" t="s">
        <v>141</v>
      </c>
      <c r="M50" t="s">
        <v>142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25977256.156462997</v>
      </c>
      <c r="D51" s="11">
        <v>3.3399999999999999E-2</v>
      </c>
      <c r="E51" s="10">
        <f t="shared" si="2"/>
        <v>839597.78945796937</v>
      </c>
      <c r="F51" s="3"/>
      <c r="G51" s="29">
        <v>5.18</v>
      </c>
      <c r="H51" s="10"/>
      <c r="I51" s="10">
        <f t="shared" si="8"/>
        <v>1436.1640478940608</v>
      </c>
      <c r="J51" s="10">
        <f t="shared" si="6"/>
        <v>37307601354.846809</v>
      </c>
      <c r="K51" s="11">
        <f t="shared" si="7"/>
        <v>8.6930120000000111E-2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25137658.367005028</v>
      </c>
      <c r="D52" s="11">
        <v>3.2599999999999997E-2</v>
      </c>
      <c r="E52" s="10">
        <f t="shared" si="2"/>
        <v>793615.78807317838</v>
      </c>
      <c r="F52" s="3"/>
      <c r="G52" s="29">
        <v>6.22</v>
      </c>
      <c r="H52" s="10"/>
      <c r="I52" s="10">
        <f t="shared" si="8"/>
        <v>1365.4345387849978</v>
      </c>
      <c r="J52" s="10">
        <f t="shared" si="6"/>
        <v>34323826958.486351</v>
      </c>
      <c r="K52" s="11">
        <f t="shared" si="7"/>
        <v>9.6827720000000062E-2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24344042.578931849</v>
      </c>
      <c r="D53" s="11">
        <v>3.1800000000000002E-2</v>
      </c>
      <c r="E53" s="10">
        <f t="shared" si="2"/>
        <v>750281.59915684536</v>
      </c>
      <c r="F53" s="3"/>
      <c r="G53" s="29">
        <v>7.5</v>
      </c>
      <c r="H53" s="10"/>
      <c r="I53" s="10">
        <f t="shared" si="8"/>
        <v>1285.4778184758029</v>
      </c>
      <c r="J53" s="10">
        <f t="shared" si="6"/>
        <v>31293726747.247372</v>
      </c>
      <c r="K53" s="11">
        <f t="shared" si="7"/>
        <v>0.10918499999999987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23593760.979775004</v>
      </c>
      <c r="D54" s="11">
        <v>3.1099999999999999E-2</v>
      </c>
      <c r="E54" s="10">
        <f t="shared" si="2"/>
        <v>711634.14457472786</v>
      </c>
      <c r="F54" s="3"/>
      <c r="G54" s="29">
        <v>9.1999999999999993</v>
      </c>
      <c r="H54" s="10"/>
      <c r="I54" s="10">
        <f t="shared" si="8"/>
        <v>1195.7933195123749</v>
      </c>
      <c r="J54" s="10">
        <f t="shared" si="6"/>
        <v>28213261761.786694</v>
      </c>
      <c r="K54" s="11">
        <f t="shared" si="7"/>
        <v>0.12596119999999988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22882126.835200276</v>
      </c>
      <c r="D55" s="11">
        <v>3.0599999999999999E-2</v>
      </c>
      <c r="E55" s="10">
        <f t="shared" si="2"/>
        <v>679403.33898421004</v>
      </c>
      <c r="F55" s="3"/>
      <c r="G55" s="29">
        <v>7.06</v>
      </c>
      <c r="H55" s="10"/>
      <c r="I55" s="10">
        <f t="shared" si="8"/>
        <v>1095.0488273922847</v>
      </c>
      <c r="J55" s="10">
        <f t="shared" si="6"/>
        <v>25057046159.127594</v>
      </c>
      <c r="K55" s="11">
        <f t="shared" si="7"/>
        <v>0.10336035999999993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22202723.496216066</v>
      </c>
      <c r="D56" s="11">
        <v>3.0599999999999999E-2</v>
      </c>
      <c r="E56" s="10">
        <f t="shared" si="2"/>
        <v>659230.87423269078</v>
      </c>
      <c r="F56" s="3"/>
      <c r="G56" s="29">
        <v>8.65</v>
      </c>
      <c r="H56" s="10"/>
      <c r="I56" s="10">
        <f t="shared" si="8"/>
        <v>1022.8365658437182</v>
      </c>
      <c r="J56" s="10">
        <f t="shared" si="6"/>
        <v>22709757453.247272</v>
      </c>
      <c r="K56" s="11">
        <f t="shared" si="7"/>
        <v>0.11974689999999977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21543492.621983375</v>
      </c>
      <c r="D57" s="11">
        <v>3.1199999999999999E-2</v>
      </c>
      <c r="E57" s="10">
        <f t="shared" si="2"/>
        <v>651820.18018413335</v>
      </c>
      <c r="F57" s="3"/>
      <c r="G57" s="29">
        <v>8.32</v>
      </c>
      <c r="H57" s="10"/>
      <c r="I57" s="10">
        <f t="shared" si="8"/>
        <v>941.40503068911016</v>
      </c>
      <c r="J57" s="10">
        <f t="shared" si="6"/>
        <v>20281152332.948879</v>
      </c>
      <c r="K57" s="11">
        <f t="shared" si="7"/>
        <v>0.11699583999999996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20891672.441799242</v>
      </c>
      <c r="D58" s="11">
        <v>3.2399999999999998E-2</v>
      </c>
      <c r="E58" s="10">
        <f t="shared" si="2"/>
        <v>655647.21727459878</v>
      </c>
      <c r="F58" s="3"/>
      <c r="G58" s="30">
        <v>10.35</v>
      </c>
      <c r="H58" s="10"/>
      <c r="I58" s="10">
        <f t="shared" si="8"/>
        <v>869.09622478684469</v>
      </c>
      <c r="J58" s="10">
        <f t="shared" si="6"/>
        <v>18156873648.651081</v>
      </c>
      <c r="K58" s="11">
        <f t="shared" si="7"/>
        <v>0.13925339999999986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20236025.224524643</v>
      </c>
      <c r="D59" s="11">
        <v>3.3700000000000001E-2</v>
      </c>
      <c r="E59" s="10">
        <f t="shared" si="2"/>
        <v>659721.43761872873</v>
      </c>
      <c r="F59" s="3"/>
      <c r="G59" s="30">
        <v>4.87</v>
      </c>
      <c r="H59" s="10"/>
      <c r="I59" s="10">
        <f t="shared" si="8"/>
        <v>787.58153582858608</v>
      </c>
      <c r="J59" s="10">
        <f t="shared" si="6"/>
        <v>15937519825.397127</v>
      </c>
      <c r="K59" s="11">
        <f t="shared" si="7"/>
        <v>8.4041189999999988E-2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19576303.786905915</v>
      </c>
      <c r="D60" s="11">
        <v>3.4700000000000002E-2</v>
      </c>
      <c r="E60" s="10">
        <f t="shared" si="2"/>
        <v>656516.6148696579</v>
      </c>
      <c r="F60" s="3"/>
      <c r="G60" s="30">
        <v>3.62</v>
      </c>
      <c r="H60" s="10"/>
      <c r="I60" s="10">
        <f t="shared" si="8"/>
        <v>751.00747194487087</v>
      </c>
      <c r="J60" s="10">
        <f t="shared" si="6"/>
        <v>14701950417.029013</v>
      </c>
      <c r="K60" s="11">
        <f t="shared" si="7"/>
        <v>7.2156139999999924E-2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18919787.172036257</v>
      </c>
      <c r="D61" s="11">
        <v>3.5099999999999999E-2</v>
      </c>
      <c r="E61" s="10">
        <f t="shared" si="2"/>
        <v>641565.57795234397</v>
      </c>
      <c r="F61" s="3"/>
      <c r="G61" s="30">
        <v>7.36</v>
      </c>
      <c r="H61" s="10"/>
      <c r="I61" s="10">
        <f t="shared" si="8"/>
        <v>724.770770068395</v>
      </c>
      <c r="J61" s="10">
        <f t="shared" si="6"/>
        <v>13712508718.20686</v>
      </c>
      <c r="K61" s="11">
        <f t="shared" si="7"/>
        <v>0.11128336000000005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18278221.594083913</v>
      </c>
      <c r="D62" s="11">
        <v>3.4700000000000002E-2</v>
      </c>
      <c r="E62" s="10">
        <f t="shared" si="2"/>
        <v>612983.75308274105</v>
      </c>
      <c r="F62" s="3"/>
      <c r="G62" s="30">
        <v>2.41</v>
      </c>
      <c r="H62" s="10"/>
      <c r="I62" s="10">
        <f t="shared" si="8"/>
        <v>675.0845473811429</v>
      </c>
      <c r="J62" s="10">
        <f t="shared" si="6"/>
        <v>12339344951.77437</v>
      </c>
      <c r="K62" s="11">
        <f t="shared" si="7"/>
        <v>5.9636269999999936E-2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17665237.841001172</v>
      </c>
      <c r="D63" s="11">
        <v>3.3399999999999999E-2</v>
      </c>
      <c r="E63" s="10">
        <f t="shared" si="2"/>
        <v>570949.23929692432</v>
      </c>
      <c r="F63" s="3"/>
      <c r="G63" s="30">
        <v>11.4</v>
      </c>
      <c r="H63" s="10"/>
      <c r="I63" s="10">
        <f t="shared" si="8"/>
        <v>659.19787850907426</v>
      </c>
      <c r="J63" s="10">
        <f t="shared" si="6"/>
        <v>11644887308.146191</v>
      </c>
      <c r="K63" s="11">
        <f t="shared" si="7"/>
        <v>0.15120760000000022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17094288.601704247</v>
      </c>
      <c r="D64" s="11">
        <v>3.1399999999999997E-2</v>
      </c>
      <c r="E64" s="10">
        <f t="shared" si="2"/>
        <v>520419.49010424316</v>
      </c>
      <c r="F64" s="3"/>
      <c r="G64" s="30">
        <v>9.92</v>
      </c>
      <c r="H64" s="10"/>
      <c r="I64" s="10">
        <f t="shared" si="8"/>
        <v>591.73956778193372</v>
      </c>
      <c r="J64" s="10">
        <f t="shared" si="6"/>
        <v>10115366948.712107</v>
      </c>
      <c r="K64" s="11">
        <f t="shared" si="7"/>
        <v>0.13371488000000009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16573869.111600004</v>
      </c>
      <c r="D65" s="11">
        <v>2.9399999999999999E-2</v>
      </c>
      <c r="E65" s="10">
        <f t="shared" si="2"/>
        <v>473355.11160000227</v>
      </c>
      <c r="F65" s="3"/>
      <c r="G65" s="30">
        <v>6</v>
      </c>
      <c r="H65" s="10"/>
      <c r="I65" s="10">
        <f t="shared" si="8"/>
        <v>538.33657913203581</v>
      </c>
      <c r="J65" s="10">
        <f t="shared" si="6"/>
        <v>8922320000.5208588</v>
      </c>
      <c r="K65" s="11">
        <f t="shared" si="7"/>
        <v>9.1164000000000023E-2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16100514.000000002</v>
      </c>
      <c r="D66" s="11">
        <v>2.75E-2</v>
      </c>
      <c r="E66" s="10">
        <f t="shared" si="2"/>
        <v>430914.00000000186</v>
      </c>
      <c r="F66" s="23">
        <f>SUM(F2)</f>
        <v>71957346</v>
      </c>
      <c r="G66" s="30">
        <v>8.4</v>
      </c>
      <c r="H66" s="10"/>
      <c r="I66" s="10">
        <f t="shared" si="8"/>
        <v>507.8646972943734</v>
      </c>
      <c r="J66" s="10">
        <f t="shared" ref="J66:J67" si="9">IF(I66="","",I66*C66)</f>
        <v>8176882668.8938217</v>
      </c>
      <c r="K66" s="11">
        <f t="shared" ref="K66" si="10">IFERROR(J66/J67-1,"")</f>
        <v>0.11381000000000019</v>
      </c>
    </row>
    <row r="67" spans="1:11" ht="22.5" customHeight="1">
      <c r="A67" s="3">
        <f t="shared" si="0"/>
        <v>1950</v>
      </c>
      <c r="B67" s="3">
        <v>1700</v>
      </c>
      <c r="C67" s="10">
        <v>15669600</v>
      </c>
      <c r="D67" s="11">
        <v>2.5700000000000001E-2</v>
      </c>
      <c r="E67" s="3" t="s">
        <v>72</v>
      </c>
      <c r="F67" s="10">
        <f>SUM(C2)</f>
        <v>71957417.637829334</v>
      </c>
      <c r="G67" s="30">
        <v>11.4</v>
      </c>
      <c r="H67" s="10"/>
      <c r="I67" s="10">
        <f t="shared" ref="I67" si="11">IF(H67&lt;&gt;"",H67,I66/(1+IF(G66="",0,G66)/100))</f>
        <v>468.50986835274296</v>
      </c>
      <c r="J67" s="10">
        <f t="shared" si="9"/>
        <v>7341362233.1401415</v>
      </c>
      <c r="K67" s="11"/>
    </row>
  </sheetData>
  <dataValidations count="1">
    <dataValidation type="custom" allowBlank="1" showDropDown="1" sqref="D2:D67" xr:uid="{00000000-0002-0000-8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outlinePr summaryBelow="0" summaryRight="0"/>
  </sheetPr>
  <dimension ref="A1:M67"/>
  <sheetViews>
    <sheetView topLeftCell="A25"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31948416.67182257</v>
      </c>
      <c r="D2" s="11">
        <v>2.9399999999999999E-2</v>
      </c>
      <c r="E2" s="10">
        <f t="shared" ref="E2:E66" si="2">SUM(C2-C3)</f>
        <v>912457.20822963491</v>
      </c>
      <c r="F2" s="14">
        <v>31948027</v>
      </c>
      <c r="G2" s="29">
        <v>1.42</v>
      </c>
      <c r="H2" s="10"/>
      <c r="I2" s="10">
        <f>IF(H2&lt;&gt;"",H2,3936)</f>
        <v>492</v>
      </c>
      <c r="J2" s="10">
        <f t="shared" ref="J2:J33" si="3">IF(I2="","",I2*C2)</f>
        <v>15718621002.536705</v>
      </c>
      <c r="K2" s="11">
        <f t="shared" ref="K2:K33" si="4">IFERROR(J2/J3-1,"")</f>
        <v>4.4017480000000164E-2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31035959.463592935</v>
      </c>
      <c r="D3" s="11">
        <v>2.9499999999999998E-2</v>
      </c>
      <c r="E3" s="10">
        <f t="shared" si="2"/>
        <v>889325.69613986835</v>
      </c>
      <c r="F3" s="3"/>
      <c r="G3" s="29">
        <v>2.2000000000000002</v>
      </c>
      <c r="H3" s="10"/>
      <c r="I3" s="10">
        <f t="shared" ref="I3:I34" si="5">IF(H3&lt;&gt;"",H3,I2/(1+IF(G2="",0,G2)/100))</f>
        <v>485.11141786629855</v>
      </c>
      <c r="J3" s="10">
        <f t="shared" si="3"/>
        <v>15055898300.224535</v>
      </c>
      <c r="K3" s="11">
        <f t="shared" si="4"/>
        <v>5.2149000000000001E-2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30146633.767453067</v>
      </c>
      <c r="D4" s="11">
        <v>2.9600000000000001E-2</v>
      </c>
      <c r="E4" s="10">
        <f t="shared" si="2"/>
        <v>866686.4408669509</v>
      </c>
      <c r="F4" s="3"/>
      <c r="G4" s="29">
        <v>-0.6</v>
      </c>
      <c r="H4" s="10"/>
      <c r="I4" s="10">
        <f t="shared" si="5"/>
        <v>474.66870632710231</v>
      </c>
      <c r="J4" s="10">
        <f t="shared" si="3"/>
        <v>14309663650.513885</v>
      </c>
      <c r="K4" s="11">
        <f t="shared" si="4"/>
        <v>2.3422400000000065E-2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29279947.326586116</v>
      </c>
      <c r="D5" s="11">
        <v>2.9700000000000001E-2</v>
      </c>
      <c r="E5" s="10">
        <f t="shared" si="2"/>
        <v>844531.83995300531</v>
      </c>
      <c r="F5" s="3"/>
      <c r="G5" s="29">
        <v>3.37</v>
      </c>
      <c r="H5" s="10"/>
      <c r="I5" s="10">
        <f t="shared" si="5"/>
        <v>477.53390978581723</v>
      </c>
      <c r="J5" s="10">
        <f t="shared" si="3"/>
        <v>13982167725.187454</v>
      </c>
      <c r="K5" s="11">
        <f t="shared" si="4"/>
        <v>6.4400890000000155E-2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28435415.486633111</v>
      </c>
      <c r="D6" s="11">
        <v>2.9899999999999999E-2</v>
      </c>
      <c r="E6" s="10">
        <f t="shared" si="2"/>
        <v>825535.4141667448</v>
      </c>
      <c r="F6" s="3"/>
      <c r="G6" s="29">
        <v>6.47</v>
      </c>
      <c r="H6" s="10"/>
      <c r="I6" s="10">
        <f t="shared" si="5"/>
        <v>461.96566681417937</v>
      </c>
      <c r="J6" s="10">
        <f t="shared" si="3"/>
        <v>13136185676.420708</v>
      </c>
      <c r="K6" s="11">
        <f t="shared" si="4"/>
        <v>9.6534530000000007E-2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27609880.072466366</v>
      </c>
      <c r="D7" s="11">
        <v>3.0200000000000001E-2</v>
      </c>
      <c r="E7" s="10">
        <f t="shared" si="2"/>
        <v>809375.24576634169</v>
      </c>
      <c r="F7" s="3"/>
      <c r="G7" s="29">
        <v>5.77</v>
      </c>
      <c r="H7" s="10"/>
      <c r="I7" s="10">
        <f t="shared" si="5"/>
        <v>433.89280249288942</v>
      </c>
      <c r="J7" s="10">
        <f t="shared" si="3"/>
        <v>11979728241.135012</v>
      </c>
      <c r="K7" s="11">
        <f t="shared" si="4"/>
        <v>8.9642540000000048E-2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26800504.826700024</v>
      </c>
      <c r="D8" s="11">
        <v>3.0599999999999999E-2</v>
      </c>
      <c r="E8" s="10">
        <f t="shared" si="2"/>
        <v>795745.6313768886</v>
      </c>
      <c r="F8" s="3"/>
      <c r="G8" s="29">
        <v>6.08</v>
      </c>
      <c r="H8" s="10"/>
      <c r="I8" s="10">
        <f t="shared" si="5"/>
        <v>410.22293891735785</v>
      </c>
      <c r="J8" s="10">
        <f t="shared" si="3"/>
        <v>10994181854.477718</v>
      </c>
      <c r="K8" s="11">
        <f t="shared" si="4"/>
        <v>9.326048000000009E-2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26004759.195323136</v>
      </c>
      <c r="D9" s="11">
        <v>3.1099999999999999E-2</v>
      </c>
      <c r="E9" s="10">
        <f t="shared" si="2"/>
        <v>784354.58342987671</v>
      </c>
      <c r="F9" s="3"/>
      <c r="G9" s="29">
        <v>1.03</v>
      </c>
      <c r="H9" s="10"/>
      <c r="I9" s="10">
        <f t="shared" si="5"/>
        <v>386.7109152690025</v>
      </c>
      <c r="J9" s="10">
        <f t="shared" si="3"/>
        <v>10056324229.773418</v>
      </c>
      <c r="K9" s="11">
        <f t="shared" si="4"/>
        <v>4.1720329999999972E-2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25220404.611893259</v>
      </c>
      <c r="D10" s="11">
        <v>3.1600000000000003E-2</v>
      </c>
      <c r="E10" s="10">
        <f t="shared" si="2"/>
        <v>772552.13816966861</v>
      </c>
      <c r="F10" s="3"/>
      <c r="G10" s="29">
        <v>9.32</v>
      </c>
      <c r="H10" s="10"/>
      <c r="I10" s="10">
        <f t="shared" si="5"/>
        <v>382.76840074136641</v>
      </c>
      <c r="J10" s="10">
        <f t="shared" si="3"/>
        <v>9653573939.3445644</v>
      </c>
      <c r="K10" s="11">
        <f t="shared" si="4"/>
        <v>0.12774512000000016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24447852.47372359</v>
      </c>
      <c r="D11" s="11">
        <v>3.2099999999999997E-2</v>
      </c>
      <c r="E11" s="10">
        <f t="shared" si="2"/>
        <v>760368.24378115311</v>
      </c>
      <c r="F11" s="3"/>
      <c r="G11" s="29">
        <v>12.71</v>
      </c>
      <c r="H11" s="10"/>
      <c r="I11" s="10">
        <f t="shared" si="5"/>
        <v>350.13574894014494</v>
      </c>
      <c r="J11" s="10">
        <f t="shared" si="3"/>
        <v>8560067135.8653841</v>
      </c>
      <c r="K11" s="11">
        <f t="shared" si="4"/>
        <v>0.16327990999999997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23687484.229942437</v>
      </c>
      <c r="D12" s="11">
        <v>3.2599999999999997E-2</v>
      </c>
      <c r="E12" s="10">
        <f t="shared" si="2"/>
        <v>747832.64177428186</v>
      </c>
      <c r="F12" s="3"/>
      <c r="G12" s="29">
        <v>-1.96</v>
      </c>
      <c r="H12" s="10"/>
      <c r="I12" s="10">
        <f t="shared" si="5"/>
        <v>310.65189330152157</v>
      </c>
      <c r="J12" s="10">
        <f t="shared" si="3"/>
        <v>7358561823.5815525</v>
      </c>
      <c r="K12" s="11">
        <f t="shared" si="4"/>
        <v>1.2361040000000045E-2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22939651.588168155</v>
      </c>
      <c r="D13" s="11">
        <v>3.3000000000000002E-2</v>
      </c>
      <c r="E13" s="10">
        <f t="shared" si="2"/>
        <v>732825.26854747906</v>
      </c>
      <c r="F13" s="3"/>
      <c r="G13" s="29">
        <v>-7.84</v>
      </c>
      <c r="H13" s="10"/>
      <c r="I13" s="10">
        <f t="shared" si="5"/>
        <v>316.86239626838181</v>
      </c>
      <c r="J13" s="10">
        <f t="shared" si="3"/>
        <v>7268712971.7887526</v>
      </c>
      <c r="K13" s="11">
        <f t="shared" si="4"/>
        <v>-4.798720000000023E-2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22206826.319620676</v>
      </c>
      <c r="D14" s="11">
        <v>3.3300000000000003E-2</v>
      </c>
      <c r="E14" s="10">
        <f t="shared" si="2"/>
        <v>715655.97255721688</v>
      </c>
      <c r="F14" s="3"/>
      <c r="G14" s="29">
        <v>-11.96</v>
      </c>
      <c r="H14" s="10"/>
      <c r="I14" s="10">
        <f t="shared" si="5"/>
        <v>343.81770428426847</v>
      </c>
      <c r="J14" s="10">
        <f t="shared" si="3"/>
        <v>7635100044.6514521</v>
      </c>
      <c r="K14" s="11">
        <f t="shared" si="4"/>
        <v>-9.0282679999999838E-2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21491170.347063459</v>
      </c>
      <c r="D15" s="11">
        <v>3.3399999999999999E-2</v>
      </c>
      <c r="E15" s="10">
        <f t="shared" si="2"/>
        <v>694605.27345841005</v>
      </c>
      <c r="F15" s="3"/>
      <c r="G15" s="29">
        <v>-0.01</v>
      </c>
      <c r="H15" s="10"/>
      <c r="I15" s="10">
        <f t="shared" si="5"/>
        <v>390.52442558413048</v>
      </c>
      <c r="J15" s="10">
        <f t="shared" si="3"/>
        <v>8392826954.9176559</v>
      </c>
      <c r="K15" s="11">
        <f t="shared" si="4"/>
        <v>3.32966600000002E-2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20796565.073605049</v>
      </c>
      <c r="D16" s="11">
        <v>3.32E-2</v>
      </c>
      <c r="E16" s="10">
        <f t="shared" si="2"/>
        <v>668259.73716965318</v>
      </c>
      <c r="F16" s="3"/>
      <c r="G16" s="29">
        <v>9.32</v>
      </c>
      <c r="H16" s="10"/>
      <c r="I16" s="10">
        <f t="shared" si="5"/>
        <v>390.56348193232373</v>
      </c>
      <c r="J16" s="10">
        <f t="shared" si="3"/>
        <v>8122378867.3793402</v>
      </c>
      <c r="K16" s="11">
        <f t="shared" si="4"/>
        <v>0.12949423999999987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20128305.336435396</v>
      </c>
      <c r="D17" s="11">
        <v>3.2899999999999999E-2</v>
      </c>
      <c r="E17" s="10">
        <f t="shared" si="2"/>
        <v>641128.13008880243</v>
      </c>
      <c r="F17" s="3"/>
      <c r="G17" s="29">
        <v>6.2</v>
      </c>
      <c r="H17" s="10"/>
      <c r="I17" s="10">
        <f t="shared" si="5"/>
        <v>357.26626594614322</v>
      </c>
      <c r="J17" s="10">
        <f t="shared" si="3"/>
        <v>7191164487.3721018</v>
      </c>
      <c r="K17" s="11">
        <f t="shared" si="4"/>
        <v>9.6939800000000131E-2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19487177.206346594</v>
      </c>
      <c r="D18" s="11">
        <v>3.2500000000000001E-2</v>
      </c>
      <c r="E18" s="10">
        <f t="shared" si="2"/>
        <v>613397.82973972335</v>
      </c>
      <c r="F18" s="3"/>
      <c r="G18" s="29">
        <v>3.71</v>
      </c>
      <c r="H18" s="10"/>
      <c r="I18" s="10">
        <f t="shared" si="5"/>
        <v>336.40891332028548</v>
      </c>
      <c r="J18" s="10">
        <f t="shared" si="3"/>
        <v>6555660107.666894</v>
      </c>
      <c r="K18" s="11">
        <f t="shared" si="4"/>
        <v>7.080574999999989E-2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18873779.37660687</v>
      </c>
      <c r="D19" s="11">
        <v>3.2099999999999997E-2</v>
      </c>
      <c r="E19" s="10">
        <f t="shared" si="2"/>
        <v>587005.44326042011</v>
      </c>
      <c r="F19" s="3"/>
      <c r="G19" s="29">
        <v>4.7300000000000004</v>
      </c>
      <c r="H19" s="10"/>
      <c r="I19" s="10">
        <f t="shared" si="5"/>
        <v>324.37461510007279</v>
      </c>
      <c r="J19" s="10">
        <f t="shared" si="3"/>
        <v>6122174920.770545</v>
      </c>
      <c r="K19" s="11">
        <f t="shared" si="4"/>
        <v>8.0918329999999816E-2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18286773.93334645</v>
      </c>
      <c r="D20" s="11">
        <v>3.1600000000000003E-2</v>
      </c>
      <c r="E20" s="10">
        <f t="shared" si="2"/>
        <v>560160.96965272352</v>
      </c>
      <c r="F20" s="3"/>
      <c r="G20" s="29">
        <v>5.47</v>
      </c>
      <c r="H20" s="10"/>
      <c r="I20" s="10">
        <f t="shared" si="5"/>
        <v>309.72463964487042</v>
      </c>
      <c r="J20" s="10">
        <f t="shared" si="3"/>
        <v>5663864466.7729387</v>
      </c>
      <c r="K20" s="11">
        <f t="shared" si="4"/>
        <v>8.8028520000000166E-2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17726612.963693727</v>
      </c>
      <c r="D21" s="11">
        <v>3.1099999999999999E-2</v>
      </c>
      <c r="E21" s="10">
        <f t="shared" si="2"/>
        <v>534669.44347868487</v>
      </c>
      <c r="F21" s="3"/>
      <c r="G21" s="29">
        <v>6.6</v>
      </c>
      <c r="H21" s="10"/>
      <c r="I21" s="10">
        <f t="shared" si="5"/>
        <v>293.66136308416651</v>
      </c>
      <c r="J21" s="10">
        <f t="shared" si="3"/>
        <v>5205621325.7837563</v>
      </c>
      <c r="K21" s="11">
        <f t="shared" si="4"/>
        <v>9.9152599999999591E-2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17191943.520215042</v>
      </c>
      <c r="D22" s="11">
        <v>3.0599999999999999E-2</v>
      </c>
      <c r="E22" s="10">
        <f t="shared" si="2"/>
        <v>510453.59180921875</v>
      </c>
      <c r="F22" s="3"/>
      <c r="G22" s="29">
        <v>-4.3600000000000003</v>
      </c>
      <c r="H22" s="10"/>
      <c r="I22" s="10">
        <f t="shared" si="5"/>
        <v>275.47970270559711</v>
      </c>
      <c r="J22" s="10">
        <f t="shared" si="3"/>
        <v>4736031489.8802567</v>
      </c>
      <c r="K22" s="11">
        <f t="shared" si="4"/>
        <v>-1.4334159999999763E-2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16681489.928405823</v>
      </c>
      <c r="D23" s="11">
        <v>3.0300000000000001E-2</v>
      </c>
      <c r="E23" s="10">
        <f t="shared" si="2"/>
        <v>490584.43640754744</v>
      </c>
      <c r="F23" s="3"/>
      <c r="G23" s="29">
        <v>6.68</v>
      </c>
      <c r="H23" s="10"/>
      <c r="I23" s="10">
        <f t="shared" si="5"/>
        <v>288.03816677707766</v>
      </c>
      <c r="J23" s="10">
        <f t="shared" si="3"/>
        <v>4804905778.0882978</v>
      </c>
      <c r="K23" s="11">
        <f t="shared" si="4"/>
        <v>9.9124039999999969E-2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16190905.491998276</v>
      </c>
      <c r="D24" s="11">
        <v>3.0200000000000001E-2</v>
      </c>
      <c r="E24" s="10">
        <f t="shared" si="2"/>
        <v>474631.47530416213</v>
      </c>
      <c r="F24" s="3"/>
      <c r="G24" s="29">
        <v>5.28</v>
      </c>
      <c r="H24" s="10"/>
      <c r="I24" s="10">
        <f t="shared" si="5"/>
        <v>270.00203109962285</v>
      </c>
      <c r="J24" s="10">
        <f t="shared" si="3"/>
        <v>4371577368.1815729</v>
      </c>
      <c r="K24" s="11">
        <f t="shared" si="4"/>
        <v>8.4594560000000207E-2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15716274.016694114</v>
      </c>
      <c r="D25" s="11">
        <v>3.0499999999999999E-2</v>
      </c>
      <c r="E25" s="10">
        <f t="shared" si="2"/>
        <v>465159.00777211972</v>
      </c>
      <c r="F25" s="3"/>
      <c r="G25" s="29">
        <v>1.1599999999999999</v>
      </c>
      <c r="H25" s="10"/>
      <c r="I25" s="10">
        <f t="shared" si="5"/>
        <v>256.46089580131348</v>
      </c>
      <c r="J25" s="10">
        <f t="shared" si="3"/>
        <v>4030609712.9802794</v>
      </c>
      <c r="K25" s="11">
        <f t="shared" si="4"/>
        <v>4.2453799999999875E-2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15251115.008921994</v>
      </c>
      <c r="D26" s="11">
        <v>3.1099999999999999E-2</v>
      </c>
      <c r="E26" s="10">
        <f t="shared" si="2"/>
        <v>460003.56587864645</v>
      </c>
      <c r="F26" s="3"/>
      <c r="G26" s="29">
        <v>2.1800000000000002</v>
      </c>
      <c r="H26" s="10"/>
      <c r="I26" s="10">
        <f t="shared" si="5"/>
        <v>253.52006306970489</v>
      </c>
      <c r="J26" s="10">
        <f t="shared" si="3"/>
        <v>3866463638.9452267</v>
      </c>
      <c r="K26" s="11">
        <f t="shared" si="4"/>
        <v>5.3577979999999803E-2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14791111.443043347</v>
      </c>
      <c r="D27" s="11">
        <v>3.2199999999999999E-2</v>
      </c>
      <c r="E27" s="10">
        <f t="shared" si="2"/>
        <v>461416.1872369647</v>
      </c>
      <c r="F27" s="3"/>
      <c r="G27" s="29">
        <v>-4.01</v>
      </c>
      <c r="H27" s="10"/>
      <c r="I27" s="10">
        <f t="shared" si="5"/>
        <v>248.11123807957026</v>
      </c>
      <c r="J27" s="10">
        <f t="shared" si="3"/>
        <v>3669840972.7063842</v>
      </c>
      <c r="K27" s="11">
        <f t="shared" si="4"/>
        <v>-9.1912200000000555E-3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14329695.255806383</v>
      </c>
      <c r="D28" s="11">
        <v>3.3599999999999998E-2</v>
      </c>
      <c r="E28" s="10">
        <f t="shared" si="2"/>
        <v>465826.00676770136</v>
      </c>
      <c r="F28" s="3"/>
      <c r="G28" s="29">
        <v>5.25</v>
      </c>
      <c r="H28" s="10"/>
      <c r="I28" s="10">
        <f t="shared" si="5"/>
        <v>258.47613092985756</v>
      </c>
      <c r="J28" s="10">
        <f t="shared" si="3"/>
        <v>3703884187.1247692</v>
      </c>
      <c r="K28" s="11">
        <f t="shared" si="4"/>
        <v>8.7863999999999942E-2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13863869.249038681</v>
      </c>
      <c r="D29" s="11">
        <v>3.5099999999999999E-2</v>
      </c>
      <c r="E29" s="10">
        <f t="shared" si="2"/>
        <v>470120.57834147103</v>
      </c>
      <c r="F29" s="3"/>
      <c r="G29" s="29">
        <v>5.21</v>
      </c>
      <c r="H29" s="10"/>
      <c r="I29" s="10">
        <f t="shared" si="5"/>
        <v>245.58302226114733</v>
      </c>
      <c r="J29" s="10">
        <f t="shared" si="3"/>
        <v>3404730910.4123025</v>
      </c>
      <c r="K29" s="11">
        <f t="shared" si="4"/>
        <v>8.9028709999999789E-2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13393748.67069721</v>
      </c>
      <c r="D30" s="11">
        <v>3.6600000000000001E-2</v>
      </c>
      <c r="E30" s="10">
        <f t="shared" si="2"/>
        <v>472902.95325826481</v>
      </c>
      <c r="F30" s="3"/>
      <c r="G30" s="29">
        <v>6.63</v>
      </c>
      <c r="H30" s="10"/>
      <c r="I30" s="10">
        <f t="shared" si="5"/>
        <v>233.42174913140133</v>
      </c>
      <c r="J30" s="10">
        <f t="shared" si="3"/>
        <v>3126392242.1405244</v>
      </c>
      <c r="K30" s="11">
        <f t="shared" si="4"/>
        <v>0.10532658000000006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12920845.717438946</v>
      </c>
      <c r="D31" s="11">
        <v>3.8100000000000002E-2</v>
      </c>
      <c r="E31" s="10">
        <f t="shared" si="2"/>
        <v>474216.57049843296</v>
      </c>
      <c r="F31" s="3"/>
      <c r="G31" s="29">
        <v>11.49</v>
      </c>
      <c r="H31" s="10"/>
      <c r="I31" s="10">
        <f t="shared" si="5"/>
        <v>218.90813948363623</v>
      </c>
      <c r="J31" s="10">
        <f t="shared" si="3"/>
        <v>2828478296.5596685</v>
      </c>
      <c r="K31" s="11">
        <f t="shared" si="4"/>
        <v>0.1573776899999999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12446629.146940513</v>
      </c>
      <c r="D32" s="11">
        <v>3.9399999999999998E-2</v>
      </c>
      <c r="E32" s="10">
        <f t="shared" si="2"/>
        <v>471807.95496387966</v>
      </c>
      <c r="F32" s="3"/>
      <c r="G32" s="29">
        <v>7.64</v>
      </c>
      <c r="H32" s="10"/>
      <c r="I32" s="10">
        <f t="shared" si="5"/>
        <v>196.34777960681339</v>
      </c>
      <c r="J32" s="10">
        <f t="shared" si="3"/>
        <v>2443867996.5912156</v>
      </c>
      <c r="K32" s="11">
        <f t="shared" si="4"/>
        <v>0.11881016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11974821.191976633</v>
      </c>
      <c r="D33" s="11">
        <v>4.0300000000000002E-2</v>
      </c>
      <c r="E33" s="10">
        <f t="shared" si="2"/>
        <v>463890.50661987811</v>
      </c>
      <c r="F33" s="3"/>
      <c r="G33" s="29">
        <v>10.17</v>
      </c>
      <c r="H33" s="10"/>
      <c r="I33" s="10">
        <f t="shared" si="5"/>
        <v>182.41153809625919</v>
      </c>
      <c r="J33" s="10">
        <f t="shared" si="3"/>
        <v>2184345552.0561376</v>
      </c>
      <c r="K33" s="11">
        <f t="shared" si="4"/>
        <v>0.14609851000000007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11510930.685356755</v>
      </c>
      <c r="D34" s="11">
        <v>4.07E-2</v>
      </c>
      <c r="E34" s="10">
        <f t="shared" si="2"/>
        <v>450172.84413761832</v>
      </c>
      <c r="F34" s="3"/>
      <c r="G34" s="29">
        <v>4.06</v>
      </c>
      <c r="H34" s="10"/>
      <c r="I34" s="10">
        <f t="shared" si="5"/>
        <v>165.5727857822086</v>
      </c>
      <c r="J34" s="10">
        <f t="shared" ref="J34:J65" si="6">IF(I34="","",I34*C34)</f>
        <v>1905896860.5204256</v>
      </c>
      <c r="K34" s="11">
        <f t="shared" ref="K34:K65" si="7">IFERROR(J34/J35-1,"")</f>
        <v>9.6481520000000209E-2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11060757.841219136</v>
      </c>
      <c r="D35" s="11">
        <v>4.07E-2</v>
      </c>
      <c r="E35" s="10">
        <f t="shared" si="2"/>
        <v>432567.35287558287</v>
      </c>
      <c r="F35" s="3"/>
      <c r="G35" s="29">
        <v>-2.78</v>
      </c>
      <c r="H35" s="10"/>
      <c r="I35" s="10">
        <f t="shared" ref="I35:I66" si="8">IF(H35&lt;&gt;"",H35,I34/(1+IF(G34="",0,G34)/100))</f>
        <v>157.1495688897196</v>
      </c>
      <c r="J35" s="10">
        <f t="shared" si="6"/>
        <v>1738193326.3411729</v>
      </c>
      <c r="K35" s="11">
        <f t="shared" si="7"/>
        <v>3.9867440000000087E-2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10628190.488343554</v>
      </c>
      <c r="D36" s="11">
        <v>4.0399999999999998E-2</v>
      </c>
      <c r="E36" s="10">
        <f t="shared" si="2"/>
        <v>412705.58989723213</v>
      </c>
      <c r="F36" s="3"/>
      <c r="G36" s="29">
        <v>-0.99</v>
      </c>
      <c r="H36" s="10"/>
      <c r="I36" s="10">
        <f t="shared" si="8"/>
        <v>157.27538920108046</v>
      </c>
      <c r="J36" s="10">
        <f t="shared" si="6"/>
        <v>1671552795.5574539</v>
      </c>
      <c r="K36" s="11">
        <f t="shared" si="7"/>
        <v>8.0039240000000289E-2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10215484.898446321</v>
      </c>
      <c r="D37" s="11">
        <v>3.9699999999999999E-2</v>
      </c>
      <c r="E37" s="10">
        <f t="shared" si="2"/>
        <v>390069.01074186713</v>
      </c>
      <c r="F37" s="3"/>
      <c r="G37" s="29">
        <v>2.86</v>
      </c>
      <c r="H37" s="10"/>
      <c r="I37" s="10">
        <f t="shared" si="8"/>
        <v>151.50312031700264</v>
      </c>
      <c r="J37" s="10">
        <f t="shared" si="6"/>
        <v>1547677837.6658366</v>
      </c>
      <c r="K37" s="11">
        <f t="shared" si="7"/>
        <v>0.1245395199999999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9825415.8877044544</v>
      </c>
      <c r="D38" s="11">
        <v>3.8899999999999997E-2</v>
      </c>
      <c r="E38" s="10">
        <f t="shared" si="2"/>
        <v>367897.46658167616</v>
      </c>
      <c r="F38" s="3"/>
      <c r="G38" s="29">
        <v>-11.78</v>
      </c>
      <c r="H38" s="10"/>
      <c r="I38" s="10">
        <f t="shared" si="8"/>
        <v>140.07315118066074</v>
      </c>
      <c r="J38" s="10">
        <f t="shared" si="6"/>
        <v>1376276965.0512919</v>
      </c>
      <c r="K38" s="11">
        <f t="shared" si="7"/>
        <v>-4.5043119999999992E-2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9457518.4211227782</v>
      </c>
      <c r="D39" s="11">
        <v>3.8100000000000002E-2</v>
      </c>
      <c r="E39" s="10">
        <f t="shared" si="2"/>
        <v>347106.68706750683</v>
      </c>
      <c r="F39" s="3"/>
      <c r="G39" s="29">
        <v>14.38</v>
      </c>
      <c r="H39" s="10"/>
      <c r="I39" s="10">
        <f t="shared" si="8"/>
        <v>152.38593470480933</v>
      </c>
      <c r="J39" s="10">
        <f t="shared" si="6"/>
        <v>1441192784.5907471</v>
      </c>
      <c r="K39" s="11">
        <f t="shared" si="7"/>
        <v>0.18737878000000019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9110411.7340552714</v>
      </c>
      <c r="D40" s="11">
        <v>3.73E-2</v>
      </c>
      <c r="E40" s="10">
        <f t="shared" si="2"/>
        <v>327598.91803746484</v>
      </c>
      <c r="F40" s="3"/>
      <c r="G40" s="29">
        <v>5.96</v>
      </c>
      <c r="H40" s="10"/>
      <c r="I40" s="10">
        <f t="shared" si="8"/>
        <v>133.22777994825086</v>
      </c>
      <c r="J40" s="10">
        <f t="shared" si="6"/>
        <v>1213759929.7426782</v>
      </c>
      <c r="K40" s="11">
        <f t="shared" si="7"/>
        <v>9.912308000000003E-2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8782812.8160178065</v>
      </c>
      <c r="D41" s="11">
        <v>3.6499999999999998E-2</v>
      </c>
      <c r="E41" s="10">
        <f t="shared" si="2"/>
        <v>309283.8087647371</v>
      </c>
      <c r="F41" s="3"/>
      <c r="G41" s="29">
        <v>9.33</v>
      </c>
      <c r="H41" s="10"/>
      <c r="I41" s="10">
        <f t="shared" si="8"/>
        <v>125.73403166124089</v>
      </c>
      <c r="J41" s="10">
        <f t="shared" si="6"/>
        <v>1104298464.6839352</v>
      </c>
      <c r="K41" s="11">
        <f t="shared" si="7"/>
        <v>0.13320544999999995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8473529.0072530694</v>
      </c>
      <c r="D42" s="11">
        <v>3.5799999999999998E-2</v>
      </c>
      <c r="E42" s="10">
        <f t="shared" si="2"/>
        <v>292867.67567065079</v>
      </c>
      <c r="F42" s="3"/>
      <c r="G42" s="29">
        <v>-10.15</v>
      </c>
      <c r="H42" s="10"/>
      <c r="I42" s="10">
        <f t="shared" si="8"/>
        <v>115.00414493848065</v>
      </c>
      <c r="J42" s="10">
        <f t="shared" si="6"/>
        <v>974490958.09055209</v>
      </c>
      <c r="K42" s="11">
        <f t="shared" si="7"/>
        <v>-6.9333699999999943E-2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8180661.3315824186</v>
      </c>
      <c r="D43" s="11">
        <v>3.5200000000000002E-2</v>
      </c>
      <c r="E43" s="10">
        <f t="shared" si="2"/>
        <v>278167.77325318847</v>
      </c>
      <c r="F43" s="3"/>
      <c r="G43" s="29">
        <v>11.39</v>
      </c>
      <c r="H43" s="10"/>
      <c r="I43" s="10">
        <f>IF(H43&lt;&gt;"",H43,I42/(1+IF(G42="",0,G42)/100))</f>
        <v>127.99570944739082</v>
      </c>
      <c r="J43" s="10">
        <f t="shared" si="6"/>
        <v>1047089550.8847286</v>
      </c>
      <c r="K43" s="11">
        <f t="shared" si="7"/>
        <v>0.15310928000000001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7902493.5583292302</v>
      </c>
      <c r="D44" s="11">
        <v>3.4700000000000002E-2</v>
      </c>
      <c r="E44" s="10">
        <f t="shared" si="2"/>
        <v>265020.32132407837</v>
      </c>
      <c r="F44" s="3"/>
      <c r="G44" s="29">
        <v>10.27</v>
      </c>
      <c r="H44" s="10"/>
      <c r="I44" s="10">
        <f t="shared" si="8"/>
        <v>114.90772012513763</v>
      </c>
      <c r="J44" s="10">
        <f t="shared" si="6"/>
        <v>908057518.09119821</v>
      </c>
      <c r="K44" s="11">
        <f t="shared" si="7"/>
        <v>0.1409636900000002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7637473.2370051518</v>
      </c>
      <c r="D45" s="11">
        <v>3.4299999999999997E-2</v>
      </c>
      <c r="E45" s="10">
        <f t="shared" si="2"/>
        <v>253277.90005731117</v>
      </c>
      <c r="F45" s="3"/>
      <c r="G45" s="29">
        <v>10.27</v>
      </c>
      <c r="H45" s="10"/>
      <c r="I45" s="10">
        <f t="shared" si="8"/>
        <v>104.20578591197753</v>
      </c>
      <c r="J45" s="10">
        <f t="shared" si="6"/>
        <v>795868901.0438168</v>
      </c>
      <c r="K45" s="11">
        <f t="shared" si="7"/>
        <v>0.14052260999999988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7384195.3369478406</v>
      </c>
      <c r="D46" s="11">
        <v>3.39E-2</v>
      </c>
      <c r="E46" s="10">
        <f t="shared" si="2"/>
        <v>242116.47347183712</v>
      </c>
      <c r="F46" s="3"/>
      <c r="G46" s="29">
        <v>7.98</v>
      </c>
      <c r="H46" s="10"/>
      <c r="I46" s="10">
        <f t="shared" si="8"/>
        <v>94.500576686295034</v>
      </c>
      <c r="J46" s="10">
        <f t="shared" si="6"/>
        <v>697810717.70582163</v>
      </c>
      <c r="K46" s="11">
        <f t="shared" si="7"/>
        <v>0.11640522000000031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7142078.8634760035</v>
      </c>
      <c r="D47" s="11">
        <v>3.32E-2</v>
      </c>
      <c r="E47" s="10">
        <f t="shared" si="2"/>
        <v>229497.69480004162</v>
      </c>
      <c r="F47" s="3"/>
      <c r="G47" s="29">
        <v>6.68</v>
      </c>
      <c r="H47" s="10"/>
      <c r="I47" s="10">
        <f>IF(H47&lt;&gt;"",H47,I46/(1+IF(G46="",0,G46)/100))</f>
        <v>87.516740772638471</v>
      </c>
      <c r="J47" s="10">
        <f t="shared" si="6"/>
        <v>625051464.47256982</v>
      </c>
      <c r="K47" s="11">
        <f t="shared" si="7"/>
        <v>0.10221776000000005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6912581.1686759619</v>
      </c>
      <c r="D48" s="11">
        <v>3.2099999999999997E-2</v>
      </c>
      <c r="E48" s="10">
        <f t="shared" si="2"/>
        <v>214992.59327051509</v>
      </c>
      <c r="F48" s="3"/>
      <c r="G48" s="29">
        <v>7.12</v>
      </c>
      <c r="H48" s="10"/>
      <c r="I48" s="10">
        <f>IF(H48&lt;&gt;"",H48,I47/(1+IF(G47="",0,G47)/100))</f>
        <v>82.036689888112548</v>
      </c>
      <c r="J48" s="10">
        <f t="shared" si="6"/>
        <v>567085277.66107655</v>
      </c>
      <c r="K48" s="11">
        <f t="shared" si="7"/>
        <v>0.10558551999999999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6697588.5754054468</v>
      </c>
      <c r="D49" s="11">
        <v>3.0700000000000002E-2</v>
      </c>
      <c r="E49" s="10">
        <f t="shared" si="2"/>
        <v>199491.57782569807</v>
      </c>
      <c r="F49" s="3"/>
      <c r="G49" s="29">
        <v>10.199999999999999</v>
      </c>
      <c r="H49" s="10"/>
      <c r="I49" s="10">
        <f>IF(H49&lt;&gt;"",H49,I48/(1+IF(G48="",0,G48)/100))</f>
        <v>76.583915130799625</v>
      </c>
      <c r="J49" s="10">
        <f t="shared" si="6"/>
        <v>512927555.03986388</v>
      </c>
      <c r="K49" s="11">
        <f t="shared" si="7"/>
        <v>0.13583140000000005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6498096.9975797487</v>
      </c>
      <c r="D50" s="11">
        <v>2.9100000000000001E-2</v>
      </c>
      <c r="E50" s="10">
        <f t="shared" si="2"/>
        <v>183747.56838943716</v>
      </c>
      <c r="F50" s="3"/>
      <c r="G50" s="29">
        <v>10.46</v>
      </c>
      <c r="H50" s="10"/>
      <c r="I50" s="10">
        <f>IF(H50&lt;&gt;"",H50,I49/(1+IF(G49="",0,G49)/100))</f>
        <v>69.495385781124881</v>
      </c>
      <c r="J50" s="10">
        <f t="shared" si="6"/>
        <v>451587757.68997395</v>
      </c>
      <c r="K50" s="11">
        <f t="shared" si="7"/>
        <v>0.13674385999999994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6314349.4291903116</v>
      </c>
      <c r="D51" s="11">
        <v>2.75E-2</v>
      </c>
      <c r="E51" s="10">
        <f t="shared" si="2"/>
        <v>168997.18666932732</v>
      </c>
      <c r="F51" s="3"/>
      <c r="G51" s="29">
        <v>10.71</v>
      </c>
      <c r="H51" s="10"/>
      <c r="I51" s="10">
        <f>IF(H51&lt;&gt;"",H51,I50/(1+IF(G50="",0,G50)/100))</f>
        <v>62.914526327290311</v>
      </c>
      <c r="J51" s="10">
        <f t="shared" si="6"/>
        <v>397264303.40250438</v>
      </c>
      <c r="K51" s="11">
        <f t="shared" si="7"/>
        <v>0.13754525000000006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6145352.2425209843</v>
      </c>
      <c r="D52" s="11">
        <v>2.6100000000000002E-2</v>
      </c>
      <c r="E52" s="10">
        <f t="shared" si="2"/>
        <v>156313.90072098002</v>
      </c>
      <c r="F52" s="3"/>
      <c r="G52" s="29">
        <v>1.19</v>
      </c>
      <c r="H52" s="10"/>
      <c r="I52" s="10">
        <f>IF(H52&lt;&gt;"",H52,I51/(1+IF(G51="",0,G51)/100))</f>
        <v>56.828223581691184</v>
      </c>
      <c r="J52" s="10">
        <f t="shared" si="6"/>
        <v>349229451.22622979</v>
      </c>
      <c r="K52" s="11">
        <f t="shared" si="7"/>
        <v>3.8310590000000033E-2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5989038.3418000042</v>
      </c>
      <c r="D53" s="11">
        <v>2.4899999999999999E-2</v>
      </c>
      <c r="E53" s="10">
        <f t="shared" si="2"/>
        <v>145504.00498665217</v>
      </c>
      <c r="F53" s="3"/>
      <c r="G53" s="29">
        <v>5.24</v>
      </c>
      <c r="H53" s="10"/>
      <c r="I53" s="10">
        <f>IF(H53&lt;&gt;"",H53,I52/(1+IF(G52="",0,G52)/100))</f>
        <v>56.159920527414947</v>
      </c>
      <c r="J53" s="10">
        <f t="shared" si="6"/>
        <v>336343917.31112921</v>
      </c>
      <c r="K53" s="11">
        <f t="shared" si="7"/>
        <v>7.860475999999994E-2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5843534.3368133521</v>
      </c>
      <c r="D54" s="11">
        <v>2.41E-2</v>
      </c>
      <c r="E54" s="10">
        <f t="shared" si="2"/>
        <v>137515.06446362846</v>
      </c>
      <c r="F54" s="3"/>
      <c r="G54" s="29">
        <v>2.4700000000000002</v>
      </c>
      <c r="H54" s="10"/>
      <c r="I54" s="10">
        <f>IF(H54&lt;&gt;"",H54,I53/(1+IF(G53="",0,G53)/100))</f>
        <v>53.363664507235789</v>
      </c>
      <c r="J54" s="10">
        <f t="shared" si="6"/>
        <v>311832405.88622028</v>
      </c>
      <c r="K54" s="11">
        <f t="shared" si="7"/>
        <v>4.9395269999999769E-2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5706019.2723497236</v>
      </c>
      <c r="D55" s="11">
        <v>2.3599999999999999E-2</v>
      </c>
      <c r="E55" s="10">
        <f t="shared" si="2"/>
        <v>131557.30248872004</v>
      </c>
      <c r="F55" s="3"/>
      <c r="G55" s="29">
        <v>7.43</v>
      </c>
      <c r="H55" s="10"/>
      <c r="I55" s="10">
        <f t="shared" si="8"/>
        <v>52.07735386672762</v>
      </c>
      <c r="J55" s="10">
        <f t="shared" si="6"/>
        <v>297154384.81652421</v>
      </c>
      <c r="K55" s="11">
        <f t="shared" si="7"/>
        <v>9.9653479999999961E-2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5574461.9698610036</v>
      </c>
      <c r="D56" s="11">
        <v>2.3400000000000001E-2</v>
      </c>
      <c r="E56" s="10">
        <f t="shared" si="2"/>
        <v>127459.84961378574</v>
      </c>
      <c r="F56" s="3"/>
      <c r="G56" s="29">
        <v>9.7100000000000009</v>
      </c>
      <c r="H56" s="10"/>
      <c r="I56" s="10">
        <f t="shared" si="8"/>
        <v>48.475615625735472</v>
      </c>
      <c r="J56" s="10">
        <f t="shared" si="6"/>
        <v>270225475.77126223</v>
      </c>
      <c r="K56" s="11">
        <f t="shared" si="7"/>
        <v>0.12277214000000036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5447002.1202472178</v>
      </c>
      <c r="D57" s="11">
        <v>2.3400000000000001E-2</v>
      </c>
      <c r="E57" s="10">
        <f t="shared" si="2"/>
        <v>124545.48525873106</v>
      </c>
      <c r="F57" s="3"/>
      <c r="G57" s="29">
        <v>2.86</v>
      </c>
      <c r="H57" s="10"/>
      <c r="I57" s="10">
        <f t="shared" si="8"/>
        <v>44.185229811079637</v>
      </c>
      <c r="J57" s="10">
        <f t="shared" si="6"/>
        <v>240677040.46456134</v>
      </c>
      <c r="K57" s="11">
        <f t="shared" si="7"/>
        <v>5.2669239999999951E-2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5322456.6349884868</v>
      </c>
      <c r="D58" s="11">
        <v>2.3400000000000001E-2</v>
      </c>
      <c r="E58" s="10">
        <f t="shared" si="2"/>
        <v>121697.75772789866</v>
      </c>
      <c r="F58" s="3"/>
      <c r="G58" s="29">
        <v>6.23</v>
      </c>
      <c r="H58" s="10"/>
      <c r="I58" s="10">
        <f t="shared" si="8"/>
        <v>42.95666907551977</v>
      </c>
      <c r="J58" s="10">
        <f t="shared" si="6"/>
        <v>228635008.33800495</v>
      </c>
      <c r="K58" s="11">
        <f t="shared" si="7"/>
        <v>8.7157820000000275E-2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5200758.8772605881</v>
      </c>
      <c r="D59" s="11">
        <v>2.3400000000000001E-2</v>
      </c>
      <c r="E59" s="10">
        <f t="shared" si="2"/>
        <v>118915.14337297063</v>
      </c>
      <c r="F59" s="3"/>
      <c r="G59" s="29">
        <v>3.64</v>
      </c>
      <c r="H59" s="10"/>
      <c r="I59" s="10">
        <f t="shared" si="8"/>
        <v>40.437417937983405</v>
      </c>
      <c r="J59" s="10">
        <f t="shared" si="6"/>
        <v>210305260.31446373</v>
      </c>
      <c r="K59" s="11">
        <f t="shared" si="7"/>
        <v>6.0651760000000055E-2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5081843.7338876175</v>
      </c>
      <c r="D60" s="11">
        <v>2.3300000000000001E-2</v>
      </c>
      <c r="E60" s="10">
        <f t="shared" si="2"/>
        <v>115710.89514275547</v>
      </c>
      <c r="F60" s="3"/>
      <c r="G60" s="29">
        <v>-2.1800000000000002</v>
      </c>
      <c r="H60" s="10"/>
      <c r="I60" s="10">
        <f t="shared" si="8"/>
        <v>39.017192143943852</v>
      </c>
      <c r="J60" s="10">
        <f t="shared" si="6"/>
        <v>198279273.41059023</v>
      </c>
      <c r="K60" s="11">
        <f t="shared" si="7"/>
        <v>9.9205999999996131E-4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4966132.838744862</v>
      </c>
      <c r="D61" s="11">
        <v>2.29E-2</v>
      </c>
      <c r="E61" s="10">
        <f t="shared" si="2"/>
        <v>111178.4553790763</v>
      </c>
      <c r="F61" s="3"/>
      <c r="G61" s="29">
        <v>-6.7</v>
      </c>
      <c r="H61" s="10"/>
      <c r="I61" s="10">
        <f t="shared" si="8"/>
        <v>39.886722698777199</v>
      </c>
      <c r="J61" s="10">
        <f t="shared" si="6"/>
        <v>198082763.42430753</v>
      </c>
      <c r="K61" s="11">
        <f t="shared" si="7"/>
        <v>-4.5634300000000017E-2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4854954.3833657857</v>
      </c>
      <c r="D62" s="11">
        <v>2.24E-2</v>
      </c>
      <c r="E62" s="10">
        <f t="shared" si="2"/>
        <v>106368.32764807623</v>
      </c>
      <c r="F62" s="3"/>
      <c r="G62" s="29">
        <v>5</v>
      </c>
      <c r="H62" s="10"/>
      <c r="I62" s="10">
        <f t="shared" si="8"/>
        <v>42.751042549600427</v>
      </c>
      <c r="J62" s="10">
        <f t="shared" si="6"/>
        <v>207554361.4196398</v>
      </c>
      <c r="K62" s="11">
        <f t="shared" si="7"/>
        <v>7.352000000000003E-2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4748586.0557177095</v>
      </c>
      <c r="D63" s="11">
        <v>2.1700000000000001E-2</v>
      </c>
      <c r="E63" s="10">
        <f t="shared" si="2"/>
        <v>100855.74768432509</v>
      </c>
      <c r="F63" s="3"/>
      <c r="G63" s="26">
        <v>3</v>
      </c>
      <c r="H63" s="10"/>
      <c r="I63" s="10">
        <f t="shared" si="8"/>
        <v>40.715278618667071</v>
      </c>
      <c r="J63" s="10">
        <f t="shared" si="6"/>
        <v>193340004.30326384</v>
      </c>
      <c r="K63" s="11">
        <f t="shared" si="7"/>
        <v>5.2351000000000036E-2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4647730.3080333844</v>
      </c>
      <c r="D64" s="11">
        <v>2.1000000000000001E-2</v>
      </c>
      <c r="E64" s="10">
        <f t="shared" si="2"/>
        <v>95594.844729383476</v>
      </c>
      <c r="F64" s="3"/>
      <c r="G64" s="26">
        <v>4.3</v>
      </c>
      <c r="H64" s="10"/>
      <c r="I64" s="10">
        <f t="shared" si="8"/>
        <v>39.529396717152494</v>
      </c>
      <c r="J64" s="10">
        <f t="shared" si="6"/>
        <v>183721975.18058503</v>
      </c>
      <c r="K64" s="11">
        <f t="shared" si="7"/>
        <v>6.4902999999999933E-2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4552135.4633040009</v>
      </c>
      <c r="D65" s="11">
        <v>2.0299999999999999E-2</v>
      </c>
      <c r="E65" s="10">
        <f t="shared" si="2"/>
        <v>90569.783304000273</v>
      </c>
      <c r="F65" s="3"/>
      <c r="G65" s="29">
        <v>6.52</v>
      </c>
      <c r="H65" s="10"/>
      <c r="I65" s="10">
        <f t="shared" si="8"/>
        <v>37.899709220663944</v>
      </c>
      <c r="J65" s="10">
        <f t="shared" si="6"/>
        <v>172524610.39229399</v>
      </c>
      <c r="K65" s="11">
        <f t="shared" si="7"/>
        <v>8.6823560000000022E-2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4461565.6800000006</v>
      </c>
      <c r="D66" s="11">
        <v>1.9599999999999999E-2</v>
      </c>
      <c r="E66" s="10">
        <f t="shared" si="2"/>
        <v>85765.680000000633</v>
      </c>
      <c r="F66" s="23">
        <f>SUM(F2)</f>
        <v>31948027</v>
      </c>
      <c r="G66" s="29">
        <v>-2.8</v>
      </c>
      <c r="H66" s="10"/>
      <c r="I66" s="10">
        <f t="shared" si="8"/>
        <v>35.579899756537692</v>
      </c>
      <c r="J66" s="10">
        <f t="shared" ref="J66:J67" si="9">IF(I66="","",I66*C66)</f>
        <v>158742059.65160894</v>
      </c>
      <c r="K66" s="11">
        <f t="shared" ref="K66" si="10">IFERROR(J66/J67-1,"")</f>
        <v>-8.9487999999997569E-3</v>
      </c>
    </row>
    <row r="67" spans="1:11" ht="22.5" customHeight="1">
      <c r="A67" s="3">
        <f t="shared" si="0"/>
        <v>1950</v>
      </c>
      <c r="B67" s="3">
        <v>1700</v>
      </c>
      <c r="C67" s="10">
        <v>4375800</v>
      </c>
      <c r="D67" s="11">
        <v>1.89E-2</v>
      </c>
      <c r="E67" s="3" t="s">
        <v>72</v>
      </c>
      <c r="F67" s="10">
        <f>SUM(C2)</f>
        <v>31948416.67182257</v>
      </c>
      <c r="G67" s="29">
        <v>-7.96</v>
      </c>
      <c r="H67" s="10"/>
      <c r="I67" s="10">
        <f t="shared" ref="I67" si="11">IF(H67&lt;&gt;"",H67,I66/(1+IF(G66="",0,G66)/100))</f>
        <v>36.604835140470875</v>
      </c>
      <c r="J67" s="10">
        <f t="shared" si="9"/>
        <v>160175437.60767245</v>
      </c>
      <c r="K67" s="11"/>
    </row>
  </sheetData>
  <dataValidations count="1">
    <dataValidation type="custom" allowBlank="1" showDropDown="1" sqref="D2:D67" xr:uid="{00000000-0002-0000-8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outlinePr summaryBelow="0" summaryRight="0"/>
  </sheetPr>
  <dimension ref="A1:M67"/>
  <sheetViews>
    <sheetView workbookViewId="0">
      <selection activeCell="I32" sqref="I3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2898593.7232139963</v>
      </c>
      <c r="D2" s="11">
        <v>2.1000000000000001E-2</v>
      </c>
      <c r="E2" s="10">
        <f t="shared" ref="E2:E66" si="2">SUM(C2-C3)</f>
        <v>59618.480105282739</v>
      </c>
      <c r="F2" s="14">
        <v>2898502</v>
      </c>
      <c r="G2" s="29">
        <v>-0.6</v>
      </c>
      <c r="H2" s="10"/>
      <c r="I2" s="10">
        <f>IF(H2&lt;&gt;"",H2,3176)</f>
        <v>397</v>
      </c>
      <c r="J2" s="10">
        <f t="shared" ref="J2:J33" si="3">IF(I2="","",I2*C2)</f>
        <v>1150741708.1159565</v>
      </c>
      <c r="K2" s="11">
        <f t="shared" ref="K2:K33" si="4">IFERROR(J2/J3-1,"")</f>
        <v>1.4874000000000054E-2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2838975.2431087135</v>
      </c>
      <c r="D3" s="11">
        <v>2.1100000000000001E-2</v>
      </c>
      <c r="E3" s="10">
        <f t="shared" si="2"/>
        <v>58664.555508367252</v>
      </c>
      <c r="F3" s="3"/>
      <c r="G3" s="29">
        <v>3.37</v>
      </c>
      <c r="H3" s="10"/>
      <c r="I3" s="10">
        <f t="shared" ref="I3:I34" si="5">IF(H3&lt;&gt;"",H3,I2/(1+IF(G2="",0,G2)/100))</f>
        <v>399.39637826961768</v>
      </c>
      <c r="J3" s="10">
        <f t="shared" si="3"/>
        <v>1133876430.0947275</v>
      </c>
      <c r="K3" s="11">
        <f t="shared" si="4"/>
        <v>5.5511069999999885E-2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2780310.6876003463</v>
      </c>
      <c r="D4" s="11">
        <v>2.1399999999999999E-2</v>
      </c>
      <c r="E4" s="10">
        <f t="shared" si="2"/>
        <v>58252.054743144196</v>
      </c>
      <c r="F4" s="3"/>
      <c r="G4" s="29">
        <v>-1.96</v>
      </c>
      <c r="H4" s="10"/>
      <c r="I4" s="10">
        <f t="shared" si="5"/>
        <v>386.37552313980621</v>
      </c>
      <c r="J4" s="10">
        <f t="shared" si="3"/>
        <v>1074243996.4127781</v>
      </c>
      <c r="K4" s="11">
        <f t="shared" si="4"/>
        <v>1.3805600000000862E-3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2722058.6328572021</v>
      </c>
      <c r="D5" s="11">
        <v>2.1700000000000001E-2</v>
      </c>
      <c r="E5" s="10">
        <f t="shared" si="2"/>
        <v>57814.106227857061</v>
      </c>
      <c r="F5" s="3"/>
      <c r="G5" s="29">
        <v>-7.84</v>
      </c>
      <c r="H5" s="10"/>
      <c r="I5" s="10">
        <f t="shared" si="5"/>
        <v>394.09988080355589</v>
      </c>
      <c r="J5" s="10">
        <f t="shared" si="3"/>
        <v>1072762982.7493136</v>
      </c>
      <c r="K5" s="11">
        <f t="shared" si="4"/>
        <v>-5.840128E-2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2664244.526629345</v>
      </c>
      <c r="D6" s="11">
        <v>2.2100000000000002E-2</v>
      </c>
      <c r="E6" s="10">
        <f t="shared" si="2"/>
        <v>57606.696055678185</v>
      </c>
      <c r="F6" s="3"/>
      <c r="G6" s="29">
        <v>-11.96</v>
      </c>
      <c r="H6" s="10"/>
      <c r="I6" s="10">
        <f t="shared" si="5"/>
        <v>427.62573871913617</v>
      </c>
      <c r="J6" s="10">
        <f t="shared" si="3"/>
        <v>1139299533.828289</v>
      </c>
      <c r="K6" s="11">
        <f t="shared" si="4"/>
        <v>-0.1001431599999999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2606637.8305736668</v>
      </c>
      <c r="D7" s="11">
        <v>2.2599999999999999E-2</v>
      </c>
      <c r="E7" s="10">
        <f t="shared" si="2"/>
        <v>57608.072531747166</v>
      </c>
      <c r="F7" s="3"/>
      <c r="G7" s="29">
        <v>-0.01</v>
      </c>
      <c r="H7" s="10"/>
      <c r="I7" s="10">
        <f t="shared" si="5"/>
        <v>485.71755874504339</v>
      </c>
      <c r="J7" s="10">
        <f t="shared" si="3"/>
        <v>1266089763.5987175</v>
      </c>
      <c r="K7" s="11">
        <f t="shared" si="4"/>
        <v>2.2497739999999933E-2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2549029.7580419197</v>
      </c>
      <c r="D8" s="11">
        <v>2.3E-2</v>
      </c>
      <c r="E8" s="10">
        <f t="shared" si="2"/>
        <v>57309.564452555031</v>
      </c>
      <c r="F8" s="3"/>
      <c r="G8" s="29">
        <v>9.32</v>
      </c>
      <c r="H8" s="10"/>
      <c r="I8" s="10">
        <f t="shared" si="5"/>
        <v>485.76613535857922</v>
      </c>
      <c r="J8" s="10">
        <f t="shared" si="3"/>
        <v>1238232334.4780376</v>
      </c>
      <c r="K8" s="11">
        <f t="shared" si="4"/>
        <v>0.11834359999999977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2491720.1935893646</v>
      </c>
      <c r="D9" s="11">
        <v>2.35E-2</v>
      </c>
      <c r="E9" s="10">
        <f t="shared" si="2"/>
        <v>57210.966828871984</v>
      </c>
      <c r="F9" s="3"/>
      <c r="G9" s="29">
        <v>4.45</v>
      </c>
      <c r="H9" s="10"/>
      <c r="I9" s="10">
        <f t="shared" si="5"/>
        <v>444.35248386258621</v>
      </c>
      <c r="J9" s="10">
        <f t="shared" si="3"/>
        <v>1107202057.1119983</v>
      </c>
      <c r="K9" s="11">
        <f t="shared" si="4"/>
        <v>6.9045750000000128E-2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2434509.2267604927</v>
      </c>
      <c r="D10" s="11">
        <v>2.4E-2</v>
      </c>
      <c r="E10" s="10">
        <f t="shared" si="2"/>
        <v>57058.810002198908</v>
      </c>
      <c r="F10" s="3"/>
      <c r="G10" s="29">
        <v>2.06</v>
      </c>
      <c r="H10" s="10"/>
      <c r="I10" s="10">
        <f t="shared" si="5"/>
        <v>425.42123873871344</v>
      </c>
      <c r="J10" s="10">
        <f t="shared" si="3"/>
        <v>1035691930.9692762</v>
      </c>
      <c r="K10" s="11">
        <f t="shared" si="4"/>
        <v>4.5094399999999979E-2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2377450.4167582938</v>
      </c>
      <c r="D11" s="11">
        <v>2.4500000000000001E-2</v>
      </c>
      <c r="E11" s="10">
        <f t="shared" si="2"/>
        <v>56854.597570110578</v>
      </c>
      <c r="F11" s="3"/>
      <c r="G11" s="29">
        <v>-0.86</v>
      </c>
      <c r="H11" s="10"/>
      <c r="I11" s="10">
        <f t="shared" si="5"/>
        <v>416.83444908751073</v>
      </c>
      <c r="J11" s="10">
        <f t="shared" si="3"/>
        <v>991003234.70231616</v>
      </c>
      <c r="K11" s="11">
        <f t="shared" si="4"/>
        <v>1.5689300000000017E-2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2320595.8191881832</v>
      </c>
      <c r="D12" s="11">
        <v>2.4899999999999999E-2</v>
      </c>
      <c r="E12" s="10">
        <f t="shared" si="2"/>
        <v>56378.998826993629</v>
      </c>
      <c r="F12" s="3"/>
      <c r="G12" s="29">
        <v>-1.01</v>
      </c>
      <c r="H12" s="10"/>
      <c r="I12" s="10">
        <f t="shared" si="5"/>
        <v>420.45032185546779</v>
      </c>
      <c r="J12" s="10">
        <f t="shared" si="3"/>
        <v>975695259.07412457</v>
      </c>
      <c r="K12" s="11">
        <f t="shared" si="4"/>
        <v>1.4548510000000014E-2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2264216.8203611895</v>
      </c>
      <c r="D13" s="11">
        <v>2.53E-2</v>
      </c>
      <c r="E13" s="10">
        <f t="shared" si="2"/>
        <v>55871.145572162699</v>
      </c>
      <c r="F13" s="3"/>
      <c r="G13" s="29">
        <v>4.75</v>
      </c>
      <c r="H13" s="10"/>
      <c r="I13" s="10">
        <f t="shared" si="5"/>
        <v>424.74019785379107</v>
      </c>
      <c r="J13" s="10">
        <f t="shared" si="3"/>
        <v>961703900.2640934</v>
      </c>
      <c r="K13" s="11">
        <f t="shared" si="4"/>
        <v>7.400175000000031E-2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2208345.6747890268</v>
      </c>
      <c r="D14" s="11">
        <v>2.5700000000000001E-2</v>
      </c>
      <c r="E14" s="10">
        <f t="shared" si="2"/>
        <v>55332.440130718518</v>
      </c>
      <c r="F14" s="3"/>
      <c r="G14" s="29">
        <v>-1.59</v>
      </c>
      <c r="H14" s="10"/>
      <c r="I14" s="10">
        <f t="shared" si="5"/>
        <v>405.47990248571938</v>
      </c>
      <c r="J14" s="10">
        <f t="shared" si="3"/>
        <v>895439788.86821473</v>
      </c>
      <c r="K14" s="11">
        <f t="shared" si="4"/>
        <v>9.391369999999899E-3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2153013.2346583083</v>
      </c>
      <c r="D15" s="11">
        <v>2.6100000000000002E-2</v>
      </c>
      <c r="E15" s="10">
        <f t="shared" si="2"/>
        <v>54764.297265940811</v>
      </c>
      <c r="F15" s="3"/>
      <c r="G15" s="29">
        <v>-8</v>
      </c>
      <c r="H15" s="10"/>
      <c r="I15" s="10">
        <f t="shared" si="5"/>
        <v>412.03119854254589</v>
      </c>
      <c r="J15" s="10">
        <f t="shared" si="3"/>
        <v>887108623.5542264</v>
      </c>
      <c r="K15" s="11">
        <f t="shared" si="4"/>
        <v>-5.5987999999999816E-2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2098248.9373923675</v>
      </c>
      <c r="D16" s="11">
        <v>2.6599999999999999E-2</v>
      </c>
      <c r="E16" s="10">
        <f t="shared" si="2"/>
        <v>54367.252809893806</v>
      </c>
      <c r="F16" s="3"/>
      <c r="G16" s="29">
        <v>-7.92</v>
      </c>
      <c r="H16" s="10"/>
      <c r="I16" s="10">
        <f t="shared" si="5"/>
        <v>447.85999841581071</v>
      </c>
      <c r="J16" s="10">
        <f t="shared" si="3"/>
        <v>939721765.77652216</v>
      </c>
      <c r="K16" s="11">
        <f t="shared" si="4"/>
        <v>-5.4706719999999875E-2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2043881.6845824737</v>
      </c>
      <c r="D17" s="11">
        <v>2.7199999999999998E-2</v>
      </c>
      <c r="E17" s="10">
        <f t="shared" si="2"/>
        <v>54121.477629130706</v>
      </c>
      <c r="F17" s="3"/>
      <c r="G17" s="29">
        <v>-3.83</v>
      </c>
      <c r="H17" s="10"/>
      <c r="I17" s="10">
        <f t="shared" si="5"/>
        <v>486.38140575131479</v>
      </c>
      <c r="J17" s="10">
        <f t="shared" si="3"/>
        <v>994106046.93658888</v>
      </c>
      <c r="K17" s="11">
        <f t="shared" si="4"/>
        <v>-1.2141760000000112E-2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1989760.206953343</v>
      </c>
      <c r="D18" s="11">
        <v>2.7900000000000001E-2</v>
      </c>
      <c r="E18" s="10">
        <f t="shared" si="2"/>
        <v>54007.500509775709</v>
      </c>
      <c r="F18" s="3"/>
      <c r="G18" s="29">
        <v>-6.24</v>
      </c>
      <c r="H18" s="10"/>
      <c r="I18" s="10">
        <f t="shared" si="5"/>
        <v>505.75169569649034</v>
      </c>
      <c r="J18" s="10">
        <f t="shared" si="3"/>
        <v>1006324598.6960528</v>
      </c>
      <c r="K18" s="11">
        <f t="shared" si="4"/>
        <v>-3.6240959999999878E-2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1935752.7064435673</v>
      </c>
      <c r="D19" s="11">
        <v>2.87E-2</v>
      </c>
      <c r="E19" s="10">
        <f t="shared" si="2"/>
        <v>54006.126834772294</v>
      </c>
      <c r="F19" s="3"/>
      <c r="G19" s="29">
        <v>2.67</v>
      </c>
      <c r="H19" s="10"/>
      <c r="I19" s="10">
        <f t="shared" si="5"/>
        <v>539.41093824284383</v>
      </c>
      <c r="J19" s="10">
        <f t="shared" si="3"/>
        <v>1044166183.5888488</v>
      </c>
      <c r="K19" s="11">
        <f t="shared" si="4"/>
        <v>5.616628999999973E-2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1881746.579608795</v>
      </c>
      <c r="D20" s="11">
        <v>2.9499999999999998E-2</v>
      </c>
      <c r="E20" s="10">
        <f t="shared" si="2"/>
        <v>53920.858764895238</v>
      </c>
      <c r="F20" s="3"/>
      <c r="G20" s="29">
        <v>6.56</v>
      </c>
      <c r="H20" s="10"/>
      <c r="I20" s="10">
        <f t="shared" si="5"/>
        <v>525.38320662593151</v>
      </c>
      <c r="J20" s="10">
        <f t="shared" si="3"/>
        <v>988638052.05224741</v>
      </c>
      <c r="K20" s="11">
        <f t="shared" si="4"/>
        <v>9.7035199999999877E-2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1827825.7208438998</v>
      </c>
      <c r="D21" s="11">
        <v>3.0300000000000001E-2</v>
      </c>
      <c r="E21" s="10">
        <f t="shared" si="2"/>
        <v>53754.362167883199</v>
      </c>
      <c r="F21" s="3"/>
      <c r="G21" s="29">
        <v>1.17</v>
      </c>
      <c r="H21" s="10"/>
      <c r="I21" s="10">
        <f t="shared" si="5"/>
        <v>493.03979600781867</v>
      </c>
      <c r="J21" s="10">
        <f t="shared" si="3"/>
        <v>901190820.54272044</v>
      </c>
      <c r="K21" s="11">
        <f t="shared" si="4"/>
        <v>4.2354510000000012E-2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1774071.3586760166</v>
      </c>
      <c r="D22" s="11">
        <v>3.1199999999999999E-2</v>
      </c>
      <c r="E22" s="10">
        <f t="shared" si="2"/>
        <v>53676.32504915772</v>
      </c>
      <c r="F22" s="3"/>
      <c r="G22" s="29">
        <v>-0.28999999999999998</v>
      </c>
      <c r="H22" s="10"/>
      <c r="I22" s="10">
        <f t="shared" si="5"/>
        <v>487.33794208541923</v>
      </c>
      <c r="J22" s="10">
        <f t="shared" si="3"/>
        <v>864572285.04985356</v>
      </c>
      <c r="K22" s="11">
        <f t="shared" si="4"/>
        <v>2.8209519999999655E-2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1720395.0336268588</v>
      </c>
      <c r="D23" s="11">
        <v>3.2099999999999997E-2</v>
      </c>
      <c r="E23" s="10">
        <f t="shared" si="2"/>
        <v>53507.102586398832</v>
      </c>
      <c r="F23" s="3"/>
      <c r="G23" s="29">
        <v>3.65</v>
      </c>
      <c r="H23" s="10"/>
      <c r="I23" s="10">
        <f t="shared" si="5"/>
        <v>488.75533254981372</v>
      </c>
      <c r="J23" s="10">
        <f t="shared" si="3"/>
        <v>840852246.77734339</v>
      </c>
      <c r="K23" s="11">
        <f t="shared" si="4"/>
        <v>6.9771650000000074E-2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1666887.93104046</v>
      </c>
      <c r="D24" s="11">
        <v>3.2899999999999999E-2</v>
      </c>
      <c r="E24" s="10">
        <f t="shared" si="2"/>
        <v>53093.826054052683</v>
      </c>
      <c r="F24" s="3"/>
      <c r="G24" s="29">
        <v>4.79</v>
      </c>
      <c r="H24" s="10"/>
      <c r="I24" s="10">
        <f t="shared" si="5"/>
        <v>471.54397737560419</v>
      </c>
      <c r="J24" s="10">
        <f t="shared" si="3"/>
        <v>786010964.84221029</v>
      </c>
      <c r="K24" s="11">
        <f t="shared" si="4"/>
        <v>8.2375910000000108E-2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1613794.1049864073</v>
      </c>
      <c r="D25" s="11">
        <v>3.3700000000000001E-2</v>
      </c>
      <c r="E25" s="10">
        <f t="shared" si="2"/>
        <v>52611.842254079645</v>
      </c>
      <c r="F25" s="3"/>
      <c r="G25" s="29">
        <v>1.1000000000000001</v>
      </c>
      <c r="H25" s="10"/>
      <c r="I25" s="10">
        <f t="shared" si="5"/>
        <v>449.98948122492999</v>
      </c>
      <c r="J25" s="10">
        <f t="shared" si="3"/>
        <v>726190372.10668361</v>
      </c>
      <c r="K25" s="11">
        <f t="shared" si="4"/>
        <v>4.5070699999999908E-2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1561182.2627323277</v>
      </c>
      <c r="D26" s="11">
        <v>3.4200000000000001E-2</v>
      </c>
      <c r="E26" s="10">
        <f t="shared" si="2"/>
        <v>51626.796930425102</v>
      </c>
      <c r="F26" s="3"/>
      <c r="G26" s="29">
        <v>16.82</v>
      </c>
      <c r="H26" s="10"/>
      <c r="I26" s="10">
        <f t="shared" si="5"/>
        <v>445.09345323929773</v>
      </c>
      <c r="J26" s="10">
        <f t="shared" si="3"/>
        <v>694872004.45547235</v>
      </c>
      <c r="K26" s="11">
        <f t="shared" si="4"/>
        <v>0.20815244000000033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1509555.4658019026</v>
      </c>
      <c r="D27" s="11">
        <v>3.44E-2</v>
      </c>
      <c r="E27" s="10">
        <f t="shared" si="2"/>
        <v>50201.767230844358</v>
      </c>
      <c r="F27" s="3"/>
      <c r="G27" s="29">
        <v>-22.45</v>
      </c>
      <c r="H27" s="10"/>
      <c r="I27" s="10">
        <f t="shared" si="5"/>
        <v>381.00792093759429</v>
      </c>
      <c r="J27" s="10">
        <f t="shared" si="3"/>
        <v>575152589.56516457</v>
      </c>
      <c r="K27" s="11">
        <f t="shared" si="4"/>
        <v>-0.19782280000000008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1459353.6985710582</v>
      </c>
      <c r="D28" s="11">
        <v>3.4200000000000001E-2</v>
      </c>
      <c r="E28" s="10">
        <f t="shared" si="2"/>
        <v>48259.424184036208</v>
      </c>
      <c r="F28" s="3"/>
      <c r="G28" s="29">
        <v>16.5</v>
      </c>
      <c r="H28" s="10"/>
      <c r="I28" s="10">
        <f t="shared" si="5"/>
        <v>491.30615207942526</v>
      </c>
      <c r="J28" s="10">
        <f t="shared" si="3"/>
        <v>716989450.16782403</v>
      </c>
      <c r="K28" s="11">
        <f t="shared" si="4"/>
        <v>0.20484300000000011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1411094.274387022</v>
      </c>
      <c r="D29" s="11">
        <v>3.3700000000000001E-2</v>
      </c>
      <c r="E29" s="10">
        <f t="shared" si="2"/>
        <v>46003.557170206681</v>
      </c>
      <c r="F29" s="3"/>
      <c r="G29" s="29">
        <v>11.15</v>
      </c>
      <c r="H29" s="10"/>
      <c r="I29" s="10">
        <f t="shared" si="5"/>
        <v>421.72201895229637</v>
      </c>
      <c r="J29" s="10">
        <f t="shared" si="3"/>
        <v>595089526.32652056</v>
      </c>
      <c r="K29" s="11">
        <f t="shared" si="4"/>
        <v>0.14895754999999999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1365090.7172168153</v>
      </c>
      <c r="D30" s="11">
        <v>3.3099999999999997E-2</v>
      </c>
      <c r="E30" s="10">
        <f t="shared" si="2"/>
        <v>43736.814190181438</v>
      </c>
      <c r="F30" s="3"/>
      <c r="G30" s="29">
        <v>2.11</v>
      </c>
      <c r="H30" s="10"/>
      <c r="I30" s="10">
        <f t="shared" si="5"/>
        <v>379.41702109968185</v>
      </c>
      <c r="J30" s="10">
        <f t="shared" si="3"/>
        <v>517938653.45723224</v>
      </c>
      <c r="K30" s="11">
        <f t="shared" si="4"/>
        <v>5.4898409999999842E-2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1321353.9030266339</v>
      </c>
      <c r="D31" s="11">
        <v>3.2599999999999997E-2</v>
      </c>
      <c r="E31" s="10">
        <f t="shared" si="2"/>
        <v>41716.189462200506</v>
      </c>
      <c r="F31" s="3"/>
      <c r="G31" s="29">
        <v>4.47</v>
      </c>
      <c r="H31" s="10"/>
      <c r="I31" s="10">
        <f t="shared" si="5"/>
        <v>371.57675164007628</v>
      </c>
      <c r="J31" s="10">
        <f t="shared" si="3"/>
        <v>490984391.05357295</v>
      </c>
      <c r="K31" s="11">
        <f t="shared" si="4"/>
        <v>7.8757219999999961E-2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1279637.7135644334</v>
      </c>
      <c r="D32" s="11">
        <v>3.2099999999999997E-2</v>
      </c>
      <c r="E32" s="10">
        <f t="shared" si="2"/>
        <v>39798.82821957022</v>
      </c>
      <c r="F32" s="3"/>
      <c r="G32" s="29">
        <v>3.17</v>
      </c>
      <c r="H32" s="10"/>
      <c r="I32" s="10">
        <f t="shared" si="5"/>
        <v>355.67794739166868</v>
      </c>
      <c r="J32" s="10">
        <f t="shared" si="3"/>
        <v>455138915.36556572</v>
      </c>
      <c r="K32" s="11">
        <f t="shared" si="4"/>
        <v>6.4817569999999991E-2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1239838.8853448632</v>
      </c>
      <c r="D33" s="11">
        <v>3.1800000000000002E-2</v>
      </c>
      <c r="E33" s="10">
        <f t="shared" si="2"/>
        <v>38211.74312266591</v>
      </c>
      <c r="F33" s="3"/>
      <c r="G33" s="29">
        <v>4.1399999999999997</v>
      </c>
      <c r="H33" s="10"/>
      <c r="I33" s="10">
        <f t="shared" si="5"/>
        <v>344.74939167555362</v>
      </c>
      <c r="J33" s="10">
        <f t="shared" si="3"/>
        <v>427433701.49833804</v>
      </c>
      <c r="K33" s="11">
        <f t="shared" si="4"/>
        <v>7.4516520000000197E-2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1201627.1422221973</v>
      </c>
      <c r="D34" s="11">
        <v>3.1399999999999997E-2</v>
      </c>
      <c r="E34" s="10">
        <f t="shared" si="2"/>
        <v>36582.404756425414</v>
      </c>
      <c r="F34" s="3"/>
      <c r="G34" s="29">
        <v>2.48</v>
      </c>
      <c r="H34" s="10"/>
      <c r="I34" s="10">
        <f t="shared" si="5"/>
        <v>331.04416331433993</v>
      </c>
      <c r="J34" s="10">
        <f t="shared" ref="J34:J65" si="6">IF(I34="","",I34*C34)</f>
        <v>397791651.91274863</v>
      </c>
      <c r="K34" s="11">
        <f t="shared" ref="K34:K65" si="7">IFERROR(J34/J35-1,"")</f>
        <v>7.0386920000000242E-2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1165044.7374657718</v>
      </c>
      <c r="D35" s="11">
        <v>3.09E-2</v>
      </c>
      <c r="E35" s="10">
        <f t="shared" si="2"/>
        <v>34920.828778438503</v>
      </c>
      <c r="F35" s="3"/>
      <c r="G35" s="29">
        <v>0.54</v>
      </c>
      <c r="H35" s="10"/>
      <c r="I35" s="10">
        <f t="shared" ref="I35:I66" si="8">IF(H35&lt;&gt;"",H35,I34/(1+IF(G34="",0,G34)/100))</f>
        <v>318.98647457539016</v>
      </c>
      <c r="J35" s="10">
        <f t="shared" si="6"/>
        <v>371633513.52681756</v>
      </c>
      <c r="K35" s="11">
        <f t="shared" si="7"/>
        <v>6.4301159999999857E-2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1130123.9086873333</v>
      </c>
      <c r="D36" s="11">
        <v>3.0200000000000001E-2</v>
      </c>
      <c r="E36" s="10">
        <f t="shared" si="2"/>
        <v>33129.239023837494</v>
      </c>
      <c r="F36" s="3"/>
      <c r="G36" s="29">
        <v>-0.84</v>
      </c>
      <c r="H36" s="10"/>
      <c r="I36" s="10">
        <f t="shared" si="8"/>
        <v>308.9756630912342</v>
      </c>
      <c r="J36" s="10">
        <f t="shared" si="6"/>
        <v>349180784.06192625</v>
      </c>
      <c r="K36" s="11">
        <f t="shared" si="7"/>
        <v>7.0995920000000101E-2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1096994.6696634958</v>
      </c>
      <c r="D37" s="11">
        <v>2.92E-2</v>
      </c>
      <c r="E37" s="10">
        <f t="shared" si="2"/>
        <v>31123.439908836037</v>
      </c>
      <c r="F37" s="3"/>
      <c r="G37" s="29">
        <v>-4.5</v>
      </c>
      <c r="H37" s="10"/>
      <c r="I37" s="10">
        <f t="shared" si="8"/>
        <v>297.20629385459233</v>
      </c>
      <c r="J37" s="10">
        <f t="shared" si="6"/>
        <v>326033720.14893037</v>
      </c>
      <c r="K37" s="11">
        <f t="shared" si="7"/>
        <v>3.7433599999999956E-2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1065871.2297546598</v>
      </c>
      <c r="D38" s="11">
        <v>2.81E-2</v>
      </c>
      <c r="E38" s="10">
        <f t="shared" si="2"/>
        <v>29132.362178879441</v>
      </c>
      <c r="F38" s="3"/>
      <c r="G38" s="29">
        <v>-5.45</v>
      </c>
      <c r="H38" s="10"/>
      <c r="I38" s="10">
        <f t="shared" si="8"/>
        <v>294.84751374463525</v>
      </c>
      <c r="J38" s="10">
        <f t="shared" si="6"/>
        <v>314269482.06509835</v>
      </c>
      <c r="K38" s="11">
        <f t="shared" si="7"/>
        <v>1.0108250000000041E-2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1036738.8675757804</v>
      </c>
      <c r="D39" s="11">
        <v>2.7199999999999998E-2</v>
      </c>
      <c r="E39" s="10">
        <f t="shared" si="2"/>
        <v>27452.586836118717</v>
      </c>
      <c r="F39" s="3"/>
      <c r="G39" s="29">
        <v>5.67</v>
      </c>
      <c r="H39" s="10"/>
      <c r="I39" s="10">
        <f t="shared" si="8"/>
        <v>300.09925063067197</v>
      </c>
      <c r="J39" s="10">
        <f t="shared" si="6"/>
        <v>311124557.25918317</v>
      </c>
      <c r="K39" s="11">
        <f t="shared" si="7"/>
        <v>8.5442240000000114E-2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1009286.2807396617</v>
      </c>
      <c r="D40" s="11">
        <v>2.6599999999999999E-2</v>
      </c>
      <c r="E40" s="10">
        <f t="shared" si="2"/>
        <v>26151.388143069344</v>
      </c>
      <c r="F40" s="3"/>
      <c r="G40" s="29">
        <v>3.1</v>
      </c>
      <c r="H40" s="10"/>
      <c r="I40" s="10">
        <f t="shared" si="8"/>
        <v>283.99664108135892</v>
      </c>
      <c r="J40" s="10">
        <f t="shared" si="6"/>
        <v>286633913.61956131</v>
      </c>
      <c r="K40" s="11">
        <f t="shared" si="7"/>
        <v>5.8424599999999716E-2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983134.89259659231</v>
      </c>
      <c r="D41" s="11">
        <v>2.64E-2</v>
      </c>
      <c r="E41" s="10">
        <f t="shared" si="2"/>
        <v>25287.17962251557</v>
      </c>
      <c r="F41" s="3"/>
      <c r="G41" s="29">
        <v>1.93</v>
      </c>
      <c r="H41" s="10"/>
      <c r="I41" s="10">
        <f t="shared" si="8"/>
        <v>275.45745982673031</v>
      </c>
      <c r="J41" s="10">
        <f t="shared" si="6"/>
        <v>270811840.18168265</v>
      </c>
      <c r="K41" s="11">
        <f t="shared" si="7"/>
        <v>4.6209520000000115E-2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957847.71297407674</v>
      </c>
      <c r="D42" s="11">
        <v>2.6700000000000002E-2</v>
      </c>
      <c r="E42" s="10">
        <f t="shared" si="2"/>
        <v>24909.451579242013</v>
      </c>
      <c r="F42" s="3"/>
      <c r="G42" s="29">
        <v>6.6</v>
      </c>
      <c r="H42" s="10"/>
      <c r="I42" s="10">
        <f t="shared" si="8"/>
        <v>270.24179321763</v>
      </c>
      <c r="J42" s="10">
        <f t="shared" si="6"/>
        <v>258850483.58352026</v>
      </c>
      <c r="K42" s="11">
        <f t="shared" si="7"/>
        <v>9.4462199999999941E-2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932938.26139483473</v>
      </c>
      <c r="D43" s="11">
        <v>2.7300000000000001E-2</v>
      </c>
      <c r="E43" s="10">
        <f t="shared" si="2"/>
        <v>24792.382493993035</v>
      </c>
      <c r="F43" s="3"/>
      <c r="G43" s="29">
        <v>5.42</v>
      </c>
      <c r="H43" s="10"/>
      <c r="I43" s="10">
        <f t="shared" si="8"/>
        <v>253.51012496963415</v>
      </c>
      <c r="J43" s="10">
        <f t="shared" si="6"/>
        <v>236509295.23515776</v>
      </c>
      <c r="K43" s="11">
        <f t="shared" si="7"/>
        <v>8.2979660000000122E-2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908145.87890084169</v>
      </c>
      <c r="D44" s="11">
        <v>2.81E-2</v>
      </c>
      <c r="E44" s="10">
        <f t="shared" si="2"/>
        <v>24821.417369043571</v>
      </c>
      <c r="F44" s="3"/>
      <c r="G44" s="29">
        <v>-1.01</v>
      </c>
      <c r="H44" s="10"/>
      <c r="I44" s="10">
        <f t="shared" si="8"/>
        <v>240.47630902071157</v>
      </c>
      <c r="J44" s="10">
        <f t="shared" si="6"/>
        <v>218387569.01044452</v>
      </c>
      <c r="K44" s="11">
        <f t="shared" si="7"/>
        <v>1.7716190000000021E-2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883324.46153179812</v>
      </c>
      <c r="D45" s="11">
        <v>2.87E-2</v>
      </c>
      <c r="E45" s="10">
        <f t="shared" si="2"/>
        <v>24644.125640091952</v>
      </c>
      <c r="F45" s="3"/>
      <c r="G45" s="29">
        <v>2.7</v>
      </c>
      <c r="H45" s="10"/>
      <c r="I45" s="10">
        <f t="shared" si="8"/>
        <v>242.92990102102391</v>
      </c>
      <c r="J45" s="10">
        <f t="shared" si="6"/>
        <v>214585924.00936896</v>
      </c>
      <c r="K45" s="11">
        <f t="shared" si="7"/>
        <v>5.6474899999999773E-2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858680.33589170617</v>
      </c>
      <c r="D46" s="11">
        <v>2.92E-2</v>
      </c>
      <c r="E46" s="10">
        <f t="shared" si="2"/>
        <v>24362.092701163725</v>
      </c>
      <c r="F46" s="3"/>
      <c r="G46" s="29">
        <v>0.03</v>
      </c>
      <c r="H46" s="10"/>
      <c r="I46" s="10">
        <f t="shared" si="8"/>
        <v>236.54323371083149</v>
      </c>
      <c r="J46" s="10">
        <f t="shared" si="6"/>
        <v>203115023.37572715</v>
      </c>
      <c r="K46" s="11">
        <f t="shared" si="7"/>
        <v>2.9508759999999912E-2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834318.24319054245</v>
      </c>
      <c r="D47" s="11">
        <v>2.9499999999999998E-2</v>
      </c>
      <c r="E47" s="10">
        <f t="shared" si="2"/>
        <v>23907.127901040367</v>
      </c>
      <c r="F47" s="3"/>
      <c r="G47" s="29">
        <v>4.41</v>
      </c>
      <c r="H47" s="10"/>
      <c r="I47" s="10">
        <f t="shared" si="8"/>
        <v>236.47229202322453</v>
      </c>
      <c r="J47" s="10">
        <f t="shared" si="6"/>
        <v>197293147.2440576</v>
      </c>
      <c r="K47" s="11">
        <f t="shared" si="7"/>
        <v>7.4900949999999966E-2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810411.11528950208</v>
      </c>
      <c r="D48" s="11">
        <v>2.9399999999999999E-2</v>
      </c>
      <c r="E48" s="10">
        <f t="shared" si="2"/>
        <v>23145.605973879341</v>
      </c>
      <c r="F48" s="3"/>
      <c r="G48" s="29">
        <v>-0.51</v>
      </c>
      <c r="H48" s="10"/>
      <c r="I48" s="10">
        <f t="shared" si="8"/>
        <v>226.48433294054641</v>
      </c>
      <c r="J48" s="10">
        <f t="shared" si="6"/>
        <v>183545420.85394713</v>
      </c>
      <c r="K48" s="11">
        <f t="shared" si="7"/>
        <v>2.4150059999999973E-2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787265.50931562274</v>
      </c>
      <c r="D49" s="11">
        <v>2.9100000000000001E-2</v>
      </c>
      <c r="E49" s="10">
        <f t="shared" si="2"/>
        <v>22261.61337196047</v>
      </c>
      <c r="F49" s="3"/>
      <c r="G49" s="29">
        <v>5.64</v>
      </c>
      <c r="H49" s="10"/>
      <c r="I49" s="10">
        <f t="shared" si="8"/>
        <v>227.64532409342286</v>
      </c>
      <c r="J49" s="10">
        <f t="shared" si="6"/>
        <v>179217312.01572856</v>
      </c>
      <c r="K49" s="11">
        <f t="shared" si="7"/>
        <v>8.7141240000000009E-2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765003.89594366227</v>
      </c>
      <c r="D50" s="11">
        <v>2.87E-2</v>
      </c>
      <c r="E50" s="10">
        <f t="shared" si="2"/>
        <v>21343.06582442217</v>
      </c>
      <c r="F50" s="3"/>
      <c r="G50" s="29">
        <v>-3.99</v>
      </c>
      <c r="H50" s="10"/>
      <c r="I50" s="10">
        <f t="shared" si="8"/>
        <v>215.49159796802618</v>
      </c>
      <c r="J50" s="10">
        <f t="shared" si="6"/>
        <v>164851911.9886654</v>
      </c>
      <c r="K50" s="11">
        <f t="shared" si="7"/>
        <v>-1.2345130000000148E-2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743660.8301192401</v>
      </c>
      <c r="D51" s="11">
        <v>2.8400000000000002E-2</v>
      </c>
      <c r="E51" s="10">
        <f t="shared" si="2"/>
        <v>20536.724596836255</v>
      </c>
      <c r="F51" s="3"/>
      <c r="G51" s="29">
        <v>2.5499999999999998</v>
      </c>
      <c r="H51" s="10"/>
      <c r="I51" s="10">
        <f t="shared" si="8"/>
        <v>224.44703465058453</v>
      </c>
      <c r="J51" s="10">
        <f t="shared" si="6"/>
        <v>166912468.10605553</v>
      </c>
      <c r="K51" s="11">
        <f t="shared" si="7"/>
        <v>5.4624199999999901E-2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723124.10552240384</v>
      </c>
      <c r="D52" s="11">
        <v>2.8299999999999999E-2</v>
      </c>
      <c r="E52" s="10">
        <f t="shared" si="2"/>
        <v>19901.207999887178</v>
      </c>
      <c r="F52" s="3"/>
      <c r="G52" s="29">
        <v>7.36</v>
      </c>
      <c r="H52" s="10"/>
      <c r="I52" s="10">
        <f t="shared" si="8"/>
        <v>218.86595285283715</v>
      </c>
      <c r="J52" s="10">
        <f t="shared" si="6"/>
        <v>158267246.38601649</v>
      </c>
      <c r="K52" s="11">
        <f t="shared" si="7"/>
        <v>0.10398288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703222.89752251667</v>
      </c>
      <c r="D53" s="11">
        <v>2.8199999999999999E-2</v>
      </c>
      <c r="E53" s="10">
        <f t="shared" si="2"/>
        <v>19286.992521041655</v>
      </c>
      <c r="F53" s="3"/>
      <c r="G53" s="29">
        <v>-6.17</v>
      </c>
      <c r="H53" s="10"/>
      <c r="I53" s="10">
        <f t="shared" si="8"/>
        <v>203.86172955741168</v>
      </c>
      <c r="J53" s="10">
        <f t="shared" si="6"/>
        <v>143360236.15331471</v>
      </c>
      <c r="K53" s="11">
        <f t="shared" si="7"/>
        <v>-3.523993999999997E-2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683935.90500147501</v>
      </c>
      <c r="D54" s="11">
        <v>2.8000000000000001E-2</v>
      </c>
      <c r="E54" s="10">
        <f t="shared" si="2"/>
        <v>18628.604416382615</v>
      </c>
      <c r="F54" s="3"/>
      <c r="G54" s="29">
        <v>7.34</v>
      </c>
      <c r="H54" s="10"/>
      <c r="I54" s="10">
        <f t="shared" si="8"/>
        <v>217.26711026048349</v>
      </c>
      <c r="J54" s="10">
        <f t="shared" si="6"/>
        <v>148596777.68305904</v>
      </c>
      <c r="K54" s="11">
        <f t="shared" si="7"/>
        <v>0.10345519999999997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665307.30058509239</v>
      </c>
      <c r="D55" s="11">
        <v>2.7699999999999999E-2</v>
      </c>
      <c r="E55" s="10">
        <f t="shared" si="2"/>
        <v>17932.287852687645</v>
      </c>
      <c r="F55" s="3"/>
      <c r="G55" s="29">
        <v>-0.92</v>
      </c>
      <c r="H55" s="10"/>
      <c r="I55" s="10">
        <f t="shared" si="8"/>
        <v>202.41020147240872</v>
      </c>
      <c r="J55" s="10">
        <f t="shared" si="6"/>
        <v>134664984.75249293</v>
      </c>
      <c r="K55" s="11">
        <f t="shared" si="7"/>
        <v>1.8245159999999983E-2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647375.01273240475</v>
      </c>
      <c r="D56" s="11">
        <v>2.7199999999999998E-2</v>
      </c>
      <c r="E56" s="10">
        <f t="shared" si="2"/>
        <v>17142.32899758697</v>
      </c>
      <c r="F56" s="3"/>
      <c r="G56" s="29">
        <v>4.97</v>
      </c>
      <c r="H56" s="10"/>
      <c r="I56" s="10">
        <f t="shared" si="8"/>
        <v>204.28966640331925</v>
      </c>
      <c r="J56" s="10">
        <f t="shared" si="6"/>
        <v>132252025.38894752</v>
      </c>
      <c r="K56" s="11">
        <f t="shared" si="7"/>
        <v>7.825183999999985E-2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630232.68373481778</v>
      </c>
      <c r="D57" s="11">
        <v>2.6499999999999999E-2</v>
      </c>
      <c r="E57" s="10">
        <f t="shared" si="2"/>
        <v>16270.0108319266</v>
      </c>
      <c r="F57" s="3"/>
      <c r="G57" s="29">
        <v>2.08</v>
      </c>
      <c r="H57" s="10"/>
      <c r="I57" s="10">
        <f t="shared" si="8"/>
        <v>194.6171919627696</v>
      </c>
      <c r="J57" s="10">
        <f t="shared" si="6"/>
        <v>122654115.1916305</v>
      </c>
      <c r="K57" s="11">
        <f t="shared" si="7"/>
        <v>4.7851199999999983E-2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613962.67290289118</v>
      </c>
      <c r="D58" s="11">
        <v>2.58E-2</v>
      </c>
      <c r="E58" s="10">
        <f t="shared" si="2"/>
        <v>15441.837552051642</v>
      </c>
      <c r="F58" s="3"/>
      <c r="G58" s="29">
        <v>2.0699999999999998</v>
      </c>
      <c r="H58" s="10"/>
      <c r="I58" s="10">
        <f t="shared" si="8"/>
        <v>190.6516378945627</v>
      </c>
      <c r="J58" s="10">
        <f t="shared" si="6"/>
        <v>117052989.19505985</v>
      </c>
      <c r="K58" s="11">
        <f t="shared" si="7"/>
        <v>4.7034059999999878E-2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598520.83535083954</v>
      </c>
      <c r="D59" s="11">
        <v>2.5100000000000001E-2</v>
      </c>
      <c r="E59" s="10">
        <f t="shared" si="2"/>
        <v>14655.031672330573</v>
      </c>
      <c r="F59" s="3"/>
      <c r="G59" s="29">
        <v>2.78</v>
      </c>
      <c r="H59" s="10"/>
      <c r="I59" s="10">
        <f t="shared" si="8"/>
        <v>186.78518457388333</v>
      </c>
      <c r="J59" s="10">
        <f t="shared" si="6"/>
        <v>111794824.7023214</v>
      </c>
      <c r="K59" s="11">
        <f t="shared" si="7"/>
        <v>5.3597780000000039E-2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583865.80367850896</v>
      </c>
      <c r="D60" s="11">
        <v>2.4500000000000001E-2</v>
      </c>
      <c r="E60" s="10">
        <f t="shared" si="2"/>
        <v>13962.627808807651</v>
      </c>
      <c r="F60" s="3"/>
      <c r="G60" s="29">
        <v>4.17</v>
      </c>
      <c r="H60" s="10"/>
      <c r="I60" s="10">
        <f t="shared" si="8"/>
        <v>181.73300697984365</v>
      </c>
      <c r="J60" s="10">
        <f t="shared" si="6"/>
        <v>106107688.1751985</v>
      </c>
      <c r="K60" s="11">
        <f t="shared" si="7"/>
        <v>6.7221650000000022E-2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569903.17586970131</v>
      </c>
      <c r="D61" s="11">
        <v>2.3800000000000002E-2</v>
      </c>
      <c r="E61" s="10">
        <f t="shared" si="2"/>
        <v>13248.384045418003</v>
      </c>
      <c r="F61" s="3"/>
      <c r="G61" s="29">
        <v>9.7100000000000009</v>
      </c>
      <c r="H61" s="10"/>
      <c r="I61" s="10">
        <f t="shared" si="8"/>
        <v>174.45810404132058</v>
      </c>
      <c r="J61" s="10">
        <f t="shared" si="6"/>
        <v>99424227.549355373</v>
      </c>
      <c r="K61" s="11">
        <f t="shared" si="7"/>
        <v>0.12321098000000008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556654.79182428331</v>
      </c>
      <c r="D62" s="11">
        <v>2.3099999999999999E-2</v>
      </c>
      <c r="E62" s="10">
        <f t="shared" si="2"/>
        <v>12568.395749331336</v>
      </c>
      <c r="F62" s="3"/>
      <c r="G62" s="29">
        <v>2.86</v>
      </c>
      <c r="H62" s="10"/>
      <c r="I62" s="10">
        <f t="shared" si="8"/>
        <v>159.01750436725968</v>
      </c>
      <c r="J62" s="10">
        <f t="shared" si="6"/>
        <v>88517855.789974004</v>
      </c>
      <c r="K62" s="11">
        <f t="shared" si="7"/>
        <v>5.2360659999999948E-2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544086.39607495198</v>
      </c>
      <c r="D63" s="11">
        <v>2.24E-2</v>
      </c>
      <c r="E63" s="10">
        <f t="shared" si="2"/>
        <v>11920.515719951945</v>
      </c>
      <c r="F63" s="3"/>
      <c r="G63" s="29">
        <v>6.23</v>
      </c>
      <c r="H63" s="10"/>
      <c r="I63" s="10">
        <f t="shared" si="8"/>
        <v>154.59605713324876</v>
      </c>
      <c r="J63" s="10">
        <f t="shared" si="6"/>
        <v>84113611.573026687</v>
      </c>
      <c r="K63" s="11">
        <f t="shared" si="7"/>
        <v>8.6095519999999981E-2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532165.88035500003</v>
      </c>
      <c r="D64" s="11">
        <v>2.1700000000000001E-2</v>
      </c>
      <c r="E64" s="10">
        <f t="shared" si="2"/>
        <v>11302.730355000065</v>
      </c>
      <c r="F64" s="3"/>
      <c r="G64" s="29">
        <v>3.64</v>
      </c>
      <c r="H64" s="10"/>
      <c r="I64" s="10">
        <f t="shared" si="8"/>
        <v>145.52956522004024</v>
      </c>
      <c r="J64" s="10">
        <f t="shared" si="6"/>
        <v>77445869.193003103</v>
      </c>
      <c r="K64" s="11">
        <f t="shared" si="7"/>
        <v>5.888987999999995E-2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520863.14999999997</v>
      </c>
      <c r="D65" s="11">
        <v>2.1000000000000001E-2</v>
      </c>
      <c r="E65" s="10">
        <f t="shared" si="2"/>
        <v>10713.149999999965</v>
      </c>
      <c r="F65" s="3"/>
      <c r="G65" s="29">
        <v>4.1399999999999997</v>
      </c>
      <c r="H65" s="10"/>
      <c r="I65" s="10">
        <f t="shared" si="8"/>
        <v>140.41833772678527</v>
      </c>
      <c r="J65" s="10">
        <f t="shared" si="6"/>
        <v>73138737.70613721</v>
      </c>
      <c r="K65" s="11">
        <f t="shared" si="7"/>
        <v>6.3269400000000031E-2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510150</v>
      </c>
      <c r="D66" s="11">
        <v>2.0299999999999999E-2</v>
      </c>
      <c r="E66" s="10">
        <f t="shared" si="2"/>
        <v>10150</v>
      </c>
      <c r="F66" s="23">
        <f>SUM(F2)</f>
        <v>2898502</v>
      </c>
      <c r="G66" s="29">
        <v>7.36</v>
      </c>
      <c r="H66" s="10"/>
      <c r="I66" s="10">
        <f t="shared" si="8"/>
        <v>134.8361222650137</v>
      </c>
      <c r="J66" s="10">
        <f t="shared" ref="J66:J67" si="9">IF(I66="","",I66*C66)</f>
        <v>68786647.773496732</v>
      </c>
      <c r="K66" s="11">
        <f t="shared" ref="K66" si="10">IFERROR(J66/J67-1,"")</f>
        <v>9.5394079999999937E-2</v>
      </c>
    </row>
    <row r="67" spans="1:11" ht="22.5" customHeight="1">
      <c r="A67" s="3">
        <f t="shared" si="0"/>
        <v>1950</v>
      </c>
      <c r="B67" s="3">
        <v>1700</v>
      </c>
      <c r="C67" s="10">
        <v>500000</v>
      </c>
      <c r="D67" s="11">
        <v>1.9599999999999999E-2</v>
      </c>
      <c r="E67" s="3" t="s">
        <v>72</v>
      </c>
      <c r="F67" s="10">
        <f>SUM(C2)</f>
        <v>2898593.7232139963</v>
      </c>
      <c r="G67" s="29">
        <v>7.68</v>
      </c>
      <c r="H67" s="10"/>
      <c r="I67" s="10">
        <f t="shared" ref="I67" si="11">IF(H67&lt;&gt;"",H67,I66/(1+IF(G66="",0,G66)/100))</f>
        <v>125.5925132870843</v>
      </c>
      <c r="J67" s="10">
        <f t="shared" si="9"/>
        <v>62796256.643542148</v>
      </c>
      <c r="K67" s="11"/>
    </row>
  </sheetData>
  <dataValidations count="1">
    <dataValidation type="custom" allowBlank="1" showDropDown="1" sqref="D2:D67" xr:uid="{00000000-0002-0000-8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outlinePr summaryBelow="0" summaryRight="0"/>
  </sheetPr>
  <dimension ref="A1:M67"/>
  <sheetViews>
    <sheetView workbookViewId="0">
      <selection activeCell="K65" sqref="K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39335963.012854345</v>
      </c>
      <c r="D2" s="11">
        <v>6.7000000000000002E-3</v>
      </c>
      <c r="E2" s="10">
        <f t="shared" ref="E2:E66" si="2">SUM(C2-C3)</f>
        <v>261796.91286989301</v>
      </c>
      <c r="F2" s="14">
        <v>39335005</v>
      </c>
      <c r="G2" s="26">
        <v>2.12</v>
      </c>
      <c r="H2" s="10"/>
      <c r="I2" s="10">
        <f>IF(H2&lt;&gt;"",H2,152696)</f>
        <v>19087</v>
      </c>
      <c r="J2" s="10">
        <f t="shared" ref="J2:J33" si="3">IF(I2="","",I2*C2)</f>
        <v>750805526026.35083</v>
      </c>
      <c r="K2" s="11">
        <f t="shared" ref="K2:K33" si="4">IFERROR(J2/J3-1,"")</f>
        <v>2.8042039999999879E-2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39074166.099984452</v>
      </c>
      <c r="D3" s="11">
        <v>5.8999999999999999E-3</v>
      </c>
      <c r="E3" s="10">
        <f t="shared" si="2"/>
        <v>229185.38621126115</v>
      </c>
      <c r="F3" s="3"/>
      <c r="G3" s="26">
        <v>1.61</v>
      </c>
      <c r="H3" s="10"/>
      <c r="I3" s="10">
        <f t="shared" ref="I3:I34" si="5">IF(H3&lt;&gt;"",H3,I2/(1+IF(G2="",0,G2)/100))</f>
        <v>18690.755973364667</v>
      </c>
      <c r="J3" s="10">
        <f t="shared" si="3"/>
        <v>730325703437.52759</v>
      </c>
      <c r="K3" s="11">
        <f t="shared" si="4"/>
        <v>2.2094990000000037E-2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38844980.713773191</v>
      </c>
      <c r="D4" s="11">
        <v>4.3E-3</v>
      </c>
      <c r="E4" s="10">
        <f t="shared" si="2"/>
        <v>166318.24860024452</v>
      </c>
      <c r="F4" s="3"/>
      <c r="G4" s="26">
        <v>-0.03</v>
      </c>
      <c r="H4" s="10"/>
      <c r="I4" s="10">
        <f t="shared" si="5"/>
        <v>18394.602867202702</v>
      </c>
      <c r="J4" s="10">
        <f t="shared" si="3"/>
        <v>714537993614.00598</v>
      </c>
      <c r="K4" s="11">
        <f t="shared" si="4"/>
        <v>3.9987100000000719E-3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38678662.465172946</v>
      </c>
      <c r="D5" s="11">
        <v>4.0000000000000001E-3</v>
      </c>
      <c r="E5" s="10">
        <f t="shared" si="2"/>
        <v>154098.2568333596</v>
      </c>
      <c r="F5" s="3"/>
      <c r="G5" s="26">
        <v>-0.98</v>
      </c>
      <c r="H5" s="10"/>
      <c r="I5" s="10">
        <f t="shared" si="5"/>
        <v>18400.122904073924</v>
      </c>
      <c r="J5" s="10">
        <f t="shared" si="3"/>
        <v>711692143124.37305</v>
      </c>
      <c r="K5" s="11">
        <f t="shared" si="4"/>
        <v>-5.8392000000001554E-3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38524564.208339587</v>
      </c>
      <c r="D6" s="11">
        <v>4.1000000000000003E-3</v>
      </c>
      <c r="E6" s="10">
        <f t="shared" si="2"/>
        <v>157305.75963967294</v>
      </c>
      <c r="F6" s="3"/>
      <c r="G6" s="26">
        <v>1.77</v>
      </c>
      <c r="H6" s="10"/>
      <c r="I6" s="10">
        <f t="shared" si="5"/>
        <v>18582.228745782595</v>
      </c>
      <c r="J6" s="10">
        <f t="shared" si="3"/>
        <v>715872264450.9552</v>
      </c>
      <c r="K6" s="11">
        <f t="shared" si="4"/>
        <v>2.1872570000000202E-2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38367258.448699914</v>
      </c>
      <c r="D7" s="11">
        <v>4.8999999999999998E-3</v>
      </c>
      <c r="E7" s="10">
        <f t="shared" si="2"/>
        <v>187082.86038275063</v>
      </c>
      <c r="F7" s="3"/>
      <c r="G7" s="26">
        <v>1.32</v>
      </c>
      <c r="H7" s="10"/>
      <c r="I7" s="10">
        <f t="shared" si="5"/>
        <v>18259.043672774485</v>
      </c>
      <c r="J7" s="10">
        <f t="shared" si="3"/>
        <v>700549447619.43762</v>
      </c>
      <c r="K7" s="11">
        <f t="shared" si="4"/>
        <v>1.8164680000000155E-2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38180175.588317163</v>
      </c>
      <c r="D8" s="11">
        <v>4.5999999999999999E-3</v>
      </c>
      <c r="E8" s="10">
        <f t="shared" si="2"/>
        <v>174824.61447965354</v>
      </c>
      <c r="F8" s="3"/>
      <c r="G8" s="26">
        <v>-3.67</v>
      </c>
      <c r="H8" s="10"/>
      <c r="I8" s="10">
        <f t="shared" si="5"/>
        <v>18021.164303962181</v>
      </c>
      <c r="J8" s="10">
        <f t="shared" si="3"/>
        <v>688051217431.18958</v>
      </c>
      <c r="K8" s="11">
        <f t="shared" si="4"/>
        <v>-3.2268819999999865E-2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38005350.97383751</v>
      </c>
      <c r="D9" s="11">
        <v>4.0000000000000001E-3</v>
      </c>
      <c r="E9" s="10">
        <f t="shared" si="2"/>
        <v>151415.74093162268</v>
      </c>
      <c r="F9" s="3"/>
      <c r="G9" s="26">
        <v>2.12</v>
      </c>
      <c r="H9" s="10"/>
      <c r="I9" s="10">
        <f t="shared" si="5"/>
        <v>18707.73829955588</v>
      </c>
      <c r="J9" s="10">
        <f t="shared" si="3"/>
        <v>710994160001.32336</v>
      </c>
      <c r="K9" s="11">
        <f t="shared" si="4"/>
        <v>2.5284800000000107E-2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37853935.232905887</v>
      </c>
      <c r="D10" s="11">
        <v>4.4000000000000003E-3</v>
      </c>
      <c r="E10" s="10">
        <f t="shared" si="2"/>
        <v>165827.67326243222</v>
      </c>
      <c r="F10" s="3"/>
      <c r="G10" s="26">
        <v>3.89</v>
      </c>
      <c r="H10" s="10"/>
      <c r="I10" s="10">
        <f t="shared" si="5"/>
        <v>18319.367704226283</v>
      </c>
      <c r="J10" s="10">
        <f t="shared" si="3"/>
        <v>693460158583.56946</v>
      </c>
      <c r="K10" s="11">
        <f t="shared" si="4"/>
        <v>4.3471159999999731E-2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37688107.559643455</v>
      </c>
      <c r="D11" s="11">
        <v>4.1999999999999997E-3</v>
      </c>
      <c r="E11" s="10">
        <f t="shared" si="2"/>
        <v>157628.01409132034</v>
      </c>
      <c r="F11" s="3"/>
      <c r="G11" s="26">
        <v>3.54</v>
      </c>
      <c r="H11" s="10"/>
      <c r="I11" s="10">
        <f t="shared" si="5"/>
        <v>17633.427379176326</v>
      </c>
      <c r="J11" s="10">
        <f t="shared" si="3"/>
        <v>664570507711.5592</v>
      </c>
      <c r="K11" s="11">
        <f t="shared" si="4"/>
        <v>3.9748679999999981E-2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37530479.545552135</v>
      </c>
      <c r="D12" s="11">
        <v>4.5999999999999999E-3</v>
      </c>
      <c r="E12" s="10">
        <f t="shared" si="2"/>
        <v>171849.69730194658</v>
      </c>
      <c r="F12" s="3"/>
      <c r="G12" s="26">
        <v>2.0299999999999998</v>
      </c>
      <c r="H12" s="10"/>
      <c r="I12" s="10">
        <f t="shared" si="5"/>
        <v>17030.546049040298</v>
      </c>
      <c r="J12" s="10">
        <f t="shared" si="3"/>
        <v>639164560143.0907</v>
      </c>
      <c r="K12" s="11">
        <f t="shared" si="4"/>
        <v>2.4993379999999732E-2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37358629.848250188</v>
      </c>
      <c r="D13" s="11">
        <v>5.1999999999999998E-3</v>
      </c>
      <c r="E13" s="10">
        <f t="shared" si="2"/>
        <v>193259.92360813916</v>
      </c>
      <c r="F13" s="3"/>
      <c r="G13" s="26">
        <v>2.02</v>
      </c>
      <c r="H13" s="10"/>
      <c r="I13" s="10">
        <f t="shared" si="5"/>
        <v>16691.70444873106</v>
      </c>
      <c r="J13" s="10">
        <f t="shared" si="3"/>
        <v>623579208036.53467</v>
      </c>
      <c r="K13" s="11">
        <f t="shared" si="4"/>
        <v>2.550504000000009E-2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37165369.924642049</v>
      </c>
      <c r="D14" s="11">
        <v>6.4999999999999997E-3</v>
      </c>
      <c r="E14" s="10">
        <f t="shared" si="2"/>
        <v>240014.80825650692</v>
      </c>
      <c r="F14" s="3"/>
      <c r="G14" s="26">
        <v>0.1</v>
      </c>
      <c r="H14" s="10"/>
      <c r="I14" s="10">
        <f t="shared" si="5"/>
        <v>16361.208046197862</v>
      </c>
      <c r="J14" s="10">
        <f t="shared" si="3"/>
        <v>608070349450.97351</v>
      </c>
      <c r="K14" s="11">
        <f t="shared" si="4"/>
        <v>7.5064999999998605E-3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36925355.116385542</v>
      </c>
      <c r="D15" s="11">
        <v>6.1000000000000004E-3</v>
      </c>
      <c r="E15" s="10">
        <f t="shared" si="2"/>
        <v>223879.00428382307</v>
      </c>
      <c r="F15" s="3"/>
      <c r="G15" s="26">
        <v>0.25</v>
      </c>
      <c r="H15" s="10"/>
      <c r="I15" s="10">
        <f t="shared" si="5"/>
        <v>16344.86318301485</v>
      </c>
      <c r="J15" s="10">
        <f t="shared" si="3"/>
        <v>603539877361.55908</v>
      </c>
      <c r="K15" s="11">
        <f t="shared" si="4"/>
        <v>8.6152500000000742E-3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36701476.112101719</v>
      </c>
      <c r="D16" s="11">
        <v>4.3E-3</v>
      </c>
      <c r="E16" s="10">
        <f t="shared" si="2"/>
        <v>157140.64251920581</v>
      </c>
      <c r="F16" s="3"/>
      <c r="G16" s="26">
        <v>2.3199999999999998</v>
      </c>
      <c r="H16" s="10"/>
      <c r="I16" s="10">
        <f t="shared" si="5"/>
        <v>16304.102925700599</v>
      </c>
      <c r="J16" s="10">
        <f t="shared" si="3"/>
        <v>598384644056.84827</v>
      </c>
      <c r="K16" s="11">
        <f t="shared" si="4"/>
        <v>2.7599759999999973E-2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36544335.469582513</v>
      </c>
      <c r="D17" s="11">
        <v>4.8999999999999998E-3</v>
      </c>
      <c r="E17" s="10">
        <f t="shared" si="2"/>
        <v>178194.0927464962</v>
      </c>
      <c r="F17" s="3"/>
      <c r="G17" s="26">
        <v>4.22</v>
      </c>
      <c r="H17" s="10"/>
      <c r="I17" s="10">
        <f t="shared" si="5"/>
        <v>15934.424282350075</v>
      </c>
      <c r="J17" s="10">
        <f t="shared" si="3"/>
        <v>582312946488.86279</v>
      </c>
      <c r="K17" s="11">
        <f t="shared" si="4"/>
        <v>4.7306779999999993E-2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36366141.376836017</v>
      </c>
      <c r="D18" s="11">
        <v>3.5999999999999999E-3</v>
      </c>
      <c r="E18" s="10">
        <f t="shared" si="2"/>
        <v>130448.49437685311</v>
      </c>
      <c r="F18" s="3"/>
      <c r="G18" s="26">
        <v>5.04</v>
      </c>
      <c r="H18" s="10"/>
      <c r="I18" s="10">
        <f t="shared" si="5"/>
        <v>15289.219230809898</v>
      </c>
      <c r="J18" s="10">
        <f t="shared" si="3"/>
        <v>556009908089.07275</v>
      </c>
      <c r="K18" s="11">
        <f t="shared" si="4"/>
        <v>5.4181440000000025E-2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36235692.882459164</v>
      </c>
      <c r="D19" s="11">
        <v>4.7999999999999996E-3</v>
      </c>
      <c r="E19" s="10">
        <f t="shared" si="2"/>
        <v>173100.44370601326</v>
      </c>
      <c r="F19" s="3"/>
      <c r="G19" s="26">
        <v>4.6500000000000004</v>
      </c>
      <c r="H19" s="10"/>
      <c r="I19" s="10">
        <f t="shared" si="5"/>
        <v>14555.616175561594</v>
      </c>
      <c r="J19" s="10">
        <f t="shared" si="3"/>
        <v>527432837452.60474</v>
      </c>
      <c r="K19" s="11">
        <f t="shared" si="4"/>
        <v>5.152319999999988E-2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36062592.43875315</v>
      </c>
      <c r="D20" s="11">
        <v>4.4000000000000003E-3</v>
      </c>
      <c r="E20" s="10">
        <f t="shared" si="2"/>
        <v>157980.29343938082</v>
      </c>
      <c r="F20" s="3"/>
      <c r="G20" s="26">
        <v>4.25</v>
      </c>
      <c r="H20" s="10"/>
      <c r="I20" s="10">
        <f t="shared" si="5"/>
        <v>13908.854443919345</v>
      </c>
      <c r="J20" s="10">
        <f t="shared" si="3"/>
        <v>501589349101.00391</v>
      </c>
      <c r="K20" s="11">
        <f t="shared" si="4"/>
        <v>4.7087000000000101E-2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35904612.14531377</v>
      </c>
      <c r="D21" s="11">
        <v>2.0999999999999999E-3</v>
      </c>
      <c r="E21" s="10">
        <f t="shared" si="2"/>
        <v>75241.677981399</v>
      </c>
      <c r="F21" s="3"/>
      <c r="G21" s="26">
        <v>3.42</v>
      </c>
      <c r="H21" s="10"/>
      <c r="I21" s="10">
        <f t="shared" si="5"/>
        <v>13341.826804718796</v>
      </c>
      <c r="J21" s="10">
        <f t="shared" si="3"/>
        <v>479033116733.37927</v>
      </c>
      <c r="K21" s="11">
        <f t="shared" si="4"/>
        <v>3.6371820000000055E-2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35829370.467332371</v>
      </c>
      <c r="D22" s="11">
        <v>2.2000000000000001E-3</v>
      </c>
      <c r="E22" s="10">
        <f t="shared" si="2"/>
        <v>78651.581548720598</v>
      </c>
      <c r="F22" s="3"/>
      <c r="G22" s="26">
        <v>3.12</v>
      </c>
      <c r="H22" s="10"/>
      <c r="I22" s="10">
        <f t="shared" si="5"/>
        <v>12900.625415508408</v>
      </c>
      <c r="J22" s="10">
        <f t="shared" si="3"/>
        <v>462221287272.53436</v>
      </c>
      <c r="K22" s="11">
        <f t="shared" si="4"/>
        <v>3.3468639999999938E-2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35750718.88578365</v>
      </c>
      <c r="D23" s="11">
        <v>2.5999999999999999E-3</v>
      </c>
      <c r="E23" s="10">
        <f t="shared" si="2"/>
        <v>92710.820968516171</v>
      </c>
      <c r="F23" s="3"/>
      <c r="G23" s="26">
        <v>2.96</v>
      </c>
      <c r="H23" s="10"/>
      <c r="I23" s="10">
        <f t="shared" si="5"/>
        <v>12510.303932804896</v>
      </c>
      <c r="J23" s="10">
        <f t="shared" si="3"/>
        <v>447252359077.42145</v>
      </c>
      <c r="K23" s="11">
        <f t="shared" si="4"/>
        <v>3.2276960000000132E-2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35658008.064815134</v>
      </c>
      <c r="D24" s="11">
        <v>2.9000000000000002E-3</v>
      </c>
      <c r="E24" s="10">
        <f t="shared" si="2"/>
        <v>103109.20668856055</v>
      </c>
      <c r="F24" s="3"/>
      <c r="G24" s="26">
        <v>1.26</v>
      </c>
      <c r="H24" s="10"/>
      <c r="I24" s="10">
        <f t="shared" si="5"/>
        <v>12150.644845381599</v>
      </c>
      <c r="J24" s="10">
        <f t="shared" si="3"/>
        <v>433267791889.32147</v>
      </c>
      <c r="K24" s="11">
        <f t="shared" si="4"/>
        <v>1.5536539999999599E-2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35554898.858126573</v>
      </c>
      <c r="D25" s="11">
        <v>3.0000000000000001E-3</v>
      </c>
      <c r="E25" s="10">
        <f t="shared" si="2"/>
        <v>106345.65959558636</v>
      </c>
      <c r="F25" s="3"/>
      <c r="G25" s="26">
        <v>1.71</v>
      </c>
      <c r="H25" s="10"/>
      <c r="I25" s="10">
        <f t="shared" si="5"/>
        <v>11999.451753290145</v>
      </c>
      <c r="J25" s="10">
        <f t="shared" si="3"/>
        <v>426639293441.20068</v>
      </c>
      <c r="K25" s="11">
        <f t="shared" si="4"/>
        <v>2.0151299999999761E-2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35448553.198530987</v>
      </c>
      <c r="D26" s="11">
        <v>3.0999999999999999E-3</v>
      </c>
      <c r="E26" s="10">
        <f t="shared" si="2"/>
        <v>109550.90710342675</v>
      </c>
      <c r="F26" s="3"/>
      <c r="G26" s="26">
        <v>2.44</v>
      </c>
      <c r="H26" s="10"/>
      <c r="I26" s="10">
        <f t="shared" si="5"/>
        <v>11797.710896952261</v>
      </c>
      <c r="J26" s="10">
        <f t="shared" si="3"/>
        <v>418211782351.50098</v>
      </c>
      <c r="K26" s="11">
        <f t="shared" si="4"/>
        <v>2.7575640000000012E-2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35339002.29142756</v>
      </c>
      <c r="D27" s="11">
        <v>3.0999999999999999E-3</v>
      </c>
      <c r="E27" s="10">
        <f t="shared" si="2"/>
        <v>109212.3488220796</v>
      </c>
      <c r="F27" s="3"/>
      <c r="G27" s="26">
        <v>-3.2</v>
      </c>
      <c r="H27" s="10"/>
      <c r="I27" s="10">
        <f t="shared" si="5"/>
        <v>11516.703335564489</v>
      </c>
      <c r="J27" s="10">
        <f t="shared" si="3"/>
        <v>406988805565.2049</v>
      </c>
      <c r="K27" s="11">
        <f t="shared" si="4"/>
        <v>-2.8999199999999892E-2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35229789.942605481</v>
      </c>
      <c r="D28" s="11">
        <v>2.8E-3</v>
      </c>
      <c r="E28" s="10">
        <f t="shared" si="2"/>
        <v>98367.98149111867</v>
      </c>
      <c r="F28" s="3"/>
      <c r="G28" s="26">
        <v>4.42</v>
      </c>
      <c r="H28" s="10"/>
      <c r="I28" s="10">
        <f t="shared" si="5"/>
        <v>11897.420801202985</v>
      </c>
      <c r="J28" s="10">
        <f t="shared" si="3"/>
        <v>419143635685.16614</v>
      </c>
      <c r="K28" s="11">
        <f t="shared" si="4"/>
        <v>4.7123759999999848E-2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35131421.961114362</v>
      </c>
      <c r="D29" s="11">
        <v>2.5999999999999999E-3</v>
      </c>
      <c r="E29" s="10">
        <f t="shared" si="2"/>
        <v>91104.824555054307</v>
      </c>
      <c r="F29" s="3"/>
      <c r="G29" s="26">
        <v>3.44</v>
      </c>
      <c r="H29" s="10"/>
      <c r="I29" s="10">
        <f t="shared" si="5"/>
        <v>11393.814212988877</v>
      </c>
      <c r="J29" s="10">
        <f t="shared" si="3"/>
        <v>400280894863.05438</v>
      </c>
      <c r="K29" s="11">
        <f t="shared" si="4"/>
        <v>3.708944000000014E-2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35040317.136559308</v>
      </c>
      <c r="D30" s="11">
        <v>3.0000000000000001E-3</v>
      </c>
      <c r="E30" s="10">
        <f t="shared" si="2"/>
        <v>104806.53181423247</v>
      </c>
      <c r="F30" s="3"/>
      <c r="G30" s="26">
        <v>1.93</v>
      </c>
      <c r="H30" s="10"/>
      <c r="I30" s="10">
        <f t="shared" si="5"/>
        <v>11014.901598017088</v>
      </c>
      <c r="J30" s="10">
        <f t="shared" si="3"/>
        <v>385965645222.5127</v>
      </c>
      <c r="K30" s="11">
        <f t="shared" si="4"/>
        <v>2.2357900000000042E-2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34935510.604745075</v>
      </c>
      <c r="D31" s="11">
        <v>4.1000000000000003E-3</v>
      </c>
      <c r="E31" s="10">
        <f t="shared" si="2"/>
        <v>142650.72550488263</v>
      </c>
      <c r="F31" s="3"/>
      <c r="G31" s="26">
        <v>2.79</v>
      </c>
      <c r="H31" s="10"/>
      <c r="I31" s="10">
        <f t="shared" si="5"/>
        <v>10806.33925048277</v>
      </c>
      <c r="J31" s="10">
        <f t="shared" si="3"/>
        <v>377524979483.71375</v>
      </c>
      <c r="K31" s="11">
        <f t="shared" si="4"/>
        <v>3.2114390000000048E-2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34792859.879240192</v>
      </c>
      <c r="D32" s="11">
        <v>5.5999999999999999E-3</v>
      </c>
      <c r="E32" s="10">
        <f t="shared" si="2"/>
        <v>193754.98739434034</v>
      </c>
      <c r="F32" s="3"/>
      <c r="G32" s="26">
        <v>2.58</v>
      </c>
      <c r="H32" s="10"/>
      <c r="I32" s="10">
        <f t="shared" si="5"/>
        <v>10513.025829830498</v>
      </c>
      <c r="J32" s="10">
        <f t="shared" si="3"/>
        <v>365778234604.12537</v>
      </c>
      <c r="K32" s="11">
        <f t="shared" si="4"/>
        <v>3.1544480000000208E-2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34599104.891845852</v>
      </c>
      <c r="D33" s="11">
        <v>4.7000000000000002E-3</v>
      </c>
      <c r="E33" s="10">
        <f t="shared" si="2"/>
        <v>161855.07414320111</v>
      </c>
      <c r="F33" s="3"/>
      <c r="G33" s="26">
        <v>3.06</v>
      </c>
      <c r="H33" s="10"/>
      <c r="I33" s="10">
        <f t="shared" si="5"/>
        <v>10248.611649279097</v>
      </c>
      <c r="J33" s="10">
        <f t="shared" si="3"/>
        <v>354592789449.20081</v>
      </c>
      <c r="K33" s="11">
        <f t="shared" si="4"/>
        <v>3.5443820000000015E-2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34437249.817702651</v>
      </c>
      <c r="D34" s="11">
        <v>5.4000000000000003E-3</v>
      </c>
      <c r="E34" s="10">
        <f t="shared" si="2"/>
        <v>184962.35231310874</v>
      </c>
      <c r="F34" s="3"/>
      <c r="G34" s="26">
        <v>0.77</v>
      </c>
      <c r="H34" s="10"/>
      <c r="I34" s="10">
        <f t="shared" si="5"/>
        <v>9944.3155921590314</v>
      </c>
      <c r="J34" s="10">
        <f t="shared" ref="J34:J65" si="6">IF(I34="","",I34*C34)</f>
        <v>342454880313.25623</v>
      </c>
      <c r="K34" s="11">
        <f t="shared" ref="K34:K65" si="7">IFERROR(J34/J35-1,"")</f>
        <v>2.6211779999999907E-2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34252287.465389542</v>
      </c>
      <c r="D35" s="11">
        <v>5.4999999999999997E-3</v>
      </c>
      <c r="E35" s="10">
        <f t="shared" si="2"/>
        <v>187357.11691660434</v>
      </c>
      <c r="F35" s="3"/>
      <c r="G35" s="26">
        <v>-0.6</v>
      </c>
      <c r="H35" s="10"/>
      <c r="I35" s="10">
        <f t="shared" ref="I35:I66" si="8">IF(H35&lt;&gt;"",H35,I34/(1+IF(G34="",0,G34)/100))</f>
        <v>9742.6428844508991</v>
      </c>
      <c r="J35" s="10">
        <f t="shared" si="6"/>
        <v>333707804750.84418</v>
      </c>
      <c r="K35" s="11">
        <f t="shared" si="7"/>
        <v>2.6615500000000125E-2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34064930.348472938</v>
      </c>
      <c r="D36" s="11">
        <v>5.7999999999999996E-3</v>
      </c>
      <c r="E36" s="10">
        <f t="shared" si="2"/>
        <v>196437.25991364568</v>
      </c>
      <c r="F36" s="3"/>
      <c r="G36" s="26">
        <v>-5.58</v>
      </c>
      <c r="H36" s="10"/>
      <c r="I36" s="10">
        <f t="shared" si="8"/>
        <v>9542.2555185611163</v>
      </c>
      <c r="J36" s="10">
        <f t="shared" si="6"/>
        <v>325056269607.11597</v>
      </c>
      <c r="K36" s="11">
        <f t="shared" si="7"/>
        <v>-2.0452399999999482E-3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33868493.088559292</v>
      </c>
      <c r="D37" s="11">
        <v>6.3E-3</v>
      </c>
      <c r="E37" s="10">
        <f t="shared" si="2"/>
        <v>212035.68166344613</v>
      </c>
      <c r="F37" s="3"/>
      <c r="G37" s="26">
        <v>-3.96</v>
      </c>
      <c r="H37" s="10"/>
      <c r="I37" s="10">
        <f t="shared" si="8"/>
        <v>9617.2702263264637</v>
      </c>
      <c r="J37" s="10">
        <f t="shared" si="6"/>
        <v>325722450191.1449</v>
      </c>
      <c r="K37" s="11">
        <f t="shared" si="7"/>
        <v>1.9784420000000136E-2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33656457.406895846</v>
      </c>
      <c r="D38" s="11">
        <v>6.8999999999999999E-3</v>
      </c>
      <c r="E38" s="10">
        <f t="shared" si="2"/>
        <v>230638.15285289288</v>
      </c>
      <c r="F38" s="3"/>
      <c r="G38" s="26">
        <v>-5.71</v>
      </c>
      <c r="H38" s="10"/>
      <c r="I38" s="10">
        <f t="shared" si="8"/>
        <v>9490.1028481611047</v>
      </c>
      <c r="J38" s="10">
        <f t="shared" si="6"/>
        <v>319403242296.19519</v>
      </c>
      <c r="K38" s="11">
        <f t="shared" si="7"/>
        <v>-1.3338690000000097E-2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33425819.254042953</v>
      </c>
      <c r="D39" s="11">
        <v>7.4000000000000003E-3</v>
      </c>
      <c r="E39" s="10">
        <f t="shared" si="2"/>
        <v>245534.11006543785</v>
      </c>
      <c r="F39" s="3"/>
      <c r="G39" s="26">
        <v>2.7</v>
      </c>
      <c r="H39" s="10"/>
      <c r="I39" s="10">
        <f t="shared" si="8"/>
        <v>9684.7666579866363</v>
      </c>
      <c r="J39" s="10">
        <f t="shared" si="6"/>
        <v>323721259827.44293</v>
      </c>
      <c r="K39" s="11">
        <f t="shared" si="7"/>
        <v>3.4599799999999847E-2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33180285.143977515</v>
      </c>
      <c r="D40" s="11">
        <v>7.7000000000000002E-3</v>
      </c>
      <c r="E40" s="10">
        <f t="shared" si="2"/>
        <v>253535.96865002438</v>
      </c>
      <c r="F40" s="3"/>
      <c r="G40" s="26">
        <v>1.52</v>
      </c>
      <c r="H40" s="10"/>
      <c r="I40" s="10">
        <f t="shared" si="8"/>
        <v>9430.1525394222372</v>
      </c>
      <c r="J40" s="10">
        <f t="shared" si="6"/>
        <v>312895150209.23352</v>
      </c>
      <c r="K40" s="11">
        <f t="shared" si="7"/>
        <v>2.3017040000000044E-2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32926749.175327491</v>
      </c>
      <c r="D41" s="11">
        <v>8.0999999999999996E-3</v>
      </c>
      <c r="E41" s="10">
        <f t="shared" si="2"/>
        <v>264563.70233127102</v>
      </c>
      <c r="F41" s="3"/>
      <c r="G41" s="26">
        <v>-0.12</v>
      </c>
      <c r="H41" s="10"/>
      <c r="I41" s="10">
        <f t="shared" si="8"/>
        <v>9288.9603422204855</v>
      </c>
      <c r="J41" s="10">
        <f t="shared" si="6"/>
        <v>305855267287.85815</v>
      </c>
      <c r="K41" s="11">
        <f t="shared" si="7"/>
        <v>6.8902800000001374E-3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32662185.47299622</v>
      </c>
      <c r="D42" s="11">
        <v>8.5000000000000006E-3</v>
      </c>
      <c r="E42" s="10">
        <f t="shared" si="2"/>
        <v>275288.62322307006</v>
      </c>
      <c r="F42" s="3"/>
      <c r="G42" s="26">
        <v>-3.2</v>
      </c>
      <c r="H42" s="10"/>
      <c r="I42" s="10">
        <f t="shared" si="8"/>
        <v>9300.1204868046516</v>
      </c>
      <c r="J42" s="10">
        <f t="shared" si="6"/>
        <v>303762260261.2254</v>
      </c>
      <c r="K42" s="11">
        <f t="shared" si="7"/>
        <v>-2.3772000000000348E-2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32386896.84977315</v>
      </c>
      <c r="D43" s="11">
        <v>9.1000000000000004E-3</v>
      </c>
      <c r="E43" s="10">
        <f t="shared" si="2"/>
        <v>292062.98814085871</v>
      </c>
      <c r="F43" s="3"/>
      <c r="G43" s="26">
        <v>3.44</v>
      </c>
      <c r="H43" s="10"/>
      <c r="I43" s="10">
        <f t="shared" si="8"/>
        <v>9607.5624863684425</v>
      </c>
      <c r="J43" s="10">
        <f t="shared" si="6"/>
        <v>311159135223.76483</v>
      </c>
      <c r="K43" s="11">
        <f t="shared" si="7"/>
        <v>4.3813040000000081E-2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32094833.861632291</v>
      </c>
      <c r="D44" s="11">
        <v>9.1000000000000004E-3</v>
      </c>
      <c r="E44" s="10">
        <f t="shared" si="2"/>
        <v>289429.18257938325</v>
      </c>
      <c r="F44" s="3"/>
      <c r="G44" s="26">
        <v>5.44</v>
      </c>
      <c r="H44" s="10"/>
      <c r="I44" s="10">
        <f t="shared" si="8"/>
        <v>9288.0534477653164</v>
      </c>
      <c r="J44" s="10">
        <f t="shared" si="6"/>
        <v>298098532303.98883</v>
      </c>
      <c r="K44" s="11">
        <f t="shared" si="7"/>
        <v>6.3995040000000003E-2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31805404.679052908</v>
      </c>
      <c r="D45" s="11">
        <v>1.0200000000000001E-2</v>
      </c>
      <c r="E45" s="10">
        <f t="shared" si="2"/>
        <v>321139.50477760658</v>
      </c>
      <c r="F45" s="3"/>
      <c r="G45" s="26">
        <v>3.53</v>
      </c>
      <c r="H45" s="10"/>
      <c r="I45" s="10">
        <f t="shared" si="8"/>
        <v>8808.851904178031</v>
      </c>
      <c r="J45" s="10">
        <f t="shared" si="6"/>
        <v>280169099570.22809</v>
      </c>
      <c r="K45" s="11">
        <f t="shared" si="7"/>
        <v>4.5860059999999869E-2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31484265.174275301</v>
      </c>
      <c r="D46" s="11">
        <v>9.5999999999999992E-3</v>
      </c>
      <c r="E46" s="10">
        <f t="shared" si="2"/>
        <v>299374.94618962333</v>
      </c>
      <c r="F46" s="3"/>
      <c r="G46" s="26">
        <v>-21.3</v>
      </c>
      <c r="H46" s="10"/>
      <c r="I46" s="10">
        <f t="shared" si="8"/>
        <v>8508.5017909572416</v>
      </c>
      <c r="J46" s="10">
        <f t="shared" si="6"/>
        <v>267883926622.2941</v>
      </c>
      <c r="K46" s="11">
        <f t="shared" si="7"/>
        <v>-0.20544479999999998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31184890.228085678</v>
      </c>
      <c r="D47" s="11">
        <v>1.01E-2</v>
      </c>
      <c r="E47" s="10">
        <f t="shared" si="2"/>
        <v>311818.0292086564</v>
      </c>
      <c r="F47" s="3"/>
      <c r="G47" s="26">
        <v>23.2</v>
      </c>
      <c r="H47" s="10"/>
      <c r="I47" s="10">
        <f t="shared" si="8"/>
        <v>10811.311043147702</v>
      </c>
      <c r="J47" s="10">
        <f t="shared" si="6"/>
        <v>337149548102.25153</v>
      </c>
      <c r="K47" s="11">
        <f t="shared" si="7"/>
        <v>0.24444319999999986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30873072.198877022</v>
      </c>
      <c r="D48" s="11">
        <v>9.5999999999999992E-3</v>
      </c>
      <c r="E48" s="10">
        <f t="shared" si="2"/>
        <v>293563.28556777164</v>
      </c>
      <c r="F48" s="3"/>
      <c r="G48" s="26">
        <v>13.4</v>
      </c>
      <c r="H48" s="10"/>
      <c r="I48" s="10">
        <f t="shared" si="8"/>
        <v>8775.4148077497575</v>
      </c>
      <c r="J48" s="10">
        <f t="shared" si="6"/>
        <v>270924014934.75278</v>
      </c>
      <c r="K48" s="11">
        <f t="shared" si="7"/>
        <v>0.14488640000000008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30579508.91330925</v>
      </c>
      <c r="D49" s="11">
        <v>8.9999999999999993E-3</v>
      </c>
      <c r="E49" s="10">
        <f t="shared" si="2"/>
        <v>272760.7336172238</v>
      </c>
      <c r="F49" s="3"/>
      <c r="G49" s="26">
        <v>9.4</v>
      </c>
      <c r="H49" s="10"/>
      <c r="I49" s="10">
        <f t="shared" si="8"/>
        <v>7738.4610297616919</v>
      </c>
      <c r="J49" s="10">
        <f t="shared" si="6"/>
        <v>236638338034.89392</v>
      </c>
      <c r="K49" s="11">
        <f t="shared" si="7"/>
        <v>0.10384599999999988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30306748.179692026</v>
      </c>
      <c r="D50" s="11">
        <v>8.3999999999999995E-3</v>
      </c>
      <c r="E50" s="10">
        <f t="shared" si="2"/>
        <v>252456.05385701358</v>
      </c>
      <c r="F50" s="3"/>
      <c r="G50" s="26">
        <v>-17.3</v>
      </c>
      <c r="H50" s="10"/>
      <c r="I50" s="10">
        <f t="shared" si="8"/>
        <v>7073.5475591971581</v>
      </c>
      <c r="J50" s="10">
        <f t="shared" si="6"/>
        <v>214376224613.66345</v>
      </c>
      <c r="K50" s="11">
        <f t="shared" si="7"/>
        <v>-0.16605320000000012</v>
      </c>
      <c r="L50" t="s">
        <v>143</v>
      </c>
      <c r="M50" t="s">
        <v>136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30054292.125835013</v>
      </c>
      <c r="D51" s="11">
        <v>8.0000000000000002E-3</v>
      </c>
      <c r="E51" s="10">
        <f t="shared" si="2"/>
        <v>238526.12798281759</v>
      </c>
      <c r="F51" s="3"/>
      <c r="G51" s="26">
        <v>2.74</v>
      </c>
      <c r="H51" s="10"/>
      <c r="I51" s="10">
        <f t="shared" si="8"/>
        <v>8553.2618611815706</v>
      </c>
      <c r="J51" s="10">
        <f t="shared" si="6"/>
        <v>257062230604.7142</v>
      </c>
      <c r="K51" s="11">
        <f t="shared" si="7"/>
        <v>3.5619200000000184E-2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29815765.997852195</v>
      </c>
      <c r="D52" s="11">
        <v>8.6E-3</v>
      </c>
      <c r="E52" s="10">
        <f t="shared" si="2"/>
        <v>254229.2163211666</v>
      </c>
      <c r="F52" s="3"/>
      <c r="G52" s="26">
        <v>8.64</v>
      </c>
      <c r="H52" s="10"/>
      <c r="I52" s="10">
        <f t="shared" si="8"/>
        <v>8325.1526778095867</v>
      </c>
      <c r="J52" s="10">
        <f t="shared" si="6"/>
        <v>248220804137.96323</v>
      </c>
      <c r="K52" s="11">
        <f t="shared" si="7"/>
        <v>9.5743040000000112E-2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29561536.781531028</v>
      </c>
      <c r="D53" s="11">
        <v>8.0999999999999996E-3</v>
      </c>
      <c r="E53" s="10">
        <f t="shared" si="2"/>
        <v>237524.49948457628</v>
      </c>
      <c r="F53" s="3"/>
      <c r="G53" s="26">
        <v>8.27</v>
      </c>
      <c r="H53" s="10"/>
      <c r="I53" s="10">
        <f t="shared" si="8"/>
        <v>7663.0639523284117</v>
      </c>
      <c r="J53" s="10">
        <f t="shared" si="6"/>
        <v>226531946885.98087</v>
      </c>
      <c r="K53" s="11">
        <f t="shared" si="7"/>
        <v>9.1469869999999842E-2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29324012.282046452</v>
      </c>
      <c r="D54" s="11">
        <v>8.0999999999999996E-3</v>
      </c>
      <c r="E54" s="10">
        <f t="shared" si="2"/>
        <v>235616.00980515406</v>
      </c>
      <c r="F54" s="3"/>
      <c r="G54" s="26">
        <v>3.62</v>
      </c>
      <c r="H54" s="10"/>
      <c r="I54" s="10">
        <f t="shared" si="8"/>
        <v>7077.7352473708434</v>
      </c>
      <c r="J54" s="10">
        <f t="shared" si="6"/>
        <v>207547595322.97571</v>
      </c>
      <c r="K54" s="11">
        <f t="shared" si="7"/>
        <v>4.45932200000001E-2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29088396.272241298</v>
      </c>
      <c r="D55" s="11">
        <v>8.0000000000000002E-3</v>
      </c>
      <c r="E55" s="10">
        <f t="shared" si="2"/>
        <v>230860.28787492961</v>
      </c>
      <c r="F55" s="3"/>
      <c r="G55" s="26">
        <v>6.84</v>
      </c>
      <c r="H55" s="10"/>
      <c r="I55" s="10">
        <f t="shared" si="8"/>
        <v>6830.4721553472718</v>
      </c>
      <c r="J55" s="10">
        <f t="shared" si="6"/>
        <v>198687480781.25156</v>
      </c>
      <c r="K55" s="11">
        <f t="shared" si="7"/>
        <v>7.6947199999999993E-2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28857535.984366369</v>
      </c>
      <c r="D56" s="11">
        <v>7.7999999999999996E-3</v>
      </c>
      <c r="E56" s="10">
        <f t="shared" si="2"/>
        <v>223346.67660057545</v>
      </c>
      <c r="F56" s="3"/>
      <c r="G56" s="26">
        <v>0.3</v>
      </c>
      <c r="H56" s="10"/>
      <c r="I56" s="10">
        <f t="shared" si="8"/>
        <v>6393.17873020149</v>
      </c>
      <c r="J56" s="10">
        <f t="shared" si="6"/>
        <v>184491385261.27518</v>
      </c>
      <c r="K56" s="11">
        <f t="shared" si="7"/>
        <v>1.0823400000000039E-2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28634189.307765793</v>
      </c>
      <c r="D57" s="11">
        <v>8.0999999999999996E-3</v>
      </c>
      <c r="E57" s="10">
        <f t="shared" si="2"/>
        <v>230073.33934421465</v>
      </c>
      <c r="F57" s="3"/>
      <c r="G57" s="26">
        <v>8.41</v>
      </c>
      <c r="H57" s="10"/>
      <c r="I57" s="10">
        <f t="shared" si="8"/>
        <v>6374.0565605199308</v>
      </c>
      <c r="J57" s="10">
        <f t="shared" si="6"/>
        <v>182515942212.3342</v>
      </c>
      <c r="K57" s="11">
        <f t="shared" si="7"/>
        <v>9.2881209999999825E-2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28404115.968421578</v>
      </c>
      <c r="D58" s="11">
        <v>8.0999999999999996E-3</v>
      </c>
      <c r="E58" s="10">
        <f t="shared" si="2"/>
        <v>228224.71911934763</v>
      </c>
      <c r="F58" s="3"/>
      <c r="G58" s="26">
        <v>4.9000000000000004</v>
      </c>
      <c r="H58" s="10"/>
      <c r="I58" s="10">
        <f t="shared" si="8"/>
        <v>5879.5835813300719</v>
      </c>
      <c r="J58" s="10">
        <f t="shared" si="6"/>
        <v>167004373890.12683</v>
      </c>
      <c r="K58" s="11">
        <f t="shared" si="7"/>
        <v>5.7496900000000073E-2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28175891.249302231</v>
      </c>
      <c r="D59" s="11">
        <v>8.0000000000000002E-3</v>
      </c>
      <c r="E59" s="10">
        <f t="shared" si="2"/>
        <v>223618.18451827019</v>
      </c>
      <c r="F59" s="3"/>
      <c r="G59" s="26">
        <v>-0.31</v>
      </c>
      <c r="H59" s="10"/>
      <c r="I59" s="10">
        <f t="shared" si="8"/>
        <v>5604.9414502669897</v>
      </c>
      <c r="J59" s="10">
        <f t="shared" si="6"/>
        <v>157924220761.42902</v>
      </c>
      <c r="K59" s="11">
        <f t="shared" si="7"/>
        <v>4.8751999999998574E-3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27952273.064783961</v>
      </c>
      <c r="D60" s="11">
        <v>7.7999999999999996E-3</v>
      </c>
      <c r="E60" s="10">
        <f t="shared" si="2"/>
        <v>216340.2757544294</v>
      </c>
      <c r="F60" s="3"/>
      <c r="G60" s="26">
        <v>2.82</v>
      </c>
      <c r="H60" s="10"/>
      <c r="I60" s="10">
        <f t="shared" si="8"/>
        <v>5622.3707997462025</v>
      </c>
      <c r="J60" s="10">
        <f t="shared" si="6"/>
        <v>157158043865.97363</v>
      </c>
      <c r="K60" s="11">
        <f t="shared" si="7"/>
        <v>3.621995999999994E-2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27735932.789029531</v>
      </c>
      <c r="D61" s="11">
        <v>7.4000000000000003E-3</v>
      </c>
      <c r="E61" s="10">
        <f t="shared" si="2"/>
        <v>203738.23966529593</v>
      </c>
      <c r="F61" s="3"/>
      <c r="G61" s="26">
        <v>3.67</v>
      </c>
      <c r="H61" s="10"/>
      <c r="I61" s="10">
        <f t="shared" si="8"/>
        <v>5468.1684494711171</v>
      </c>
      <c r="J61" s="10">
        <f t="shared" si="6"/>
        <v>151664752593.62274</v>
      </c>
      <c r="K61" s="11">
        <f t="shared" si="7"/>
        <v>4.4371579999999966E-2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27532194.549364235</v>
      </c>
      <c r="D62" s="11">
        <v>7.0000000000000001E-3</v>
      </c>
      <c r="E62" s="10">
        <f t="shared" si="2"/>
        <v>191385.66221007705</v>
      </c>
      <c r="F62" s="3"/>
      <c r="G62" s="26">
        <v>7.42</v>
      </c>
      <c r="H62" s="10"/>
      <c r="I62" s="10">
        <f t="shared" si="8"/>
        <v>5274.590961195252</v>
      </c>
      <c r="J62" s="10">
        <f t="shared" si="6"/>
        <v>145221064511.94577</v>
      </c>
      <c r="K62" s="11">
        <f t="shared" si="7"/>
        <v>8.1719399999999887E-2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27340808.887154158</v>
      </c>
      <c r="D63" s="11">
        <v>7.7000000000000002E-3</v>
      </c>
      <c r="E63" s="10">
        <f t="shared" si="2"/>
        <v>208915.57847681642</v>
      </c>
      <c r="F63" s="3"/>
      <c r="G63" s="26">
        <v>6.8</v>
      </c>
      <c r="H63" s="10"/>
      <c r="I63" s="10">
        <f t="shared" si="8"/>
        <v>4910.2503827920791</v>
      </c>
      <c r="J63" s="10">
        <f t="shared" si="6"/>
        <v>134250217303.99379</v>
      </c>
      <c r="K63" s="11">
        <f t="shared" si="7"/>
        <v>7.6223600000000058E-2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27131893.308677342</v>
      </c>
      <c r="D64" s="11">
        <v>7.4000000000000003E-3</v>
      </c>
      <c r="E64" s="10">
        <f t="shared" si="2"/>
        <v>199301.18173934147</v>
      </c>
      <c r="F64" s="3"/>
      <c r="G64" s="26">
        <v>8.69</v>
      </c>
      <c r="H64" s="10"/>
      <c r="I64" s="10">
        <f t="shared" si="8"/>
        <v>4597.6127179701116</v>
      </c>
      <c r="J64" s="10">
        <f t="shared" si="6"/>
        <v>124741937738.58311</v>
      </c>
      <c r="K64" s="11">
        <f t="shared" si="7"/>
        <v>9.4943060000000079E-2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26932592.126938</v>
      </c>
      <c r="D65" s="11">
        <v>8.2000000000000007E-3</v>
      </c>
      <c r="E65" s="10">
        <f t="shared" si="2"/>
        <v>219051.03693800047</v>
      </c>
      <c r="F65" s="3"/>
      <c r="G65" s="26">
        <v>2.02</v>
      </c>
      <c r="H65" s="10"/>
      <c r="I65" s="10">
        <f t="shared" si="8"/>
        <v>4230.0236617629143</v>
      </c>
      <c r="J65" s="10">
        <f t="shared" si="6"/>
        <v>113925501969.55731</v>
      </c>
      <c r="K65" s="11">
        <f t="shared" si="7"/>
        <v>2.8565640000000059E-2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26713541.09</v>
      </c>
      <c r="D66" s="11">
        <v>8.0999999999999996E-3</v>
      </c>
      <c r="E66" s="10">
        <f t="shared" si="2"/>
        <v>214641.08999999985</v>
      </c>
      <c r="F66" s="23">
        <f>SUM(F2)</f>
        <v>39335005</v>
      </c>
      <c r="G66" s="26">
        <v>2.1</v>
      </c>
      <c r="H66" s="10"/>
      <c r="I66" s="10">
        <f t="shared" si="8"/>
        <v>4146.2690274092474</v>
      </c>
      <c r="J66" s="10">
        <f t="shared" ref="J66:J67" si="9">IF(I66="","",I66*C66)</f>
        <v>110761528033.89127</v>
      </c>
      <c r="K66" s="11">
        <f t="shared" ref="K66" si="10">IFERROR(J66/J67-1,"")</f>
        <v>2.9270099999999966E-2</v>
      </c>
    </row>
    <row r="67" spans="1:11" ht="22.5" customHeight="1">
      <c r="A67" s="3">
        <f t="shared" si="0"/>
        <v>1950</v>
      </c>
      <c r="B67" s="3">
        <v>1700</v>
      </c>
      <c r="C67" s="10">
        <v>26498900</v>
      </c>
      <c r="D67" s="11">
        <v>8.0999999999999996E-3</v>
      </c>
      <c r="E67" s="3" t="s">
        <v>72</v>
      </c>
      <c r="F67" s="10">
        <f>SUM(C2)</f>
        <v>39335963.012854345</v>
      </c>
      <c r="G67" s="26">
        <v>3.59</v>
      </c>
      <c r="H67" s="10"/>
      <c r="I67" s="10">
        <f t="shared" ref="I67" si="11">IF(H67&lt;&gt;"",H67,I66/(1+IF(G66="",0,G66)/100))</f>
        <v>4060.9882736623385</v>
      </c>
      <c r="J67" s="10">
        <f t="shared" si="9"/>
        <v>107611722164.95094</v>
      </c>
      <c r="K67" s="11"/>
    </row>
  </sheetData>
  <dataValidations count="1">
    <dataValidation type="custom" allowBlank="1" showDropDown="1" sqref="D2:D67" xr:uid="{00000000-0002-0000-8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outlinePr summaryBelow="0" summaryRight="0"/>
  </sheetPr>
  <dimension ref="A1:M67"/>
  <sheetViews>
    <sheetView workbookViewId="0">
      <selection activeCell="L64" sqref="L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78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21995332.392196439</v>
      </c>
      <c r="D2" s="11">
        <v>1.6999999999999999E-3</v>
      </c>
      <c r="E2" s="10">
        <f t="shared" ref="E2:E66" si="2">SUM(C2-C3)</f>
        <v>37328.606435794383</v>
      </c>
      <c r="F2" s="14">
        <v>21995119</v>
      </c>
      <c r="G2" s="29">
        <v>6.13</v>
      </c>
      <c r="H2" s="10"/>
      <c r="I2" s="10">
        <f>IF(H2&lt;&gt;"",H2,29616)</f>
        <v>3702</v>
      </c>
      <c r="J2" s="10">
        <f t="shared" ref="J2:J33" si="3">IF(I2="","",I2*C2)</f>
        <v>81426720515.911224</v>
      </c>
      <c r="K2" s="11">
        <f t="shared" ref="K2:K33" si="4">IFERROR(J2/J3-1,"")</f>
        <v>6.3104210000000105E-2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21958003.785760645</v>
      </c>
      <c r="D3" s="11">
        <v>1.6000000000000001E-3</v>
      </c>
      <c r="E3" s="10">
        <f t="shared" si="2"/>
        <v>35076.683363836259</v>
      </c>
      <c r="F3" s="3"/>
      <c r="G3" s="29">
        <v>0.96</v>
      </c>
      <c r="H3" s="10"/>
      <c r="I3" s="10">
        <f t="shared" ref="I3:I34" si="5">IF(H3&lt;&gt;"",H3,I2/(1+IF(G2="",0,G2)/100))</f>
        <v>3488.1748798643175</v>
      </c>
      <c r="J3" s="10">
        <f t="shared" si="3"/>
        <v>76593357217.455872</v>
      </c>
      <c r="K3" s="11">
        <f t="shared" si="4"/>
        <v>1.121536000000023E-2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21922927.102396809</v>
      </c>
      <c r="D4" s="11">
        <v>2E-3</v>
      </c>
      <c r="E4" s="10">
        <f t="shared" si="2"/>
        <v>43758.337529733777</v>
      </c>
      <c r="F4" s="3"/>
      <c r="G4" s="29">
        <v>3.26</v>
      </c>
      <c r="H4" s="10"/>
      <c r="I4" s="10">
        <f t="shared" si="5"/>
        <v>3455.0068144456391</v>
      </c>
      <c r="J4" s="10">
        <f t="shared" si="3"/>
        <v>75743862531.375961</v>
      </c>
      <c r="K4" s="11">
        <f t="shared" si="4"/>
        <v>3.4665199999999841E-2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21879168.764867075</v>
      </c>
      <c r="D5" s="11">
        <v>3.0000000000000001E-3</v>
      </c>
      <c r="E5" s="10">
        <f t="shared" si="2"/>
        <v>65441.182746358216</v>
      </c>
      <c r="F5" s="3"/>
      <c r="G5" s="29">
        <v>-1.71</v>
      </c>
      <c r="H5" s="10"/>
      <c r="I5" s="10">
        <f t="shared" si="5"/>
        <v>3345.9295123432494</v>
      </c>
      <c r="J5" s="10">
        <f t="shared" si="3"/>
        <v>73206156475.907349</v>
      </c>
      <c r="K5" s="11">
        <f t="shared" si="4"/>
        <v>-1.4151300000000089E-2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21813727.582120717</v>
      </c>
      <c r="D6" s="11">
        <v>4.1000000000000003E-3</v>
      </c>
      <c r="E6" s="10">
        <f t="shared" si="2"/>
        <v>89071.091611091048</v>
      </c>
      <c r="F6" s="3"/>
      <c r="G6" s="29">
        <v>8.09</v>
      </c>
      <c r="H6" s="10"/>
      <c r="I6" s="10">
        <f t="shared" si="5"/>
        <v>3404.1403116728552</v>
      </c>
      <c r="J6" s="10">
        <f t="shared" si="3"/>
        <v>74256989410.147171</v>
      </c>
      <c r="K6" s="11">
        <f t="shared" si="4"/>
        <v>8.5331690000000071E-2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21724656.490509626</v>
      </c>
      <c r="D7" s="11">
        <v>5.1000000000000004E-3</v>
      </c>
      <c r="E7" s="10">
        <f t="shared" si="2"/>
        <v>110233.55696110055</v>
      </c>
      <c r="F7" s="3"/>
      <c r="G7" s="29">
        <v>5.61</v>
      </c>
      <c r="H7" s="10"/>
      <c r="I7" s="10">
        <f t="shared" si="5"/>
        <v>3149.3573056460868</v>
      </c>
      <c r="J7" s="10">
        <f t="shared" si="3"/>
        <v>68418705631.03817</v>
      </c>
      <c r="K7" s="11">
        <f t="shared" si="4"/>
        <v>6.1486110000000149E-2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21614422.933548525</v>
      </c>
      <c r="D8" s="11">
        <v>6.1999999999999998E-3</v>
      </c>
      <c r="E8" s="10">
        <f t="shared" si="2"/>
        <v>133183.68335122243</v>
      </c>
      <c r="F8" s="3"/>
      <c r="G8" s="29">
        <v>2.4500000000000002</v>
      </c>
      <c r="H8" s="10"/>
      <c r="I8" s="10">
        <f t="shared" si="5"/>
        <v>2982.0635409962001</v>
      </c>
      <c r="J8" s="10">
        <f t="shared" si="3"/>
        <v>64455582589.80719</v>
      </c>
      <c r="K8" s="11">
        <f t="shared" si="4"/>
        <v>3.0851900000000043E-2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21481239.250197303</v>
      </c>
      <c r="D9" s="11">
        <v>6.4999999999999997E-3</v>
      </c>
      <c r="E9" s="10">
        <f t="shared" si="2"/>
        <v>138726.33395557106</v>
      </c>
      <c r="F9" s="3"/>
      <c r="G9" s="29">
        <v>4.5199999999999996</v>
      </c>
      <c r="H9" s="10"/>
      <c r="I9" s="10">
        <f t="shared" si="5"/>
        <v>2910.7501620265498</v>
      </c>
      <c r="J9" s="10">
        <f t="shared" si="3"/>
        <v>62526520628.042877</v>
      </c>
      <c r="K9" s="11">
        <f t="shared" si="4"/>
        <v>5.1993799999999979E-2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21342512.916241731</v>
      </c>
      <c r="D10" s="11">
        <v>6.4000000000000003E-3</v>
      </c>
      <c r="E10" s="10">
        <f t="shared" si="2"/>
        <v>135723.45256751403</v>
      </c>
      <c r="F10" s="3"/>
      <c r="G10" s="29">
        <v>2.56</v>
      </c>
      <c r="H10" s="10"/>
      <c r="I10" s="10">
        <f t="shared" si="5"/>
        <v>2784.8738634008323</v>
      </c>
      <c r="J10" s="10">
        <f t="shared" si="3"/>
        <v>59436206399.736275</v>
      </c>
      <c r="K10" s="11">
        <f t="shared" si="4"/>
        <v>3.2163839999999944E-2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21206789.463674217</v>
      </c>
      <c r="D11" s="11">
        <v>6.0000000000000001E-3</v>
      </c>
      <c r="E11" s="10">
        <f t="shared" si="2"/>
        <v>126481.84570780024</v>
      </c>
      <c r="F11" s="3"/>
      <c r="G11" s="29">
        <v>2.67</v>
      </c>
      <c r="H11" s="10"/>
      <c r="I11" s="10">
        <f t="shared" si="5"/>
        <v>2715.3606312410611</v>
      </c>
      <c r="J11" s="10">
        <f t="shared" si="3"/>
        <v>57584081224.678711</v>
      </c>
      <c r="K11" s="11">
        <f t="shared" si="4"/>
        <v>3.2860200000000228E-2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21080307.617966417</v>
      </c>
      <c r="D12" s="11">
        <v>5.7000000000000002E-3</v>
      </c>
      <c r="E12" s="10">
        <f t="shared" si="2"/>
        <v>119476.73602705449</v>
      </c>
      <c r="F12" s="3"/>
      <c r="G12" s="29">
        <v>6.56</v>
      </c>
      <c r="H12" s="10"/>
      <c r="I12" s="10">
        <f t="shared" si="5"/>
        <v>2644.7459153024847</v>
      </c>
      <c r="J12" s="10">
        <f t="shared" si="3"/>
        <v>55752057465.936531</v>
      </c>
      <c r="K12" s="11">
        <f t="shared" si="4"/>
        <v>7.1673919999999836E-2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20960830.881939363</v>
      </c>
      <c r="D13" s="11">
        <v>4.8999999999999998E-3</v>
      </c>
      <c r="E13" s="10">
        <f t="shared" si="2"/>
        <v>102207.25576823577</v>
      </c>
      <c r="F13" s="3"/>
      <c r="G13" s="29">
        <v>1.17</v>
      </c>
      <c r="H13" s="10"/>
      <c r="I13" s="10">
        <f t="shared" si="5"/>
        <v>2481.9312268229028</v>
      </c>
      <c r="J13" s="10">
        <f t="shared" si="3"/>
        <v>52023340706.039146</v>
      </c>
      <c r="K13" s="11">
        <f t="shared" si="4"/>
        <v>1.6657329999999915E-2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20858623.626171127</v>
      </c>
      <c r="D14" s="11">
        <v>3.3999999999999998E-3</v>
      </c>
      <c r="E14" s="10">
        <f t="shared" si="2"/>
        <v>70679.01168923825</v>
      </c>
      <c r="F14" s="3"/>
      <c r="G14" s="29">
        <v>-0.28999999999999998</v>
      </c>
      <c r="H14" s="10"/>
      <c r="I14" s="10">
        <f t="shared" si="5"/>
        <v>2453.2284539121306</v>
      </c>
      <c r="J14" s="10">
        <f t="shared" si="3"/>
        <v>51170968989.166832</v>
      </c>
      <c r="K14" s="11">
        <f t="shared" si="4"/>
        <v>4.9013999999991675E-4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20787944.614481889</v>
      </c>
      <c r="D15" s="11">
        <v>1.9E-3</v>
      </c>
      <c r="E15" s="10">
        <f t="shared" si="2"/>
        <v>39422.192601572722</v>
      </c>
      <c r="F15" s="3"/>
      <c r="G15" s="29">
        <v>3.65</v>
      </c>
      <c r="H15" s="10"/>
      <c r="I15" s="10">
        <f t="shared" si="5"/>
        <v>2460.3635080855788</v>
      </c>
      <c r="J15" s="10">
        <f t="shared" si="3"/>
        <v>51145900337.575378</v>
      </c>
      <c r="K15" s="11">
        <f t="shared" si="4"/>
        <v>3.846935000000018E-2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20748522.421880316</v>
      </c>
      <c r="D16" s="11">
        <v>1.1000000000000001E-3</v>
      </c>
      <c r="E16" s="10">
        <f t="shared" si="2"/>
        <v>22798.296537879854</v>
      </c>
      <c r="F16" s="3"/>
      <c r="G16" s="29">
        <v>4.79</v>
      </c>
      <c r="H16" s="10"/>
      <c r="I16" s="10">
        <f t="shared" si="5"/>
        <v>2373.7226320169598</v>
      </c>
      <c r="J16" s="10">
        <f t="shared" si="3"/>
        <v>49251237253.728645</v>
      </c>
      <c r="K16" s="11">
        <f t="shared" si="4"/>
        <v>4.9052690000000121E-2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20725724.125342436</v>
      </c>
      <c r="D17" s="11">
        <v>1.1999999999999999E-3</v>
      </c>
      <c r="E17" s="10">
        <f t="shared" si="2"/>
        <v>24841.059678796679</v>
      </c>
      <c r="F17" s="3"/>
      <c r="G17" s="29">
        <v>-22.45</v>
      </c>
      <c r="H17" s="10"/>
      <c r="I17" s="10">
        <f t="shared" si="5"/>
        <v>2265.2186582851032</v>
      </c>
      <c r="J17" s="10">
        <f t="shared" si="3"/>
        <v>46948296995.195389</v>
      </c>
      <c r="K17" s="11">
        <f t="shared" si="4"/>
        <v>-0.22356939999999992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20700883.065663639</v>
      </c>
      <c r="D18" s="11">
        <v>1.8E-3</v>
      </c>
      <c r="E18" s="10">
        <f t="shared" si="2"/>
        <v>37194.639167692512</v>
      </c>
      <c r="F18" s="3"/>
      <c r="G18" s="29">
        <v>16.82</v>
      </c>
      <c r="H18" s="10"/>
      <c r="I18" s="10">
        <f t="shared" si="5"/>
        <v>2920.9782827660906</v>
      </c>
      <c r="J18" s="10">
        <f t="shared" si="3"/>
        <v>60466829868.88382</v>
      </c>
      <c r="K18" s="11">
        <f t="shared" si="4"/>
        <v>0.17030276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20663688.426495947</v>
      </c>
      <c r="D19" s="11">
        <v>2.8999999999999998E-3</v>
      </c>
      <c r="E19" s="10">
        <f t="shared" si="2"/>
        <v>59751.417326588184</v>
      </c>
      <c r="F19" s="3"/>
      <c r="G19" s="29">
        <v>14.79</v>
      </c>
      <c r="H19" s="10"/>
      <c r="I19" s="10">
        <f t="shared" si="5"/>
        <v>2500.4094185636795</v>
      </c>
      <c r="J19" s="10">
        <f t="shared" si="3"/>
        <v>51667681163.875763</v>
      </c>
      <c r="K19" s="11">
        <f t="shared" si="4"/>
        <v>0.15122890999999972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20603937.009169359</v>
      </c>
      <c r="D20" s="11">
        <v>3.7000000000000002E-3</v>
      </c>
      <c r="E20" s="10">
        <f t="shared" si="2"/>
        <v>75953.538840219378</v>
      </c>
      <c r="F20" s="3"/>
      <c r="G20" s="29">
        <v>16.5</v>
      </c>
      <c r="H20" s="10"/>
      <c r="I20" s="10">
        <f t="shared" si="5"/>
        <v>2178.2467275578706</v>
      </c>
      <c r="J20" s="10">
        <f t="shared" si="3"/>
        <v>44880458365.031654</v>
      </c>
      <c r="K20" s="11">
        <f t="shared" si="4"/>
        <v>0.16931050000000014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20527983.470329139</v>
      </c>
      <c r="D21" s="11">
        <v>4.0000000000000001E-3</v>
      </c>
      <c r="E21" s="10">
        <f t="shared" si="2"/>
        <v>81784.794702507555</v>
      </c>
      <c r="F21" s="3"/>
      <c r="G21" s="29">
        <v>11.6</v>
      </c>
      <c r="H21" s="10"/>
      <c r="I21" s="10">
        <f t="shared" si="5"/>
        <v>1869.7396803071849</v>
      </c>
      <c r="J21" s="10">
        <f t="shared" si="3"/>
        <v>38381985251.164383</v>
      </c>
      <c r="K21" s="11">
        <f t="shared" si="4"/>
        <v>0.12046400000000013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20446198.675626632</v>
      </c>
      <c r="D22" s="11">
        <v>5.4000000000000003E-3</v>
      </c>
      <c r="E22" s="10">
        <f t="shared" si="2"/>
        <v>109816.46394309402</v>
      </c>
      <c r="F22" s="3"/>
      <c r="G22" s="29">
        <v>4.4000000000000004</v>
      </c>
      <c r="H22" s="10"/>
      <c r="I22" s="10">
        <f t="shared" si="5"/>
        <v>1675.3939787698789</v>
      </c>
      <c r="J22" s="10">
        <f t="shared" si="3"/>
        <v>34255438149.877533</v>
      </c>
      <c r="K22" s="11">
        <f t="shared" si="4"/>
        <v>4.9637600000000281E-2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20336382.211683538</v>
      </c>
      <c r="D23" s="11">
        <v>1.3899999999999999E-2</v>
      </c>
      <c r="E23" s="10">
        <f t="shared" si="2"/>
        <v>278800.3873581253</v>
      </c>
      <c r="F23" s="3"/>
      <c r="G23" s="29">
        <v>3.2</v>
      </c>
      <c r="H23" s="10"/>
      <c r="I23" s="10">
        <f t="shared" si="5"/>
        <v>1604.7835045688494</v>
      </c>
      <c r="J23" s="10">
        <f t="shared" si="3"/>
        <v>32635490715.917114</v>
      </c>
      <c r="K23" s="11">
        <f t="shared" si="4"/>
        <v>4.6344800000000186E-2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20057581.824325413</v>
      </c>
      <c r="D24" s="11">
        <v>2.9100000000000001E-2</v>
      </c>
      <c r="E24" s="10">
        <f t="shared" si="2"/>
        <v>567170.95626068115</v>
      </c>
      <c r="F24" s="3"/>
      <c r="G24" s="29">
        <v>2.1</v>
      </c>
      <c r="H24" s="10"/>
      <c r="I24" s="10">
        <f t="shared" si="5"/>
        <v>1555.0227757450091</v>
      </c>
      <c r="J24" s="10">
        <f t="shared" si="3"/>
        <v>31189996563.195145</v>
      </c>
      <c r="K24" s="11">
        <f t="shared" si="4"/>
        <v>5.0711099999999787E-2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19490410.868064731</v>
      </c>
      <c r="D25" s="11">
        <v>4.1399999999999999E-2</v>
      </c>
      <c r="E25" s="10">
        <f t="shared" si="2"/>
        <v>774825.24480303749</v>
      </c>
      <c r="F25" s="3"/>
      <c r="G25" s="29">
        <v>1.1000000000000001</v>
      </c>
      <c r="H25" s="10"/>
      <c r="I25" s="10">
        <f t="shared" si="5"/>
        <v>1523.0389576346809</v>
      </c>
      <c r="J25" s="10">
        <f t="shared" si="3"/>
        <v>29684655052.368965</v>
      </c>
      <c r="K25" s="11">
        <f t="shared" si="4"/>
        <v>5.2855400000000108E-2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18715585.623261694</v>
      </c>
      <c r="D26" s="11">
        <v>1.47E-2</v>
      </c>
      <c r="E26" s="10">
        <f t="shared" si="2"/>
        <v>271133.44699117541</v>
      </c>
      <c r="F26" s="3"/>
      <c r="G26" s="29">
        <v>5.0999999999999996</v>
      </c>
      <c r="H26" s="10"/>
      <c r="I26" s="10">
        <f t="shared" si="5"/>
        <v>1506.4678117059159</v>
      </c>
      <c r="J26" s="10">
        <f t="shared" si="3"/>
        <v>28194427318.669743</v>
      </c>
      <c r="K26" s="11">
        <f t="shared" si="4"/>
        <v>6.6449699999999945E-2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18444452.176270518</v>
      </c>
      <c r="D27" s="11">
        <v>1.41E-2</v>
      </c>
      <c r="E27" s="10">
        <f t="shared" si="2"/>
        <v>256450.81913560256</v>
      </c>
      <c r="F27" s="3"/>
      <c r="G27" s="29">
        <v>-6.1</v>
      </c>
      <c r="H27" s="10"/>
      <c r="I27" s="10">
        <f t="shared" si="5"/>
        <v>1433.3661386355052</v>
      </c>
      <c r="J27" s="10">
        <f t="shared" si="3"/>
        <v>26437653195.148113</v>
      </c>
      <c r="K27" s="11">
        <f t="shared" si="4"/>
        <v>-4.7760099999999861E-2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18188001.357134916</v>
      </c>
      <c r="D28" s="11">
        <v>2.06E-2</v>
      </c>
      <c r="E28" s="10">
        <f t="shared" si="2"/>
        <v>367110.35465116426</v>
      </c>
      <c r="F28" s="3"/>
      <c r="G28" s="29">
        <v>6.1</v>
      </c>
      <c r="H28" s="10"/>
      <c r="I28" s="10">
        <f t="shared" si="5"/>
        <v>1526.4815107939351</v>
      </c>
      <c r="J28" s="10">
        <f t="shared" si="3"/>
        <v>27763647789.961449</v>
      </c>
      <c r="K28" s="11">
        <f t="shared" si="4"/>
        <v>8.2856599999999947E-2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17820891.002483752</v>
      </c>
      <c r="D29" s="11">
        <v>2.1499999999999998E-2</v>
      </c>
      <c r="E29" s="10">
        <f t="shared" si="2"/>
        <v>375084.83265139535</v>
      </c>
      <c r="F29" s="3"/>
      <c r="G29" s="29">
        <v>4.5999999999999996</v>
      </c>
      <c r="H29" s="10"/>
      <c r="I29" s="10">
        <f t="shared" si="5"/>
        <v>1438.7196143203912</v>
      </c>
      <c r="J29" s="10">
        <f t="shared" si="3"/>
        <v>25639265429.939152</v>
      </c>
      <c r="K29" s="11">
        <f t="shared" si="4"/>
        <v>6.8489000000000022E-2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17445806.169832356</v>
      </c>
      <c r="D30" s="11">
        <v>2.24E-2</v>
      </c>
      <c r="E30" s="10">
        <f t="shared" si="2"/>
        <v>382224.23533279076</v>
      </c>
      <c r="F30" s="3"/>
      <c r="G30" s="29">
        <v>2.9</v>
      </c>
      <c r="H30" s="10"/>
      <c r="I30" s="10">
        <f t="shared" si="5"/>
        <v>1375.4489620653835</v>
      </c>
      <c r="J30" s="10">
        <f t="shared" si="3"/>
        <v>23995815988.689777</v>
      </c>
      <c r="K30" s="11">
        <f t="shared" si="4"/>
        <v>5.2049599999999918E-2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17063581.934499566</v>
      </c>
      <c r="D31" s="11">
        <v>2.29E-2</v>
      </c>
      <c r="E31" s="10">
        <f t="shared" si="2"/>
        <v>382008.04213514365</v>
      </c>
      <c r="F31" s="3"/>
      <c r="G31" s="29">
        <v>-0.79</v>
      </c>
      <c r="H31" s="10"/>
      <c r="I31" s="10">
        <f t="shared" si="5"/>
        <v>1336.6850943298189</v>
      </c>
      <c r="J31" s="10">
        <f t="shared" si="3"/>
        <v>22808635627.721146</v>
      </c>
      <c r="K31" s="11">
        <f t="shared" si="4"/>
        <v>1.4819089999999813E-2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16681573.892364422</v>
      </c>
      <c r="D32" s="11">
        <v>2.24E-2</v>
      </c>
      <c r="E32" s="10">
        <f t="shared" si="2"/>
        <v>365480.49216447771</v>
      </c>
      <c r="F32" s="3"/>
      <c r="G32" s="29">
        <v>4.17</v>
      </c>
      <c r="H32" s="10"/>
      <c r="I32" s="10">
        <f t="shared" si="5"/>
        <v>1347.3289933775011</v>
      </c>
      <c r="J32" s="10">
        <f t="shared" si="3"/>
        <v>22475568160.351761</v>
      </c>
      <c r="K32" s="11">
        <f t="shared" si="4"/>
        <v>6.5034079999999994E-2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16316093.400199944</v>
      </c>
      <c r="D33" s="11">
        <v>2.1499999999999998E-2</v>
      </c>
      <c r="E33" s="10">
        <f t="shared" si="2"/>
        <v>343412.63642124273</v>
      </c>
      <c r="F33" s="3"/>
      <c r="G33" s="29">
        <v>9.11</v>
      </c>
      <c r="H33" s="10"/>
      <c r="I33" s="10">
        <f t="shared" si="5"/>
        <v>1293.3944450201602</v>
      </c>
      <c r="J33" s="10">
        <f t="shared" si="3"/>
        <v>21103144568.248707</v>
      </c>
      <c r="K33" s="11">
        <f t="shared" si="4"/>
        <v>0.11455864999999998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15972680.763778701</v>
      </c>
      <c r="D34" s="11">
        <v>2.0500000000000001E-2</v>
      </c>
      <c r="E34" s="10">
        <f t="shared" si="2"/>
        <v>320862.27893920988</v>
      </c>
      <c r="F34" s="3"/>
      <c r="G34" s="29">
        <v>-4.7</v>
      </c>
      <c r="H34" s="10"/>
      <c r="I34" s="10">
        <f t="shared" si="5"/>
        <v>1185.4041288792598</v>
      </c>
      <c r="J34" s="10">
        <f t="shared" ref="J34:J65" si="6">IF(I34="","",I34*C34)</f>
        <v>18934081726.653603</v>
      </c>
      <c r="K34" s="11">
        <f t="shared" ref="K34:K65" si="7">IFERROR(J34/J35-1,"")</f>
        <v>-1.4197000000000015E-2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15651818.484839492</v>
      </c>
      <c r="D35" s="11">
        <v>1.95E-2</v>
      </c>
      <c r="E35" s="10">
        <f t="shared" si="2"/>
        <v>299372.69294200279</v>
      </c>
      <c r="F35" s="3"/>
      <c r="G35" s="29">
        <v>1.5</v>
      </c>
      <c r="H35" s="10"/>
      <c r="I35" s="10">
        <f t="shared" ref="I35:I66" si="8">IF(H35&lt;&gt;"",H35,I34/(1+IF(G34="",0,G34)/100))</f>
        <v>1227.126427411242</v>
      </c>
      <c r="J35" s="10">
        <f t="shared" si="6"/>
        <v>19206760099.790325</v>
      </c>
      <c r="K35" s="11">
        <f t="shared" si="7"/>
        <v>6.2319000000000235E-2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15352445.791897489</v>
      </c>
      <c r="D36" s="11">
        <v>1.8499999999999999E-2</v>
      </c>
      <c r="E36" s="10">
        <f t="shared" si="2"/>
        <v>278861.31286215223</v>
      </c>
      <c r="F36" s="3"/>
      <c r="G36" s="29">
        <v>13.37</v>
      </c>
      <c r="H36" s="10"/>
      <c r="I36" s="10">
        <f t="shared" si="8"/>
        <v>1177.6645176691381</v>
      </c>
      <c r="J36" s="10">
        <f t="shared" si="6"/>
        <v>18080030668.556545</v>
      </c>
      <c r="K36" s="11">
        <f t="shared" si="7"/>
        <v>0.20356144999999981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15073584.479035337</v>
      </c>
      <c r="D37" s="11">
        <v>1.7600000000000001E-2</v>
      </c>
      <c r="E37" s="10">
        <f t="shared" si="2"/>
        <v>260706.64979463629</v>
      </c>
      <c r="F37" s="3"/>
      <c r="G37" s="29">
        <v>-21.25</v>
      </c>
      <c r="H37" s="10"/>
      <c r="I37" s="10">
        <f t="shared" si="8"/>
        <v>996.58501960661602</v>
      </c>
      <c r="J37" s="10">
        <f t="shared" si="6"/>
        <v>15022108483.581413</v>
      </c>
      <c r="K37" s="11">
        <f t="shared" si="7"/>
        <v>-0.14470720000000004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14812877.8292407</v>
      </c>
      <c r="D38" s="11">
        <v>1.6899999999999998E-2</v>
      </c>
      <c r="E38" s="10">
        <f t="shared" si="2"/>
        <v>246177.23995886184</v>
      </c>
      <c r="F38" s="3"/>
      <c r="G38" s="29">
        <v>-1.71</v>
      </c>
      <c r="H38" s="10"/>
      <c r="I38" s="10">
        <f t="shared" si="8"/>
        <v>1185.7049608645045</v>
      </c>
      <c r="J38" s="10">
        <f t="shared" si="6"/>
        <v>17563702726.810532</v>
      </c>
      <c r="K38" s="11">
        <f t="shared" si="7"/>
        <v>3.713630999999995E-2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14566700.589281838</v>
      </c>
      <c r="D39" s="11">
        <v>1.6400000000000001E-2</v>
      </c>
      <c r="E39" s="10">
        <f t="shared" si="2"/>
        <v>235039.24602933973</v>
      </c>
      <c r="F39" s="3"/>
      <c r="G39" s="29">
        <v>13.13</v>
      </c>
      <c r="H39" s="10"/>
      <c r="I39" s="10">
        <f t="shared" si="8"/>
        <v>1162.5698214182808</v>
      </c>
      <c r="J39" s="10">
        <f t="shared" si="6"/>
        <v>16934806502.734951</v>
      </c>
      <c r="K39" s="11">
        <f t="shared" si="7"/>
        <v>0.14985331999999985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14331661.343252499</v>
      </c>
      <c r="D40" s="11">
        <v>1.6199999999999999E-2</v>
      </c>
      <c r="E40" s="10">
        <f t="shared" si="2"/>
        <v>228471.67266354151</v>
      </c>
      <c r="F40" s="3"/>
      <c r="G40" s="29">
        <v>-7.17</v>
      </c>
      <c r="H40" s="10"/>
      <c r="I40" s="10">
        <f t="shared" si="8"/>
        <v>1027.6406094035895</v>
      </c>
      <c r="J40" s="10">
        <f t="shared" si="6"/>
        <v>14727797196.545862</v>
      </c>
      <c r="K40" s="11">
        <f t="shared" si="7"/>
        <v>-5.6661539999999899E-2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14103189.670588957</v>
      </c>
      <c r="D41" s="11">
        <v>1.6299999999999999E-2</v>
      </c>
      <c r="E41" s="10">
        <f t="shared" si="2"/>
        <v>226195.01292000338</v>
      </c>
      <c r="F41" s="3"/>
      <c r="G41" s="29">
        <v>4.9400000000000004</v>
      </c>
      <c r="H41" s="10"/>
      <c r="I41" s="10">
        <f t="shared" si="8"/>
        <v>1107.0134756044267</v>
      </c>
      <c r="J41" s="10">
        <f t="shared" si="6"/>
        <v>15612421014.347132</v>
      </c>
      <c r="K41" s="11">
        <f t="shared" si="7"/>
        <v>6.6505220000000032E-2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13876994.657668954</v>
      </c>
      <c r="D42" s="11">
        <v>1.6899999999999998E-2</v>
      </c>
      <c r="E42" s="10">
        <f t="shared" si="2"/>
        <v>230623.66969672963</v>
      </c>
      <c r="F42" s="3"/>
      <c r="G42" s="29">
        <v>-7.85</v>
      </c>
      <c r="H42" s="10"/>
      <c r="I42" s="10">
        <f t="shared" si="8"/>
        <v>1054.9013489655295</v>
      </c>
      <c r="J42" s="10">
        <f t="shared" si="6"/>
        <v>14638860383.962425</v>
      </c>
      <c r="K42" s="11">
        <f t="shared" si="7"/>
        <v>-6.2926650000000084E-2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13646370.987972224</v>
      </c>
      <c r="D43" s="11">
        <v>1.7899999999999999E-2</v>
      </c>
      <c r="E43" s="10">
        <f t="shared" si="2"/>
        <v>239974.49718509056</v>
      </c>
      <c r="F43" s="3"/>
      <c r="G43" s="29">
        <v>4.5599999999999996</v>
      </c>
      <c r="H43" s="10"/>
      <c r="I43" s="10">
        <f t="shared" si="8"/>
        <v>1144.7654356652517</v>
      </c>
      <c r="J43" s="10">
        <f t="shared" si="6"/>
        <v>15621893829.295675</v>
      </c>
      <c r="K43" s="11">
        <f t="shared" si="7"/>
        <v>6.4316240000000136E-2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13406396.490787134</v>
      </c>
      <c r="D44" s="11">
        <v>1.9199999999999998E-2</v>
      </c>
      <c r="E44" s="10">
        <f t="shared" si="2"/>
        <v>252553.78004622646</v>
      </c>
      <c r="F44" s="3"/>
      <c r="G44" s="29">
        <v>1.1100000000000001</v>
      </c>
      <c r="H44" s="10"/>
      <c r="I44" s="10">
        <f t="shared" si="8"/>
        <v>1094.8406997563616</v>
      </c>
      <c r="J44" s="10">
        <f t="shared" si="6"/>
        <v>14677868515.184616</v>
      </c>
      <c r="K44" s="11">
        <f t="shared" si="7"/>
        <v>3.0513120000000171E-2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13153842.710740907</v>
      </c>
      <c r="D45" s="11">
        <v>2.0500000000000001E-2</v>
      </c>
      <c r="E45" s="10">
        <f t="shared" si="2"/>
        <v>264236.91873609833</v>
      </c>
      <c r="F45" s="3"/>
      <c r="G45" s="29">
        <v>6.37</v>
      </c>
      <c r="H45" s="10"/>
      <c r="I45" s="10">
        <f t="shared" si="8"/>
        <v>1082.8213824115928</v>
      </c>
      <c r="J45" s="10">
        <f t="shared" si="6"/>
        <v>14243262148.069122</v>
      </c>
      <c r="K45" s="11">
        <f t="shared" si="7"/>
        <v>8.5505850000000105E-2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12889605.792004809</v>
      </c>
      <c r="D46" s="11">
        <v>2.1700000000000001E-2</v>
      </c>
      <c r="E46" s="10">
        <f t="shared" si="2"/>
        <v>273763.77183762938</v>
      </c>
      <c r="F46" s="3"/>
      <c r="G46" s="29">
        <v>-3.91</v>
      </c>
      <c r="H46" s="10"/>
      <c r="I46" s="10">
        <f t="shared" si="8"/>
        <v>1017.9762925745913</v>
      </c>
      <c r="J46" s="10">
        <f t="shared" si="6"/>
        <v>13121313116.893034</v>
      </c>
      <c r="K46" s="11">
        <f t="shared" si="7"/>
        <v>-1.824846999999985E-2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12615842.020167179</v>
      </c>
      <c r="D47" s="11">
        <v>2.29E-2</v>
      </c>
      <c r="E47" s="10">
        <f t="shared" si="2"/>
        <v>282435.02029702626</v>
      </c>
      <c r="F47" s="3"/>
      <c r="G47" s="29">
        <v>3.83</v>
      </c>
      <c r="H47" s="10"/>
      <c r="I47" s="10">
        <f t="shared" si="8"/>
        <v>1059.398785070862</v>
      </c>
      <c r="J47" s="10">
        <f t="shared" si="6"/>
        <v>13365207708.811039</v>
      </c>
      <c r="K47" s="11">
        <f t="shared" si="7"/>
        <v>6.2077069999999956E-2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12333406.999870153</v>
      </c>
      <c r="D48" s="11">
        <v>2.3900000000000001E-2</v>
      </c>
      <c r="E48" s="10">
        <f t="shared" si="2"/>
        <v>287887.90633547865</v>
      </c>
      <c r="F48" s="3"/>
      <c r="G48" s="29">
        <v>2.4300000000000002</v>
      </c>
      <c r="H48" s="10"/>
      <c r="I48" s="10">
        <f t="shared" si="8"/>
        <v>1020.320509554909</v>
      </c>
      <c r="J48" s="10">
        <f t="shared" si="6"/>
        <v>12584028114.655596</v>
      </c>
      <c r="K48" s="11">
        <f t="shared" si="7"/>
        <v>4.8780769999999807E-2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12045519.093534674</v>
      </c>
      <c r="D49" s="11">
        <v>2.4899999999999999E-2</v>
      </c>
      <c r="E49" s="10">
        <f t="shared" si="2"/>
        <v>292646.52690897882</v>
      </c>
      <c r="F49" s="3"/>
      <c r="G49" s="29">
        <v>4.55</v>
      </c>
      <c r="H49" s="10"/>
      <c r="I49" s="10">
        <f t="shared" si="8"/>
        <v>996.11491707010543</v>
      </c>
      <c r="J49" s="10">
        <f t="shared" si="6"/>
        <v>11998721252.922665</v>
      </c>
      <c r="K49" s="11">
        <f t="shared" si="7"/>
        <v>7.1532950000000151E-2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11752872.566625696</v>
      </c>
      <c r="D50" s="11">
        <v>2.5899999999999999E-2</v>
      </c>
      <c r="E50" s="10">
        <f t="shared" si="2"/>
        <v>296714.49407896027</v>
      </c>
      <c r="F50" s="3"/>
      <c r="G50" s="29">
        <v>3.87</v>
      </c>
      <c r="H50" s="10"/>
      <c r="I50" s="10">
        <f t="shared" si="8"/>
        <v>952.76414832147805</v>
      </c>
      <c r="J50" s="10">
        <f t="shared" si="6"/>
        <v>11197715621.271996</v>
      </c>
      <c r="K50" s="11">
        <f t="shared" si="7"/>
        <v>6.5602330000000153E-2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11456158.072546735</v>
      </c>
      <c r="D51" s="11">
        <v>2.6800000000000001E-2</v>
      </c>
      <c r="E51" s="10">
        <f t="shared" si="2"/>
        <v>299011.52740967274</v>
      </c>
      <c r="F51" s="3"/>
      <c r="G51" s="29">
        <v>0.31</v>
      </c>
      <c r="H51" s="10"/>
      <c r="I51" s="10">
        <f t="shared" si="8"/>
        <v>917.26595583082519</v>
      </c>
      <c r="J51" s="10">
        <f t="shared" si="6"/>
        <v>10508343784.563604</v>
      </c>
      <c r="K51" s="11">
        <f t="shared" si="7"/>
        <v>2.9983079999999829E-2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11157146.545137063</v>
      </c>
      <c r="D52" s="11">
        <v>2.7699999999999999E-2</v>
      </c>
      <c r="E52" s="10">
        <f t="shared" si="2"/>
        <v>300722.93402772956</v>
      </c>
      <c r="F52" s="3"/>
      <c r="G52" s="29">
        <v>5.58</v>
      </c>
      <c r="H52" s="10"/>
      <c r="I52" s="10">
        <f t="shared" si="8"/>
        <v>914.43121905176463</v>
      </c>
      <c r="J52" s="10">
        <f t="shared" si="6"/>
        <v>10202443116.408869</v>
      </c>
      <c r="K52" s="11">
        <f t="shared" si="7"/>
        <v>8.5045660000000245E-2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10856423.611109333</v>
      </c>
      <c r="D53" s="11">
        <v>2.8400000000000002E-2</v>
      </c>
      <c r="E53" s="10">
        <f t="shared" si="2"/>
        <v>299807.88657672517</v>
      </c>
      <c r="F53" s="3"/>
      <c r="G53" s="29">
        <v>2.1800000000000002</v>
      </c>
      <c r="H53" s="10"/>
      <c r="I53" s="10">
        <f t="shared" si="8"/>
        <v>866.10268900527046</v>
      </c>
      <c r="J53" s="10">
        <f t="shared" si="6"/>
        <v>9402777682.5621014</v>
      </c>
      <c r="K53" s="11">
        <f t="shared" si="7"/>
        <v>5.0819119999999884E-2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10556615.724532608</v>
      </c>
      <c r="D54" s="11">
        <v>2.92E-2</v>
      </c>
      <c r="E54" s="10">
        <f t="shared" si="2"/>
        <v>299507.55844962224</v>
      </c>
      <c r="F54" s="3"/>
      <c r="G54" s="29">
        <v>9.0500000000000007</v>
      </c>
      <c r="H54" s="10"/>
      <c r="I54" s="10">
        <f t="shared" si="8"/>
        <v>847.6244754406639</v>
      </c>
      <c r="J54" s="10">
        <f t="shared" si="6"/>
        <v>8948045865.9356155</v>
      </c>
      <c r="K54" s="11">
        <f t="shared" si="7"/>
        <v>0.12234259999999986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10257108.166082986</v>
      </c>
      <c r="D55" s="11">
        <v>2.9899999999999999E-2</v>
      </c>
      <c r="E55" s="10">
        <f t="shared" si="2"/>
        <v>297783.7985880971</v>
      </c>
      <c r="F55" s="3"/>
      <c r="G55" s="29">
        <v>7.47</v>
      </c>
      <c r="H55" s="10"/>
      <c r="I55" s="10">
        <f t="shared" si="8"/>
        <v>777.28058270578993</v>
      </c>
      <c r="J55" s="10">
        <f t="shared" si="6"/>
        <v>7972651012.2092991</v>
      </c>
      <c r="K55" s="11">
        <f t="shared" si="7"/>
        <v>0.10683352999999984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9959324.3674948886</v>
      </c>
      <c r="D56" s="11">
        <v>3.0700000000000002E-2</v>
      </c>
      <c r="E56" s="10">
        <f t="shared" si="2"/>
        <v>296644.27872522734</v>
      </c>
      <c r="F56" s="3"/>
      <c r="G56" s="29">
        <v>3.78</v>
      </c>
      <c r="H56" s="10"/>
      <c r="I56" s="10">
        <f t="shared" si="8"/>
        <v>723.2535430406532</v>
      </c>
      <c r="J56" s="10">
        <f t="shared" si="6"/>
        <v>7203116635.0817909</v>
      </c>
      <c r="K56" s="11">
        <f t="shared" si="7"/>
        <v>6.9660460000000146E-2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9662680.0887696613</v>
      </c>
      <c r="D57" s="11">
        <v>3.1600000000000003E-2</v>
      </c>
      <c r="E57" s="10">
        <f t="shared" si="2"/>
        <v>295987.48623993993</v>
      </c>
      <c r="F57" s="3"/>
      <c r="G57" s="30">
        <v>5.51</v>
      </c>
      <c r="H57" s="10"/>
      <c r="I57" s="10">
        <f t="shared" si="8"/>
        <v>696.91033247316739</v>
      </c>
      <c r="J57" s="10">
        <f t="shared" si="6"/>
        <v>6734021593.2463188</v>
      </c>
      <c r="K57" s="11">
        <f t="shared" si="7"/>
        <v>8.8441159999999908E-2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9366692.6025297213</v>
      </c>
      <c r="D58" s="11">
        <v>3.2500000000000001E-2</v>
      </c>
      <c r="E58" s="10">
        <f t="shared" si="2"/>
        <v>294835.36037018523</v>
      </c>
      <c r="F58" s="3"/>
      <c r="G58" s="30">
        <v>1.25</v>
      </c>
      <c r="H58" s="10"/>
      <c r="I58" s="10">
        <f t="shared" si="8"/>
        <v>660.51590604982221</v>
      </c>
      <c r="J58" s="10">
        <f t="shared" si="6"/>
        <v>6186849451.050086</v>
      </c>
      <c r="K58" s="11">
        <f t="shared" si="7"/>
        <v>4.540624999999987E-2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9071857.2421595361</v>
      </c>
      <c r="D59" s="11">
        <v>3.3500000000000002E-2</v>
      </c>
      <c r="E59" s="10">
        <f t="shared" si="2"/>
        <v>294056.33053927869</v>
      </c>
      <c r="F59" s="3"/>
      <c r="G59" s="30">
        <v>3.26</v>
      </c>
      <c r="H59" s="10"/>
      <c r="I59" s="10">
        <f t="shared" si="8"/>
        <v>652.36138869118247</v>
      </c>
      <c r="J59" s="10">
        <f t="shared" si="6"/>
        <v>5918129388.503356</v>
      </c>
      <c r="K59" s="11">
        <f t="shared" si="7"/>
        <v>6.7192099999999977E-2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8777800.9116202574</v>
      </c>
      <c r="D60" s="11">
        <v>3.4500000000000003E-2</v>
      </c>
      <c r="E60" s="10">
        <f t="shared" si="2"/>
        <v>292734.78148951009</v>
      </c>
      <c r="F60" s="3"/>
      <c r="G60" s="30">
        <v>6.67</v>
      </c>
      <c r="H60" s="10"/>
      <c r="I60" s="10">
        <f t="shared" si="8"/>
        <v>631.76582286575876</v>
      </c>
      <c r="J60" s="10">
        <f t="shared" si="6"/>
        <v>5545514615.8815794</v>
      </c>
      <c r="K60" s="11">
        <f t="shared" si="7"/>
        <v>0.10350114999999982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8485066.1301307473</v>
      </c>
      <c r="D61" s="11">
        <v>3.5499999999999997E-2</v>
      </c>
      <c r="E61" s="10">
        <f t="shared" si="2"/>
        <v>290893.14111022837</v>
      </c>
      <c r="F61" s="3"/>
      <c r="G61" s="30">
        <v>13.87</v>
      </c>
      <c r="H61" s="10"/>
      <c r="I61" s="10">
        <f t="shared" si="8"/>
        <v>592.2619507506879</v>
      </c>
      <c r="J61" s="10">
        <f t="shared" si="6"/>
        <v>5025381818.4798269</v>
      </c>
      <c r="K61" s="11">
        <f t="shared" si="7"/>
        <v>0.17912385000000008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8194172.989020519</v>
      </c>
      <c r="D62" s="11">
        <v>3.6299999999999999E-2</v>
      </c>
      <c r="E62" s="10">
        <f t="shared" si="2"/>
        <v>287029.31535409112</v>
      </c>
      <c r="F62" s="3"/>
      <c r="G62" s="30">
        <v>-3.99</v>
      </c>
      <c r="H62" s="10"/>
      <c r="I62" s="10">
        <f t="shared" si="8"/>
        <v>520.12114758117843</v>
      </c>
      <c r="J62" s="10">
        <f t="shared" si="6"/>
        <v>4261962658.5280476</v>
      </c>
      <c r="K62" s="11">
        <f t="shared" si="7"/>
        <v>-5.0483700000000242E-3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7907143.6736664278</v>
      </c>
      <c r="D63" s="11">
        <v>3.6700000000000003E-2</v>
      </c>
      <c r="E63" s="10">
        <f t="shared" si="2"/>
        <v>279919.14037190843</v>
      </c>
      <c r="F63" s="3"/>
      <c r="G63" s="30">
        <v>19.96</v>
      </c>
      <c r="H63" s="10"/>
      <c r="I63" s="10">
        <f t="shared" si="8"/>
        <v>541.73643118547909</v>
      </c>
      <c r="J63" s="10">
        <f t="shared" si="6"/>
        <v>4283587794.642889</v>
      </c>
      <c r="K63" s="11">
        <f t="shared" si="7"/>
        <v>0.24362532000000003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7627224.5332945194</v>
      </c>
      <c r="D64" s="11">
        <v>3.6499999999999998E-2</v>
      </c>
      <c r="E64" s="10">
        <f t="shared" si="2"/>
        <v>268590.15481451992</v>
      </c>
      <c r="F64" s="3"/>
      <c r="G64" s="30">
        <v>6.69</v>
      </c>
      <c r="H64" s="10"/>
      <c r="I64" s="10">
        <f t="shared" si="8"/>
        <v>451.59755850740169</v>
      </c>
      <c r="J64" s="10">
        <f t="shared" si="6"/>
        <v>3444435977.4235611</v>
      </c>
      <c r="K64" s="11">
        <f t="shared" si="7"/>
        <v>0.10584185000000002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7358634.3784799995</v>
      </c>
      <c r="D65" s="11">
        <v>3.5099999999999999E-2</v>
      </c>
      <c r="E65" s="10">
        <f t="shared" si="2"/>
        <v>249529.57847999968</v>
      </c>
      <c r="F65" s="3"/>
      <c r="G65" s="30">
        <v>6.2</v>
      </c>
      <c r="H65" s="10"/>
      <c r="I65" s="10">
        <f t="shared" si="8"/>
        <v>423.28011857475087</v>
      </c>
      <c r="J65" s="10">
        <f t="shared" si="6"/>
        <v>3114763632.2712522</v>
      </c>
      <c r="K65" s="11">
        <f t="shared" si="7"/>
        <v>9.9276200000000037E-2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7109104.7999999998</v>
      </c>
      <c r="D66" s="11">
        <v>3.2099999999999997E-2</v>
      </c>
      <c r="E66" s="10">
        <f t="shared" si="2"/>
        <v>221104.79999999981</v>
      </c>
      <c r="F66" s="23">
        <f>SUM(F2)</f>
        <v>21995119</v>
      </c>
      <c r="G66" s="30">
        <v>6.52</v>
      </c>
      <c r="H66" s="10"/>
      <c r="I66" s="10">
        <f t="shared" si="8"/>
        <v>398.56884988206292</v>
      </c>
      <c r="J66" s="10">
        <f t="shared" ref="J66:J67" si="9">IF(I66="","",I66*C66)</f>
        <v>2833467723.8270531</v>
      </c>
      <c r="K66" s="11">
        <f t="shared" ref="K66" si="10">IFERROR(J66/J67-1,"")</f>
        <v>9.9392919999999885E-2</v>
      </c>
    </row>
    <row r="67" spans="1:11" ht="22.5" customHeight="1">
      <c r="A67" s="3">
        <f t="shared" si="0"/>
        <v>1950</v>
      </c>
      <c r="B67" s="3">
        <v>1700</v>
      </c>
      <c r="C67" s="10">
        <v>6888000</v>
      </c>
      <c r="D67" s="11">
        <v>2.8400000000000002E-2</v>
      </c>
      <c r="E67" s="3" t="s">
        <v>72</v>
      </c>
      <c r="F67" s="10">
        <f>SUM(C2)</f>
        <v>21995332.392196439</v>
      </c>
      <c r="G67" s="30">
        <v>6.69</v>
      </c>
      <c r="H67" s="10"/>
      <c r="I67" s="10">
        <f t="shared" ref="I67" si="11">IF(H67&lt;&gt;"",H67,I66/(1+IF(G66="",0,G66)/100))</f>
        <v>374.17278434290552</v>
      </c>
      <c r="J67" s="10">
        <f t="shared" si="9"/>
        <v>2577302138.5539331</v>
      </c>
      <c r="K67" s="11"/>
    </row>
  </sheetData>
  <dataValidations count="1">
    <dataValidation type="custom" allowBlank="1" showDropDown="1" sqref="D2:D67" xr:uid="{00000000-0002-0000-8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outlinePr summaryBelow="0" summaryRight="0"/>
  </sheetPr>
  <dimension ref="A1:M67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2166325.6440770118</v>
      </c>
      <c r="D2" s="11">
        <v>5.4999999999999997E-3</v>
      </c>
      <c r="E2" s="10">
        <f t="shared" ref="E2:E66" si="2">SUM(C2-C3)</f>
        <v>11849.618142639287</v>
      </c>
      <c r="F2" s="14">
        <v>2166683</v>
      </c>
      <c r="G2" s="29">
        <v>2.4</v>
      </c>
      <c r="H2" s="10"/>
      <c r="I2" s="10">
        <f>IF(H2&lt;&gt;"",H2,32064)</f>
        <v>4008</v>
      </c>
      <c r="J2" s="10">
        <f t="shared" ref="J2:J33" si="3">IF(I2="","",I2*C2)</f>
        <v>8682633181.4606628</v>
      </c>
      <c r="K2" s="11">
        <f t="shared" ref="K2:K33" si="4">IFERROR(J2/J3-1,"")</f>
        <v>2.9632000000000103E-2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2154476.0259343726</v>
      </c>
      <c r="D3" s="11">
        <v>5.5999999999999999E-3</v>
      </c>
      <c r="E3" s="10">
        <f t="shared" si="2"/>
        <v>11997.877630501986</v>
      </c>
      <c r="F3" s="10"/>
      <c r="G3" s="29">
        <v>1.71</v>
      </c>
      <c r="H3" s="10"/>
      <c r="I3" s="10">
        <f t="shared" ref="I3:I34" si="5">IF(H3&lt;&gt;"",H3,I2/(1+IF(G2="",0,G2)/100))</f>
        <v>3914.0625</v>
      </c>
      <c r="J3" s="10">
        <f t="shared" si="3"/>
        <v>8432753820.2587547</v>
      </c>
      <c r="K3" s="11">
        <f t="shared" si="4"/>
        <v>2.2795759999999943E-2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2142478.1483038706</v>
      </c>
      <c r="D4" s="11">
        <v>5.8999999999999999E-3</v>
      </c>
      <c r="E4" s="10">
        <f t="shared" si="2"/>
        <v>12566.478849779349</v>
      </c>
      <c r="F4" s="3"/>
      <c r="G4" s="29">
        <v>2.2400000000000002</v>
      </c>
      <c r="H4" s="10"/>
      <c r="I4" s="10">
        <f t="shared" si="5"/>
        <v>3848.2573001671421</v>
      </c>
      <c r="J4" s="10">
        <f t="shared" si="3"/>
        <v>8244807174.6589508</v>
      </c>
      <c r="K4" s="11">
        <f t="shared" si="4"/>
        <v>2.8432160000000151E-2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2129911.6694540912</v>
      </c>
      <c r="D5" s="11">
        <v>6.1999999999999998E-3</v>
      </c>
      <c r="E5" s="10">
        <f t="shared" si="2"/>
        <v>13124.083035793621</v>
      </c>
      <c r="F5" s="3"/>
      <c r="G5" s="29">
        <v>-0.82</v>
      </c>
      <c r="H5" s="10"/>
      <c r="I5" s="10">
        <f t="shared" si="5"/>
        <v>3763.944933653308</v>
      </c>
      <c r="J5" s="10">
        <f t="shared" si="3"/>
        <v>8016870237.3707857</v>
      </c>
      <c r="K5" s="11">
        <f t="shared" si="4"/>
        <v>-2.0508399999998872E-3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2116787.5864182976</v>
      </c>
      <c r="D6" s="11">
        <v>6.1000000000000004E-3</v>
      </c>
      <c r="E6" s="10">
        <f t="shared" si="2"/>
        <v>12834.116168523673</v>
      </c>
      <c r="F6" s="3"/>
      <c r="G6" s="29">
        <v>3.81</v>
      </c>
      <c r="H6" s="10"/>
      <c r="I6" s="10">
        <f t="shared" si="5"/>
        <v>3795.0644622437062</v>
      </c>
      <c r="J6" s="10">
        <f t="shared" si="3"/>
        <v>8033345343.3347092</v>
      </c>
      <c r="K6" s="11">
        <f t="shared" si="4"/>
        <v>4.4432409999999978E-2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2103953.4702497739</v>
      </c>
      <c r="D7" s="11">
        <v>5.7000000000000002E-3</v>
      </c>
      <c r="E7" s="10">
        <f t="shared" si="2"/>
        <v>11924.564761284506</v>
      </c>
      <c r="F7" s="3"/>
      <c r="G7" s="29">
        <v>2.15</v>
      </c>
      <c r="H7" s="10"/>
      <c r="I7" s="10">
        <f t="shared" si="5"/>
        <v>3655.7792719812214</v>
      </c>
      <c r="J7" s="10">
        <f t="shared" si="3"/>
        <v>7691589485.7520828</v>
      </c>
      <c r="K7" s="11">
        <f t="shared" si="4"/>
        <v>2.7322550000000057E-2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2092028.9054884894</v>
      </c>
      <c r="D8" s="11">
        <v>5.1000000000000004E-3</v>
      </c>
      <c r="E8" s="10">
        <f t="shared" si="2"/>
        <v>10615.209847767837</v>
      </c>
      <c r="F8" s="3"/>
      <c r="G8" s="29">
        <v>2.11</v>
      </c>
      <c r="H8" s="10"/>
      <c r="I8" s="10">
        <f t="shared" si="5"/>
        <v>3578.834333804426</v>
      </c>
      <c r="J8" s="10">
        <f t="shared" si="3"/>
        <v>7487024874.2735004</v>
      </c>
      <c r="K8" s="11">
        <f t="shared" si="4"/>
        <v>2.6307609999999926E-2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2081413.6956407216</v>
      </c>
      <c r="D9" s="11">
        <v>4.4000000000000003E-3</v>
      </c>
      <c r="E9" s="10">
        <f t="shared" si="2"/>
        <v>9118.100618099561</v>
      </c>
      <c r="F9" s="3"/>
      <c r="G9" s="29">
        <v>2.15</v>
      </c>
      <c r="H9" s="10"/>
      <c r="I9" s="10">
        <f t="shared" si="5"/>
        <v>3504.8813375814575</v>
      </c>
      <c r="J9" s="10">
        <f t="shared" si="3"/>
        <v>7295108017.6376171</v>
      </c>
      <c r="K9" s="11">
        <f t="shared" si="4"/>
        <v>2.5994599999999979E-2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2072295.595022622</v>
      </c>
      <c r="D10" s="11">
        <v>4.1000000000000003E-3</v>
      </c>
      <c r="E10" s="10">
        <f t="shared" si="2"/>
        <v>8461.7188921349589</v>
      </c>
      <c r="F10" s="3"/>
      <c r="G10" s="29">
        <v>1.85</v>
      </c>
      <c r="H10" s="10"/>
      <c r="I10" s="10">
        <f t="shared" si="5"/>
        <v>3431.1124205398505</v>
      </c>
      <c r="J10" s="10">
        <f t="shared" si="3"/>
        <v>7110279155.1121387</v>
      </c>
      <c r="K10" s="11">
        <f t="shared" si="4"/>
        <v>2.2675849999999942E-2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2063833.8761304871</v>
      </c>
      <c r="D11" s="11">
        <v>4.1000000000000003E-3</v>
      </c>
      <c r="E11" s="10">
        <f t="shared" si="2"/>
        <v>8427.1675053630024</v>
      </c>
      <c r="F11" s="3"/>
      <c r="G11" s="29">
        <v>4.34</v>
      </c>
      <c r="H11" s="10"/>
      <c r="I11" s="10">
        <f t="shared" si="5"/>
        <v>3368.7898090720182</v>
      </c>
      <c r="J11" s="10">
        <f t="shared" si="3"/>
        <v>6952622529.5259867</v>
      </c>
      <c r="K11" s="11">
        <f t="shared" si="4"/>
        <v>4.767794000000003E-2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2055406.7086251241</v>
      </c>
      <c r="D12" s="11">
        <v>4.4999999999999997E-3</v>
      </c>
      <c r="E12" s="10">
        <f t="shared" si="2"/>
        <v>9207.8946628302801</v>
      </c>
      <c r="F12" s="3"/>
      <c r="G12" s="29">
        <v>2.68</v>
      </c>
      <c r="H12" s="10"/>
      <c r="I12" s="10">
        <f t="shared" si="5"/>
        <v>3228.6657169561222</v>
      </c>
      <c r="J12" s="10">
        <f t="shared" si="3"/>
        <v>6636221174.5395594</v>
      </c>
      <c r="K12" s="11">
        <f t="shared" si="4"/>
        <v>3.142059999999991E-2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2046198.8139622938</v>
      </c>
      <c r="D13" s="11">
        <v>5.0000000000000001E-3</v>
      </c>
      <c r="E13" s="10">
        <f t="shared" si="2"/>
        <v>10180.093601802131</v>
      </c>
      <c r="F13" s="3"/>
      <c r="G13" s="29">
        <v>0.89</v>
      </c>
      <c r="H13" s="10"/>
      <c r="I13" s="10">
        <f t="shared" si="5"/>
        <v>3144.3959066576963</v>
      </c>
      <c r="J13" s="10">
        <f t="shared" si="3"/>
        <v>6434059174.8308697</v>
      </c>
      <c r="K13" s="11">
        <f t="shared" si="4"/>
        <v>1.3944499999999804E-2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2036018.7203604917</v>
      </c>
      <c r="D14" s="11">
        <v>5.3E-3</v>
      </c>
      <c r="E14" s="10">
        <f t="shared" si="2"/>
        <v>10734.008970367722</v>
      </c>
      <c r="F14" s="3"/>
      <c r="G14" s="29">
        <v>1.57</v>
      </c>
      <c r="H14" s="10"/>
      <c r="I14" s="10">
        <f t="shared" si="5"/>
        <v>3116.65765354118</v>
      </c>
      <c r="J14" s="10">
        <f t="shared" si="3"/>
        <v>6345573327.5646458</v>
      </c>
      <c r="K14" s="11">
        <f t="shared" si="4"/>
        <v>2.1083210000000019E-2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2025284.7113901239</v>
      </c>
      <c r="D15" s="11">
        <v>5.3E-3</v>
      </c>
      <c r="E15" s="10">
        <f t="shared" si="2"/>
        <v>10677.418651514687</v>
      </c>
      <c r="F15" s="3"/>
      <c r="G15" s="29">
        <v>1.57</v>
      </c>
      <c r="H15" s="10"/>
      <c r="I15" s="10">
        <f t="shared" si="5"/>
        <v>3068.48247862674</v>
      </c>
      <c r="J15" s="10">
        <f t="shared" si="3"/>
        <v>6214550651.1312094</v>
      </c>
      <c r="K15" s="11">
        <f t="shared" si="4"/>
        <v>2.1083210000000241E-2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2014607.2927386092</v>
      </c>
      <c r="D16" s="11">
        <v>5.0000000000000001E-3</v>
      </c>
      <c r="E16" s="10">
        <f t="shared" si="2"/>
        <v>10022.921854420798</v>
      </c>
      <c r="F16" s="3"/>
      <c r="G16" s="29">
        <v>0.88</v>
      </c>
      <c r="H16" s="10"/>
      <c r="I16" s="10">
        <f t="shared" si="5"/>
        <v>3021.0519628106131</v>
      </c>
      <c r="J16" s="10">
        <f t="shared" si="3"/>
        <v>6086233316.0205507</v>
      </c>
      <c r="K16" s="11">
        <f t="shared" si="4"/>
        <v>1.3843999999999745E-2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2004584.3708841885</v>
      </c>
      <c r="D17" s="11">
        <v>4.5999999999999999E-3</v>
      </c>
      <c r="E17" s="10">
        <f t="shared" si="2"/>
        <v>9178.865325569408</v>
      </c>
      <c r="F17" s="3"/>
      <c r="G17" s="29">
        <v>1.1299999999999999</v>
      </c>
      <c r="H17" s="10"/>
      <c r="I17" s="10">
        <f t="shared" si="5"/>
        <v>2994.6986149986255</v>
      </c>
      <c r="J17" s="10">
        <f t="shared" si="3"/>
        <v>6003126039.1347704</v>
      </c>
      <c r="K17" s="11">
        <f t="shared" si="4"/>
        <v>1.5951979999999866E-2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1995405.505558619</v>
      </c>
      <c r="D18" s="11">
        <v>4.3E-3</v>
      </c>
      <c r="E18" s="10">
        <f t="shared" si="2"/>
        <v>8543.5065955412574</v>
      </c>
      <c r="F18" s="3"/>
      <c r="G18" s="29">
        <v>2.16</v>
      </c>
      <c r="H18" s="10"/>
      <c r="I18" s="10">
        <f t="shared" si="5"/>
        <v>2961.2366409558244</v>
      </c>
      <c r="J18" s="10">
        <f t="shared" si="3"/>
        <v>5908867896.625164</v>
      </c>
      <c r="K18" s="11">
        <f t="shared" si="4"/>
        <v>2.5992879999999996E-2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1986861.9989630778</v>
      </c>
      <c r="D19" s="11">
        <v>4.4000000000000003E-3</v>
      </c>
      <c r="E19" s="10">
        <f t="shared" si="2"/>
        <v>8703.8956545575056</v>
      </c>
      <c r="F19" s="3"/>
      <c r="G19" s="29">
        <v>2.65</v>
      </c>
      <c r="H19" s="10"/>
      <c r="I19" s="10">
        <f t="shared" si="5"/>
        <v>2898.6263126035869</v>
      </c>
      <c r="J19" s="10">
        <f t="shared" si="3"/>
        <v>5759170469.7065382</v>
      </c>
      <c r="K19" s="11">
        <f t="shared" si="4"/>
        <v>3.1016600000000061E-2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1978158.1033085203</v>
      </c>
      <c r="D20" s="11">
        <v>4.7999999999999996E-3</v>
      </c>
      <c r="E20" s="10">
        <f t="shared" si="2"/>
        <v>9449.7998565691523</v>
      </c>
      <c r="F20" s="3"/>
      <c r="G20" s="29">
        <v>3.14</v>
      </c>
      <c r="H20" s="10"/>
      <c r="I20" s="10">
        <f t="shared" si="5"/>
        <v>2823.7957258680826</v>
      </c>
      <c r="J20" s="10">
        <f t="shared" si="3"/>
        <v>5585914397.213913</v>
      </c>
      <c r="K20" s="11">
        <f t="shared" si="4"/>
        <v>3.6350719999999948E-2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1968708.3034519511</v>
      </c>
      <c r="D21" s="11">
        <v>5.4999999999999997E-3</v>
      </c>
      <c r="E21" s="10">
        <f t="shared" si="2"/>
        <v>10768.667995013297</v>
      </c>
      <c r="F21" s="3"/>
      <c r="G21" s="29">
        <v>0.81</v>
      </c>
      <c r="H21" s="10"/>
      <c r="I21" s="10">
        <f t="shared" si="5"/>
        <v>2737.8279289006036</v>
      </c>
      <c r="J21" s="10">
        <f t="shared" si="3"/>
        <v>5389984577.0492764</v>
      </c>
      <c r="K21" s="11">
        <f t="shared" si="4"/>
        <v>1.36445500000002E-2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1957939.6354569378</v>
      </c>
      <c r="D22" s="11">
        <v>6.4999999999999997E-3</v>
      </c>
      <c r="E22" s="10">
        <f t="shared" si="2"/>
        <v>12644.418907570885</v>
      </c>
      <c r="F22" s="3"/>
      <c r="G22" s="29">
        <v>4.7300000000000004</v>
      </c>
      <c r="H22" s="10"/>
      <c r="I22" s="10">
        <f t="shared" si="5"/>
        <v>2715.8297082636677</v>
      </c>
      <c r="J22" s="10">
        <f t="shared" si="3"/>
        <v>5317430628.960887</v>
      </c>
      <c r="K22" s="11">
        <f t="shared" si="4"/>
        <v>5.4107449999999835E-2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1945295.2165493669</v>
      </c>
      <c r="D23" s="11">
        <v>7.7999999999999996E-3</v>
      </c>
      <c r="E23" s="10">
        <f t="shared" si="2"/>
        <v>15055.866927054012</v>
      </c>
      <c r="F23" s="3"/>
      <c r="G23" s="29">
        <v>4.6900000000000004</v>
      </c>
      <c r="H23" s="10"/>
      <c r="I23" s="10">
        <f t="shared" si="5"/>
        <v>2593.1726422836514</v>
      </c>
      <c r="J23" s="10">
        <f t="shared" si="3"/>
        <v>5044486336.7210693</v>
      </c>
      <c r="K23" s="11">
        <f t="shared" si="4"/>
        <v>5.5065819999999821E-2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1930239.3496223129</v>
      </c>
      <c r="D24" s="11">
        <v>9.2999999999999992E-3</v>
      </c>
      <c r="E24" s="10">
        <f t="shared" si="2"/>
        <v>17785.817845524289</v>
      </c>
      <c r="F24" s="3"/>
      <c r="G24" s="29">
        <v>5.82</v>
      </c>
      <c r="H24" s="10"/>
      <c r="I24" s="10">
        <f t="shared" si="5"/>
        <v>2477.0012821507798</v>
      </c>
      <c r="J24" s="10">
        <f t="shared" si="3"/>
        <v>4781205343.8723564</v>
      </c>
      <c r="K24" s="11">
        <f t="shared" si="4"/>
        <v>6.8041259999999992E-2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1912453.5317767886</v>
      </c>
      <c r="D25" s="11">
        <v>1.09E-2</v>
      </c>
      <c r="E25" s="10">
        <f t="shared" si="2"/>
        <v>20620.974870280828</v>
      </c>
      <c r="F25" s="3"/>
      <c r="G25" s="29">
        <v>7.02</v>
      </c>
      <c r="H25" s="10"/>
      <c r="I25" s="10">
        <f t="shared" si="5"/>
        <v>2340.7685524010394</v>
      </c>
      <c r="J25" s="10">
        <f t="shared" si="3"/>
        <v>4476611085.1114092</v>
      </c>
      <c r="K25" s="11">
        <f t="shared" si="4"/>
        <v>8.1865179999999871E-2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1891832.5569065078</v>
      </c>
      <c r="D26" s="11">
        <v>1.23E-2</v>
      </c>
      <c r="E26" s="10">
        <f t="shared" si="2"/>
        <v>22986.802775807679</v>
      </c>
      <c r="F26" s="3"/>
      <c r="G26" s="29">
        <v>1.49</v>
      </c>
      <c r="H26" s="10"/>
      <c r="I26" s="10">
        <f t="shared" si="5"/>
        <v>2187.2253339572412</v>
      </c>
      <c r="J26" s="10">
        <f t="shared" si="3"/>
        <v>4137864096.0710182</v>
      </c>
      <c r="K26" s="11">
        <f t="shared" si="4"/>
        <v>2.7383270000000071E-2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1868845.7541307001</v>
      </c>
      <c r="D27" s="11">
        <v>1.3299999999999999E-2</v>
      </c>
      <c r="E27" s="10">
        <f t="shared" si="2"/>
        <v>24529.4074113674</v>
      </c>
      <c r="F27" s="3"/>
      <c r="G27" s="29">
        <v>-4.83</v>
      </c>
      <c r="H27" s="10"/>
      <c r="I27" s="10">
        <f t="shared" si="5"/>
        <v>2155.114133370028</v>
      </c>
      <c r="J27" s="10">
        <f t="shared" si="3"/>
        <v>4027575897.81564</v>
      </c>
      <c r="K27" s="11">
        <f t="shared" si="4"/>
        <v>-3.5642390000000024E-2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1844316.3467193327</v>
      </c>
      <c r="D28" s="11">
        <v>1.41E-2</v>
      </c>
      <c r="E28" s="10">
        <f t="shared" si="2"/>
        <v>25643.29009835585</v>
      </c>
      <c r="F28" s="3"/>
      <c r="G28" s="29">
        <v>0.96</v>
      </c>
      <c r="H28" s="10"/>
      <c r="I28" s="10">
        <f t="shared" si="5"/>
        <v>2264.4889496375204</v>
      </c>
      <c r="J28" s="10">
        <f t="shared" si="3"/>
        <v>4176433986.7817707</v>
      </c>
      <c r="K28" s="11">
        <f t="shared" si="4"/>
        <v>2.3835360000000083E-2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1818673.0566209769</v>
      </c>
      <c r="D29" s="11">
        <v>1.47E-2</v>
      </c>
      <c r="E29" s="10">
        <f t="shared" si="2"/>
        <v>26347.190235861111</v>
      </c>
      <c r="F29" s="3"/>
      <c r="G29" s="29">
        <v>1.88</v>
      </c>
      <c r="H29" s="10"/>
      <c r="I29" s="10">
        <f t="shared" si="5"/>
        <v>2242.9565665981777</v>
      </c>
      <c r="J29" s="10">
        <f t="shared" si="3"/>
        <v>4079204674.8431997</v>
      </c>
      <c r="K29" s="11">
        <f t="shared" si="4"/>
        <v>3.3776360000000061E-2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1792325.8663851158</v>
      </c>
      <c r="D30" s="11">
        <v>1.55E-2</v>
      </c>
      <c r="E30" s="10">
        <f t="shared" si="2"/>
        <v>27357.017162943725</v>
      </c>
      <c r="F30" s="3"/>
      <c r="G30" s="29">
        <v>2.5099999999999998</v>
      </c>
      <c r="H30" s="10"/>
      <c r="I30" s="10">
        <f t="shared" si="5"/>
        <v>2201.5671050237315</v>
      </c>
      <c r="J30" s="10">
        <f t="shared" si="3"/>
        <v>3945925668.9166307</v>
      </c>
      <c r="K30" s="11">
        <f t="shared" si="4"/>
        <v>4.098904999999986E-2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1764968.8492221721</v>
      </c>
      <c r="D31" s="11">
        <v>1.6400000000000001E-2</v>
      </c>
      <c r="E31" s="10">
        <f t="shared" si="2"/>
        <v>28478.442667496623</v>
      </c>
      <c r="F31" s="3"/>
      <c r="G31" s="29">
        <v>0.19</v>
      </c>
      <c r="H31" s="10"/>
      <c r="I31" s="10">
        <f t="shared" si="5"/>
        <v>2147.6608184798865</v>
      </c>
      <c r="J31" s="10">
        <f t="shared" si="3"/>
        <v>3790554443.3119936</v>
      </c>
      <c r="K31" s="11">
        <f t="shared" si="4"/>
        <v>1.8331160000000235E-2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1736490.4065546754</v>
      </c>
      <c r="D32" s="11">
        <v>1.7399999999999999E-2</v>
      </c>
      <c r="E32" s="10">
        <f t="shared" si="2"/>
        <v>29698.184660950908</v>
      </c>
      <c r="F32" s="3"/>
      <c r="G32" s="29">
        <v>0.61</v>
      </c>
      <c r="H32" s="10"/>
      <c r="I32" s="10">
        <f t="shared" si="5"/>
        <v>2143.5880012774592</v>
      </c>
      <c r="J32" s="10">
        <f t="shared" si="3"/>
        <v>3722319999.824019</v>
      </c>
      <c r="K32" s="11">
        <f t="shared" si="4"/>
        <v>2.3606140000000053E-2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1706792.2218937245</v>
      </c>
      <c r="D33" s="11">
        <v>1.84E-2</v>
      </c>
      <c r="E33" s="10">
        <f t="shared" si="2"/>
        <v>30837.565674434882</v>
      </c>
      <c r="F33" s="3"/>
      <c r="G33" s="29">
        <v>1.34</v>
      </c>
      <c r="H33" s="10"/>
      <c r="I33" s="10">
        <f t="shared" si="5"/>
        <v>2130.591393775429</v>
      </c>
      <c r="J33" s="10">
        <f t="shared" si="3"/>
        <v>3636476818.9296117</v>
      </c>
      <c r="K33" s="11">
        <f t="shared" si="4"/>
        <v>3.2046559999999946E-2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1675954.6562192896</v>
      </c>
      <c r="D34" s="11">
        <v>1.9300000000000001E-2</v>
      </c>
      <c r="E34" s="10">
        <f t="shared" si="2"/>
        <v>31733.46891497355</v>
      </c>
      <c r="F34" s="3"/>
      <c r="G34" s="29">
        <v>0.24</v>
      </c>
      <c r="H34" s="10"/>
      <c r="I34" s="10">
        <f t="shared" si="5"/>
        <v>2102.4189794507884</v>
      </c>
      <c r="J34" s="10">
        <f t="shared" ref="J34:J65" si="6">IF(I34="","",I34*C34)</f>
        <v>3523558877.9343557</v>
      </c>
      <c r="K34" s="11">
        <f t="shared" ref="K34:K65" si="7">IFERROR(J34/J35-1,"")</f>
        <v>3.4997220000000162E-2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1644221.1873043161</v>
      </c>
      <c r="D35" s="11">
        <v>2.01E-2</v>
      </c>
      <c r="E35" s="10">
        <f t="shared" si="2"/>
        <v>32397.653038738063</v>
      </c>
      <c r="F35" s="3"/>
      <c r="G35" s="29">
        <v>-9.01</v>
      </c>
      <c r="H35" s="10"/>
      <c r="I35" s="10">
        <f t="shared" ref="I35:I66" si="8">IF(H35&lt;&gt;"",H35,I34/(1+IF(G34="",0,G34)/100))</f>
        <v>2070.5327747200986</v>
      </c>
      <c r="J35" s="10">
        <f t="shared" si="6"/>
        <v>3404413857.2027807</v>
      </c>
      <c r="K35" s="11">
        <f t="shared" si="7"/>
        <v>-4.4268309999999866E-2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1611823.534265578</v>
      </c>
      <c r="D36" s="11">
        <v>2.0799999999999999E-2</v>
      </c>
      <c r="E36" s="10">
        <f t="shared" si="2"/>
        <v>32842.799287542934</v>
      </c>
      <c r="F36" s="3"/>
      <c r="G36" s="29">
        <v>-10.52</v>
      </c>
      <c r="H36" s="10"/>
      <c r="I36" s="10">
        <f t="shared" si="8"/>
        <v>2209.9826819512205</v>
      </c>
      <c r="J36" s="10">
        <f t="shared" si="6"/>
        <v>3562102097.0883369</v>
      </c>
      <c r="K36" s="11">
        <f t="shared" si="7"/>
        <v>-3.7589760000000139E-2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1578980.7349780351</v>
      </c>
      <c r="D37" s="11">
        <v>2.1499999999999998E-2</v>
      </c>
      <c r="E37" s="10">
        <f t="shared" si="2"/>
        <v>33233.564172322862</v>
      </c>
      <c r="F37" s="3"/>
      <c r="G37" s="29">
        <v>-21.14</v>
      </c>
      <c r="H37" s="10"/>
      <c r="I37" s="10">
        <f t="shared" si="8"/>
        <v>2344.0630907416426</v>
      </c>
      <c r="J37" s="10">
        <f t="shared" si="6"/>
        <v>3701230461.8541231</v>
      </c>
      <c r="K37" s="11">
        <f t="shared" si="7"/>
        <v>-0.14030560000000003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1545747.1708057122</v>
      </c>
      <c r="D38" s="11">
        <v>2.2100000000000002E-2</v>
      </c>
      <c r="E38" s="10">
        <f t="shared" si="2"/>
        <v>33422.377922714222</v>
      </c>
      <c r="F38" s="3"/>
      <c r="G38" s="29">
        <v>-7.88</v>
      </c>
      <c r="H38" s="10"/>
      <c r="I38" s="10">
        <f t="shared" si="8"/>
        <v>2785.2460678964385</v>
      </c>
      <c r="J38" s="10">
        <f t="shared" si="6"/>
        <v>4305286229.4486542</v>
      </c>
      <c r="K38" s="11">
        <f t="shared" si="7"/>
        <v>-2.062377999999998E-2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1512324.792882998</v>
      </c>
      <c r="D39" s="11">
        <v>2.2700000000000001E-2</v>
      </c>
      <c r="E39" s="10">
        <f t="shared" si="2"/>
        <v>33567.784099387936</v>
      </c>
      <c r="F39" s="3"/>
      <c r="G39" s="29">
        <v>5.32</v>
      </c>
      <c r="H39" s="10"/>
      <c r="I39" s="10">
        <f t="shared" si="8"/>
        <v>2906.7481401549139</v>
      </c>
      <c r="J39" s="10">
        <f t="shared" si="6"/>
        <v>4395947279.0228195</v>
      </c>
      <c r="K39" s="11">
        <f t="shared" si="7"/>
        <v>7.71076399999997E-2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1478757.0087836101</v>
      </c>
      <c r="D40" s="11">
        <v>2.3300000000000001E-2</v>
      </c>
      <c r="E40" s="10">
        <f t="shared" si="2"/>
        <v>33670.515298209852</v>
      </c>
      <c r="F40" s="3"/>
      <c r="G40" s="29">
        <v>6.78</v>
      </c>
      <c r="H40" s="10"/>
      <c r="I40" s="10">
        <f t="shared" si="8"/>
        <v>2759.9203761440508</v>
      </c>
      <c r="J40" s="10">
        <f t="shared" si="6"/>
        <v>4081251599.9077125</v>
      </c>
      <c r="K40" s="11">
        <f t="shared" si="7"/>
        <v>9.2679739999999899E-2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1445086.4934854002</v>
      </c>
      <c r="D41" s="11">
        <v>2.4E-2</v>
      </c>
      <c r="E41" s="10">
        <f t="shared" si="2"/>
        <v>33869.214691064088</v>
      </c>
      <c r="F41" s="3"/>
      <c r="G41" s="29">
        <v>5.05</v>
      </c>
      <c r="H41" s="10"/>
      <c r="I41" s="10">
        <f t="shared" si="8"/>
        <v>2584.679131058298</v>
      </c>
      <c r="J41" s="10">
        <f t="shared" si="6"/>
        <v>3735084902.2859273</v>
      </c>
      <c r="K41" s="11">
        <f t="shared" si="7"/>
        <v>7.5712000000000002E-2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1411217.2787943361</v>
      </c>
      <c r="D42" s="11">
        <v>2.4799999999999999E-2</v>
      </c>
      <c r="E42" s="10">
        <f t="shared" si="2"/>
        <v>34151.237816256238</v>
      </c>
      <c r="F42" s="3"/>
      <c r="G42" s="29">
        <v>-2.92</v>
      </c>
      <c r="H42" s="10"/>
      <c r="I42" s="10">
        <f t="shared" si="8"/>
        <v>2460.4275402744388</v>
      </c>
      <c r="J42" s="10">
        <f t="shared" si="6"/>
        <v>3472197858.0567355</v>
      </c>
      <c r="K42" s="11">
        <f t="shared" si="7"/>
        <v>-5.1241599999999332E-3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1377066.0409780799</v>
      </c>
      <c r="D43" s="11">
        <v>2.5499999999999998E-2</v>
      </c>
      <c r="E43" s="10">
        <f t="shared" si="2"/>
        <v>34242.012720566709</v>
      </c>
      <c r="F43" s="3"/>
      <c r="G43" s="29">
        <v>5.34</v>
      </c>
      <c r="H43" s="10"/>
      <c r="I43" s="10">
        <f t="shared" si="8"/>
        <v>2534.4329833894094</v>
      </c>
      <c r="J43" s="10">
        <f t="shared" si="6"/>
        <v>3490081594.5603175</v>
      </c>
      <c r="K43" s="11">
        <f t="shared" si="7"/>
        <v>8.026169999999988E-2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1342824.0282575132</v>
      </c>
      <c r="D44" s="11">
        <v>2.6200000000000001E-2</v>
      </c>
      <c r="E44" s="10">
        <f t="shared" si="2"/>
        <v>34283.755155278603</v>
      </c>
      <c r="F44" s="3"/>
      <c r="G44" s="29">
        <v>4.8600000000000003</v>
      </c>
      <c r="H44" s="10"/>
      <c r="I44" s="10">
        <f t="shared" si="8"/>
        <v>2405.9549870793712</v>
      </c>
      <c r="J44" s="10">
        <f t="shared" si="6"/>
        <v>3230774167.5561743</v>
      </c>
      <c r="K44" s="11">
        <f t="shared" si="7"/>
        <v>7.6073320000000111E-2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1308540.2731022346</v>
      </c>
      <c r="D45" s="11">
        <v>2.6700000000000002E-2</v>
      </c>
      <c r="E45" s="10">
        <f t="shared" si="2"/>
        <v>34029.43926349422</v>
      </c>
      <c r="F45" s="3"/>
      <c r="G45" s="29">
        <v>6.12</v>
      </c>
      <c r="H45" s="10"/>
      <c r="I45" s="10">
        <f t="shared" si="8"/>
        <v>2294.4449619295929</v>
      </c>
      <c r="J45" s="10">
        <f t="shared" si="6"/>
        <v>3002373637.1013956</v>
      </c>
      <c r="K45" s="11">
        <f t="shared" si="7"/>
        <v>8.9534039999999759E-2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1274510.8338387404</v>
      </c>
      <c r="D46" s="11">
        <v>2.7199999999999998E-2</v>
      </c>
      <c r="E46" s="10">
        <f t="shared" si="2"/>
        <v>33748.729244950926</v>
      </c>
      <c r="F46" s="3"/>
      <c r="G46" s="29">
        <v>3.86</v>
      </c>
      <c r="H46" s="10"/>
      <c r="I46" s="10">
        <f t="shared" si="8"/>
        <v>2162.1230323497862</v>
      </c>
      <c r="J46" s="10">
        <f t="shared" si="6"/>
        <v>2755649228.8220716</v>
      </c>
      <c r="K46" s="11">
        <f t="shared" si="7"/>
        <v>6.6849919999999896E-2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1240762.1045937894</v>
      </c>
      <c r="D47" s="11">
        <v>2.75E-2</v>
      </c>
      <c r="E47" s="10">
        <f t="shared" si="2"/>
        <v>33207.744891804643</v>
      </c>
      <c r="F47" s="3"/>
      <c r="G47" s="29">
        <v>2.98</v>
      </c>
      <c r="H47" s="10"/>
      <c r="I47" s="10">
        <f t="shared" si="8"/>
        <v>2081.7668326110015</v>
      </c>
      <c r="J47" s="10">
        <f t="shared" si="6"/>
        <v>2582977396.503973</v>
      </c>
      <c r="K47" s="11">
        <f t="shared" si="7"/>
        <v>5.811949999999988E-2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1207554.3597019848</v>
      </c>
      <c r="D48" s="11">
        <v>2.7799999999999998E-2</v>
      </c>
      <c r="E48" s="10">
        <f t="shared" si="2"/>
        <v>32662.007394157583</v>
      </c>
      <c r="F48" s="3"/>
      <c r="G48" s="29">
        <v>3.49</v>
      </c>
      <c r="H48" s="10"/>
      <c r="I48" s="10">
        <f t="shared" si="8"/>
        <v>2021.525376394447</v>
      </c>
      <c r="J48" s="10">
        <f t="shared" si="6"/>
        <v>2441101781.5133104</v>
      </c>
      <c r="K48" s="11">
        <f t="shared" si="7"/>
        <v>6.3670220000000111E-2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1174892.3523078272</v>
      </c>
      <c r="D49" s="11">
        <v>2.81E-2</v>
      </c>
      <c r="E49" s="10">
        <f t="shared" si="2"/>
        <v>32112.12440409488</v>
      </c>
      <c r="F49" s="3"/>
      <c r="G49" s="29">
        <v>3.24</v>
      </c>
      <c r="H49" s="10"/>
      <c r="I49" s="10">
        <f t="shared" si="8"/>
        <v>1953.353344665617</v>
      </c>
      <c r="J49" s="10">
        <f t="shared" si="6"/>
        <v>2294979906.0025487</v>
      </c>
      <c r="K49" s="11">
        <f t="shared" si="7"/>
        <v>6.1410439999999955E-2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1142780.2279037323</v>
      </c>
      <c r="D50" s="11">
        <v>2.8299999999999999E-2</v>
      </c>
      <c r="E50" s="10">
        <f t="shared" si="2"/>
        <v>31450.627686157357</v>
      </c>
      <c r="F50" s="3"/>
      <c r="G50" s="29">
        <v>5.44</v>
      </c>
      <c r="H50" s="10"/>
      <c r="I50" s="10">
        <f t="shared" si="8"/>
        <v>1892.0508956466651</v>
      </c>
      <c r="J50" s="10">
        <f t="shared" si="6"/>
        <v>2162198353.7325568</v>
      </c>
      <c r="K50" s="11">
        <f t="shared" si="7"/>
        <v>8.4239519999999901E-2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1111329.600217575</v>
      </c>
      <c r="D51" s="11">
        <v>2.8400000000000002E-2</v>
      </c>
      <c r="E51" s="10">
        <f t="shared" si="2"/>
        <v>30690.160099357367</v>
      </c>
      <c r="F51" s="3"/>
      <c r="G51" s="29">
        <v>7.16</v>
      </c>
      <c r="H51" s="10"/>
      <c r="I51" s="10">
        <f t="shared" si="8"/>
        <v>1794.4337022445611</v>
      </c>
      <c r="J51" s="10">
        <f t="shared" si="6"/>
        <v>1994207288.9323912</v>
      </c>
      <c r="K51" s="11">
        <f t="shared" si="7"/>
        <v>0.10203344000000025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1080639.4401182176</v>
      </c>
      <c r="D52" s="11">
        <v>2.8400000000000002E-2</v>
      </c>
      <c r="E52" s="10">
        <f t="shared" si="2"/>
        <v>29842.629423723556</v>
      </c>
      <c r="F52" s="3"/>
      <c r="G52" s="29">
        <v>1.19</v>
      </c>
      <c r="H52" s="10"/>
      <c r="I52" s="10">
        <f t="shared" si="8"/>
        <v>1674.536862863532</v>
      </c>
      <c r="J52" s="10">
        <f t="shared" si="6"/>
        <v>1809570577.9421637</v>
      </c>
      <c r="K52" s="11">
        <f t="shared" si="7"/>
        <v>4.0637959999999973E-2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1050796.8106944941</v>
      </c>
      <c r="D53" s="11">
        <v>2.8299999999999999E-2</v>
      </c>
      <c r="E53" s="10">
        <f t="shared" si="2"/>
        <v>28919.138133476838</v>
      </c>
      <c r="F53" s="3"/>
      <c r="G53" s="29">
        <v>3</v>
      </c>
      <c r="H53" s="10"/>
      <c r="I53" s="10">
        <f t="shared" si="8"/>
        <v>1654.8442166849807</v>
      </c>
      <c r="J53" s="10">
        <f t="shared" si="6"/>
        <v>1738905025.0888059</v>
      </c>
      <c r="K53" s="11">
        <f t="shared" si="7"/>
        <v>5.9149000000000118E-2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1021877.6725610172</v>
      </c>
      <c r="D54" s="11">
        <v>2.8199999999999999E-2</v>
      </c>
      <c r="E54" s="10">
        <f t="shared" si="2"/>
        <v>28026.600239467691</v>
      </c>
      <c r="F54" s="3"/>
      <c r="G54" s="29">
        <v>2.34</v>
      </c>
      <c r="H54" s="10"/>
      <c r="I54" s="10">
        <f t="shared" si="8"/>
        <v>1606.6448705679425</v>
      </c>
      <c r="J54" s="10">
        <f t="shared" si="6"/>
        <v>1641794520.9680657</v>
      </c>
      <c r="K54" s="11">
        <f t="shared" si="7"/>
        <v>5.2259880000000036E-2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993851.07232154952</v>
      </c>
      <c r="D55" s="11">
        <v>2.81E-2</v>
      </c>
      <c r="E55" s="10">
        <f t="shared" si="2"/>
        <v>27163.90928142739</v>
      </c>
      <c r="F55" s="3"/>
      <c r="G55" s="29">
        <v>1.25</v>
      </c>
      <c r="H55" s="10"/>
      <c r="I55" s="10">
        <f t="shared" si="8"/>
        <v>1569.9089999686753</v>
      </c>
      <c r="J55" s="10">
        <f t="shared" si="6"/>
        <v>1560255743.0661194</v>
      </c>
      <c r="K55" s="11">
        <f t="shared" si="7"/>
        <v>4.0951249999999995E-2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966687.16304012213</v>
      </c>
      <c r="D56" s="11">
        <v>2.81E-2</v>
      </c>
      <c r="E56" s="10">
        <f t="shared" si="2"/>
        <v>26421.466084454325</v>
      </c>
      <c r="F56" s="3"/>
      <c r="G56" s="29">
        <v>5.16</v>
      </c>
      <c r="H56" s="10"/>
      <c r="I56" s="10">
        <f t="shared" si="8"/>
        <v>1550.5274073764695</v>
      </c>
      <c r="J56" s="10">
        <f t="shared" si="6"/>
        <v>1498874940.652715</v>
      </c>
      <c r="K56" s="11">
        <f t="shared" si="7"/>
        <v>8.1149960000000076E-2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940265.69695566781</v>
      </c>
      <c r="D57" s="11">
        <v>2.81E-2</v>
      </c>
      <c r="E57" s="10">
        <f t="shared" si="2"/>
        <v>25699.315323853982</v>
      </c>
      <c r="F57" s="3"/>
      <c r="G57" s="29">
        <v>3.66</v>
      </c>
      <c r="H57" s="10"/>
      <c r="I57" s="10">
        <f t="shared" si="8"/>
        <v>1474.445994081846</v>
      </c>
      <c r="J57" s="10">
        <f t="shared" si="6"/>
        <v>1386370990.2488594</v>
      </c>
      <c r="K57" s="11">
        <f t="shared" si="7"/>
        <v>6.5728459999999878E-2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914566.38163181383</v>
      </c>
      <c r="D58" s="11">
        <v>2.8199999999999999E-2</v>
      </c>
      <c r="E58" s="10">
        <f t="shared" si="2"/>
        <v>25083.419531236286</v>
      </c>
      <c r="F58" s="3"/>
      <c r="G58" s="29">
        <v>2.5</v>
      </c>
      <c r="H58" s="10"/>
      <c r="I58" s="10">
        <f t="shared" si="8"/>
        <v>1422.3866429498805</v>
      </c>
      <c r="J58" s="10">
        <f t="shared" si="6"/>
        <v>1300867005.324095</v>
      </c>
      <c r="K58" s="11">
        <f t="shared" si="7"/>
        <v>5.390499999999987E-2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889482.96210057754</v>
      </c>
      <c r="D59" s="11">
        <v>2.8299999999999999E-2</v>
      </c>
      <c r="E59" s="10">
        <f t="shared" si="2"/>
        <v>24479.595280994195</v>
      </c>
      <c r="F59" s="3"/>
      <c r="G59" s="30">
        <v>2.17</v>
      </c>
      <c r="H59" s="10"/>
      <c r="I59" s="10">
        <f t="shared" si="8"/>
        <v>1387.6942858047616</v>
      </c>
      <c r="J59" s="10">
        <f t="shared" si="6"/>
        <v>1234330423.8276649</v>
      </c>
      <c r="K59" s="11">
        <f t="shared" si="7"/>
        <v>5.0614109999999934E-2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865003.36681958335</v>
      </c>
      <c r="D60" s="11">
        <v>2.8299999999999999E-2</v>
      </c>
      <c r="E60" s="10">
        <f t="shared" si="2"/>
        <v>23805.888632689137</v>
      </c>
      <c r="F60" s="3"/>
      <c r="G60" s="30">
        <v>5.29</v>
      </c>
      <c r="H60" s="10"/>
      <c r="I60" s="10">
        <f t="shared" si="8"/>
        <v>1358.2208924388387</v>
      </c>
      <c r="J60" s="10">
        <f t="shared" si="6"/>
        <v>1174865644.8442948</v>
      </c>
      <c r="K60" s="11">
        <f t="shared" si="7"/>
        <v>8.2697070000000039E-2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841197.47818689421</v>
      </c>
      <c r="D61" s="11">
        <v>2.8199999999999999E-2</v>
      </c>
      <c r="E61" s="10">
        <f t="shared" si="2"/>
        <v>23071.162113276077</v>
      </c>
      <c r="F61" s="3"/>
      <c r="G61" s="30">
        <v>7.93</v>
      </c>
      <c r="H61" s="10"/>
      <c r="I61" s="10">
        <f t="shared" si="8"/>
        <v>1289.9809026867117</v>
      </c>
      <c r="J61" s="10">
        <f t="shared" si="6"/>
        <v>1085128682.2493153</v>
      </c>
      <c r="K61" s="11">
        <f t="shared" si="7"/>
        <v>0.10973626000000003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818126.31607361813</v>
      </c>
      <c r="D62" s="11">
        <v>2.8000000000000001E-2</v>
      </c>
      <c r="E62" s="10">
        <f t="shared" si="2"/>
        <v>22283.596157647204</v>
      </c>
      <c r="F62" s="3"/>
      <c r="G62" s="30">
        <v>5.09</v>
      </c>
      <c r="H62" s="10"/>
      <c r="I62" s="10">
        <f t="shared" si="8"/>
        <v>1195.2014293400462</v>
      </c>
      <c r="J62" s="10">
        <f t="shared" si="6"/>
        <v>977825742.35189474</v>
      </c>
      <c r="K62" s="11">
        <f t="shared" si="7"/>
        <v>8.0325199999999874E-2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795842.71991597093</v>
      </c>
      <c r="D63" s="11">
        <v>2.76E-2</v>
      </c>
      <c r="E63" s="10">
        <f t="shared" si="2"/>
        <v>21375.30076847109</v>
      </c>
      <c r="F63" s="3"/>
      <c r="G63" s="30">
        <v>1.19</v>
      </c>
      <c r="H63" s="10"/>
      <c r="I63" s="10">
        <f t="shared" si="8"/>
        <v>1137.3122365020899</v>
      </c>
      <c r="J63" s="10">
        <f t="shared" si="6"/>
        <v>905121663.69153929</v>
      </c>
      <c r="K63" s="11">
        <f t="shared" si="7"/>
        <v>3.9828440000000187E-2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774467.41914749984</v>
      </c>
      <c r="D64" s="11">
        <v>2.7E-2</v>
      </c>
      <c r="E64" s="10">
        <f t="shared" si="2"/>
        <v>20360.876647499972</v>
      </c>
      <c r="F64" s="3"/>
      <c r="G64" s="30">
        <v>7.12</v>
      </c>
      <c r="H64" s="10"/>
      <c r="I64" s="10">
        <f t="shared" si="8"/>
        <v>1123.937381660332</v>
      </c>
      <c r="J64" s="10">
        <f t="shared" si="6"/>
        <v>870452883.2578758</v>
      </c>
      <c r="K64" s="11">
        <f t="shared" si="7"/>
        <v>0.10012239999999983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754106.54249999986</v>
      </c>
      <c r="D65" s="11">
        <v>2.6100000000000002E-2</v>
      </c>
      <c r="E65" s="10">
        <f t="shared" si="2"/>
        <v>19181.542499999981</v>
      </c>
      <c r="F65" s="3"/>
      <c r="G65" s="30">
        <v>7.5</v>
      </c>
      <c r="H65" s="10"/>
      <c r="I65" s="10">
        <f t="shared" si="8"/>
        <v>1049.2320590555751</v>
      </c>
      <c r="J65" s="10">
        <f t="shared" si="6"/>
        <v>791232760.33455539</v>
      </c>
      <c r="K65" s="11">
        <f t="shared" si="7"/>
        <v>0.1030574999999998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734924.99999999988</v>
      </c>
      <c r="D66" s="11">
        <v>2.5000000000000001E-2</v>
      </c>
      <c r="E66" s="10">
        <f t="shared" si="2"/>
        <v>17924.999999999884</v>
      </c>
      <c r="F66" s="23">
        <f>SUM(F2)</f>
        <v>2166683</v>
      </c>
      <c r="G66" s="30">
        <v>1.97</v>
      </c>
      <c r="H66" s="10"/>
      <c r="I66" s="10">
        <f t="shared" si="8"/>
        <v>976.02982237727917</v>
      </c>
      <c r="J66" s="10">
        <f t="shared" ref="J66:J67" si="9">IF(I66="","",I66*C66)</f>
        <v>717308717.21062183</v>
      </c>
      <c r="K66" s="11">
        <f t="shared" ref="K66" si="10">IFERROR(J66/J67-1,"")</f>
        <v>4.5192499999999969E-2</v>
      </c>
    </row>
    <row r="67" spans="1:11" ht="22.5" customHeight="1">
      <c r="A67" s="3">
        <f t="shared" si="0"/>
        <v>1950</v>
      </c>
      <c r="B67" s="3">
        <v>1700</v>
      </c>
      <c r="C67" s="10">
        <v>717000</v>
      </c>
      <c r="D67" s="11">
        <v>2.3900000000000001E-2</v>
      </c>
      <c r="E67" s="3" t="s">
        <v>72</v>
      </c>
      <c r="F67" s="10">
        <f>SUM(C2)</f>
        <v>2166325.6440770118</v>
      </c>
      <c r="G67" s="30">
        <v>2.95</v>
      </c>
      <c r="H67" s="10"/>
      <c r="I67" s="10">
        <f t="shared" ref="I67" si="11">IF(H67&lt;&gt;"",H67,I66/(1+IF(G66="",0,G66)/100))</f>
        <v>957.17350434174671</v>
      </c>
      <c r="J67" s="10">
        <f t="shared" si="9"/>
        <v>686293402.61303234</v>
      </c>
      <c r="K67" s="11"/>
    </row>
  </sheetData>
  <dataValidations count="1">
    <dataValidation type="custom" allowBlank="1" showDropDown="1" sqref="D2:D67" xr:uid="{00000000-0002-0000-8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outlinePr summaryBelow="0" summaryRight="0"/>
  </sheetPr>
  <dimension ref="A1:M67"/>
  <sheetViews>
    <sheetView topLeftCell="A38" workbookViewId="0">
      <selection activeCell="H63" sqref="H6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345185.74208120658</v>
      </c>
      <c r="D2" s="11">
        <v>-1.6000000000000001E-3</v>
      </c>
      <c r="E2" s="10">
        <f t="shared" ref="E2:E66" si="2">SUM(C2-C3)</f>
        <v>-553.18227897631004</v>
      </c>
      <c r="F2" s="14">
        <v>345037</v>
      </c>
      <c r="G2" s="29">
        <v>-1.1599999999999999</v>
      </c>
      <c r="H2" s="10"/>
      <c r="I2" s="10">
        <f>IF(H2&lt;&gt;"",H2,197144)</f>
        <v>24643</v>
      </c>
      <c r="J2" s="10">
        <f t="shared" ref="J2:J33" si="3">IF(I2="","",I2*C2)</f>
        <v>8506412242.1071739</v>
      </c>
      <c r="K2" s="11">
        <f t="shared" ref="K2:K33" si="4">IFERROR(J2/J3-1,"")</f>
        <v>-1.31814400000001E-2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345738.92436018289</v>
      </c>
      <c r="D3" s="11">
        <v>-1.2999999999999999E-3</v>
      </c>
      <c r="E3" s="10">
        <f t="shared" si="2"/>
        <v>-450.04566102754325</v>
      </c>
      <c r="F3" s="3"/>
      <c r="G3" s="29">
        <v>1.8</v>
      </c>
      <c r="H3" s="10"/>
      <c r="I3" s="10">
        <f t="shared" ref="I3:I34" si="5">IF(H3&lt;&gt;"",H3,I2/(1+IF(G2="",0,G2)/100))</f>
        <v>24932.213678672604</v>
      </c>
      <c r="J3" s="10">
        <f t="shared" si="3"/>
        <v>8620036739.1825047</v>
      </c>
      <c r="K3" s="11">
        <f t="shared" si="4"/>
        <v>1.6676600000000263E-2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346188.97002121044</v>
      </c>
      <c r="D4" s="11">
        <v>-1.5E-3</v>
      </c>
      <c r="E4" s="10">
        <f t="shared" si="2"/>
        <v>-520.0635503573576</v>
      </c>
      <c r="F4" s="3"/>
      <c r="G4" s="29">
        <v>3.33</v>
      </c>
      <c r="H4" s="10"/>
      <c r="I4" s="10">
        <f t="shared" si="5"/>
        <v>24491.369036024167</v>
      </c>
      <c r="J4" s="10">
        <f t="shared" si="3"/>
        <v>8478641820.990572</v>
      </c>
      <c r="K4" s="11">
        <f t="shared" si="4"/>
        <v>3.1750050000000085E-2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346709.03357156779</v>
      </c>
      <c r="D5" s="11">
        <v>-1.6000000000000001E-3</v>
      </c>
      <c r="E5" s="10">
        <f t="shared" si="2"/>
        <v>-555.62345123651903</v>
      </c>
      <c r="F5" s="3"/>
      <c r="G5" s="29">
        <v>8.64</v>
      </c>
      <c r="H5" s="10"/>
      <c r="I5" s="10">
        <f t="shared" si="5"/>
        <v>23702.089457102647</v>
      </c>
      <c r="J5" s="10">
        <f t="shared" si="3"/>
        <v>8217728529.2989044</v>
      </c>
      <c r="K5" s="11">
        <f t="shared" si="4"/>
        <v>8.4661759999999919E-2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347264.65702280431</v>
      </c>
      <c r="D6" s="11">
        <v>-1.5E-3</v>
      </c>
      <c r="E6" s="10">
        <f t="shared" si="2"/>
        <v>-521.67950479139108</v>
      </c>
      <c r="F6" s="3"/>
      <c r="G6" s="29">
        <v>4.83</v>
      </c>
      <c r="H6" s="10"/>
      <c r="I6" s="10">
        <f t="shared" si="5"/>
        <v>21817.092651972245</v>
      </c>
      <c r="J6" s="10">
        <f t="shared" si="3"/>
        <v>7576305197.0218859</v>
      </c>
      <c r="K6" s="11">
        <f t="shared" si="4"/>
        <v>4.6727549999999951E-2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347786.3365275957</v>
      </c>
      <c r="D7" s="11">
        <v>-1.1000000000000001E-3</v>
      </c>
      <c r="E7" s="10">
        <f t="shared" si="2"/>
        <v>-382.98625506093958</v>
      </c>
      <c r="F7" s="3"/>
      <c r="G7" s="29">
        <v>3.04</v>
      </c>
      <c r="H7" s="10"/>
      <c r="I7" s="10">
        <f t="shared" si="5"/>
        <v>20811.878901051459</v>
      </c>
      <c r="J7" s="10">
        <f t="shared" si="3"/>
        <v>7238087119.2526512</v>
      </c>
      <c r="K7" s="11">
        <f t="shared" si="4"/>
        <v>2.9266559999999942E-2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348169.32278265664</v>
      </c>
      <c r="D8" s="11">
        <v>-5.0000000000000001E-4</v>
      </c>
      <c r="E8" s="10">
        <f t="shared" si="2"/>
        <v>-174.17174726491794</v>
      </c>
      <c r="F8" s="3"/>
      <c r="G8" s="29">
        <v>-1.94</v>
      </c>
      <c r="H8" s="10"/>
      <c r="I8" s="10">
        <f t="shared" si="5"/>
        <v>20197.863840306152</v>
      </c>
      <c r="J8" s="10">
        <f t="shared" si="3"/>
        <v>7032276574.9357014</v>
      </c>
      <c r="K8" s="11">
        <f t="shared" si="4"/>
        <v>-1.9890299999999805E-2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348343.49452992156</v>
      </c>
      <c r="D9" s="11">
        <v>-1E-4</v>
      </c>
      <c r="E9" s="10">
        <f t="shared" si="2"/>
        <v>-34.837833236320876</v>
      </c>
      <c r="F9" s="3"/>
      <c r="G9" s="29">
        <v>-0.99</v>
      </c>
      <c r="H9" s="10"/>
      <c r="I9" s="10">
        <f t="shared" si="5"/>
        <v>20597.454456767438</v>
      </c>
      <c r="J9" s="10">
        <f t="shared" si="3"/>
        <v>7174989263.8912764</v>
      </c>
      <c r="K9" s="11">
        <f t="shared" si="4"/>
        <v>-9.9990100000000304E-3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348378.33236315788</v>
      </c>
      <c r="D10" s="11">
        <v>5.0000000000000001E-4</v>
      </c>
      <c r="E10" s="10">
        <f t="shared" si="2"/>
        <v>174.10211512399837</v>
      </c>
      <c r="F10" s="3"/>
      <c r="G10" s="29">
        <v>-0.73</v>
      </c>
      <c r="H10" s="10"/>
      <c r="I10" s="10">
        <f t="shared" si="5"/>
        <v>20803.408197926914</v>
      </c>
      <c r="J10" s="10">
        <f t="shared" si="3"/>
        <v>7247456655.4638262</v>
      </c>
      <c r="K10" s="11">
        <f t="shared" si="4"/>
        <v>-6.8036499999999389E-3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348204.23024803388</v>
      </c>
      <c r="D11" s="11">
        <v>8.9999999999999998E-4</v>
      </c>
      <c r="E11" s="10">
        <f t="shared" si="2"/>
        <v>313.10201540932758</v>
      </c>
      <c r="F11" s="3"/>
      <c r="G11" s="29">
        <v>3.22</v>
      </c>
      <c r="H11" s="10"/>
      <c r="I11" s="10">
        <f t="shared" si="5"/>
        <v>20956.389843786554</v>
      </c>
      <c r="J11" s="10">
        <f t="shared" si="3"/>
        <v>7297103594.3334122</v>
      </c>
      <c r="K11" s="11">
        <f t="shared" si="4"/>
        <v>3.3128980000000086E-2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347891.12823262456</v>
      </c>
      <c r="D12" s="11">
        <v>5.9999999999999995E-4</v>
      </c>
      <c r="E12" s="10">
        <f t="shared" si="2"/>
        <v>208.60951123281848</v>
      </c>
      <c r="F12" s="3"/>
      <c r="G12" s="29">
        <v>10.41</v>
      </c>
      <c r="H12" s="10"/>
      <c r="I12" s="10">
        <f t="shared" si="5"/>
        <v>20302.644684931751</v>
      </c>
      <c r="J12" s="10">
        <f t="shared" si="3"/>
        <v>7063109965.5470047</v>
      </c>
      <c r="K12" s="11">
        <f t="shared" si="4"/>
        <v>0.10476245999999989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347682.51872139174</v>
      </c>
      <c r="D13" s="11">
        <v>-2.9999999999999997E-4</v>
      </c>
      <c r="E13" s="10">
        <f t="shared" si="2"/>
        <v>-104.33605643332703</v>
      </c>
      <c r="F13" s="3"/>
      <c r="G13" s="29">
        <v>7.76</v>
      </c>
      <c r="H13" s="10"/>
      <c r="I13" s="10">
        <f t="shared" si="5"/>
        <v>18388.411090419118</v>
      </c>
      <c r="J13" s="10">
        <f t="shared" si="3"/>
        <v>6393329083.201293</v>
      </c>
      <c r="K13" s="11">
        <f t="shared" si="4"/>
        <v>7.7276719999999965E-2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347786.85477782506</v>
      </c>
      <c r="D14" s="11">
        <v>-8.0000000000000004E-4</v>
      </c>
      <c r="E14" s="10">
        <f t="shared" si="2"/>
        <v>-278.45224561874056</v>
      </c>
      <c r="F14" s="3"/>
      <c r="G14" s="29">
        <v>7.23</v>
      </c>
      <c r="H14" s="10"/>
      <c r="I14" s="10">
        <f t="shared" si="5"/>
        <v>17064.227069802451</v>
      </c>
      <c r="J14" s="10">
        <f t="shared" si="3"/>
        <v>5934713861.8212166</v>
      </c>
      <c r="K14" s="11">
        <f t="shared" si="4"/>
        <v>7.1442159999999921E-2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348065.30702344381</v>
      </c>
      <c r="D15" s="11">
        <v>-8.9999999999999998E-4</v>
      </c>
      <c r="E15" s="10">
        <f t="shared" si="2"/>
        <v>-313.54096318798838</v>
      </c>
      <c r="F15" s="3"/>
      <c r="G15" s="29">
        <v>6.91</v>
      </c>
      <c r="H15" s="10"/>
      <c r="I15" s="10">
        <f t="shared" si="5"/>
        <v>15913.66881451315</v>
      </c>
      <c r="J15" s="10">
        <f t="shared" si="3"/>
        <v>5538996021.792923</v>
      </c>
      <c r="K15" s="11">
        <f t="shared" si="4"/>
        <v>6.8137809999999854E-2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348378.84798663179</v>
      </c>
      <c r="D16" s="11">
        <v>-6.9999999999999999E-4</v>
      </c>
      <c r="E16" s="10">
        <f t="shared" si="2"/>
        <v>-244.03601880383212</v>
      </c>
      <c r="F16" s="3"/>
      <c r="G16" s="29">
        <v>5.88</v>
      </c>
      <c r="H16" s="10"/>
      <c r="I16" s="10">
        <f t="shared" si="5"/>
        <v>14885.107861297494</v>
      </c>
      <c r="J16" s="10">
        <f t="shared" si="3"/>
        <v>5185656728.8755779</v>
      </c>
      <c r="K16" s="11">
        <f t="shared" si="4"/>
        <v>5.8058839999999945E-2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348622.88400543563</v>
      </c>
      <c r="D17" s="11">
        <v>-1E-4</v>
      </c>
      <c r="E17" s="10">
        <f t="shared" si="2"/>
        <v>-34.86577497801045</v>
      </c>
      <c r="F17" s="3"/>
      <c r="G17" s="29">
        <v>6.87</v>
      </c>
      <c r="H17" s="10"/>
      <c r="I17" s="10">
        <f t="shared" si="5"/>
        <v>14058.469834999523</v>
      </c>
      <c r="J17" s="10">
        <f t="shared" si="3"/>
        <v>4901104298.5809546</v>
      </c>
      <c r="K17" s="11">
        <f t="shared" si="4"/>
        <v>6.8593130000000002E-2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348657.74978041364</v>
      </c>
      <c r="D18" s="11">
        <v>5.9999999999999995E-4</v>
      </c>
      <c r="E18" s="10">
        <f t="shared" si="2"/>
        <v>209.06920834322227</v>
      </c>
      <c r="F18" s="3"/>
      <c r="G18" s="29">
        <v>4.33</v>
      </c>
      <c r="H18" s="10"/>
      <c r="I18" s="10">
        <f t="shared" si="5"/>
        <v>13154.739248619373</v>
      </c>
      <c r="J18" s="10">
        <f t="shared" si="3"/>
        <v>4586501785.3717203</v>
      </c>
      <c r="K18" s="11">
        <f t="shared" si="4"/>
        <v>4.3925980000000031E-2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348448.68057207041</v>
      </c>
      <c r="D19" s="11">
        <v>1E-3</v>
      </c>
      <c r="E19" s="10">
        <f t="shared" si="2"/>
        <v>348.1005799920531</v>
      </c>
      <c r="F19" s="3"/>
      <c r="G19" s="29">
        <v>3.61</v>
      </c>
      <c r="H19" s="10"/>
      <c r="I19" s="10">
        <f t="shared" si="5"/>
        <v>12608.779113025375</v>
      </c>
      <c r="J19" s="10">
        <f t="shared" si="3"/>
        <v>4393512445.5583725</v>
      </c>
      <c r="K19" s="11">
        <f t="shared" si="4"/>
        <v>3.7136100000000116E-2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348100.57999207836</v>
      </c>
      <c r="D20" s="11">
        <v>1E-3</v>
      </c>
      <c r="E20" s="10">
        <f t="shared" si="2"/>
        <v>347.75282716489164</v>
      </c>
      <c r="F20" s="3"/>
      <c r="G20" s="29">
        <v>1.8</v>
      </c>
      <c r="H20" s="10"/>
      <c r="I20" s="10">
        <f t="shared" si="5"/>
        <v>12169.46155103308</v>
      </c>
      <c r="J20" s="10">
        <f t="shared" si="3"/>
        <v>4236196624.1059127</v>
      </c>
      <c r="K20" s="11">
        <f t="shared" si="4"/>
        <v>1.9017999999999979E-2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347752.82716491347</v>
      </c>
      <c r="D21" s="11">
        <v>2.9999999999999997E-4</v>
      </c>
      <c r="E21" s="10">
        <f t="shared" si="2"/>
        <v>104.29455978155602</v>
      </c>
      <c r="F21" s="3"/>
      <c r="G21" s="29">
        <v>2.25</v>
      </c>
      <c r="H21" s="10"/>
      <c r="I21" s="10">
        <f t="shared" si="5"/>
        <v>11954.284431270216</v>
      </c>
      <c r="J21" s="10">
        <f t="shared" si="3"/>
        <v>4157136207.7077274</v>
      </c>
      <c r="K21" s="11">
        <f t="shared" si="4"/>
        <v>2.2806749999999987E-2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347648.53260513191</v>
      </c>
      <c r="D22" s="11">
        <v>-1.1000000000000001E-3</v>
      </c>
      <c r="E22" s="10">
        <f t="shared" si="2"/>
        <v>-382.83450381981675</v>
      </c>
      <c r="F22" s="3"/>
      <c r="G22" s="29">
        <v>4.49</v>
      </c>
      <c r="H22" s="10"/>
      <c r="I22" s="10">
        <f t="shared" si="5"/>
        <v>11691.231717623685</v>
      </c>
      <c r="J22" s="10">
        <f t="shared" si="3"/>
        <v>4064439550.9784498</v>
      </c>
      <c r="K22" s="11">
        <f t="shared" si="4"/>
        <v>4.3750610000000023E-2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348031.36710895173</v>
      </c>
      <c r="D23" s="11">
        <v>-3.3999999999999998E-3</v>
      </c>
      <c r="E23" s="10">
        <f t="shared" si="2"/>
        <v>-1187.3436164663872</v>
      </c>
      <c r="F23" s="3"/>
      <c r="G23" s="29">
        <v>5.63</v>
      </c>
      <c r="H23" s="10"/>
      <c r="I23" s="10">
        <f t="shared" si="5"/>
        <v>11188.852251529988</v>
      </c>
      <c r="J23" s="10">
        <f t="shared" si="3"/>
        <v>3894071545.4800544</v>
      </c>
      <c r="K23" s="11">
        <f t="shared" si="4"/>
        <v>5.2708580000000005E-2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349218.71072541812</v>
      </c>
      <c r="D24" s="11">
        <v>-6.1999999999999998E-3</v>
      </c>
      <c r="E24" s="10">
        <f t="shared" si="2"/>
        <v>-2178.6637215713272</v>
      </c>
      <c r="F24" s="3"/>
      <c r="G24" s="29">
        <v>9.23</v>
      </c>
      <c r="H24" s="10"/>
      <c r="I24" s="10">
        <f t="shared" si="5"/>
        <v>10592.494794594328</v>
      </c>
      <c r="J24" s="10">
        <f t="shared" si="3"/>
        <v>3699097375.5339336</v>
      </c>
      <c r="K24" s="11">
        <f t="shared" si="4"/>
        <v>8.5527740000000074E-2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351397.37444698944</v>
      </c>
      <c r="D25" s="11">
        <v>-8.8999999999999999E-3</v>
      </c>
      <c r="E25" s="10">
        <f t="shared" si="2"/>
        <v>-3155.5207674081321</v>
      </c>
      <c r="F25" s="3"/>
      <c r="G25" s="29">
        <v>4</v>
      </c>
      <c r="H25" s="10"/>
      <c r="I25" s="10">
        <f t="shared" si="5"/>
        <v>9697.4226811263634</v>
      </c>
      <c r="J25" s="10">
        <f t="shared" si="3"/>
        <v>3407648869.0504889</v>
      </c>
      <c r="K25" s="11">
        <f t="shared" si="4"/>
        <v>3.0744000000000105E-2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354552.89521439758</v>
      </c>
      <c r="D26" s="11">
        <v>-1.12E-2</v>
      </c>
      <c r="E26" s="10">
        <f t="shared" si="2"/>
        <v>-4015.9713050174178</v>
      </c>
      <c r="F26" s="3"/>
      <c r="G26" s="29">
        <v>7.02</v>
      </c>
      <c r="H26" s="10"/>
      <c r="I26" s="10">
        <f t="shared" si="5"/>
        <v>9324.4448856984254</v>
      </c>
      <c r="J26" s="10">
        <f t="shared" si="3"/>
        <v>3306008930.4914594</v>
      </c>
      <c r="K26" s="11">
        <f t="shared" si="4"/>
        <v>5.8213760000000114E-2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358568.86651941499</v>
      </c>
      <c r="D27" s="11">
        <v>-1.32E-2</v>
      </c>
      <c r="E27" s="10">
        <f t="shared" si="2"/>
        <v>-4796.4218058940605</v>
      </c>
      <c r="F27" s="3"/>
      <c r="G27" s="29">
        <v>-7.0000000000000007E-2</v>
      </c>
      <c r="H27" s="10"/>
      <c r="I27" s="10">
        <f t="shared" si="5"/>
        <v>8712.8059107628724</v>
      </c>
      <c r="J27" s="10">
        <f t="shared" si="3"/>
        <v>3124140939.6259022</v>
      </c>
      <c r="K27" s="11">
        <f t="shared" si="4"/>
        <v>-1.3890760000000002E-2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363365.28832530905</v>
      </c>
      <c r="D28" s="11">
        <v>-1.4999999999999999E-2</v>
      </c>
      <c r="E28" s="10">
        <f t="shared" si="2"/>
        <v>-5533.4815481011756</v>
      </c>
      <c r="F28" s="3"/>
      <c r="G28" s="29">
        <v>-8.08</v>
      </c>
      <c r="H28" s="10"/>
      <c r="I28" s="10">
        <f t="shared" si="5"/>
        <v>8718.9091471658885</v>
      </c>
      <c r="J28" s="10">
        <f t="shared" si="3"/>
        <v>3168148936.1421075</v>
      </c>
      <c r="K28" s="11">
        <f t="shared" si="4"/>
        <v>-9.4588000000000005E-2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368898.76987341023</v>
      </c>
      <c r="D29" s="11">
        <v>-1.6299999999999999E-2</v>
      </c>
      <c r="E29" s="10">
        <f t="shared" si="2"/>
        <v>-6112.6867428449332</v>
      </c>
      <c r="F29" s="3"/>
      <c r="G29" s="29">
        <v>-5.0199999999999996</v>
      </c>
      <c r="H29" s="10"/>
      <c r="I29" s="10">
        <f t="shared" si="5"/>
        <v>9485.323267151749</v>
      </c>
      <c r="J29" s="10">
        <f t="shared" si="3"/>
        <v>3499124085.1039166</v>
      </c>
      <c r="K29" s="11">
        <f t="shared" si="4"/>
        <v>-6.5681739999999933E-2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375011.45661625516</v>
      </c>
      <c r="D30" s="11">
        <v>-1.7399999999999999E-2</v>
      </c>
      <c r="E30" s="10">
        <f t="shared" si="2"/>
        <v>-6640.7483667034539</v>
      </c>
      <c r="F30" s="3"/>
      <c r="G30" s="29">
        <v>0.63</v>
      </c>
      <c r="H30" s="10"/>
      <c r="I30" s="10">
        <f t="shared" si="5"/>
        <v>9986.6532608462294</v>
      </c>
      <c r="J30" s="10">
        <f t="shared" si="3"/>
        <v>3745109386.0714188</v>
      </c>
      <c r="K30" s="11">
        <f t="shared" si="4"/>
        <v>-1.1209620000000031E-2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381652.20498295862</v>
      </c>
      <c r="D31" s="11">
        <v>-1.77E-2</v>
      </c>
      <c r="E31" s="10">
        <f t="shared" si="2"/>
        <v>-6876.9663322797278</v>
      </c>
      <c r="F31" s="3"/>
      <c r="G31" s="29">
        <v>2.08</v>
      </c>
      <c r="H31" s="10"/>
      <c r="I31" s="10">
        <f t="shared" si="5"/>
        <v>9924.1312340715795</v>
      </c>
      <c r="J31" s="10">
        <f t="shared" si="3"/>
        <v>3787566568.0236683</v>
      </c>
      <c r="K31" s="11">
        <f t="shared" si="4"/>
        <v>2.7318399999998189E-3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388529.17131523835</v>
      </c>
      <c r="D32" s="11">
        <v>-1.3299999999999999E-2</v>
      </c>
      <c r="E32" s="10">
        <f t="shared" si="2"/>
        <v>-5237.0912926853634</v>
      </c>
      <c r="F32" s="3"/>
      <c r="G32" s="29">
        <v>6.07</v>
      </c>
      <c r="H32" s="10"/>
      <c r="I32" s="10">
        <f t="shared" si="5"/>
        <v>9721.9153938788986</v>
      </c>
      <c r="J32" s="10">
        <f t="shared" si="3"/>
        <v>3777247731.5806274</v>
      </c>
      <c r="K32" s="11">
        <f t="shared" si="4"/>
        <v>4.6592690000000214E-2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393766.26260792371</v>
      </c>
      <c r="D33" s="11">
        <v>-5.4000000000000003E-3</v>
      </c>
      <c r="E33" s="10">
        <f t="shared" si="2"/>
        <v>-2137.8823829506873</v>
      </c>
      <c r="F33" s="3"/>
      <c r="G33" s="29">
        <v>3.96</v>
      </c>
      <c r="H33" s="10"/>
      <c r="I33" s="10">
        <f t="shared" si="5"/>
        <v>9165.5655641358517</v>
      </c>
      <c r="J33" s="10">
        <f t="shared" si="3"/>
        <v>3609090496.8776603</v>
      </c>
      <c r="K33" s="11">
        <f t="shared" si="4"/>
        <v>3.398616000000021E-2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395904.1449908744</v>
      </c>
      <c r="D34" s="11">
        <v>2.3999999999999998E-3</v>
      </c>
      <c r="E34" s="10">
        <f t="shared" si="2"/>
        <v>947.89499997813255</v>
      </c>
      <c r="F34" s="3"/>
      <c r="G34" s="29">
        <v>0.11</v>
      </c>
      <c r="H34" s="10"/>
      <c r="I34" s="10">
        <f t="shared" si="5"/>
        <v>8816.4347481106688</v>
      </c>
      <c r="J34" s="10">
        <f t="shared" ref="J34:J65" si="6">IF(I34="","",I34*C34)</f>
        <v>3490463060.8185892</v>
      </c>
      <c r="K34" s="11">
        <f t="shared" ref="K34:K65" si="7">IFERROR(J34/J35-1,"")</f>
        <v>1.6533839999999911E-2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394956.24999089626</v>
      </c>
      <c r="D35" s="11">
        <v>9.9000000000000008E-3</v>
      </c>
      <c r="E35" s="10">
        <f t="shared" si="2"/>
        <v>3871.7366817604634</v>
      </c>
      <c r="F35" s="3"/>
      <c r="G35" s="29">
        <v>-0.52</v>
      </c>
      <c r="H35" s="10"/>
      <c r="I35" s="10">
        <f t="shared" ref="I35:I66" si="8">IF(H35&lt;&gt;"",H35,I34/(1+IF(G34="",0,G34)/100))</f>
        <v>8693.8514427676455</v>
      </c>
      <c r="J35" s="10">
        <f t="shared" si="6"/>
        <v>3433690963.8134522</v>
      </c>
      <c r="K35" s="11">
        <f t="shared" si="7"/>
        <v>3.1915820000000039E-2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391084.5133091358</v>
      </c>
      <c r="D36" s="11">
        <v>1.72E-2</v>
      </c>
      <c r="E36" s="10">
        <f t="shared" si="2"/>
        <v>6612.9115502528148</v>
      </c>
      <c r="F36" s="3"/>
      <c r="G36" s="29">
        <v>-4.01</v>
      </c>
      <c r="H36" s="10"/>
      <c r="I36" s="10">
        <f t="shared" si="8"/>
        <v>8508.3689985982037</v>
      </c>
      <c r="J36" s="10">
        <f t="shared" si="6"/>
        <v>3327491348.8713179</v>
      </c>
      <c r="K36" s="11">
        <f t="shared" si="7"/>
        <v>2.5235880000000099E-2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384471.60175888299</v>
      </c>
      <c r="D37" s="11">
        <v>2.4799999999999999E-2</v>
      </c>
      <c r="E37" s="10">
        <f t="shared" si="2"/>
        <v>9304.1527357731247</v>
      </c>
      <c r="F37" s="3"/>
      <c r="G37" s="29">
        <v>-7.67</v>
      </c>
      <c r="H37" s="10"/>
      <c r="I37" s="10">
        <f t="shared" si="8"/>
        <v>8441.6797287411482</v>
      </c>
      <c r="J37" s="10">
        <f t="shared" si="6"/>
        <v>3245586126.8446021</v>
      </c>
      <c r="K37" s="11">
        <f t="shared" si="7"/>
        <v>5.1224000000016368E-4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375167.44902310986</v>
      </c>
      <c r="D38" s="11">
        <v>3.2599999999999997E-2</v>
      </c>
      <c r="E38" s="10">
        <f t="shared" si="2"/>
        <v>11844.333563968015</v>
      </c>
      <c r="F38" s="3"/>
      <c r="G38" s="29">
        <v>0.75</v>
      </c>
      <c r="H38" s="10"/>
      <c r="I38" s="10">
        <f t="shared" si="8"/>
        <v>8646.6042494531885</v>
      </c>
      <c r="J38" s="10">
        <f t="shared" si="6"/>
        <v>3243924458.9797339</v>
      </c>
      <c r="K38" s="11">
        <f t="shared" si="7"/>
        <v>7.8550699999999862E-2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363323.11545914185</v>
      </c>
      <c r="D39" s="11">
        <v>4.0800000000000003E-2</v>
      </c>
      <c r="E39" s="10">
        <f t="shared" si="2"/>
        <v>14242.489537598914</v>
      </c>
      <c r="F39" s="3"/>
      <c r="G39" s="29">
        <v>0.33</v>
      </c>
      <c r="H39" s="10"/>
      <c r="I39" s="10">
        <f t="shared" si="8"/>
        <v>8278.2233120662404</v>
      </c>
      <c r="J39" s="10">
        <f t="shared" si="6"/>
        <v>3007669884.2064023</v>
      </c>
      <c r="K39" s="11">
        <f t="shared" si="7"/>
        <v>4.423463999999977E-2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349080.62592154293</v>
      </c>
      <c r="D40" s="11">
        <v>4.9200000000000001E-2</v>
      </c>
      <c r="E40" s="10">
        <f t="shared" si="2"/>
        <v>16369.39267569565</v>
      </c>
      <c r="F40" s="3"/>
      <c r="G40" s="29">
        <v>3.73</v>
      </c>
      <c r="H40" s="10"/>
      <c r="I40" s="10">
        <f t="shared" si="8"/>
        <v>8250.9950284722818</v>
      </c>
      <c r="J40" s="10">
        <f t="shared" si="6"/>
        <v>2880262509.0146432</v>
      </c>
      <c r="K40" s="11">
        <f t="shared" si="7"/>
        <v>8.8335159999999968E-2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332711.23324584728</v>
      </c>
      <c r="D41" s="11">
        <v>5.74E-2</v>
      </c>
      <c r="E41" s="10">
        <f t="shared" si="2"/>
        <v>18060.927547107625</v>
      </c>
      <c r="F41" s="3"/>
      <c r="G41" s="29">
        <v>4.74</v>
      </c>
      <c r="H41" s="10"/>
      <c r="I41" s="10">
        <f t="shared" si="8"/>
        <v>7954.2996514723618</v>
      </c>
      <c r="J41" s="10">
        <f t="shared" si="6"/>
        <v>2646484846.6483827</v>
      </c>
      <c r="K41" s="11">
        <f t="shared" si="7"/>
        <v>0.10752075999999988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314650.30569873966</v>
      </c>
      <c r="D42" s="11">
        <v>6.5500000000000003E-2</v>
      </c>
      <c r="E42" s="10">
        <f t="shared" si="2"/>
        <v>19342.651359237439</v>
      </c>
      <c r="F42" s="3"/>
      <c r="G42" s="29">
        <v>-11.18</v>
      </c>
      <c r="H42" s="10"/>
      <c r="I42" s="10">
        <f t="shared" si="8"/>
        <v>7594.3284814515573</v>
      </c>
      <c r="J42" s="10">
        <f t="shared" si="6"/>
        <v>2389557778.265378</v>
      </c>
      <c r="K42" s="11">
        <f t="shared" si="7"/>
        <v>-5.3622899999999807E-2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295307.65433950222</v>
      </c>
      <c r="D43" s="11">
        <v>7.2999999999999995E-2</v>
      </c>
      <c r="E43" s="10">
        <f t="shared" si="2"/>
        <v>20090.828300823516</v>
      </c>
      <c r="F43" s="3"/>
      <c r="G43" s="29">
        <v>2.0099999999999998</v>
      </c>
      <c r="H43" s="10"/>
      <c r="I43" s="10">
        <f t="shared" si="8"/>
        <v>8550.2459822692599</v>
      </c>
      <c r="J43" s="10">
        <f t="shared" si="6"/>
        <v>2524953085.0496883</v>
      </c>
      <c r="K43" s="11">
        <f t="shared" si="7"/>
        <v>9.4567300000000021E-2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275216.8260386787</v>
      </c>
      <c r="D44" s="11">
        <v>7.8200000000000006E-2</v>
      </c>
      <c r="E44" s="10">
        <f t="shared" si="2"/>
        <v>19961.005190340104</v>
      </c>
      <c r="F44" s="3"/>
      <c r="G44" s="29">
        <v>2.0099999999999998</v>
      </c>
      <c r="H44" s="10"/>
      <c r="I44" s="10">
        <f t="shared" si="8"/>
        <v>8381.7723578759524</v>
      </c>
      <c r="J44" s="10">
        <f t="shared" si="6"/>
        <v>2306804784.913352</v>
      </c>
      <c r="K44" s="11">
        <f t="shared" si="7"/>
        <v>9.9871820000000389E-2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255255.8208483386</v>
      </c>
      <c r="D45" s="11">
        <v>8.0199999999999994E-2</v>
      </c>
      <c r="E45" s="10">
        <f t="shared" si="2"/>
        <v>18951.598622511345</v>
      </c>
      <c r="F45" s="3"/>
      <c r="G45" s="29">
        <v>0.79</v>
      </c>
      <c r="H45" s="10"/>
      <c r="I45" s="10">
        <f t="shared" si="8"/>
        <v>8216.6183294539278</v>
      </c>
      <c r="J45" s="10">
        <f t="shared" si="6"/>
        <v>2097339656.2822669</v>
      </c>
      <c r="K45" s="11">
        <f t="shared" si="7"/>
        <v>8.8733579999999979E-2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236304.22222582725</v>
      </c>
      <c r="D46" s="11">
        <v>7.6600000000000001E-2</v>
      </c>
      <c r="E46" s="10">
        <f t="shared" si="2"/>
        <v>16813.025657159917</v>
      </c>
      <c r="F46" s="3"/>
      <c r="G46" s="29">
        <v>-5.69</v>
      </c>
      <c r="H46" s="10"/>
      <c r="I46" s="10">
        <f t="shared" si="8"/>
        <v>8152.2158244408447</v>
      </c>
      <c r="J46" s="10">
        <f t="shared" si="6"/>
        <v>1926403019.8115749</v>
      </c>
      <c r="K46" s="11">
        <f t="shared" si="7"/>
        <v>1.534146000000014E-2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219491.19656866734</v>
      </c>
      <c r="D47" s="11">
        <v>6.59E-2</v>
      </c>
      <c r="E47" s="10">
        <f t="shared" si="2"/>
        <v>13570.194064992218</v>
      </c>
      <c r="F47" s="3"/>
      <c r="G47" s="29">
        <v>23.63</v>
      </c>
      <c r="H47" s="10"/>
      <c r="I47" s="10">
        <f t="shared" si="8"/>
        <v>8644.0630096923378</v>
      </c>
      <c r="J47" s="10">
        <f t="shared" si="6"/>
        <v>1897295733.212327</v>
      </c>
      <c r="K47" s="11">
        <f t="shared" si="7"/>
        <v>0.3177721699999998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205921.00250367512</v>
      </c>
      <c r="D48" s="11">
        <v>5.5599999999999997E-2</v>
      </c>
      <c r="E48" s="10">
        <f t="shared" si="2"/>
        <v>10846.16117772297</v>
      </c>
      <c r="F48" s="3"/>
      <c r="G48" s="29">
        <v>1.18</v>
      </c>
      <c r="H48" s="10"/>
      <c r="I48" s="10">
        <f t="shared" si="8"/>
        <v>6991.8814282070198</v>
      </c>
      <c r="J48" s="10">
        <f t="shared" si="6"/>
        <v>1439775233.0832174</v>
      </c>
      <c r="K48" s="11">
        <f t="shared" si="7"/>
        <v>6.8056080000000296E-2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195074.84132595215</v>
      </c>
      <c r="D49" s="11">
        <v>5.04E-2</v>
      </c>
      <c r="E49" s="10">
        <f t="shared" si="2"/>
        <v>9360.0266592041007</v>
      </c>
      <c r="F49" s="3"/>
      <c r="G49" s="29">
        <v>5.92</v>
      </c>
      <c r="H49" s="10"/>
      <c r="I49" s="10">
        <f t="shared" si="8"/>
        <v>6910.3394230154372</v>
      </c>
      <c r="J49" s="10">
        <f t="shared" si="6"/>
        <v>1348033366.4532082</v>
      </c>
      <c r="K49" s="11">
        <f t="shared" si="7"/>
        <v>0.11258367999999996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185714.81466674805</v>
      </c>
      <c r="D50" s="11">
        <v>5.4199999999999998E-2</v>
      </c>
      <c r="E50" s="10">
        <f t="shared" si="2"/>
        <v>9548.2289460612228</v>
      </c>
      <c r="F50" s="3"/>
      <c r="G50" s="29">
        <v>13.75</v>
      </c>
      <c r="H50" s="10"/>
      <c r="I50" s="10">
        <f t="shared" si="8"/>
        <v>6524.1119930281702</v>
      </c>
      <c r="J50" s="10">
        <f t="shared" si="6"/>
        <v>1211624249.6503348</v>
      </c>
      <c r="K50" s="11">
        <f t="shared" si="7"/>
        <v>0.19915249999999984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176166.58572068682</v>
      </c>
      <c r="D51" s="11">
        <v>6.6900000000000001E-2</v>
      </c>
      <c r="E51" s="10">
        <f t="shared" si="2"/>
        <v>11046.53161937758</v>
      </c>
      <c r="F51" s="3"/>
      <c r="G51" s="29">
        <v>7.27</v>
      </c>
      <c r="H51" s="10"/>
      <c r="I51" s="10">
        <f t="shared" si="8"/>
        <v>5735.4830707939964</v>
      </c>
      <c r="J51" s="10">
        <f t="shared" si="6"/>
        <v>1010400470.0405786</v>
      </c>
      <c r="K51" s="11">
        <f t="shared" si="7"/>
        <v>0.14446362999999995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165120.05410130924</v>
      </c>
      <c r="D52" s="11">
        <v>7.2999999999999995E-2</v>
      </c>
      <c r="E52" s="10">
        <f t="shared" si="2"/>
        <v>11233.703587507509</v>
      </c>
      <c r="F52" s="3"/>
      <c r="G52" s="29">
        <v>-3.94</v>
      </c>
      <c r="H52" s="10"/>
      <c r="I52" s="10">
        <f t="shared" si="8"/>
        <v>5346.7726958087032</v>
      </c>
      <c r="J52" s="10">
        <f t="shared" si="6"/>
        <v>882859396.79933619</v>
      </c>
      <c r="K52" s="11">
        <f t="shared" si="7"/>
        <v>3.0723800000000079E-2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153886.35051380174</v>
      </c>
      <c r="D53" s="11">
        <v>5.6800000000000003E-2</v>
      </c>
      <c r="E53" s="10">
        <f t="shared" si="2"/>
        <v>8270.954493928788</v>
      </c>
      <c r="F53" s="3"/>
      <c r="G53" s="29">
        <v>3.85</v>
      </c>
      <c r="H53" s="10"/>
      <c r="I53" s="10">
        <f t="shared" si="8"/>
        <v>5566.0760939087058</v>
      </c>
      <c r="J53" s="10">
        <f t="shared" si="6"/>
        <v>856543136.77372754</v>
      </c>
      <c r="K53" s="11">
        <f t="shared" si="7"/>
        <v>9.7486799999999985E-2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145615.39601987295</v>
      </c>
      <c r="D54" s="11">
        <v>3.7900000000000003E-2</v>
      </c>
      <c r="E54" s="10">
        <f t="shared" si="2"/>
        <v>5317.2979180587572</v>
      </c>
      <c r="F54" s="3"/>
      <c r="G54" s="29">
        <v>6.18</v>
      </c>
      <c r="H54" s="10"/>
      <c r="I54" s="10">
        <f t="shared" si="8"/>
        <v>5359.7266190743439</v>
      </c>
      <c r="J54" s="10">
        <f t="shared" si="6"/>
        <v>780458714.19476533</v>
      </c>
      <c r="K54" s="11">
        <f t="shared" si="7"/>
        <v>0.10204221999999996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140298.09810181419</v>
      </c>
      <c r="D55" s="11">
        <v>2.6700000000000002E-2</v>
      </c>
      <c r="E55" s="10">
        <f t="shared" si="2"/>
        <v>3648.5431180660671</v>
      </c>
      <c r="F55" s="3"/>
      <c r="G55" s="29">
        <v>7.49</v>
      </c>
      <c r="H55" s="10"/>
      <c r="I55" s="10">
        <f t="shared" si="8"/>
        <v>5047.7741750558898</v>
      </c>
      <c r="J55" s="10">
        <f t="shared" si="6"/>
        <v>708193116.40779543</v>
      </c>
      <c r="K55" s="11">
        <f t="shared" si="7"/>
        <v>0.10359982999999984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136649.55498374812</v>
      </c>
      <c r="D56" s="11">
        <v>2.1700000000000001E-2</v>
      </c>
      <c r="E56" s="10">
        <f t="shared" si="2"/>
        <v>2902.31510536102</v>
      </c>
      <c r="F56" s="3"/>
      <c r="G56" s="29">
        <v>8.4</v>
      </c>
      <c r="H56" s="10"/>
      <c r="I56" s="10">
        <f t="shared" si="8"/>
        <v>4696.0407247705743</v>
      </c>
      <c r="J56" s="10">
        <f t="shared" si="6"/>
        <v>641711875.22545695</v>
      </c>
      <c r="K56" s="11">
        <f t="shared" si="7"/>
        <v>0.10752280000000014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133747.2398783871</v>
      </c>
      <c r="D57" s="11">
        <v>1.8100000000000002E-2</v>
      </c>
      <c r="E57" s="10">
        <f t="shared" si="2"/>
        <v>2377.7870953725651</v>
      </c>
      <c r="F57" s="3"/>
      <c r="G57" s="29">
        <v>7.86</v>
      </c>
      <c r="H57" s="10"/>
      <c r="I57" s="10">
        <f t="shared" si="8"/>
        <v>4332.1408900097549</v>
      </c>
      <c r="J57" s="10">
        <f t="shared" si="6"/>
        <v>579411886.80310404</v>
      </c>
      <c r="K57" s="11">
        <f t="shared" si="7"/>
        <v>9.8122660000000028E-2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131369.45278301454</v>
      </c>
      <c r="D58" s="11">
        <v>1.5900000000000001E-2</v>
      </c>
      <c r="E58" s="10">
        <f t="shared" si="2"/>
        <v>2056.082586130462</v>
      </c>
      <c r="F58" s="3"/>
      <c r="G58" s="29">
        <v>16.95</v>
      </c>
      <c r="H58" s="10"/>
      <c r="I58" s="10">
        <f t="shared" si="8"/>
        <v>4016.448071583307</v>
      </c>
      <c r="J58" s="10">
        <f t="shared" si="6"/>
        <v>527638585.29529303</v>
      </c>
      <c r="K58" s="11">
        <f t="shared" si="7"/>
        <v>0.18809505000000004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129313.37019688408</v>
      </c>
      <c r="D59" s="11">
        <v>1.6E-2</v>
      </c>
      <c r="E59" s="10">
        <f t="shared" si="2"/>
        <v>2036.431026722581</v>
      </c>
      <c r="F59" s="3"/>
      <c r="G59" s="29">
        <v>9.33</v>
      </c>
      <c r="H59" s="10"/>
      <c r="I59" s="10">
        <f t="shared" si="8"/>
        <v>3434.3292617215111</v>
      </c>
      <c r="J59" s="10">
        <f t="shared" si="6"/>
        <v>444104691.19898534</v>
      </c>
      <c r="K59" s="11">
        <f t="shared" si="7"/>
        <v>0.1107927999999998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127276.93917016149</v>
      </c>
      <c r="D60" s="11">
        <v>1.7100000000000001E-2</v>
      </c>
      <c r="E60" s="10">
        <f t="shared" si="2"/>
        <v>2139.8443219051696</v>
      </c>
      <c r="F60" s="3"/>
      <c r="G60" s="29">
        <v>8.73</v>
      </c>
      <c r="H60" s="10"/>
      <c r="I60" s="10">
        <f t="shared" si="8"/>
        <v>3141.2505823849915</v>
      </c>
      <c r="J60" s="10">
        <f t="shared" si="6"/>
        <v>399808759.29244894</v>
      </c>
      <c r="K60" s="11">
        <f t="shared" si="7"/>
        <v>0.10589282999999994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125137.09484825633</v>
      </c>
      <c r="D61" s="11">
        <v>1.78E-2</v>
      </c>
      <c r="E61" s="10">
        <f t="shared" si="2"/>
        <v>2188.4852508341137</v>
      </c>
      <c r="F61" s="3"/>
      <c r="G61" s="29">
        <v>8.83</v>
      </c>
      <c r="H61" s="10"/>
      <c r="I61" s="10">
        <f t="shared" si="8"/>
        <v>2889.03759991262</v>
      </c>
      <c r="J61" s="10">
        <f t="shared" si="6"/>
        <v>361525772.16044432</v>
      </c>
      <c r="K61" s="11">
        <f t="shared" si="7"/>
        <v>0.10767173999999979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122948.60959742221</v>
      </c>
      <c r="D62" s="11">
        <v>1.61E-2</v>
      </c>
      <c r="E62" s="10">
        <f t="shared" si="2"/>
        <v>1948.1080745187501</v>
      </c>
      <c r="F62" s="3"/>
      <c r="G62" s="29">
        <v>9.36</v>
      </c>
      <c r="H62" s="10"/>
      <c r="I62" s="10">
        <f t="shared" si="8"/>
        <v>2654.6334649569235</v>
      </c>
      <c r="J62" s="10">
        <f t="shared" si="6"/>
        <v>326383493.50724101</v>
      </c>
      <c r="K62" s="11">
        <f t="shared" si="7"/>
        <v>0.11120696000000008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121000.50152290346</v>
      </c>
      <c r="D63" s="11">
        <v>1.6299999999999999E-2</v>
      </c>
      <c r="E63" s="10">
        <f t="shared" si="2"/>
        <v>1940.6751695595012</v>
      </c>
      <c r="F63" s="3"/>
      <c r="G63" s="29">
        <v>15.42</v>
      </c>
      <c r="H63" s="10"/>
      <c r="I63" s="10">
        <f t="shared" si="8"/>
        <v>2427.4263578611226</v>
      </c>
      <c r="J63" s="10">
        <f t="shared" si="6"/>
        <v>293719806.71111077</v>
      </c>
      <c r="K63" s="11">
        <f t="shared" si="7"/>
        <v>0.17301345999999995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119059.82635334396</v>
      </c>
      <c r="D64" s="11">
        <v>1.7000000000000001E-2</v>
      </c>
      <c r="E64" s="10">
        <f t="shared" si="2"/>
        <v>1990.1839213439816</v>
      </c>
      <c r="F64" s="3"/>
      <c r="G64" s="29">
        <v>26.96</v>
      </c>
      <c r="H64" s="10"/>
      <c r="I64" s="10">
        <f t="shared" si="8"/>
        <v>2103.124551950375</v>
      </c>
      <c r="J64" s="10">
        <f t="shared" si="6"/>
        <v>250397643.95466596</v>
      </c>
      <c r="K64" s="11">
        <f t="shared" si="7"/>
        <v>0.29118319999999986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117069.64243199998</v>
      </c>
      <c r="D65" s="11">
        <v>1.84E-2</v>
      </c>
      <c r="E65" s="10">
        <f t="shared" si="2"/>
        <v>2115.1624319999974</v>
      </c>
      <c r="F65" s="3"/>
      <c r="G65" s="29">
        <v>1.6</v>
      </c>
      <c r="H65" s="10"/>
      <c r="I65" s="10">
        <f t="shared" si="8"/>
        <v>1656.52532447257</v>
      </c>
      <c r="J65" s="10">
        <f t="shared" si="6"/>
        <v>193928827.41555652</v>
      </c>
      <c r="K65" s="11">
        <f t="shared" si="7"/>
        <v>3.4694400000000014E-2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114954.47999999998</v>
      </c>
      <c r="D66" s="11">
        <v>1.9099999999999999E-2</v>
      </c>
      <c r="E66" s="10">
        <f t="shared" si="2"/>
        <v>2154.4799999999814</v>
      </c>
      <c r="F66" s="23">
        <f>SUM(F2)</f>
        <v>345037</v>
      </c>
      <c r="G66" s="29">
        <v>4.1900000000000004</v>
      </c>
      <c r="H66" s="10"/>
      <c r="I66" s="10">
        <f t="shared" si="8"/>
        <v>1630.4383114887501</v>
      </c>
      <c r="J66" s="10">
        <f t="shared" ref="J66:J67" si="9">IF(I66="","",I66*C66)</f>
        <v>187426188.26926726</v>
      </c>
      <c r="K66" s="11">
        <f t="shared" ref="K66" si="10">IFERROR(J66/J67-1,"")</f>
        <v>6.1800289999999869E-2</v>
      </c>
    </row>
    <row r="67" spans="1:11" ht="22.5" customHeight="1">
      <c r="A67" s="3">
        <f t="shared" si="0"/>
        <v>1950</v>
      </c>
      <c r="B67" s="3">
        <v>1700</v>
      </c>
      <c r="C67" s="10">
        <v>112800</v>
      </c>
      <c r="D67" s="11">
        <v>1.9099999999999999E-2</v>
      </c>
      <c r="E67" s="3" t="s">
        <v>72</v>
      </c>
      <c r="F67" s="10">
        <f>SUM(C2)</f>
        <v>345185.74208120658</v>
      </c>
      <c r="G67" s="29">
        <v>6.85</v>
      </c>
      <c r="H67" s="10"/>
      <c r="I67" s="10">
        <f t="shared" ref="I67" si="11">IF(H67&lt;&gt;"",H67,I66/(1+IF(G66="",0,G66)/100))</f>
        <v>1564.870248093627</v>
      </c>
      <c r="J67" s="10">
        <f t="shared" si="9"/>
        <v>176517363.98496112</v>
      </c>
      <c r="K67" s="11"/>
    </row>
  </sheetData>
  <dataValidations count="1">
    <dataValidation type="custom" allowBlank="1" showDropDown="1" sqref="D2:D67" xr:uid="{00000000-0002-0000-8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outlinePr summaryBelow="0" summaryRight="0"/>
  </sheetPr>
  <dimension ref="A1:M67"/>
  <sheetViews>
    <sheetView topLeftCell="A34" workbookViewId="0">
      <selection activeCell="I61" sqref="I6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54705418.575097799</v>
      </c>
      <c r="D2" s="11">
        <v>0.02</v>
      </c>
      <c r="E2" s="10">
        <f t="shared" ref="E2:E66" si="2">SUM(C2-C3)</f>
        <v>1072655.2661783919</v>
      </c>
      <c r="F2" s="14">
        <v>54705622</v>
      </c>
      <c r="G2" s="29">
        <v>4.5</v>
      </c>
      <c r="H2" s="10"/>
      <c r="I2" s="10">
        <f>IF(H2&lt;&gt;"",H2,51432)</f>
        <v>6429</v>
      </c>
      <c r="J2" s="10">
        <f t="shared" ref="J2:J33" si="3">IF(I2="","",I2*C2)</f>
        <v>351701136019.30377</v>
      </c>
      <c r="K2" s="11">
        <f t="shared" ref="K2:K33" si="4">IFERROR(J2/J3-1,"")</f>
        <v>6.590000000000007E-2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53632763.308919407</v>
      </c>
      <c r="D3" s="11">
        <v>1.8499999999999999E-2</v>
      </c>
      <c r="E3" s="10">
        <f t="shared" si="2"/>
        <v>974183.72235150635</v>
      </c>
      <c r="F3" s="3"/>
      <c r="G3" s="29">
        <v>5.6</v>
      </c>
      <c r="H3" s="10"/>
      <c r="I3" s="10">
        <f t="shared" ref="I3:I34" si="5">IF(H3&lt;&gt;"",H3,I2/(1+IF(G2="",0,G2)/100))</f>
        <v>6152.1531100478469</v>
      </c>
      <c r="J3" s="10">
        <f t="shared" si="3"/>
        <v>329956971591.42859</v>
      </c>
      <c r="K3" s="11">
        <f t="shared" si="4"/>
        <v>7.553600000000027E-2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52658579.586567901</v>
      </c>
      <c r="D4" s="11">
        <v>1.9199999999999998E-2</v>
      </c>
      <c r="E4" s="10">
        <f t="shared" si="2"/>
        <v>991998.35955858231</v>
      </c>
      <c r="F4" s="3"/>
      <c r="G4" s="29">
        <v>4.7300000000000004</v>
      </c>
      <c r="H4" s="10"/>
      <c r="I4" s="10">
        <f t="shared" si="5"/>
        <v>5825.9025663331877</v>
      </c>
      <c r="J4" s="10">
        <f t="shared" si="3"/>
        <v>306783753952.84631</v>
      </c>
      <c r="K4" s="11">
        <f t="shared" si="4"/>
        <v>6.7408159999999828E-2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51666581.227009319</v>
      </c>
      <c r="D5" s="11">
        <v>1.9099999999999999E-2</v>
      </c>
      <c r="E5" s="10">
        <f t="shared" si="2"/>
        <v>968336.47476780415</v>
      </c>
      <c r="F5" s="3"/>
      <c r="G5" s="29">
        <v>1.41</v>
      </c>
      <c r="H5" s="10"/>
      <c r="I5" s="10">
        <f t="shared" si="5"/>
        <v>5562.7829335750866</v>
      </c>
      <c r="J5" s="10">
        <f t="shared" si="3"/>
        <v>287409976285.77838</v>
      </c>
      <c r="K5" s="11">
        <f t="shared" si="4"/>
        <v>3.3469309999999863E-2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50698244.752241515</v>
      </c>
      <c r="D6" s="11">
        <v>1.9400000000000001E-2</v>
      </c>
      <c r="E6" s="10">
        <f t="shared" si="2"/>
        <v>964828.27956983447</v>
      </c>
      <c r="F6" s="3"/>
      <c r="G6" s="29">
        <v>2.71</v>
      </c>
      <c r="H6" s="10"/>
      <c r="I6" s="10">
        <f t="shared" si="5"/>
        <v>5485.4382541909936</v>
      </c>
      <c r="J6" s="10">
        <f t="shared" si="3"/>
        <v>278102091184.28339</v>
      </c>
      <c r="K6" s="11">
        <f t="shared" si="4"/>
        <v>4.7025740000000038E-2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49733416.47267168</v>
      </c>
      <c r="D7" s="11">
        <v>1.9199999999999998E-2</v>
      </c>
      <c r="E7" s="10">
        <f t="shared" si="2"/>
        <v>936893.24595300108</v>
      </c>
      <c r="F7" s="3"/>
      <c r="G7" s="29">
        <v>2.95</v>
      </c>
      <c r="H7" s="10"/>
      <c r="I7" s="10">
        <f t="shared" si="5"/>
        <v>5340.7051447677868</v>
      </c>
      <c r="J7" s="10">
        <f t="shared" si="3"/>
        <v>265611513222.47662</v>
      </c>
      <c r="K7" s="11">
        <f t="shared" si="4"/>
        <v>4.9266400000000043E-2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48796523.226718679</v>
      </c>
      <c r="D8" s="11">
        <v>2.12E-2</v>
      </c>
      <c r="E8" s="10">
        <f t="shared" si="2"/>
        <v>1013010.4704332575</v>
      </c>
      <c r="F8" s="3"/>
      <c r="G8" s="29">
        <v>-1.39</v>
      </c>
      <c r="H8" s="10"/>
      <c r="I8" s="10">
        <f t="shared" si="5"/>
        <v>5187.6689118676895</v>
      </c>
      <c r="J8" s="10">
        <f t="shared" si="3"/>
        <v>253140206550.47812</v>
      </c>
      <c r="K8" s="11">
        <f t="shared" si="4"/>
        <v>7.0053199999999816E-3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47783512.756285422</v>
      </c>
      <c r="D9" s="11">
        <v>2.0799999999999999E-2</v>
      </c>
      <c r="E9" s="10">
        <f t="shared" si="2"/>
        <v>973645.24425032735</v>
      </c>
      <c r="F9" s="3"/>
      <c r="G9" s="29">
        <v>1.03</v>
      </c>
      <c r="H9" s="10"/>
      <c r="I9" s="10">
        <f t="shared" si="5"/>
        <v>5260.7939477412938</v>
      </c>
      <c r="J9" s="10">
        <f t="shared" si="3"/>
        <v>251379214710.08527</v>
      </c>
      <c r="K9" s="11">
        <f t="shared" si="4"/>
        <v>3.1314239999999938E-2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46809867.512035094</v>
      </c>
      <c r="D10" s="11">
        <v>2.0400000000000001E-2</v>
      </c>
      <c r="E10" s="10">
        <f t="shared" si="2"/>
        <v>935830.3579434678</v>
      </c>
      <c r="F10" s="3"/>
      <c r="G10" s="29">
        <v>-0.85</v>
      </c>
      <c r="H10" s="10"/>
      <c r="I10" s="10">
        <f t="shared" si="5"/>
        <v>5207.1601977049331</v>
      </c>
      <c r="J10" s="10">
        <f t="shared" si="3"/>
        <v>243746478968.51038</v>
      </c>
      <c r="K10" s="11">
        <f t="shared" si="4"/>
        <v>1.1726600000000031E-2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45874037.154091626</v>
      </c>
      <c r="D11" s="11">
        <v>2.01E-2</v>
      </c>
      <c r="E11" s="10">
        <f t="shared" si="2"/>
        <v>903899.76158929616</v>
      </c>
      <c r="F11" s="3"/>
      <c r="G11" s="29">
        <v>1.85</v>
      </c>
      <c r="H11" s="10"/>
      <c r="I11" s="10">
        <f t="shared" si="5"/>
        <v>5251.800501971692</v>
      </c>
      <c r="J11" s="10">
        <f t="shared" si="3"/>
        <v>240921291353.32645</v>
      </c>
      <c r="K11" s="11">
        <f t="shared" si="4"/>
        <v>3.8971849999999808E-2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44970137.39250233</v>
      </c>
      <c r="D12" s="11">
        <v>2.0299999999999999E-2</v>
      </c>
      <c r="E12" s="10">
        <f t="shared" si="2"/>
        <v>894730.75474644452</v>
      </c>
      <c r="F12" s="3"/>
      <c r="G12" s="29">
        <v>0.7</v>
      </c>
      <c r="H12" s="10"/>
      <c r="I12" s="10">
        <f t="shared" si="5"/>
        <v>5156.4069729717157</v>
      </c>
      <c r="J12" s="10">
        <f t="shared" si="3"/>
        <v>231884330026.1951</v>
      </c>
      <c r="K12" s="11">
        <f t="shared" si="4"/>
        <v>2.7442099999999803E-2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44075406.637755886</v>
      </c>
      <c r="D13" s="11">
        <v>0.02</v>
      </c>
      <c r="E13" s="10">
        <f t="shared" si="2"/>
        <v>864223.65956383944</v>
      </c>
      <c r="F13" s="3"/>
      <c r="G13" s="29">
        <v>5.3</v>
      </c>
      <c r="H13" s="10"/>
      <c r="I13" s="10">
        <f t="shared" si="5"/>
        <v>5120.5630317494697</v>
      </c>
      <c r="J13" s="10">
        <f t="shared" si="3"/>
        <v>225690897838.61798</v>
      </c>
      <c r="K13" s="11">
        <f t="shared" si="4"/>
        <v>7.4059999999999793E-2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43211182.978192046</v>
      </c>
      <c r="D14" s="11">
        <v>1.9099999999999999E-2</v>
      </c>
      <c r="E14" s="10">
        <f t="shared" si="2"/>
        <v>809865.17013390362</v>
      </c>
      <c r="F14" s="3"/>
      <c r="G14" s="29">
        <v>1</v>
      </c>
      <c r="H14" s="10"/>
      <c r="I14" s="10">
        <f t="shared" si="5"/>
        <v>4862.8328886509689</v>
      </c>
      <c r="J14" s="10">
        <f t="shared" si="3"/>
        <v>210128761743.86722</v>
      </c>
      <c r="K14" s="11">
        <f t="shared" si="4"/>
        <v>2.9290999999999956E-2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42401317.808058143</v>
      </c>
      <c r="D15" s="11">
        <v>1.7899999999999999E-2</v>
      </c>
      <c r="E15" s="10">
        <f t="shared" si="2"/>
        <v>745636.69197783619</v>
      </c>
      <c r="F15" s="3"/>
      <c r="G15" s="29">
        <v>3.2</v>
      </c>
      <c r="H15" s="10"/>
      <c r="I15" s="10">
        <f t="shared" si="5"/>
        <v>4814.6860283672959</v>
      </c>
      <c r="J15" s="10">
        <f t="shared" si="3"/>
        <v>204149032434.81894</v>
      </c>
      <c r="K15" s="11">
        <f t="shared" si="4"/>
        <v>5.0472799999999873E-2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41655681.116080306</v>
      </c>
      <c r="D16" s="11">
        <v>1.7100000000000001E-2</v>
      </c>
      <c r="E16" s="10">
        <f t="shared" si="2"/>
        <v>700336.39473500103</v>
      </c>
      <c r="F16" s="3"/>
      <c r="G16" s="29">
        <v>2</v>
      </c>
      <c r="H16" s="10"/>
      <c r="I16" s="10">
        <f t="shared" si="5"/>
        <v>4665.393438340403</v>
      </c>
      <c r="J16" s="10">
        <f t="shared" si="3"/>
        <v>194340141348.56131</v>
      </c>
      <c r="K16" s="11">
        <f t="shared" si="4"/>
        <v>3.7441999999999975E-2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40955344.721345305</v>
      </c>
      <c r="D17" s="11">
        <v>1.6299999999999999E-2</v>
      </c>
      <c r="E17" s="10">
        <f t="shared" si="2"/>
        <v>656865.21593813598</v>
      </c>
      <c r="F17" s="3"/>
      <c r="G17" s="29">
        <v>-1.7</v>
      </c>
      <c r="H17" s="10"/>
      <c r="I17" s="10">
        <f t="shared" si="5"/>
        <v>4573.9151356278462</v>
      </c>
      <c r="J17" s="10">
        <f t="shared" si="3"/>
        <v>187326271105.81732</v>
      </c>
      <c r="K17" s="11">
        <f t="shared" si="4"/>
        <v>-9.7709999999995301E-4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40298479.505407169</v>
      </c>
      <c r="D18" s="11">
        <v>1.5800000000000002E-2</v>
      </c>
      <c r="E18" s="10">
        <f t="shared" si="2"/>
        <v>626812.34119456261</v>
      </c>
      <c r="F18" s="3"/>
      <c r="G18" s="29">
        <v>8.8000000000000007</v>
      </c>
      <c r="H18" s="10"/>
      <c r="I18" s="10">
        <f t="shared" si="5"/>
        <v>4653.0164146773614</v>
      </c>
      <c r="J18" s="10">
        <f t="shared" si="3"/>
        <v>187509486625.19879</v>
      </c>
      <c r="K18" s="11">
        <f t="shared" si="4"/>
        <v>0.10519040000000013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39671667.164212607</v>
      </c>
      <c r="D19" s="11">
        <v>1.55E-2</v>
      </c>
      <c r="E19" s="10">
        <f t="shared" si="2"/>
        <v>605525.20043849945</v>
      </c>
      <c r="F19" s="3"/>
      <c r="G19" s="29">
        <v>1.3</v>
      </c>
      <c r="H19" s="10"/>
      <c r="I19" s="10">
        <f t="shared" si="5"/>
        <v>4276.6694987843393</v>
      </c>
      <c r="J19" s="10">
        <f t="shared" si="3"/>
        <v>169662608927.11227</v>
      </c>
      <c r="K19" s="11">
        <f t="shared" si="4"/>
        <v>2.8701499999999935E-2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39066141.963774107</v>
      </c>
      <c r="D20" s="11">
        <v>1.52E-2</v>
      </c>
      <c r="E20" s="10">
        <f t="shared" si="2"/>
        <v>584914.65509197116</v>
      </c>
      <c r="F20" s="3"/>
      <c r="G20" s="29">
        <v>-2.2000000000000002</v>
      </c>
      <c r="H20" s="10"/>
      <c r="I20" s="10">
        <f t="shared" si="5"/>
        <v>4221.7862771809869</v>
      </c>
      <c r="J20" s="10">
        <f t="shared" si="3"/>
        <v>164928902045.06583</v>
      </c>
      <c r="K20" s="11">
        <f t="shared" si="4"/>
        <v>-7.1343999999999852E-3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38481227.308682136</v>
      </c>
      <c r="D21" s="11">
        <v>1.49E-2</v>
      </c>
      <c r="E21" s="10">
        <f t="shared" si="2"/>
        <v>564952.49472791702</v>
      </c>
      <c r="F21" s="3"/>
      <c r="G21" s="29">
        <v>4.8</v>
      </c>
      <c r="H21" s="10"/>
      <c r="I21" s="10">
        <f t="shared" si="5"/>
        <v>4316.7548846431364</v>
      </c>
      <c r="J21" s="10">
        <f t="shared" si="3"/>
        <v>166114025951.81647</v>
      </c>
      <c r="K21" s="11">
        <f t="shared" si="4"/>
        <v>6.3615199999999872E-2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37916274.813954219</v>
      </c>
      <c r="D22" s="11">
        <v>1.55E-2</v>
      </c>
      <c r="E22" s="10">
        <f t="shared" si="2"/>
        <v>578731.91493480653</v>
      </c>
      <c r="F22" s="3"/>
      <c r="G22" s="29">
        <v>2.5</v>
      </c>
      <c r="H22" s="10"/>
      <c r="I22" s="10">
        <f t="shared" si="5"/>
        <v>4119.0409204610078</v>
      </c>
      <c r="J22" s="10">
        <f t="shared" si="3"/>
        <v>156178687510.12253</v>
      </c>
      <c r="K22" s="11">
        <f t="shared" si="4"/>
        <v>4.0887500000000188E-2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37337542.899019413</v>
      </c>
      <c r="D23" s="11">
        <v>1.7500000000000002E-2</v>
      </c>
      <c r="E23" s="10">
        <f t="shared" si="2"/>
        <v>642169.04248928279</v>
      </c>
      <c r="F23" s="3"/>
      <c r="G23" s="29">
        <v>5.0999999999999996</v>
      </c>
      <c r="H23" s="10"/>
      <c r="I23" s="10">
        <f t="shared" si="5"/>
        <v>4018.576507766837</v>
      </c>
      <c r="J23" s="10">
        <f t="shared" si="3"/>
        <v>150043772751.7359</v>
      </c>
      <c r="K23" s="11">
        <f t="shared" si="4"/>
        <v>6.939250000000019E-2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36695373.85653013</v>
      </c>
      <c r="D24" s="11">
        <v>1.9199999999999998E-2</v>
      </c>
      <c r="E24" s="10">
        <f t="shared" si="2"/>
        <v>691278.62838047743</v>
      </c>
      <c r="F24" s="3"/>
      <c r="G24" s="29">
        <v>2.13</v>
      </c>
      <c r="H24" s="10"/>
      <c r="I24" s="10">
        <f t="shared" si="5"/>
        <v>3823.5742224232513</v>
      </c>
      <c r="J24" s="10">
        <f t="shared" si="3"/>
        <v>140307485560.0127</v>
      </c>
      <c r="K24" s="11">
        <f t="shared" si="4"/>
        <v>4.0908960000000105E-2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36004095.228149652</v>
      </c>
      <c r="D25" s="11">
        <v>2.06E-2</v>
      </c>
      <c r="E25" s="10">
        <f t="shared" si="2"/>
        <v>726714.05222406238</v>
      </c>
      <c r="F25" s="3"/>
      <c r="G25" s="29">
        <v>6.1</v>
      </c>
      <c r="H25" s="10"/>
      <c r="I25" s="10">
        <f t="shared" si="5"/>
        <v>3743.8306300041622</v>
      </c>
      <c r="J25" s="10">
        <f t="shared" si="3"/>
        <v>134793234520.73337</v>
      </c>
      <c r="K25" s="11">
        <f t="shared" si="4"/>
        <v>8.2856599999999725E-2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35277381.17592559</v>
      </c>
      <c r="D26" s="11">
        <v>2.1499999999999998E-2</v>
      </c>
      <c r="E26" s="10">
        <f t="shared" si="2"/>
        <v>742499.94643407315</v>
      </c>
      <c r="F26" s="3"/>
      <c r="G26" s="29">
        <v>-2.7</v>
      </c>
      <c r="H26" s="10"/>
      <c r="I26" s="10">
        <f t="shared" si="5"/>
        <v>3528.5868331801721</v>
      </c>
      <c r="J26" s="10">
        <f t="shared" si="3"/>
        <v>124479302726.4491</v>
      </c>
      <c r="K26" s="11">
        <f t="shared" si="4"/>
        <v>-6.0804999999998222E-3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34534881.229491517</v>
      </c>
      <c r="D27" s="11">
        <v>2.24E-2</v>
      </c>
      <c r="E27" s="10">
        <f t="shared" si="2"/>
        <v>756632.76559136063</v>
      </c>
      <c r="F27" s="3"/>
      <c r="G27" s="29">
        <v>-5.8</v>
      </c>
      <c r="H27" s="10"/>
      <c r="I27" s="10">
        <f t="shared" si="5"/>
        <v>3626.5023979241237</v>
      </c>
      <c r="J27" s="10">
        <f t="shared" si="3"/>
        <v>125240829590.77579</v>
      </c>
      <c r="K27" s="11">
        <f t="shared" si="4"/>
        <v>-3.6899200000000132E-2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33778248.463900156</v>
      </c>
      <c r="D28" s="11">
        <v>2.3800000000000002E-2</v>
      </c>
      <c r="E28" s="10">
        <f t="shared" si="2"/>
        <v>785233.75018638745</v>
      </c>
      <c r="F28" s="3"/>
      <c r="G28" s="29">
        <v>7.44</v>
      </c>
      <c r="H28" s="10"/>
      <c r="I28" s="10">
        <f t="shared" si="5"/>
        <v>3849.7902313419572</v>
      </c>
      <c r="J28" s="10">
        <f t="shared" si="3"/>
        <v>130039170968.16429</v>
      </c>
      <c r="K28" s="11">
        <f t="shared" si="4"/>
        <v>9.9970719999999957E-2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32993014.713713769</v>
      </c>
      <c r="D29" s="11">
        <v>2.5399999999999999E-2</v>
      </c>
      <c r="E29" s="10">
        <f t="shared" si="2"/>
        <v>817264.06644073874</v>
      </c>
      <c r="F29" s="3"/>
      <c r="G29" s="29">
        <v>0.96</v>
      </c>
      <c r="H29" s="10"/>
      <c r="I29" s="10">
        <f t="shared" si="5"/>
        <v>3583.2001408618366</v>
      </c>
      <c r="J29" s="10">
        <f t="shared" si="3"/>
        <v>118220574969.63582</v>
      </c>
      <c r="K29" s="11">
        <f t="shared" si="4"/>
        <v>3.5243840000000137E-2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32175750.64727303</v>
      </c>
      <c r="D30" s="11">
        <v>2.7E-2</v>
      </c>
      <c r="E30" s="10">
        <f t="shared" si="2"/>
        <v>845905.81059042737</v>
      </c>
      <c r="F30" s="3"/>
      <c r="G30" s="29">
        <v>-2.62</v>
      </c>
      <c r="H30" s="10"/>
      <c r="I30" s="10">
        <f t="shared" si="5"/>
        <v>3549.1285071927855</v>
      </c>
      <c r="J30" s="10">
        <f t="shared" si="3"/>
        <v>114195873862.56343</v>
      </c>
      <c r="K30" s="11">
        <f t="shared" si="4"/>
        <v>9.2599999999887217E-5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31329844.836682603</v>
      </c>
      <c r="D31" s="11">
        <v>2.86E-2</v>
      </c>
      <c r="E31" s="10">
        <f t="shared" si="2"/>
        <v>871119.54338821769</v>
      </c>
      <c r="F31" s="3"/>
      <c r="G31" s="29">
        <v>7.75</v>
      </c>
      <c r="H31" s="10"/>
      <c r="I31" s="10">
        <f t="shared" si="5"/>
        <v>3644.617485307851</v>
      </c>
      <c r="J31" s="10">
        <f t="shared" si="3"/>
        <v>114185300303.75531</v>
      </c>
      <c r="K31" s="11">
        <f t="shared" si="4"/>
        <v>0.10831649999999993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30458725.293294385</v>
      </c>
      <c r="D32" s="11">
        <v>3.0200000000000001E-2</v>
      </c>
      <c r="E32" s="10">
        <f t="shared" si="2"/>
        <v>892888.27786593884</v>
      </c>
      <c r="F32" s="3"/>
      <c r="G32" s="29">
        <v>4.6100000000000003</v>
      </c>
      <c r="H32" s="10"/>
      <c r="I32" s="10">
        <f t="shared" si="5"/>
        <v>3382.4756244156392</v>
      </c>
      <c r="J32" s="10">
        <f t="shared" si="3"/>
        <v>103025895855.34035</v>
      </c>
      <c r="K32" s="11">
        <f t="shared" si="4"/>
        <v>7.7692219999999867E-2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29565837.015428446</v>
      </c>
      <c r="D33" s="11">
        <v>3.1800000000000002E-2</v>
      </c>
      <c r="E33" s="10">
        <f t="shared" si="2"/>
        <v>911216.91906438023</v>
      </c>
      <c r="F33" s="3"/>
      <c r="G33" s="29">
        <v>8.39</v>
      </c>
      <c r="H33" s="10"/>
      <c r="I33" s="10">
        <f t="shared" si="5"/>
        <v>3233.415184414147</v>
      </c>
      <c r="J33" s="10">
        <f t="shared" si="3"/>
        <v>95598626345.600189</v>
      </c>
      <c r="K33" s="11">
        <f t="shared" si="4"/>
        <v>0.11836802000000035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28654620.096364066</v>
      </c>
      <c r="D34" s="11">
        <v>3.3399999999999999E-2</v>
      </c>
      <c r="E34" s="10">
        <f t="shared" si="2"/>
        <v>926131.51850064099</v>
      </c>
      <c r="F34" s="3"/>
      <c r="G34" s="29">
        <v>2.66</v>
      </c>
      <c r="H34" s="10"/>
      <c r="I34" s="10">
        <f t="shared" si="5"/>
        <v>2983.1305327190207</v>
      </c>
      <c r="J34" s="10">
        <f t="shared" ref="J34:J65" si="6">IF(I34="","",I34*C34)</f>
        <v>85480472112.927689</v>
      </c>
      <c r="K34" s="11">
        <f t="shared" ref="K34:K65" si="7">IFERROR(J34/J35-1,"")</f>
        <v>7.4322640000000106E-2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27728488.577863425</v>
      </c>
      <c r="D35" s="11">
        <v>3.5000000000000003E-2</v>
      </c>
      <c r="E35" s="10">
        <f t="shared" si="2"/>
        <v>937678.35770552605</v>
      </c>
      <c r="F35" s="3"/>
      <c r="G35" s="29">
        <v>3.28</v>
      </c>
      <c r="H35" s="10"/>
      <c r="I35" s="10">
        <f t="shared" ref="I35:I57" si="8">IF(H35&lt;&gt;"",H35,I34/(1+IF(G34="",0,G34)/100))</f>
        <v>2869.4983962283768</v>
      </c>
      <c r="J35" s="10">
        <f t="shared" si="6"/>
        <v>79566853504.015961</v>
      </c>
      <c r="K35" s="11">
        <f t="shared" si="7"/>
        <v>9.6892999999999896E-2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26790810.220157899</v>
      </c>
      <c r="D36" s="11">
        <v>3.6600000000000001E-2</v>
      </c>
      <c r="E36" s="10">
        <f t="shared" si="2"/>
        <v>945922.87676806748</v>
      </c>
      <c r="F36" s="3"/>
      <c r="G36" s="29">
        <v>1.53</v>
      </c>
      <c r="H36" s="10"/>
      <c r="I36" s="10">
        <f t="shared" si="8"/>
        <v>2707.5848237671039</v>
      </c>
      <c r="J36" s="10">
        <f t="shared" si="6"/>
        <v>72538391168.524155</v>
      </c>
      <c r="K36" s="11">
        <f t="shared" si="7"/>
        <v>0.10221678000000001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25844887.343389831</v>
      </c>
      <c r="D37" s="11">
        <v>3.8199999999999998E-2</v>
      </c>
      <c r="E37" s="10">
        <f t="shared" si="2"/>
        <v>950948.46514880657</v>
      </c>
      <c r="F37" s="3"/>
      <c r="G37" s="29">
        <v>-6.9</v>
      </c>
      <c r="H37" s="10"/>
      <c r="I37" s="10">
        <f t="shared" si="8"/>
        <v>2546.3978404656295</v>
      </c>
      <c r="J37" s="10">
        <f t="shared" si="6"/>
        <v>65811365318.285347</v>
      </c>
      <c r="K37" s="11">
        <f t="shared" si="7"/>
        <v>2.1588799999999964E-2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24893938.878241025</v>
      </c>
      <c r="D38" s="11">
        <v>3.9100000000000003E-2</v>
      </c>
      <c r="E38" s="10">
        <f t="shared" si="2"/>
        <v>936726.98502475396</v>
      </c>
      <c r="F38" s="3"/>
      <c r="G38" s="29">
        <v>-15.92</v>
      </c>
      <c r="H38" s="10"/>
      <c r="I38" s="10">
        <f t="shared" si="8"/>
        <v>2587.8026834000302</v>
      </c>
      <c r="J38" s="10">
        <f t="shared" si="6"/>
        <v>64420601829.508461</v>
      </c>
      <c r="K38" s="11">
        <f t="shared" si="7"/>
        <v>-8.7878020000000112E-2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23957211.893216271</v>
      </c>
      <c r="D39" s="11">
        <v>3.9100000000000003E-2</v>
      </c>
      <c r="E39" s="10">
        <f t="shared" si="2"/>
        <v>901479.15024998039</v>
      </c>
      <c r="F39" s="3"/>
      <c r="G39" s="29">
        <v>11.86</v>
      </c>
      <c r="H39" s="10"/>
      <c r="I39" s="10">
        <f t="shared" si="8"/>
        <v>2948.0550050125657</v>
      </c>
      <c r="J39" s="10">
        <f t="shared" si="6"/>
        <v>70627178427.942795</v>
      </c>
      <c r="K39" s="11">
        <f t="shared" si="7"/>
        <v>0.16233726000000015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23055732.742966291</v>
      </c>
      <c r="D40" s="11">
        <v>3.8300000000000001E-2</v>
      </c>
      <c r="E40" s="10">
        <f t="shared" si="2"/>
        <v>850461.87427102774</v>
      </c>
      <c r="F40" s="3"/>
      <c r="G40" s="29">
        <v>15.9</v>
      </c>
      <c r="H40" s="10"/>
      <c r="I40" s="10">
        <f t="shared" si="8"/>
        <v>2635.4863266695561</v>
      </c>
      <c r="J40" s="10">
        <f t="shared" si="6"/>
        <v>60763068395.435234</v>
      </c>
      <c r="K40" s="11">
        <f t="shared" si="7"/>
        <v>0.20338969999999978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22205270.868695263</v>
      </c>
      <c r="D41" s="11">
        <v>3.7100000000000001E-2</v>
      </c>
      <c r="E41" s="10">
        <f t="shared" si="2"/>
        <v>794345.3372178115</v>
      </c>
      <c r="F41" s="3"/>
      <c r="G41" s="29">
        <v>9.74</v>
      </c>
      <c r="H41" s="10"/>
      <c r="I41" s="10">
        <f t="shared" si="8"/>
        <v>2273.9312568330943</v>
      </c>
      <c r="J41" s="10">
        <f t="shared" si="6"/>
        <v>50493259494.771515</v>
      </c>
      <c r="K41" s="11">
        <f t="shared" si="7"/>
        <v>0.13811353999999998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21410925.531477451</v>
      </c>
      <c r="D42" s="11">
        <v>3.5400000000000001E-2</v>
      </c>
      <c r="E42" s="10">
        <f t="shared" si="2"/>
        <v>732032.8026021868</v>
      </c>
      <c r="F42" s="3"/>
      <c r="G42" s="29">
        <v>-0.53</v>
      </c>
      <c r="H42" s="10"/>
      <c r="I42" s="10">
        <f t="shared" si="8"/>
        <v>2072.1079431684839</v>
      </c>
      <c r="J42" s="10">
        <f t="shared" si="6"/>
        <v>44365748864.363319</v>
      </c>
      <c r="K42" s="11">
        <f t="shared" si="7"/>
        <v>2.9912380000000072E-2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20678892.728875265</v>
      </c>
      <c r="D43" s="11">
        <v>3.3599999999999998E-2</v>
      </c>
      <c r="E43" s="10">
        <f t="shared" si="2"/>
        <v>672224.06703774258</v>
      </c>
      <c r="F43" s="3"/>
      <c r="G43" s="29">
        <v>2.6</v>
      </c>
      <c r="H43" s="10"/>
      <c r="I43" s="10">
        <f t="shared" si="8"/>
        <v>2083.1486309123193</v>
      </c>
      <c r="J43" s="10">
        <f t="shared" si="6"/>
        <v>43077207076.939224</v>
      </c>
      <c r="K43" s="11">
        <f t="shared" si="7"/>
        <v>6.0473600000000127E-2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20006668.661837522</v>
      </c>
      <c r="D44" s="11">
        <v>3.2099999999999997E-2</v>
      </c>
      <c r="E44" s="10">
        <f t="shared" si="2"/>
        <v>622240.15506732464</v>
      </c>
      <c r="F44" s="3"/>
      <c r="G44" s="29">
        <v>11.61</v>
      </c>
      <c r="H44" s="10"/>
      <c r="I44" s="10">
        <f t="shared" si="8"/>
        <v>2030.3592893882253</v>
      </c>
      <c r="J44" s="10">
        <f t="shared" si="6"/>
        <v>40620725567.274109</v>
      </c>
      <c r="K44" s="11">
        <f t="shared" si="7"/>
        <v>0.15192681000000041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19384428.506770197</v>
      </c>
      <c r="D45" s="11">
        <v>3.09E-2</v>
      </c>
      <c r="E45" s="10">
        <f t="shared" si="2"/>
        <v>581025.16331283003</v>
      </c>
      <c r="F45" s="3"/>
      <c r="G45" s="29">
        <v>7.49</v>
      </c>
      <c r="H45" s="10"/>
      <c r="I45" s="10">
        <f t="shared" si="8"/>
        <v>1819.155352914815</v>
      </c>
      <c r="J45" s="10">
        <f t="shared" si="6"/>
        <v>35263286881.285538</v>
      </c>
      <c r="K45" s="11">
        <f t="shared" si="7"/>
        <v>0.10811440999999977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18803403.343457367</v>
      </c>
      <c r="D46" s="11">
        <v>2.9700000000000001E-2</v>
      </c>
      <c r="E46" s="10">
        <f t="shared" si="2"/>
        <v>542353.18957044184</v>
      </c>
      <c r="F46" s="3"/>
      <c r="G46" s="29">
        <v>6.89</v>
      </c>
      <c r="H46" s="10"/>
      <c r="I46" s="10">
        <f t="shared" si="8"/>
        <v>1692.3949696853801</v>
      </c>
      <c r="J46" s="10">
        <f t="shared" si="6"/>
        <v>31822785231.432507</v>
      </c>
      <c r="K46" s="11">
        <f t="shared" si="7"/>
        <v>0.10064633000000001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18261050.153886925</v>
      </c>
      <c r="D47" s="11">
        <v>2.87E-2</v>
      </c>
      <c r="E47" s="10">
        <f t="shared" si="2"/>
        <v>509470.34064017981</v>
      </c>
      <c r="F47" s="3"/>
      <c r="G47" s="29">
        <v>12.7</v>
      </c>
      <c r="H47" s="10"/>
      <c r="I47" s="10">
        <f t="shared" si="8"/>
        <v>1583.3052387364396</v>
      </c>
      <c r="J47" s="10">
        <f t="shared" si="6"/>
        <v>28912816373.478035</v>
      </c>
      <c r="K47" s="11">
        <f t="shared" si="7"/>
        <v>0.15934489999999979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17751579.813246746</v>
      </c>
      <c r="D48" s="11">
        <v>2.7799999999999998E-2</v>
      </c>
      <c r="E48" s="10">
        <f t="shared" si="2"/>
        <v>480145.86379476637</v>
      </c>
      <c r="F48" s="3"/>
      <c r="G48" s="29">
        <v>2.6</v>
      </c>
      <c r="H48" s="10"/>
      <c r="I48" s="10">
        <f t="shared" si="8"/>
        <v>1404.8848613455543</v>
      </c>
      <c r="J48" s="10">
        <f t="shared" si="6"/>
        <v>24938925744.597694</v>
      </c>
      <c r="K48" s="11">
        <f t="shared" si="7"/>
        <v>5.4522799999999982E-2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17271433.949451979</v>
      </c>
      <c r="D49" s="11">
        <v>2.69E-2</v>
      </c>
      <c r="E49" s="10">
        <f t="shared" si="2"/>
        <v>452431.1746423766</v>
      </c>
      <c r="F49" s="3"/>
      <c r="G49" s="29">
        <v>7.92</v>
      </c>
      <c r="H49" s="10"/>
      <c r="I49" s="10">
        <f t="shared" si="8"/>
        <v>1369.2834905902089</v>
      </c>
      <c r="J49" s="10">
        <f t="shared" si="6"/>
        <v>23649489365.803844</v>
      </c>
      <c r="K49" s="11">
        <f t="shared" si="7"/>
        <v>0.1082304799999998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16819002.774809603</v>
      </c>
      <c r="D50" s="11">
        <v>2.6100000000000002E-2</v>
      </c>
      <c r="E50" s="10">
        <f t="shared" si="2"/>
        <v>427810.12807965279</v>
      </c>
      <c r="F50" s="3"/>
      <c r="G50" s="29">
        <v>13.35</v>
      </c>
      <c r="H50" s="10"/>
      <c r="I50" s="10">
        <f t="shared" si="8"/>
        <v>1268.7949319775844</v>
      </c>
      <c r="J50" s="10">
        <f t="shared" si="6"/>
        <v>21339865481.595352</v>
      </c>
      <c r="K50" s="11">
        <f t="shared" si="7"/>
        <v>0.16308434999999988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16391192.64672995</v>
      </c>
      <c r="D51" s="11">
        <v>2.5100000000000001E-2</v>
      </c>
      <c r="E51" s="10">
        <f t="shared" si="2"/>
        <v>401345.17162512988</v>
      </c>
      <c r="F51" s="3"/>
      <c r="G51" s="29">
        <v>0</v>
      </c>
      <c r="H51" s="10"/>
      <c r="I51" s="10">
        <f t="shared" si="8"/>
        <v>1119.3603281672558</v>
      </c>
      <c r="J51" s="10">
        <f t="shared" si="6"/>
        <v>18347650780.096348</v>
      </c>
      <c r="K51" s="11">
        <f t="shared" si="7"/>
        <v>2.50999999999999E-2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15989847.47510482</v>
      </c>
      <c r="D52" s="11">
        <v>2.3900000000000001E-2</v>
      </c>
      <c r="E52" s="10">
        <f t="shared" si="2"/>
        <v>373236.99058013968</v>
      </c>
      <c r="F52" s="3"/>
      <c r="G52" s="29">
        <v>-2.7</v>
      </c>
      <c r="H52" s="10"/>
      <c r="I52" s="10">
        <f t="shared" si="8"/>
        <v>1119.3603281672558</v>
      </c>
      <c r="J52" s="10">
        <f t="shared" si="6"/>
        <v>17898400917.077698</v>
      </c>
      <c r="K52" s="11">
        <f t="shared" si="7"/>
        <v>-3.7453000000000625E-3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15616610.48452468</v>
      </c>
      <c r="D53" s="11">
        <v>2.2499999999999999E-2</v>
      </c>
      <c r="E53" s="10">
        <f t="shared" si="2"/>
        <v>343641.79550298676</v>
      </c>
      <c r="F53" s="3"/>
      <c r="G53" s="29">
        <v>4.88</v>
      </c>
      <c r="H53" s="10"/>
      <c r="I53" s="10">
        <f t="shared" si="8"/>
        <v>1150.4217144576114</v>
      </c>
      <c r="J53" s="10">
        <f t="shared" si="6"/>
        <v>17965687807.623592</v>
      </c>
      <c r="K53" s="11">
        <f t="shared" si="7"/>
        <v>7.239799999999974E-2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15272968.689021694</v>
      </c>
      <c r="D54" s="11">
        <v>2.12E-2</v>
      </c>
      <c r="E54" s="10">
        <f t="shared" si="2"/>
        <v>317065.154922897</v>
      </c>
      <c r="F54" s="3"/>
      <c r="G54" s="29">
        <v>6.36</v>
      </c>
      <c r="H54" s="10"/>
      <c r="I54" s="10">
        <f t="shared" si="8"/>
        <v>1096.8933204210637</v>
      </c>
      <c r="J54" s="10">
        <f t="shared" si="6"/>
        <v>16752817337.987946</v>
      </c>
      <c r="K54" s="11">
        <f t="shared" si="7"/>
        <v>8.6148320000000167E-2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14955903.534098797</v>
      </c>
      <c r="D55" s="11">
        <v>0.02</v>
      </c>
      <c r="E55" s="10">
        <f t="shared" si="2"/>
        <v>293253.01047252491</v>
      </c>
      <c r="F55" s="3"/>
      <c r="G55" s="29">
        <v>3.61</v>
      </c>
      <c r="H55" s="10"/>
      <c r="I55" s="10">
        <f t="shared" si="8"/>
        <v>1031.3024825320267</v>
      </c>
      <c r="J55" s="10">
        <f t="shared" si="6"/>
        <v>15424060443.225601</v>
      </c>
      <c r="K55" s="11">
        <f t="shared" si="7"/>
        <v>5.6821999999999928E-2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14662650.523626272</v>
      </c>
      <c r="D56" s="11">
        <v>1.89E-2</v>
      </c>
      <c r="E56" s="10">
        <f t="shared" si="2"/>
        <v>271983.60476644896</v>
      </c>
      <c r="F56" s="3"/>
      <c r="G56" s="29">
        <v>3.52</v>
      </c>
      <c r="H56" s="10"/>
      <c r="I56" s="10">
        <f t="shared" si="8"/>
        <v>995.36963857931346</v>
      </c>
      <c r="J56" s="10">
        <f t="shared" si="6"/>
        <v>14594757152.316664</v>
      </c>
      <c r="K56" s="11">
        <f t="shared" si="7"/>
        <v>5.4765279999999805E-2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14390666.918859823</v>
      </c>
      <c r="D57" s="11">
        <v>1.7999999999999999E-2</v>
      </c>
      <c r="E57" s="10">
        <f t="shared" si="2"/>
        <v>254451.87086392567</v>
      </c>
      <c r="F57" s="3"/>
      <c r="G57" s="29">
        <v>6.2</v>
      </c>
      <c r="H57" s="10"/>
      <c r="I57" s="10">
        <f t="shared" si="8"/>
        <v>961.52399399083617</v>
      </c>
      <c r="J57" s="10">
        <f t="shared" si="6"/>
        <v>13836971532.013897</v>
      </c>
      <c r="K57" s="11">
        <f t="shared" si="7"/>
        <v>8.1115999999999966E-2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14136215.047995897</v>
      </c>
      <c r="D58" s="11">
        <v>1.7100000000000001E-2</v>
      </c>
      <c r="E58" s="10">
        <f t="shared" si="2"/>
        <v>237665.20236036554</v>
      </c>
      <c r="F58" s="3"/>
      <c r="G58" s="29">
        <v>5.4</v>
      </c>
      <c r="H58" s="10"/>
      <c r="I58" s="10">
        <f>IF(H58&lt;&gt;"",H58,I57/(1+IF(G57="",0,G57)/100))</f>
        <v>905.38982485012821</v>
      </c>
      <c r="J58" s="10">
        <f t="shared" si="6"/>
        <v>12798785266.348751</v>
      </c>
      <c r="K58" s="11">
        <f t="shared" si="7"/>
        <v>7.202339999999996E-2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13898549.845635531</v>
      </c>
      <c r="D59" s="11">
        <v>1.61E-2</v>
      </c>
      <c r="E59" s="10">
        <f t="shared" si="2"/>
        <v>220221.09291874059</v>
      </c>
      <c r="F59" s="3"/>
      <c r="G59" s="29">
        <v>5.3</v>
      </c>
      <c r="H59" s="10"/>
      <c r="I59" s="10">
        <f>IF(H59&lt;&gt;"",H59,I58/(1+IF(G58="",0,G58)/100))</f>
        <v>859.00362889006465</v>
      </c>
      <c r="J59" s="10">
        <f t="shared" si="6"/>
        <v>11938904753.710369</v>
      </c>
      <c r="K59" s="11">
        <f t="shared" si="7"/>
        <v>6.9953299999999885E-2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13678328.752716791</v>
      </c>
      <c r="D60" s="11">
        <v>1.4999999999999999E-2</v>
      </c>
      <c r="E60" s="10">
        <f t="shared" si="2"/>
        <v>202142.78944901563</v>
      </c>
      <c r="F60" s="3"/>
      <c r="G60" s="29">
        <v>13.7</v>
      </c>
      <c r="H60" s="10"/>
      <c r="I60" s="10">
        <f>IF(H60&lt;&gt;"",H60,I59/(1+IF(G59="",0,G59)/100))</f>
        <v>815.76792867052677</v>
      </c>
      <c r="J60" s="10">
        <f t="shared" si="6"/>
        <v>11158341914.278286</v>
      </c>
      <c r="K60" s="11">
        <f t="shared" si="7"/>
        <v>0.15405500000000005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13476185.963267775</v>
      </c>
      <c r="D61" s="11">
        <v>1.4200000000000001E-2</v>
      </c>
      <c r="E61" s="10">
        <f t="shared" si="2"/>
        <v>188682.54848984629</v>
      </c>
      <c r="F61" s="3"/>
      <c r="G61" s="29">
        <v>13.5</v>
      </c>
      <c r="H61" s="10"/>
      <c r="I61" s="10">
        <f>IF(H61&lt;&gt;"",H61,I60/(1+IF(G60="",0,G60)/100))</f>
        <v>717.47399179465856</v>
      </c>
      <c r="J61" s="10">
        <f t="shared" si="6"/>
        <v>9668812937.2328758</v>
      </c>
      <c r="K61" s="11">
        <f t="shared" si="7"/>
        <v>0.15111699999999995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13287503.414777929</v>
      </c>
      <c r="D62" s="11">
        <v>1.3299999999999999E-2</v>
      </c>
      <c r="E62" s="10">
        <f t="shared" si="2"/>
        <v>174404.2192998603</v>
      </c>
      <c r="F62" s="3"/>
      <c r="G62" s="29">
        <v>8.6</v>
      </c>
      <c r="H62" s="10"/>
      <c r="I62" s="10">
        <f>IF(H62&lt;&gt;"",H62,I61/(1+IF(G61="",0,G61)/100))</f>
        <v>632.13567559000751</v>
      </c>
      <c r="J62" s="10">
        <f t="shared" si="6"/>
        <v>8399504948.0051775</v>
      </c>
      <c r="K62" s="11">
        <f t="shared" si="7"/>
        <v>0.10044380000000031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13113099.195478069</v>
      </c>
      <c r="D63" s="11">
        <v>1.2500000000000001E-2</v>
      </c>
      <c r="E63" s="10">
        <f t="shared" si="2"/>
        <v>161890.11352442019</v>
      </c>
      <c r="F63" s="3"/>
      <c r="G63" s="29">
        <v>7.7</v>
      </c>
      <c r="H63" s="10"/>
      <c r="I63" s="10">
        <f>IF(H63&lt;&gt;"",H63,I62/(1+IF(G62="",0,G62)/100))</f>
        <v>582.07704934623155</v>
      </c>
      <c r="J63" s="10">
        <f t="shared" si="6"/>
        <v>7632834087.4883165</v>
      </c>
      <c r="K63" s="11">
        <f t="shared" si="7"/>
        <v>9.0462499999999668E-2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12951209.081953648</v>
      </c>
      <c r="D64" s="11">
        <v>1.18E-2</v>
      </c>
      <c r="E64" s="10">
        <f t="shared" si="2"/>
        <v>151041.97189864889</v>
      </c>
      <c r="F64" s="3"/>
      <c r="G64" s="29">
        <v>4.3</v>
      </c>
      <c r="H64" s="10"/>
      <c r="I64" s="10">
        <f>IF(H64&lt;&gt;"",H64,I63/(1+IF(G63="",0,G63)/100))</f>
        <v>540.46151285629674</v>
      </c>
      <c r="J64" s="10">
        <f t="shared" si="6"/>
        <v>6999630053.7508793</v>
      </c>
      <c r="K64" s="11">
        <f t="shared" si="7"/>
        <v>5.5307400000000007E-2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12800167.110055</v>
      </c>
      <c r="D65" s="11">
        <v>1.11E-2</v>
      </c>
      <c r="E65" s="10">
        <f t="shared" si="2"/>
        <v>140522.06005500071</v>
      </c>
      <c r="F65" s="3"/>
      <c r="G65" s="29">
        <v>4</v>
      </c>
      <c r="H65" s="10"/>
      <c r="I65" s="10">
        <f>IF(H65&lt;&gt;"",H65,I64/(1+IF(G64="",0,G64)/100))</f>
        <v>518.17978222080228</v>
      </c>
      <c r="J65" s="10">
        <f t="shared" si="6"/>
        <v>6632787805.4781761</v>
      </c>
      <c r="K65" s="11">
        <f t="shared" si="7"/>
        <v>5.1544000000000034E-2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12659645.049999999</v>
      </c>
      <c r="D66" s="11">
        <v>1.0500000000000001E-2</v>
      </c>
      <c r="E66" s="10">
        <f t="shared" si="2"/>
        <v>131545.04999999888</v>
      </c>
      <c r="F66" s="23">
        <f>SUM(F2)</f>
        <v>54705622</v>
      </c>
      <c r="G66" s="29">
        <v>2.6</v>
      </c>
      <c r="H66" s="10"/>
      <c r="I66" s="10">
        <f>IF(H66&lt;&gt;"",H66,I65/(1+IF(G65="",0,G65)/100))</f>
        <v>498.24979059692527</v>
      </c>
      <c r="J66" s="10">
        <f t="shared" ref="J66:J67" si="9">IF(I66="","",I66*C66)</f>
        <v>6307665495.1939011</v>
      </c>
      <c r="K66" s="11">
        <f t="shared" ref="K66" si="10">IFERROR(J66/J67-1,"")</f>
        <v>3.6772999999999945E-2</v>
      </c>
    </row>
    <row r="67" spans="1:11" ht="22.5" customHeight="1">
      <c r="A67" s="3">
        <f t="shared" si="0"/>
        <v>1950</v>
      </c>
      <c r="B67" s="3">
        <v>1700</v>
      </c>
      <c r="C67" s="10">
        <v>12528100</v>
      </c>
      <c r="D67" s="11">
        <v>9.9000000000000008E-3</v>
      </c>
      <c r="E67" s="3" t="s">
        <v>72</v>
      </c>
      <c r="F67" s="10">
        <f>SUM(C2)</f>
        <v>54705418.575097799</v>
      </c>
      <c r="G67" s="29">
        <v>4.3</v>
      </c>
      <c r="H67" s="10"/>
      <c r="I67" s="10">
        <f>IF(H67&lt;&gt;"",H67,I66/(1+IF(G66="",0,G66)/100))</f>
        <v>485.62357757984915</v>
      </c>
      <c r="J67" s="10">
        <f t="shared" si="9"/>
        <v>6083940742.2781086</v>
      </c>
      <c r="K67" s="11"/>
    </row>
  </sheetData>
  <dataValidations count="1">
    <dataValidation type="custom" allowBlank="1" showDropDown="1" sqref="D2:D67" xr:uid="{00000000-0002-0000-8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outlinePr summaryBelow="0" summaryRight="0"/>
  </sheetPr>
  <dimension ref="A1:M67"/>
  <sheetViews>
    <sheetView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79558708.221049875</v>
      </c>
      <c r="D2" s="11">
        <v>3.3999999999999998E-3</v>
      </c>
      <c r="E2" s="10">
        <f t="shared" ref="E2:E66" si="2">SUM(C2-C3)</f>
        <v>269583.02566431463</v>
      </c>
      <c r="F2" s="14">
        <v>79558877</v>
      </c>
      <c r="G2" s="29">
        <v>4.66</v>
      </c>
      <c r="H2" s="10"/>
      <c r="I2" s="10">
        <f>IF(H2&lt;&gt;"",H2,100632)</f>
        <v>12579</v>
      </c>
      <c r="J2" s="10">
        <f t="shared" ref="J2:J33" si="3">IF(I2="","",I2*C2)</f>
        <v>1000768990712.5864</v>
      </c>
      <c r="K2" s="11">
        <f t="shared" ref="K2:K33" si="4">IFERROR(J2/J3-1,"")</f>
        <v>5.0158440000000137E-2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79289125.19538556</v>
      </c>
      <c r="D3" s="11">
        <v>3.8E-3</v>
      </c>
      <c r="E3" s="10">
        <f t="shared" si="2"/>
        <v>300158.07505725324</v>
      </c>
      <c r="F3" s="10"/>
      <c r="G3" s="29">
        <v>4.0199999999999996</v>
      </c>
      <c r="H3" s="10"/>
      <c r="I3" s="10">
        <f t="shared" ref="I3:I34" si="5">IF(H3&lt;&gt;"",H3,I2/(1+IF(G2="",0,G2)/100))</f>
        <v>12018.918402446016</v>
      </c>
      <c r="J3" s="10">
        <f t="shared" si="3"/>
        <v>952969525924.66553</v>
      </c>
      <c r="K3" s="11">
        <f t="shared" si="4"/>
        <v>4.4152760000000013E-2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78988967.120328307</v>
      </c>
      <c r="D4" s="11">
        <v>4.3E-3</v>
      </c>
      <c r="E4" s="10">
        <f t="shared" si="2"/>
        <v>338198.30590203404</v>
      </c>
      <c r="F4" s="3"/>
      <c r="G4" s="29">
        <v>2.95</v>
      </c>
      <c r="H4" s="10"/>
      <c r="I4" s="10">
        <f t="shared" si="5"/>
        <v>11554.430304216512</v>
      </c>
      <c r="J4" s="10">
        <f t="shared" si="3"/>
        <v>912672515393.88306</v>
      </c>
      <c r="K4" s="11">
        <f t="shared" si="4"/>
        <v>3.3926850000000064E-2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78650768.814426273</v>
      </c>
      <c r="D5" s="11">
        <v>4.8999999999999998E-3</v>
      </c>
      <c r="E5" s="10">
        <f t="shared" si="2"/>
        <v>383509.57029622793</v>
      </c>
      <c r="F5" s="3"/>
      <c r="G5" s="29">
        <v>5.76</v>
      </c>
      <c r="H5" s="10"/>
      <c r="I5" s="10">
        <f t="shared" si="5"/>
        <v>11223.341723376892</v>
      </c>
      <c r="J5" s="10">
        <f t="shared" si="3"/>
        <v>882724455210.62048</v>
      </c>
      <c r="K5" s="11">
        <f t="shared" si="4"/>
        <v>6.2782239999999767E-2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78267259.244130045</v>
      </c>
      <c r="D6" s="11">
        <v>5.4000000000000003E-3</v>
      </c>
      <c r="E6" s="10">
        <f t="shared" si="2"/>
        <v>420373.18472081423</v>
      </c>
      <c r="F6" s="3"/>
      <c r="G6" s="29">
        <v>11.76</v>
      </c>
      <c r="H6" s="10"/>
      <c r="I6" s="10">
        <f t="shared" si="5"/>
        <v>10612.085593208105</v>
      </c>
      <c r="J6" s="10">
        <f t="shared" si="3"/>
        <v>830578854244.51636</v>
      </c>
      <c r="K6" s="11">
        <f t="shared" si="4"/>
        <v>0.12363503999999992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77846886.059409231</v>
      </c>
      <c r="D7" s="11">
        <v>6.1000000000000004E-3</v>
      </c>
      <c r="E7" s="10">
        <f t="shared" si="2"/>
        <v>471986.88496410847</v>
      </c>
      <c r="F7" s="3"/>
      <c r="G7" s="29">
        <v>5.04</v>
      </c>
      <c r="H7" s="10"/>
      <c r="I7" s="10">
        <f t="shared" si="5"/>
        <v>9495.4237591339534</v>
      </c>
      <c r="J7" s="10">
        <f t="shared" si="3"/>
        <v>739189171463.10815</v>
      </c>
      <c r="K7" s="11">
        <f t="shared" si="4"/>
        <v>5.680743999999982E-2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77374899.174445122</v>
      </c>
      <c r="D8" s="11">
        <v>6.4999999999999997E-3</v>
      </c>
      <c r="E8" s="10">
        <f t="shared" si="2"/>
        <v>499688.86699840426</v>
      </c>
      <c r="F8" s="3"/>
      <c r="G8" s="29">
        <v>-1.07</v>
      </c>
      <c r="H8" s="10"/>
      <c r="I8" s="10">
        <f t="shared" si="5"/>
        <v>9039.8169831816012</v>
      </c>
      <c r="J8" s="10">
        <f t="shared" si="3"/>
        <v>699454927629.11304</v>
      </c>
      <c r="K8" s="11">
        <f t="shared" si="4"/>
        <v>-4.2695500000000663E-3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76875210.307446718</v>
      </c>
      <c r="D9" s="11">
        <v>6.8999999999999999E-3</v>
      </c>
      <c r="E9" s="10">
        <f t="shared" si="2"/>
        <v>526804.00349724293</v>
      </c>
      <c r="F9" s="3"/>
      <c r="G9" s="29">
        <v>6.24</v>
      </c>
      <c r="H9" s="10"/>
      <c r="I9" s="10">
        <f t="shared" si="5"/>
        <v>9137.5891874877198</v>
      </c>
      <c r="J9" s="10">
        <f t="shared" si="3"/>
        <v>702454090491.16968</v>
      </c>
      <c r="K9" s="11">
        <f t="shared" si="4"/>
        <v>6.9730559999999997E-2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76348406.303949475</v>
      </c>
      <c r="D10" s="11">
        <v>7.1999999999999998E-3</v>
      </c>
      <c r="E10" s="10">
        <f t="shared" si="2"/>
        <v>545778.9171847105</v>
      </c>
      <c r="F10" s="3"/>
      <c r="G10" s="29">
        <v>2.21</v>
      </c>
      <c r="H10" s="10"/>
      <c r="I10" s="10">
        <f t="shared" si="5"/>
        <v>8600.8934370178085</v>
      </c>
      <c r="J10" s="10">
        <f t="shared" si="3"/>
        <v>656664506706.40808</v>
      </c>
      <c r="K10" s="11">
        <f t="shared" si="4"/>
        <v>2.9459120000000061E-2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75802627.386764765</v>
      </c>
      <c r="D11" s="11">
        <v>7.4999999999999997E-3</v>
      </c>
      <c r="E11" s="10">
        <f t="shared" si="2"/>
        <v>564287.54878485203</v>
      </c>
      <c r="F11" s="3"/>
      <c r="G11" s="29">
        <v>3.31</v>
      </c>
      <c r="H11" s="10"/>
      <c r="I11" s="10">
        <f t="shared" si="5"/>
        <v>8414.9236249073565</v>
      </c>
      <c r="J11" s="10">
        <f t="shared" si="3"/>
        <v>637873320026.93616</v>
      </c>
      <c r="K11" s="11">
        <f t="shared" si="4"/>
        <v>4.0848249999999808E-2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75238339.837979913</v>
      </c>
      <c r="D12" s="11">
        <v>7.9000000000000008E-3</v>
      </c>
      <c r="E12" s="10">
        <f t="shared" si="2"/>
        <v>589724.0646096319</v>
      </c>
      <c r="F12" s="3"/>
      <c r="G12" s="29">
        <v>5.94</v>
      </c>
      <c r="H12" s="10"/>
      <c r="I12" s="10">
        <f t="shared" si="5"/>
        <v>8145.3137401097256</v>
      </c>
      <c r="J12" s="10">
        <f t="shared" si="3"/>
        <v>612839883265.34277</v>
      </c>
      <c r="K12" s="11">
        <f t="shared" si="4"/>
        <v>6.7769259999999942E-2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74648615.773370281</v>
      </c>
      <c r="D13" s="11">
        <v>8.2000000000000007E-3</v>
      </c>
      <c r="E13" s="10">
        <f t="shared" si="2"/>
        <v>607140.10051739216</v>
      </c>
      <c r="F13" s="3"/>
      <c r="G13" s="29">
        <v>8.6300000000000008</v>
      </c>
      <c r="H13" s="10"/>
      <c r="I13" s="10">
        <f t="shared" si="5"/>
        <v>7688.6102889463154</v>
      </c>
      <c r="J13" s="10">
        <f t="shared" si="3"/>
        <v>573944115290.73499</v>
      </c>
      <c r="K13" s="11">
        <f t="shared" si="4"/>
        <v>9.5207660000000027E-2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74041475.672852889</v>
      </c>
      <c r="D14" s="11">
        <v>8.6E-3</v>
      </c>
      <c r="E14" s="10">
        <f t="shared" si="2"/>
        <v>631327.27621111274</v>
      </c>
      <c r="F14" s="3"/>
      <c r="G14" s="29">
        <v>8.77</v>
      </c>
      <c r="H14" s="10"/>
      <c r="I14" s="10">
        <f t="shared" si="5"/>
        <v>7077.7964548893633</v>
      </c>
      <c r="J14" s="10">
        <f t="shared" si="3"/>
        <v>524050494032.09521</v>
      </c>
      <c r="K14" s="11">
        <f t="shared" si="4"/>
        <v>9.7054219999999747E-2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73410148.396641776</v>
      </c>
      <c r="D15" s="11">
        <v>8.9999999999999993E-3</v>
      </c>
      <c r="E15" s="10">
        <f t="shared" si="2"/>
        <v>654798.1521999687</v>
      </c>
      <c r="F15" s="3"/>
      <c r="G15" s="29">
        <v>-0.69</v>
      </c>
      <c r="H15" s="10"/>
      <c r="I15" s="10">
        <f t="shared" si="5"/>
        <v>6507.1218671410907</v>
      </c>
      <c r="J15" s="10">
        <f t="shared" si="3"/>
        <v>477688781901.86017</v>
      </c>
      <c r="K15" s="11">
        <f t="shared" si="4"/>
        <v>2.0378999999997038E-3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72755350.244441807</v>
      </c>
      <c r="D16" s="11">
        <v>9.4000000000000004E-3</v>
      </c>
      <c r="E16" s="10">
        <f t="shared" si="2"/>
        <v>677531.49623316526</v>
      </c>
      <c r="F16" s="3"/>
      <c r="G16" s="29">
        <v>0.34</v>
      </c>
      <c r="H16" s="10"/>
      <c r="I16" s="10">
        <f t="shared" si="5"/>
        <v>6552.3329645968088</v>
      </c>
      <c r="J16" s="10">
        <f t="shared" si="3"/>
        <v>476717279757.44257</v>
      </c>
      <c r="K16" s="11">
        <f t="shared" si="4"/>
        <v>1.2831960000000198E-2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72077818.748208642</v>
      </c>
      <c r="D17" s="11">
        <v>9.7999999999999997E-3</v>
      </c>
      <c r="E17" s="10">
        <f t="shared" si="2"/>
        <v>699507.45071543753</v>
      </c>
      <c r="F17" s="3"/>
      <c r="G17" s="29">
        <v>-10.4</v>
      </c>
      <c r="H17" s="10"/>
      <c r="I17" s="10">
        <f t="shared" si="5"/>
        <v>6530.1305208260001</v>
      </c>
      <c r="J17" s="10">
        <f t="shared" si="3"/>
        <v>470677564082.24176</v>
      </c>
      <c r="K17" s="11">
        <f t="shared" si="4"/>
        <v>-9.5219199999999948E-2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71378311.297493204</v>
      </c>
      <c r="D18" s="11">
        <v>1.03E-2</v>
      </c>
      <c r="E18" s="10">
        <f t="shared" si="2"/>
        <v>727701.28314775229</v>
      </c>
      <c r="F18" s="3"/>
      <c r="G18" s="29">
        <v>-0.63</v>
      </c>
      <c r="H18" s="10"/>
      <c r="I18" s="10">
        <f t="shared" si="5"/>
        <v>7288.0920991361609</v>
      </c>
      <c r="J18" s="10">
        <f t="shared" si="3"/>
        <v>520211706616.94159</v>
      </c>
      <c r="K18" s="11">
        <f t="shared" si="4"/>
        <v>3.9351099999997974E-3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70650610.014345452</v>
      </c>
      <c r="D19" s="11">
        <v>1.0800000000000001E-2</v>
      </c>
      <c r="E19" s="10">
        <f t="shared" si="2"/>
        <v>754873.94950032234</v>
      </c>
      <c r="F19" s="3"/>
      <c r="G19" s="29">
        <v>2.8</v>
      </c>
      <c r="H19" s="10"/>
      <c r="I19" s="10">
        <f t="shared" si="5"/>
        <v>7334.2981776553897</v>
      </c>
      <c r="J19" s="10">
        <f t="shared" si="3"/>
        <v>518172640278.45551</v>
      </c>
      <c r="K19" s="11">
        <f t="shared" si="4"/>
        <v>3.9102399999999982E-2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69895736.06484513</v>
      </c>
      <c r="D20" s="11">
        <v>1.14E-2</v>
      </c>
      <c r="E20" s="10">
        <f t="shared" si="2"/>
        <v>787830.12768363953</v>
      </c>
      <c r="F20" s="3"/>
      <c r="G20" s="29">
        <v>2.65</v>
      </c>
      <c r="H20" s="10"/>
      <c r="I20" s="10">
        <f t="shared" si="5"/>
        <v>7134.5313012211964</v>
      </c>
      <c r="J20" s="10">
        <f t="shared" si="3"/>
        <v>498673316776.53284</v>
      </c>
      <c r="K20" s="11">
        <f t="shared" si="4"/>
        <v>3.8202099999999906E-2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69107905.93716149</v>
      </c>
      <c r="D21" s="11">
        <v>1.21E-2</v>
      </c>
      <c r="E21" s="10">
        <f t="shared" si="2"/>
        <v>826208.538523525</v>
      </c>
      <c r="F21" s="3"/>
      <c r="G21" s="29">
        <v>3.3</v>
      </c>
      <c r="H21" s="10"/>
      <c r="I21" s="10">
        <f t="shared" si="5"/>
        <v>6950.347102991911</v>
      </c>
      <c r="J21" s="10">
        <f t="shared" si="3"/>
        <v>480323933824.18787</v>
      </c>
      <c r="K21" s="11">
        <f t="shared" si="4"/>
        <v>4.5499300000000131E-2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68281697.398637965</v>
      </c>
      <c r="D22" s="11">
        <v>1.2800000000000001E-2</v>
      </c>
      <c r="E22" s="10">
        <f t="shared" si="2"/>
        <v>862959.84074106812</v>
      </c>
      <c r="F22" s="3"/>
      <c r="G22" s="29">
        <v>0.31</v>
      </c>
      <c r="H22" s="10"/>
      <c r="I22" s="10">
        <f t="shared" si="5"/>
        <v>6728.3127812119183</v>
      </c>
      <c r="J22" s="10">
        <f t="shared" si="3"/>
        <v>459420617330.1004</v>
      </c>
      <c r="K22" s="11">
        <f t="shared" si="4"/>
        <v>1.593967999999979E-2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67418737.557896897</v>
      </c>
      <c r="D23" s="11">
        <v>1.3599999999999999E-2</v>
      </c>
      <c r="E23" s="10">
        <f t="shared" si="2"/>
        <v>904592.37449427694</v>
      </c>
      <c r="F23" s="3"/>
      <c r="G23" s="29">
        <v>0.95</v>
      </c>
      <c r="H23" s="10"/>
      <c r="I23" s="10">
        <f t="shared" si="5"/>
        <v>6707.5194708522758</v>
      </c>
      <c r="J23" s="10">
        <f t="shared" si="3"/>
        <v>452212494869.87305</v>
      </c>
      <c r="K23" s="11">
        <f t="shared" si="4"/>
        <v>2.3229200000000061E-2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66514145.18340262</v>
      </c>
      <c r="D24" s="11">
        <v>1.44E-2</v>
      </c>
      <c r="E24" s="10">
        <f t="shared" si="2"/>
        <v>944207.10828173906</v>
      </c>
      <c r="F24" s="3"/>
      <c r="G24" s="29">
        <v>0.38</v>
      </c>
      <c r="H24" s="10"/>
      <c r="I24" s="10">
        <f t="shared" si="5"/>
        <v>6644.3976927709518</v>
      </c>
      <c r="J24" s="10">
        <f t="shared" si="3"/>
        <v>441946432793.23248</v>
      </c>
      <c r="K24" s="11">
        <f t="shared" si="4"/>
        <v>1.8254719999999836E-2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65569938.075120881</v>
      </c>
      <c r="D25" s="11">
        <v>1.5299999999999999E-2</v>
      </c>
      <c r="E25" s="10">
        <f t="shared" si="2"/>
        <v>988102.09056372941</v>
      </c>
      <c r="F25" s="3"/>
      <c r="G25" s="29">
        <v>4.58</v>
      </c>
      <c r="H25" s="10"/>
      <c r="I25" s="10">
        <f t="shared" si="5"/>
        <v>6619.2445634299183</v>
      </c>
      <c r="J25" s="10">
        <f t="shared" si="3"/>
        <v>434023456128.1803</v>
      </c>
      <c r="K25" s="11">
        <f t="shared" si="4"/>
        <v>6.1800740000000021E-2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64581835.984557152</v>
      </c>
      <c r="D26" s="11">
        <v>1.6400000000000001E-2</v>
      </c>
      <c r="E26" s="10">
        <f t="shared" si="2"/>
        <v>1042052.4499672726</v>
      </c>
      <c r="F26" s="3"/>
      <c r="G26" s="29">
        <v>8.2200000000000006</v>
      </c>
      <c r="H26" s="10"/>
      <c r="I26" s="10">
        <f t="shared" si="5"/>
        <v>6329.3598808853685</v>
      </c>
      <c r="J26" s="10">
        <f t="shared" si="3"/>
        <v>408761681714.57507</v>
      </c>
      <c r="K26" s="11">
        <f t="shared" si="4"/>
        <v>9.9948080000000106E-2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63539783.534589879</v>
      </c>
      <c r="D27" s="11">
        <v>1.7600000000000001E-2</v>
      </c>
      <c r="E27" s="10">
        <f t="shared" si="2"/>
        <v>1098958.520252347</v>
      </c>
      <c r="F27" s="3"/>
      <c r="G27" s="29">
        <v>9.43</v>
      </c>
      <c r="H27" s="10"/>
      <c r="I27" s="10">
        <f t="shared" si="5"/>
        <v>5848.6045840744482</v>
      </c>
      <c r="J27" s="10">
        <f t="shared" si="3"/>
        <v>371619069251.50049</v>
      </c>
      <c r="K27" s="11">
        <f t="shared" si="4"/>
        <v>0.11355968000000005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62440825.014337532</v>
      </c>
      <c r="D28" s="11">
        <v>1.89E-2</v>
      </c>
      <c r="E28" s="10">
        <f t="shared" si="2"/>
        <v>1158240.8408783749</v>
      </c>
      <c r="F28" s="3"/>
      <c r="G28" s="29">
        <v>0.42</v>
      </c>
      <c r="H28" s="10"/>
      <c r="I28" s="10">
        <f t="shared" si="5"/>
        <v>5344.6080453938112</v>
      </c>
      <c r="J28" s="10">
        <f t="shared" si="3"/>
        <v>333721735732.65552</v>
      </c>
      <c r="K28" s="11">
        <f t="shared" si="4"/>
        <v>2.3179379999999972E-2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61282584.173459157</v>
      </c>
      <c r="D29" s="11">
        <v>2.0400000000000001E-2</v>
      </c>
      <c r="E29" s="10">
        <f t="shared" si="2"/>
        <v>1225171.2241655886</v>
      </c>
      <c r="F29" s="3"/>
      <c r="G29" s="29">
        <v>6.6</v>
      </c>
      <c r="H29" s="10"/>
      <c r="I29" s="10">
        <f t="shared" si="5"/>
        <v>5322.2545761738811</v>
      </c>
      <c r="J29" s="10">
        <f t="shared" si="3"/>
        <v>326161514056.95404</v>
      </c>
      <c r="K29" s="11">
        <f t="shared" si="4"/>
        <v>8.7746400000000113E-2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60057412.949293569</v>
      </c>
      <c r="D30" s="11">
        <v>2.1999999999999999E-2</v>
      </c>
      <c r="E30" s="10">
        <f t="shared" si="2"/>
        <v>1292821.0223918408</v>
      </c>
      <c r="F30" s="3"/>
      <c r="G30" s="29">
        <v>2.5499999999999998</v>
      </c>
      <c r="H30" s="10"/>
      <c r="I30" s="10">
        <f t="shared" si="5"/>
        <v>4992.7341239905072</v>
      </c>
      <c r="J30" s="10">
        <f t="shared" si="3"/>
        <v>299850695030.52734</v>
      </c>
      <c r="K30" s="11">
        <f t="shared" si="4"/>
        <v>4.8061000000000131E-2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58764591.926901728</v>
      </c>
      <c r="D31" s="11">
        <v>2.3699999999999999E-2</v>
      </c>
      <c r="E31" s="10">
        <f t="shared" si="2"/>
        <v>1360477.5116416663</v>
      </c>
      <c r="F31" s="3"/>
      <c r="G31" s="29">
        <v>2.3199999999999998</v>
      </c>
      <c r="H31" s="10"/>
      <c r="I31" s="10">
        <f t="shared" si="5"/>
        <v>4868.5852013559306</v>
      </c>
      <c r="J31" s="10">
        <f t="shared" si="3"/>
        <v>286100422619.03394</v>
      </c>
      <c r="K31" s="11">
        <f t="shared" si="4"/>
        <v>4.7449840000000298E-2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57404114.415260062</v>
      </c>
      <c r="D32" s="11">
        <v>2.5399999999999999E-2</v>
      </c>
      <c r="E32" s="10">
        <f t="shared" si="2"/>
        <v>1421947.0510509163</v>
      </c>
      <c r="F32" s="3"/>
      <c r="G32" s="29">
        <v>3.57</v>
      </c>
      <c r="H32" s="10"/>
      <c r="I32" s="10">
        <f t="shared" si="5"/>
        <v>4758.1950756019642</v>
      </c>
      <c r="J32" s="10">
        <f t="shared" si="3"/>
        <v>273139974529.98215</v>
      </c>
      <c r="K32" s="11">
        <f t="shared" si="4"/>
        <v>6.200678000000015E-2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55982167.364209145</v>
      </c>
      <c r="D33" s="11">
        <v>2.69E-2</v>
      </c>
      <c r="E33" s="10">
        <f t="shared" si="2"/>
        <v>1466472.1999193877</v>
      </c>
      <c r="F33" s="3"/>
      <c r="G33" s="29">
        <v>1.04</v>
      </c>
      <c r="H33" s="10"/>
      <c r="I33" s="10">
        <f t="shared" si="5"/>
        <v>4594.1827513777771</v>
      </c>
      <c r="J33" s="10">
        <f t="shared" si="3"/>
        <v>257192307689.39359</v>
      </c>
      <c r="K33" s="11">
        <f t="shared" si="4"/>
        <v>3.7579759999999851E-2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54515695.164289758</v>
      </c>
      <c r="D34" s="11">
        <v>2.81E-2</v>
      </c>
      <c r="E34" s="10">
        <f t="shared" si="2"/>
        <v>1490021.4318806976</v>
      </c>
      <c r="F34" s="3"/>
      <c r="G34" s="29">
        <v>0.41</v>
      </c>
      <c r="H34" s="10"/>
      <c r="I34" s="10">
        <f t="shared" si="5"/>
        <v>4546.8950429312918</v>
      </c>
      <c r="J34" s="10">
        <f t="shared" ref="J34:J65" si="6">IF(I34="","",I34*C34)</f>
        <v>247877144104.46249</v>
      </c>
      <c r="K34" s="11">
        <f t="shared" ref="K34:K65" si="7">IFERROR(J34/J35-1,"")</f>
        <v>4.5680509999999952E-2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53025673.73240906</v>
      </c>
      <c r="D35" s="11">
        <v>2.8899999999999999E-2</v>
      </c>
      <c r="E35" s="10">
        <f t="shared" si="2"/>
        <v>1489398.3583114147</v>
      </c>
      <c r="F35" s="3"/>
      <c r="G35" s="29">
        <v>-1.6</v>
      </c>
      <c r="H35" s="10"/>
      <c r="I35" s="10">
        <f t="shared" ref="I35:I66" si="8">IF(H35&lt;&gt;"",H35,I34/(1+IF(G34="",0,G34)/100))</f>
        <v>4470.4503420816955</v>
      </c>
      <c r="J35" s="10">
        <f t="shared" si="6"/>
        <v>237048641276.16046</v>
      </c>
      <c r="K35" s="11">
        <f t="shared" si="7"/>
        <v>4.0217899999999807E-2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51536275.374097645</v>
      </c>
      <c r="D36" s="11">
        <v>2.92E-2</v>
      </c>
      <c r="E36" s="10">
        <f t="shared" si="2"/>
        <v>1462164.050644815</v>
      </c>
      <c r="F36" s="3"/>
      <c r="G36" s="29">
        <v>-6</v>
      </c>
      <c r="H36" s="10"/>
      <c r="I36" s="10">
        <f t="shared" si="8"/>
        <v>4421.8104273805102</v>
      </c>
      <c r="J36" s="10">
        <f t="shared" si="6"/>
        <v>227883639837.53836</v>
      </c>
      <c r="K36" s="11">
        <f t="shared" si="7"/>
        <v>1.6849599999999798E-2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50074111.32345283</v>
      </c>
      <c r="D37" s="11">
        <v>2.9000000000000001E-2</v>
      </c>
      <c r="E37" s="10">
        <f t="shared" si="2"/>
        <v>1411223.7399223819</v>
      </c>
      <c r="F37" s="3"/>
      <c r="G37" s="29">
        <v>-8.5</v>
      </c>
      <c r="H37" s="10"/>
      <c r="I37" s="10">
        <f t="shared" si="8"/>
        <v>4475.5166269033507</v>
      </c>
      <c r="J37" s="10">
        <f t="shared" si="6"/>
        <v>224107517805.52249</v>
      </c>
      <c r="K37" s="11">
        <f t="shared" si="7"/>
        <v>-3.9280000000000426E-3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48662887.583530448</v>
      </c>
      <c r="D38" s="11">
        <v>2.8400000000000002E-2</v>
      </c>
      <c r="E38" s="10">
        <f t="shared" si="2"/>
        <v>1343860.3727851659</v>
      </c>
      <c r="F38" s="3"/>
      <c r="G38" s="29">
        <v>3.7</v>
      </c>
      <c r="H38" s="10"/>
      <c r="I38" s="10">
        <f t="shared" si="8"/>
        <v>4623.467589776189</v>
      </c>
      <c r="J38" s="10">
        <f t="shared" si="6"/>
        <v>224991283567.37515</v>
      </c>
      <c r="K38" s="11">
        <f t="shared" si="7"/>
        <v>0.10450160000000008</v>
      </c>
      <c r="L38" t="s">
        <v>137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47319027.210745282</v>
      </c>
      <c r="D39" s="11">
        <v>2.7799999999999998E-2</v>
      </c>
      <c r="E39" s="10">
        <f t="shared" si="2"/>
        <v>1279888.0681637675</v>
      </c>
      <c r="F39" s="3"/>
      <c r="G39" s="29">
        <v>0.17</v>
      </c>
      <c r="H39" s="10"/>
      <c r="I39" s="10">
        <f t="shared" si="8"/>
        <v>4304.9046459741048</v>
      </c>
      <c r="J39" s="10">
        <f t="shared" si="6"/>
        <v>203703900082.51245</v>
      </c>
      <c r="K39" s="11">
        <f t="shared" si="7"/>
        <v>2.9547260000000186E-2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46039139.142581515</v>
      </c>
      <c r="D40" s="11">
        <v>2.7400000000000001E-2</v>
      </c>
      <c r="E40" s="10">
        <f t="shared" si="2"/>
        <v>1227829.8739602268</v>
      </c>
      <c r="F40" s="3"/>
      <c r="G40" s="29">
        <v>4.4400000000000004</v>
      </c>
      <c r="H40" s="10"/>
      <c r="I40" s="10">
        <f t="shared" si="8"/>
        <v>4297.5987281362732</v>
      </c>
      <c r="J40" s="10">
        <f t="shared" si="6"/>
        <v>197857745823.64722</v>
      </c>
      <c r="K40" s="11">
        <f t="shared" si="7"/>
        <v>7.3016559999999897E-2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44811309.268621288</v>
      </c>
      <c r="D41" s="11">
        <v>2.7300000000000001E-2</v>
      </c>
      <c r="E41" s="10">
        <f t="shared" si="2"/>
        <v>1190838.8426295817</v>
      </c>
      <c r="F41" s="3"/>
      <c r="G41" s="29">
        <v>6.21</v>
      </c>
      <c r="H41" s="10"/>
      <c r="I41" s="10">
        <f t="shared" si="8"/>
        <v>4114.8972885257308</v>
      </c>
      <c r="J41" s="10">
        <f t="shared" si="6"/>
        <v>184393935004.7377</v>
      </c>
      <c r="K41" s="11">
        <f t="shared" si="7"/>
        <v>9.1095330000000363E-2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43620470.425991707</v>
      </c>
      <c r="D42" s="11">
        <v>2.76E-2</v>
      </c>
      <c r="E42" s="10">
        <f t="shared" si="2"/>
        <v>1171589.1239367202</v>
      </c>
      <c r="F42" s="3"/>
      <c r="G42" s="29">
        <v>14.52</v>
      </c>
      <c r="H42" s="10"/>
      <c r="I42" s="10">
        <f t="shared" si="8"/>
        <v>3874.3030680027591</v>
      </c>
      <c r="J42" s="10">
        <f t="shared" si="6"/>
        <v>168998922399.14328</v>
      </c>
      <c r="K42" s="11">
        <f t="shared" si="7"/>
        <v>0.17680751999999988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42448881.302054986</v>
      </c>
      <c r="D43" s="11">
        <v>2.8299999999999999E-2</v>
      </c>
      <c r="E43" s="10">
        <f t="shared" si="2"/>
        <v>1168242.0897093788</v>
      </c>
      <c r="F43" s="3"/>
      <c r="G43" s="29">
        <v>0.13</v>
      </c>
      <c r="H43" s="10"/>
      <c r="I43" s="10">
        <f t="shared" si="8"/>
        <v>3383.0798707673412</v>
      </c>
      <c r="J43" s="10">
        <f t="shared" si="6"/>
        <v>143607955869.5744</v>
      </c>
      <c r="K43" s="11">
        <f t="shared" si="7"/>
        <v>2.9636790000000079E-2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41280639.212345608</v>
      </c>
      <c r="D44" s="11">
        <v>2.92E-2</v>
      </c>
      <c r="E44" s="10">
        <f t="shared" si="2"/>
        <v>1171195.7491260096</v>
      </c>
      <c r="F44" s="3"/>
      <c r="G44" s="29">
        <v>1.86</v>
      </c>
      <c r="H44" s="10"/>
      <c r="I44" s="10">
        <f t="shared" si="8"/>
        <v>3378.6875769173485</v>
      </c>
      <c r="J44" s="10">
        <f t="shared" si="6"/>
        <v>139474382873.95926</v>
      </c>
      <c r="K44" s="11">
        <f t="shared" si="7"/>
        <v>4.8343119999999962E-2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40109443.463219598</v>
      </c>
      <c r="D45" s="11">
        <v>3.0300000000000001E-2</v>
      </c>
      <c r="E45" s="10">
        <f t="shared" si="2"/>
        <v>1179575.014011018</v>
      </c>
      <c r="F45" s="3"/>
      <c r="G45" s="29">
        <v>9.02</v>
      </c>
      <c r="H45" s="10"/>
      <c r="I45" s="10">
        <f t="shared" si="8"/>
        <v>3316.9915343779194</v>
      </c>
      <c r="J45" s="10">
        <f t="shared" si="6"/>
        <v>133042684416.10918</v>
      </c>
      <c r="K45" s="11">
        <f t="shared" si="7"/>
        <v>0.12323306000000001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38929868.44920858</v>
      </c>
      <c r="D46" s="11">
        <v>3.1300000000000001E-2</v>
      </c>
      <c r="E46" s="10">
        <f t="shared" si="2"/>
        <v>1181523.2061090171</v>
      </c>
      <c r="F46" s="3"/>
      <c r="G46" s="29">
        <v>9.01</v>
      </c>
      <c r="H46" s="10"/>
      <c r="I46" s="10">
        <f t="shared" si="8"/>
        <v>3042.553232781067</v>
      </c>
      <c r="J46" s="10">
        <f t="shared" si="6"/>
        <v>118446197101.88123</v>
      </c>
      <c r="K46" s="11">
        <f t="shared" si="7"/>
        <v>0.1242201300000001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37748345.243099563</v>
      </c>
      <c r="D47" s="11">
        <v>3.2099999999999997E-2</v>
      </c>
      <c r="E47" s="10">
        <f t="shared" si="2"/>
        <v>1174035.3476441205</v>
      </c>
      <c r="F47" s="3"/>
      <c r="G47" s="29">
        <v>7.37</v>
      </c>
      <c r="H47" s="10"/>
      <c r="I47" s="10">
        <f t="shared" si="8"/>
        <v>2791.0771789570376</v>
      </c>
      <c r="J47" s="10">
        <f t="shared" si="6"/>
        <v>105358544951.40663</v>
      </c>
      <c r="K47" s="11">
        <f t="shared" si="7"/>
        <v>0.10816577000000005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36574309.895455442</v>
      </c>
      <c r="D48" s="11">
        <v>3.2399999999999998E-2</v>
      </c>
      <c r="E48" s="10">
        <f t="shared" si="2"/>
        <v>1147818.3268236667</v>
      </c>
      <c r="F48" s="3"/>
      <c r="G48" s="29">
        <v>6.04</v>
      </c>
      <c r="H48" s="10"/>
      <c r="I48" s="10">
        <f t="shared" si="8"/>
        <v>2599.4944388162776</v>
      </c>
      <c r="J48" s="10">
        <f t="shared" si="6"/>
        <v>95074715176.779572</v>
      </c>
      <c r="K48" s="11">
        <f t="shared" si="7"/>
        <v>9.4756960000000001E-2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35426491.568631776</v>
      </c>
      <c r="D49" s="11">
        <v>3.2399999999999998E-2</v>
      </c>
      <c r="E49" s="10">
        <f t="shared" si="2"/>
        <v>1111796.1321422607</v>
      </c>
      <c r="F49" s="3"/>
      <c r="G49" s="29">
        <v>7.66</v>
      </c>
      <c r="H49" s="10"/>
      <c r="I49" s="10">
        <f t="shared" si="8"/>
        <v>2451.4281769297222</v>
      </c>
      <c r="J49" s="10">
        <f t="shared" si="6"/>
        <v>86845499641.107162</v>
      </c>
      <c r="K49" s="11">
        <f t="shared" si="7"/>
        <v>0.11148183999999994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34314695.436489515</v>
      </c>
      <c r="D50" s="11">
        <v>3.2099999999999997E-2</v>
      </c>
      <c r="E50" s="10">
        <f t="shared" si="2"/>
        <v>1067243.2162690759</v>
      </c>
      <c r="F50" s="3"/>
      <c r="G50" s="29">
        <v>8.91</v>
      </c>
      <c r="H50" s="10"/>
      <c r="I50" s="10">
        <f t="shared" si="8"/>
        <v>2277.0092670720064</v>
      </c>
      <c r="J50" s="10">
        <f t="shared" si="6"/>
        <v>78134879505.640121</v>
      </c>
      <c r="K50" s="11">
        <f t="shared" si="7"/>
        <v>0.12406011000000006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33247452.220220439</v>
      </c>
      <c r="D51" s="11">
        <v>3.1600000000000003E-2</v>
      </c>
      <c r="E51" s="10">
        <f t="shared" si="2"/>
        <v>1018436.8846054375</v>
      </c>
      <c r="F51" s="3"/>
      <c r="G51" s="29">
        <v>8.18</v>
      </c>
      <c r="H51" s="10"/>
      <c r="I51" s="10">
        <f t="shared" si="8"/>
        <v>2090.7256147938724</v>
      </c>
      <c r="J51" s="10">
        <f t="shared" si="6"/>
        <v>69511299983.450272</v>
      </c>
      <c r="K51" s="11">
        <f t="shared" si="7"/>
        <v>0.11598488000000007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32229015.335615002</v>
      </c>
      <c r="D52" s="11">
        <v>3.1E-2</v>
      </c>
      <c r="E52" s="10">
        <f t="shared" si="2"/>
        <v>969058.65703594685</v>
      </c>
      <c r="F52" s="3"/>
      <c r="G52" s="29">
        <v>12.14</v>
      </c>
      <c r="H52" s="10"/>
      <c r="I52" s="10">
        <f t="shared" si="8"/>
        <v>1932.6359907504827</v>
      </c>
      <c r="J52" s="10">
        <f t="shared" si="6"/>
        <v>62286954984.0588</v>
      </c>
      <c r="K52" s="11">
        <f t="shared" si="7"/>
        <v>0.15616339999999984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31259956.678579055</v>
      </c>
      <c r="D53" s="11">
        <v>3.04E-2</v>
      </c>
      <c r="E53" s="10">
        <f t="shared" si="2"/>
        <v>922265.80262888595</v>
      </c>
      <c r="F53" s="3"/>
      <c r="G53" s="29">
        <v>8.7799999999999994</v>
      </c>
      <c r="H53" s="10"/>
      <c r="I53" s="10">
        <f t="shared" si="8"/>
        <v>1723.4135819069759</v>
      </c>
      <c r="J53" s="10">
        <f t="shared" si="6"/>
        <v>53873833909.686821</v>
      </c>
      <c r="K53" s="11">
        <f t="shared" si="7"/>
        <v>0.12086912000000027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30337690.875950169</v>
      </c>
      <c r="D54" s="11">
        <v>2.9700000000000001E-2</v>
      </c>
      <c r="E54" s="10">
        <f t="shared" si="2"/>
        <v>875040.70993077755</v>
      </c>
      <c r="F54" s="3"/>
      <c r="G54" s="29">
        <v>8.6999999999999993</v>
      </c>
      <c r="H54" s="10"/>
      <c r="I54" s="10">
        <f t="shared" si="8"/>
        <v>1584.3110699641254</v>
      </c>
      <c r="J54" s="10">
        <f t="shared" si="6"/>
        <v>48064339491.917496</v>
      </c>
      <c r="K54" s="11">
        <f t="shared" si="7"/>
        <v>0.11928389999999989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29462650.166019391</v>
      </c>
      <c r="D55" s="11">
        <v>2.9000000000000001E-2</v>
      </c>
      <c r="E55" s="10">
        <f t="shared" si="2"/>
        <v>830337.07950880378</v>
      </c>
      <c r="F55" s="3"/>
      <c r="G55" s="29">
        <v>11.92</v>
      </c>
      <c r="H55" s="10"/>
      <c r="I55" s="10">
        <f t="shared" si="8"/>
        <v>1457.5078840516333</v>
      </c>
      <c r="J55" s="10">
        <f t="shared" si="6"/>
        <v>42942044902.028427</v>
      </c>
      <c r="K55" s="11">
        <f t="shared" si="7"/>
        <v>0.15165679999999981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28632313.086510587</v>
      </c>
      <c r="D56" s="11">
        <v>2.8400000000000002E-2</v>
      </c>
      <c r="E56" s="10">
        <f t="shared" si="2"/>
        <v>790701.7616267018</v>
      </c>
      <c r="F56" s="3"/>
      <c r="G56" s="29">
        <v>11.88</v>
      </c>
      <c r="H56" s="10"/>
      <c r="I56" s="10">
        <f t="shared" si="8"/>
        <v>1302.276522562217</v>
      </c>
      <c r="J56" s="10">
        <f t="shared" si="6"/>
        <v>37287189119.213669</v>
      </c>
      <c r="K56" s="11">
        <f t="shared" si="7"/>
        <v>0.15057392000000003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27841611.324883886</v>
      </c>
      <c r="D57" s="11">
        <v>2.7699999999999999E-2</v>
      </c>
      <c r="E57" s="10">
        <f t="shared" si="2"/>
        <v>750425.83798704296</v>
      </c>
      <c r="F57" s="3"/>
      <c r="G57" s="30">
        <v>9.98</v>
      </c>
      <c r="H57" s="10"/>
      <c r="I57" s="10">
        <f t="shared" si="8"/>
        <v>1163.994031607273</v>
      </c>
      <c r="J57" s="10">
        <f t="shared" si="6"/>
        <v>32407469412.494305</v>
      </c>
      <c r="K57" s="11">
        <f t="shared" si="7"/>
        <v>0.13026446000000025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27091185.486896843</v>
      </c>
      <c r="D58" s="11">
        <v>2.7099999999999999E-2</v>
      </c>
      <c r="E58" s="10">
        <f t="shared" si="2"/>
        <v>714800.04546285793</v>
      </c>
      <c r="F58" s="3"/>
      <c r="G58" s="30">
        <v>10.31</v>
      </c>
      <c r="H58" s="10"/>
      <c r="I58" s="10">
        <f t="shared" si="8"/>
        <v>1058.3688230653509</v>
      </c>
      <c r="J58" s="10">
        <f t="shared" si="6"/>
        <v>28672466099.212124</v>
      </c>
      <c r="K58" s="11">
        <f t="shared" si="7"/>
        <v>0.13299400999999977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26376385.441433985</v>
      </c>
      <c r="D59" s="11">
        <v>2.64E-2</v>
      </c>
      <c r="E59" s="10">
        <f t="shared" si="2"/>
        <v>678426.12592932209</v>
      </c>
      <c r="F59" s="3"/>
      <c r="G59" s="30">
        <v>4.91</v>
      </c>
      <c r="H59" s="10"/>
      <c r="I59" s="10">
        <f t="shared" si="8"/>
        <v>959.44957217419176</v>
      </c>
      <c r="J59" s="10">
        <f t="shared" si="6"/>
        <v>25306811727.285416</v>
      </c>
      <c r="K59" s="11">
        <f t="shared" si="7"/>
        <v>7.679623999999996E-2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25697959.315504663</v>
      </c>
      <c r="D60" s="11">
        <v>2.5700000000000001E-2</v>
      </c>
      <c r="E60" s="10">
        <f t="shared" si="2"/>
        <v>643889.59189672396</v>
      </c>
      <c r="F60" s="3"/>
      <c r="G60" s="30">
        <v>3.57</v>
      </c>
      <c r="H60" s="10"/>
      <c r="I60" s="10">
        <f t="shared" si="8"/>
        <v>914.54539336020571</v>
      </c>
      <c r="J60" s="10">
        <f t="shared" si="6"/>
        <v>23501950310.752773</v>
      </c>
      <c r="K60" s="11">
        <f t="shared" si="7"/>
        <v>6.2317489999999864E-2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25054069.723607939</v>
      </c>
      <c r="D61" s="11">
        <v>2.5000000000000001E-2</v>
      </c>
      <c r="E61" s="10">
        <f t="shared" si="2"/>
        <v>611074.87130750716</v>
      </c>
      <c r="F61" s="3"/>
      <c r="G61" s="30">
        <v>7.34</v>
      </c>
      <c r="H61" s="10"/>
      <c r="I61" s="10">
        <f t="shared" si="8"/>
        <v>883.02152492054233</v>
      </c>
      <c r="J61" s="10">
        <f t="shared" si="6"/>
        <v>22123282852.805874</v>
      </c>
      <c r="K61" s="11">
        <f t="shared" si="7"/>
        <v>0.10023499999999985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24442994.852300432</v>
      </c>
      <c r="D62" s="11">
        <v>2.4299999999999999E-2</v>
      </c>
      <c r="E62" s="10">
        <f t="shared" si="2"/>
        <v>579873.84058469161</v>
      </c>
      <c r="F62" s="3"/>
      <c r="G62" s="30">
        <v>2.34</v>
      </c>
      <c r="H62" s="10"/>
      <c r="I62" s="10">
        <f t="shared" si="8"/>
        <v>822.63976608956807</v>
      </c>
      <c r="J62" s="10">
        <f t="shared" si="6"/>
        <v>20107779567.824944</v>
      </c>
      <c r="K62" s="11">
        <f t="shared" si="7"/>
        <v>4.8268619999999984E-2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23863121.01171574</v>
      </c>
      <c r="D63" s="11">
        <v>2.3699999999999999E-2</v>
      </c>
      <c r="E63" s="10">
        <f t="shared" si="2"/>
        <v>552462.60425677896</v>
      </c>
      <c r="F63" s="3"/>
      <c r="G63" s="30">
        <v>11.44</v>
      </c>
      <c r="H63" s="10"/>
      <c r="I63" s="10">
        <f t="shared" si="8"/>
        <v>803.83014079496581</v>
      </c>
      <c r="J63" s="10">
        <f t="shared" si="6"/>
        <v>19181895922.65477</v>
      </c>
      <c r="K63" s="11">
        <f t="shared" si="7"/>
        <v>0.14081128000000009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23310658.407458961</v>
      </c>
      <c r="D64" s="11">
        <v>2.3300000000000001E-2</v>
      </c>
      <c r="E64" s="10">
        <f t="shared" si="2"/>
        <v>530771.36801895499</v>
      </c>
      <c r="F64" s="3"/>
      <c r="G64" s="30">
        <v>9.89</v>
      </c>
      <c r="H64" s="10"/>
      <c r="I64" s="10">
        <f t="shared" si="8"/>
        <v>721.31204306798793</v>
      </c>
      <c r="J64" s="10">
        <f t="shared" si="6"/>
        <v>16814258641.144194</v>
      </c>
      <c r="K64" s="11">
        <f t="shared" si="7"/>
        <v>0.12450437000000014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22779887.039440006</v>
      </c>
      <c r="D65" s="11">
        <v>2.3199999999999998E-2</v>
      </c>
      <c r="E65" s="10">
        <f t="shared" si="2"/>
        <v>516510.33944000304</v>
      </c>
      <c r="F65" s="3"/>
      <c r="G65" s="30">
        <v>6</v>
      </c>
      <c r="H65" s="10"/>
      <c r="I65" s="10">
        <f t="shared" si="8"/>
        <v>656.39461558648463</v>
      </c>
      <c r="J65" s="10">
        <f t="shared" si="6"/>
        <v>14952595196.356766</v>
      </c>
      <c r="K65" s="11">
        <f t="shared" si="7"/>
        <v>8.4592000000000223E-2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22263376.700000003</v>
      </c>
      <c r="D66" s="11">
        <v>2.35E-2</v>
      </c>
      <c r="E66" s="10">
        <f t="shared" si="2"/>
        <v>511176.70000000298</v>
      </c>
      <c r="F66" s="23">
        <f>SUM(F2)</f>
        <v>79558877</v>
      </c>
      <c r="G66" s="30">
        <v>8.4</v>
      </c>
      <c r="H66" s="10"/>
      <c r="I66" s="10">
        <f t="shared" si="8"/>
        <v>619.240203383476</v>
      </c>
      <c r="J66" s="10">
        <f t="shared" ref="J66:J67" si="9">IF(I66="","",I66*C66)</f>
        <v>13786377915.710943</v>
      </c>
      <c r="K66" s="11">
        <f t="shared" ref="K66" si="10">IFERROR(J66/J67-1,"")</f>
        <v>0.10947400000000029</v>
      </c>
    </row>
    <row r="67" spans="1:11" ht="22.5" customHeight="1">
      <c r="A67" s="3">
        <f t="shared" si="0"/>
        <v>1950</v>
      </c>
      <c r="B67" s="3">
        <v>1700</v>
      </c>
      <c r="C67" s="10">
        <v>21752200</v>
      </c>
      <c r="D67" s="11">
        <v>2.4199999999999999E-2</v>
      </c>
      <c r="E67" s="3" t="s">
        <v>72</v>
      </c>
      <c r="F67" s="10">
        <f>SUM(C2)</f>
        <v>79558708.221049875</v>
      </c>
      <c r="G67" s="30"/>
      <c r="H67" s="10"/>
      <c r="I67" s="10">
        <f t="shared" ref="I67" si="11">IF(H67&lt;&gt;"",H67,I66/(1+IF(G66="",0,G66)/100))</f>
        <v>571.25480016925826</v>
      </c>
      <c r="J67" s="10">
        <f t="shared" si="9"/>
        <v>12426048664.241739</v>
      </c>
      <c r="K67" s="11"/>
    </row>
  </sheetData>
  <dataValidations count="1">
    <dataValidation type="custom" allowBlank="1" showDropDown="1" sqref="D2:D67" xr:uid="{00000000-0002-0000-8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outlinePr summaryBelow="0" summaryRight="0"/>
  </sheetPr>
  <dimension ref="A1:M67"/>
  <sheetViews>
    <sheetView topLeftCell="A32" workbookViewId="0">
      <selection activeCell="I57" sqref="I5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2162590.4836562523</v>
      </c>
      <c r="D2" s="11">
        <v>-1.4200000000000001E-2</v>
      </c>
      <c r="E2" s="10">
        <f t="shared" ref="E2:E66" si="2">SUM(C2-C3)</f>
        <v>-31151.130927083548</v>
      </c>
      <c r="F2" s="14">
        <v>2162677</v>
      </c>
      <c r="G2" s="29">
        <v>1.2</v>
      </c>
      <c r="H2" s="10"/>
      <c r="I2" s="10">
        <f>IF(H2&lt;&gt;"",H2,105712)</f>
        <v>13214</v>
      </c>
      <c r="J2" s="10">
        <f t="shared" ref="J2:J33" si="3">IF(I2="","",I2*C2)</f>
        <v>28576470651.033718</v>
      </c>
      <c r="K2" s="11">
        <f t="shared" ref="K2:K33" si="4">IFERROR(J2/J3-1,"")</f>
        <v>-2.3703999999999947E-3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2193741.6145833358</v>
      </c>
      <c r="D3" s="11">
        <v>-1.3100000000000001E-2</v>
      </c>
      <c r="E3" s="10">
        <f t="shared" si="2"/>
        <v>-29119.480343542062</v>
      </c>
      <c r="F3" s="3"/>
      <c r="G3" s="29">
        <v>1.81</v>
      </c>
      <c r="H3" s="10"/>
      <c r="I3" s="10">
        <f t="shared" ref="I3:I34" si="5">IF(H3&lt;&gt;"",H3,I2/(1+IF(G2="",0,G2)/100))</f>
        <v>13057.312252964426</v>
      </c>
      <c r="J3" s="10">
        <f t="shared" si="3"/>
        <v>28644369263.936954</v>
      </c>
      <c r="K3" s="11">
        <f t="shared" si="4"/>
        <v>4.7628900000000751E-3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2222861.0949268779</v>
      </c>
      <c r="D4" s="11">
        <v>-1.37E-2</v>
      </c>
      <c r="E4" s="10">
        <f t="shared" si="2"/>
        <v>-30876.200953562278</v>
      </c>
      <c r="F4" s="3"/>
      <c r="G4" s="29">
        <v>1.2</v>
      </c>
      <c r="H4" s="10"/>
      <c r="I4" s="10">
        <f t="shared" si="5"/>
        <v>12825.1765572777</v>
      </c>
      <c r="J4" s="10">
        <f t="shared" si="3"/>
        <v>28508586004.740833</v>
      </c>
      <c r="K4" s="11">
        <f t="shared" si="4"/>
        <v>-1.8644000000000993E-3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2253737.2958804402</v>
      </c>
      <c r="D5" s="11">
        <v>-1.4800000000000001E-2</v>
      </c>
      <c r="E5" s="10">
        <f t="shared" si="2"/>
        <v>-33856.386499219108</v>
      </c>
      <c r="F5" s="3"/>
      <c r="G5" s="29">
        <v>2.86</v>
      </c>
      <c r="H5" s="10"/>
      <c r="I5" s="10">
        <f t="shared" si="5"/>
        <v>12673.099364898913</v>
      </c>
      <c r="J5" s="10">
        <f t="shared" si="3"/>
        <v>28561836693.0714</v>
      </c>
      <c r="K5" s="11">
        <f t="shared" si="4"/>
        <v>1.3376719999999676E-2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2287593.6823796593</v>
      </c>
      <c r="D6" s="11">
        <v>-1.4800000000000001E-2</v>
      </c>
      <c r="E6" s="10">
        <f t="shared" si="2"/>
        <v>-34364.988326450344</v>
      </c>
      <c r="F6" s="3"/>
      <c r="G6" s="29">
        <v>9.07</v>
      </c>
      <c r="H6" s="10"/>
      <c r="I6" s="10">
        <f t="shared" si="5"/>
        <v>12320.726584579928</v>
      </c>
      <c r="J6" s="10">
        <f t="shared" si="3"/>
        <v>28184816297.212162</v>
      </c>
      <c r="K6" s="11">
        <f t="shared" si="4"/>
        <v>7.4557640000000092E-2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2321958.6707061096</v>
      </c>
      <c r="D7" s="11">
        <v>-1.18E-2</v>
      </c>
      <c r="E7" s="10">
        <f t="shared" si="2"/>
        <v>-27726.282447209116</v>
      </c>
      <c r="F7" s="3"/>
      <c r="G7" s="29">
        <v>8.08</v>
      </c>
      <c r="H7" s="10"/>
      <c r="I7" s="10">
        <f t="shared" si="5"/>
        <v>11296.164467387851</v>
      </c>
      <c r="J7" s="10">
        <f t="shared" si="3"/>
        <v>26229227030.773483</v>
      </c>
      <c r="K7" s="11">
        <f t="shared" si="4"/>
        <v>6.8046559999999978E-2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2349684.9531533187</v>
      </c>
      <c r="D8" s="11">
        <v>-4.4999999999999997E-3</v>
      </c>
      <c r="E8" s="10">
        <f t="shared" si="2"/>
        <v>-10621.378492405638</v>
      </c>
      <c r="F8" s="3"/>
      <c r="G8" s="29">
        <v>5.0199999999999996</v>
      </c>
      <c r="H8" s="10"/>
      <c r="I8" s="10">
        <f t="shared" si="5"/>
        <v>10451.669566421031</v>
      </c>
      <c r="J8" s="10">
        <f t="shared" si="3"/>
        <v>24558130715.549969</v>
      </c>
      <c r="K8" s="11">
        <f t="shared" si="4"/>
        <v>4.5474100000000073E-2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2360306.3316457244</v>
      </c>
      <c r="D9" s="11">
        <v>6.4999999999999997E-3</v>
      </c>
      <c r="E9" s="10">
        <f t="shared" si="2"/>
        <v>15242.912226226646</v>
      </c>
      <c r="F9" s="3"/>
      <c r="G9" s="29">
        <v>-0.63</v>
      </c>
      <c r="H9" s="10"/>
      <c r="I9" s="10">
        <f t="shared" si="5"/>
        <v>9952.075382232937</v>
      </c>
      <c r="J9" s="10">
        <f t="shared" si="3"/>
        <v>23489946537.699944</v>
      </c>
      <c r="K9" s="11">
        <f t="shared" si="4"/>
        <v>1.5904999999993841E-4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2345063.4194194977</v>
      </c>
      <c r="D10" s="11">
        <v>1.89E-2</v>
      </c>
      <c r="E10" s="10">
        <f t="shared" si="2"/>
        <v>43499.556999733206</v>
      </c>
      <c r="F10" s="3"/>
      <c r="G10" s="29">
        <v>2.08</v>
      </c>
      <c r="H10" s="10"/>
      <c r="I10" s="10">
        <f t="shared" si="5"/>
        <v>10015.170959276378</v>
      </c>
      <c r="J10" s="10">
        <f t="shared" si="3"/>
        <v>23486211055.831516</v>
      </c>
      <c r="K10" s="11">
        <f t="shared" si="4"/>
        <v>4.0093119999999871E-2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2301563.8624197645</v>
      </c>
      <c r="D11" s="11">
        <v>3.04E-2</v>
      </c>
      <c r="E11" s="10">
        <f t="shared" si="2"/>
        <v>67903.28165524127</v>
      </c>
      <c r="F11" s="3"/>
      <c r="G11" s="29">
        <v>6.07</v>
      </c>
      <c r="H11" s="10"/>
      <c r="I11" s="10">
        <f t="shared" si="5"/>
        <v>9811.100077661029</v>
      </c>
      <c r="J11" s="10">
        <f t="shared" si="3"/>
        <v>22580873389.328369</v>
      </c>
      <c r="K11" s="11">
        <f t="shared" si="4"/>
        <v>9.2945279999999686E-2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2233660.5807645232</v>
      </c>
      <c r="D12" s="11">
        <v>3.9399999999999998E-2</v>
      </c>
      <c r="E12" s="10">
        <f t="shared" si="2"/>
        <v>84670.220206005964</v>
      </c>
      <c r="F12" s="3"/>
      <c r="G12" s="29">
        <v>3.96</v>
      </c>
      <c r="H12" s="10"/>
      <c r="I12" s="10">
        <f t="shared" si="5"/>
        <v>9249.6465331017534</v>
      </c>
      <c r="J12" s="10">
        <f t="shared" si="3"/>
        <v>20660570846.994621</v>
      </c>
      <c r="K12" s="11">
        <f t="shared" si="4"/>
        <v>8.0560240000000061E-2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2148990.3605585173</v>
      </c>
      <c r="D13" s="11">
        <v>4.6199999999999998E-2</v>
      </c>
      <c r="E13" s="10">
        <f t="shared" si="2"/>
        <v>94899.019936726661</v>
      </c>
      <c r="F13" s="3"/>
      <c r="G13" s="29">
        <v>1.41</v>
      </c>
      <c r="H13" s="10"/>
      <c r="I13" s="10">
        <f t="shared" si="5"/>
        <v>8897.3129406519365</v>
      </c>
      <c r="J13" s="10">
        <f t="shared" si="3"/>
        <v>19120239744.333569</v>
      </c>
      <c r="K13" s="11">
        <f t="shared" si="4"/>
        <v>6.0951419999999867E-2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2054091.3406217906</v>
      </c>
      <c r="D14" s="11">
        <v>4.9099999999999998E-2</v>
      </c>
      <c r="E14" s="10">
        <f t="shared" si="2"/>
        <v>96135.625607215567</v>
      </c>
      <c r="F14" s="3"/>
      <c r="G14" s="29">
        <v>2.1800000000000002</v>
      </c>
      <c r="H14" s="10"/>
      <c r="I14" s="10">
        <f t="shared" si="5"/>
        <v>8773.6051086203897</v>
      </c>
      <c r="J14" s="10">
        <f t="shared" si="3"/>
        <v>18021786279.652248</v>
      </c>
      <c r="K14" s="11">
        <f t="shared" si="4"/>
        <v>7.197038E-2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1957955.715014575</v>
      </c>
      <c r="D15" s="11">
        <v>4.8599999999999997E-2</v>
      </c>
      <c r="E15" s="10">
        <f t="shared" si="2"/>
        <v>90746.373974545393</v>
      </c>
      <c r="F15" s="3"/>
      <c r="G15" s="29">
        <v>0.79</v>
      </c>
      <c r="H15" s="10"/>
      <c r="I15" s="10">
        <f t="shared" si="5"/>
        <v>8586.4211280293493</v>
      </c>
      <c r="J15" s="10">
        <f t="shared" si="3"/>
        <v>16811832319.146959</v>
      </c>
      <c r="K15" s="11">
        <f t="shared" si="4"/>
        <v>5.6883939999999855E-2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1867209.3410400297</v>
      </c>
      <c r="D16" s="11">
        <v>4.4699999999999997E-2</v>
      </c>
      <c r="E16" s="10">
        <f t="shared" si="2"/>
        <v>79893.038713974645</v>
      </c>
      <c r="F16" s="3"/>
      <c r="G16" s="29">
        <v>-2.37</v>
      </c>
      <c r="H16" s="10"/>
      <c r="I16" s="10">
        <f t="shared" si="5"/>
        <v>8519.1200794020733</v>
      </c>
      <c r="J16" s="10">
        <f t="shared" si="3"/>
        <v>15906980589.701231</v>
      </c>
      <c r="K16" s="11">
        <f t="shared" si="4"/>
        <v>1.9940609999999914E-2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1787316.302326055</v>
      </c>
      <c r="D17" s="11">
        <v>3.9199999999999999E-2</v>
      </c>
      <c r="E17" s="10">
        <f t="shared" si="2"/>
        <v>67419.937501136679</v>
      </c>
      <c r="F17" s="3"/>
      <c r="G17" s="29">
        <v>-4.45</v>
      </c>
      <c r="H17" s="10"/>
      <c r="I17" s="10">
        <f t="shared" si="5"/>
        <v>8725.9244898105844</v>
      </c>
      <c r="J17" s="10">
        <f t="shared" si="3"/>
        <v>15595987093.504622</v>
      </c>
      <c r="K17" s="11">
        <f t="shared" si="4"/>
        <v>-7.0444000000000617E-3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1719896.3648249183</v>
      </c>
      <c r="D18" s="11">
        <v>3.5099999999999999E-2</v>
      </c>
      <c r="E18" s="10">
        <f t="shared" si="2"/>
        <v>58321.285291618668</v>
      </c>
      <c r="F18" s="3"/>
      <c r="G18" s="29">
        <v>10.33</v>
      </c>
      <c r="H18" s="10"/>
      <c r="I18" s="10">
        <f t="shared" si="5"/>
        <v>9132.312391219868</v>
      </c>
      <c r="J18" s="10">
        <f t="shared" si="3"/>
        <v>15706630884.104609</v>
      </c>
      <c r="K18" s="11">
        <f t="shared" si="4"/>
        <v>0.14202582999999969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1661575.0795332997</v>
      </c>
      <c r="D19" s="11">
        <v>3.5400000000000001E-2</v>
      </c>
      <c r="E19" s="10">
        <f t="shared" si="2"/>
        <v>56808.728815413313</v>
      </c>
      <c r="F19" s="3"/>
      <c r="G19" s="29">
        <v>3.73</v>
      </c>
      <c r="H19" s="10"/>
      <c r="I19" s="10">
        <f t="shared" si="5"/>
        <v>8277.2703627480005</v>
      </c>
      <c r="J19" s="10">
        <f t="shared" si="3"/>
        <v>13753306161.301634</v>
      </c>
      <c r="K19" s="11">
        <f t="shared" si="4"/>
        <v>7.4020420000000309E-2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1604766.3507178864</v>
      </c>
      <c r="D20" s="11">
        <v>3.8800000000000001E-2</v>
      </c>
      <c r="E20" s="10">
        <f t="shared" si="2"/>
        <v>59939.289957502857</v>
      </c>
      <c r="F20" s="3"/>
      <c r="G20" s="29">
        <v>4.74</v>
      </c>
      <c r="H20" s="10"/>
      <c r="I20" s="10">
        <f t="shared" si="5"/>
        <v>7979.6301578598277</v>
      </c>
      <c r="J20" s="10">
        <f t="shared" si="3"/>
        <v>12805441968.507107</v>
      </c>
      <c r="K20" s="11">
        <f t="shared" si="4"/>
        <v>8.8039120000000137E-2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1544827.0607603835</v>
      </c>
      <c r="D21" s="11">
        <v>4.3099999999999999E-2</v>
      </c>
      <c r="E21" s="10">
        <f t="shared" si="2"/>
        <v>63830.933102073148</v>
      </c>
      <c r="F21" s="3"/>
      <c r="G21" s="29">
        <v>3.98</v>
      </c>
      <c r="H21" s="10"/>
      <c r="I21" s="10">
        <f t="shared" si="5"/>
        <v>7618.5126578764821</v>
      </c>
      <c r="J21" s="10">
        <f t="shared" si="3"/>
        <v>11769284516.633102</v>
      </c>
      <c r="K21" s="11">
        <f t="shared" si="4"/>
        <v>8.4615380000000018E-2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1480996.1276583103</v>
      </c>
      <c r="D22" s="11">
        <v>4.6399999999999997E-2</v>
      </c>
      <c r="E22" s="10">
        <f t="shared" si="2"/>
        <v>65671.082113289041</v>
      </c>
      <c r="F22" s="3"/>
      <c r="G22" s="29">
        <v>6.01</v>
      </c>
      <c r="H22" s="10"/>
      <c r="I22" s="10">
        <f t="shared" si="5"/>
        <v>7326.9019598735158</v>
      </c>
      <c r="J22" s="10">
        <f t="shared" si="3"/>
        <v>10851113430.304762</v>
      </c>
      <c r="K22" s="11">
        <f t="shared" si="4"/>
        <v>0.10928864000000016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1415325.0455450213</v>
      </c>
      <c r="D23" s="11">
        <v>4.8300000000000003E-2</v>
      </c>
      <c r="E23" s="10">
        <f t="shared" si="2"/>
        <v>65210.531050104415</v>
      </c>
      <c r="F23" s="3"/>
      <c r="G23" s="29">
        <v>2.0099999999999998</v>
      </c>
      <c r="H23" s="10"/>
      <c r="I23" s="10">
        <f t="shared" si="5"/>
        <v>6911.5196301042497</v>
      </c>
      <c r="J23" s="10">
        <f t="shared" si="3"/>
        <v>9782046835.2626057</v>
      </c>
      <c r="K23" s="11">
        <f t="shared" si="4"/>
        <v>6.9370829999999772E-2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1350114.5144949169</v>
      </c>
      <c r="D24" s="11">
        <v>4.9099999999999998E-2</v>
      </c>
      <c r="E24" s="10">
        <f t="shared" si="2"/>
        <v>63188.087562387111</v>
      </c>
      <c r="F24" s="3"/>
      <c r="G24" s="29">
        <v>7.79</v>
      </c>
      <c r="H24" s="10"/>
      <c r="I24" s="10">
        <f t="shared" si="5"/>
        <v>6775.3353887895792</v>
      </c>
      <c r="J24" s="10">
        <f t="shared" si="3"/>
        <v>9147478648.975872</v>
      </c>
      <c r="K24" s="11">
        <f t="shared" si="4"/>
        <v>0.13082488999999997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1286926.4269325298</v>
      </c>
      <c r="D25" s="11">
        <v>4.9599999999999998E-2</v>
      </c>
      <c r="E25" s="10">
        <f t="shared" si="2"/>
        <v>60815.120784921572</v>
      </c>
      <c r="F25" s="3"/>
      <c r="G25" s="29">
        <v>-5.69</v>
      </c>
      <c r="H25" s="10"/>
      <c r="I25" s="10">
        <f t="shared" si="5"/>
        <v>6285.6808505330537</v>
      </c>
      <c r="J25" s="10">
        <f t="shared" si="3"/>
        <v>8089208797.8147278</v>
      </c>
      <c r="K25" s="11">
        <f t="shared" si="4"/>
        <v>-1.0122239999999727E-2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1226111.3061476082</v>
      </c>
      <c r="D26" s="11">
        <v>4.9799999999999997E-2</v>
      </c>
      <c r="E26" s="10">
        <f t="shared" si="2"/>
        <v>58163.786479473114</v>
      </c>
      <c r="F26" s="3"/>
      <c r="G26" s="29">
        <v>-3.9</v>
      </c>
      <c r="H26" s="10"/>
      <c r="I26" s="10">
        <f t="shared" si="5"/>
        <v>6664.9144847132366</v>
      </c>
      <c r="J26" s="10">
        <f t="shared" si="3"/>
        <v>8171927004.2138596</v>
      </c>
      <c r="K26" s="11">
        <f t="shared" si="4"/>
        <v>8.8577999999999157E-3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1167947.5196681351</v>
      </c>
      <c r="D27" s="11">
        <v>5.0099999999999999E-2</v>
      </c>
      <c r="E27" s="10">
        <f t="shared" si="2"/>
        <v>55722.474750379566</v>
      </c>
      <c r="F27" s="3"/>
      <c r="G27" s="29">
        <v>-3.31</v>
      </c>
      <c r="H27" s="10"/>
      <c r="I27" s="10">
        <f t="shared" si="5"/>
        <v>6935.3948852374997</v>
      </c>
      <c r="J27" s="10">
        <f t="shared" si="3"/>
        <v>8100177254.1322079</v>
      </c>
      <c r="K27" s="11">
        <f t="shared" si="4"/>
        <v>1.5341690000000074E-2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1112225.0449177555</v>
      </c>
      <c r="D28" s="11">
        <v>5.0299999999999997E-2</v>
      </c>
      <c r="E28" s="10">
        <f t="shared" si="2"/>
        <v>53265.657202097587</v>
      </c>
      <c r="F28" s="3"/>
      <c r="G28" s="29">
        <v>13.6</v>
      </c>
      <c r="H28" s="10"/>
      <c r="I28" s="10">
        <f t="shared" si="5"/>
        <v>7172.8150638509669</v>
      </c>
      <c r="J28" s="10">
        <f t="shared" si="3"/>
        <v>7977784556.5783949</v>
      </c>
      <c r="K28" s="11">
        <f t="shared" si="4"/>
        <v>0.19314080000000011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1058959.3877156579</v>
      </c>
      <c r="D29" s="11">
        <v>5.0200000000000002E-2</v>
      </c>
      <c r="E29" s="10">
        <f t="shared" si="2"/>
        <v>50618.7024027101</v>
      </c>
      <c r="F29" s="3"/>
      <c r="G29" s="29">
        <v>13.51</v>
      </c>
      <c r="H29" s="10"/>
      <c r="I29" s="10">
        <f t="shared" si="5"/>
        <v>6314.0977674744418</v>
      </c>
      <c r="J29" s="10">
        <f t="shared" si="3"/>
        <v>6686373105.821538</v>
      </c>
      <c r="K29" s="11">
        <f t="shared" si="4"/>
        <v>0.19208202000000019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1008340.6853129478</v>
      </c>
      <c r="D30" s="11">
        <v>4.9599999999999998E-2</v>
      </c>
      <c r="E30" s="10">
        <f t="shared" si="2"/>
        <v>47650.245799849741</v>
      </c>
      <c r="F30" s="3"/>
      <c r="G30" s="29">
        <v>9.59</v>
      </c>
      <c r="H30" s="10"/>
      <c r="I30" s="10">
        <f t="shared" si="5"/>
        <v>5562.5916372781621</v>
      </c>
      <c r="J30" s="10">
        <f t="shared" si="3"/>
        <v>5608987463.6491346</v>
      </c>
      <c r="K30" s="11">
        <f t="shared" si="4"/>
        <v>0.15025664000000005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960690.4395130981</v>
      </c>
      <c r="D31" s="11">
        <v>4.87E-2</v>
      </c>
      <c r="E31" s="10">
        <f t="shared" si="2"/>
        <v>44612.972636872204</v>
      </c>
      <c r="F31" s="3"/>
      <c r="G31" s="29">
        <v>5.0999999999999996</v>
      </c>
      <c r="H31" s="10"/>
      <c r="I31" s="10">
        <f t="shared" si="5"/>
        <v>5075.8204555873363</v>
      </c>
      <c r="J31" s="10">
        <f t="shared" si="3"/>
        <v>4876292184.3677721</v>
      </c>
      <c r="K31" s="11">
        <f t="shared" si="4"/>
        <v>0.1021837000000001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916077.4668762259</v>
      </c>
      <c r="D32" s="11">
        <v>4.7600000000000003E-2</v>
      </c>
      <c r="E32" s="10">
        <f t="shared" si="2"/>
        <v>41623.985703807208</v>
      </c>
      <c r="F32" s="3"/>
      <c r="G32" s="29">
        <v>7.1</v>
      </c>
      <c r="H32" s="10"/>
      <c r="I32" s="10">
        <f t="shared" si="5"/>
        <v>4829.5151813390448</v>
      </c>
      <c r="J32" s="10">
        <f t="shared" si="3"/>
        <v>4424210033.5613489</v>
      </c>
      <c r="K32" s="11">
        <f t="shared" si="4"/>
        <v>0.12197959999999997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874453.48117241869</v>
      </c>
      <c r="D33" s="11">
        <v>4.6199999999999998E-2</v>
      </c>
      <c r="E33" s="10">
        <f t="shared" si="2"/>
        <v>38615.705247721053</v>
      </c>
      <c r="F33" s="3"/>
      <c r="G33" s="29">
        <v>3.6</v>
      </c>
      <c r="H33" s="10"/>
      <c r="I33" s="10">
        <f t="shared" si="5"/>
        <v>4509.3512430803412</v>
      </c>
      <c r="J33" s="10">
        <f t="shared" si="3"/>
        <v>3943217892.3407779</v>
      </c>
      <c r="K33" s="11">
        <f t="shared" si="4"/>
        <v>8.3863200000000138E-2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835837.77592469763</v>
      </c>
      <c r="D34" s="11">
        <v>4.4400000000000002E-2</v>
      </c>
      <c r="E34" s="10">
        <f t="shared" si="2"/>
        <v>35533.509432264022</v>
      </c>
      <c r="F34" s="3"/>
      <c r="G34" s="29">
        <v>-0.8</v>
      </c>
      <c r="H34" s="10"/>
      <c r="I34" s="10">
        <f t="shared" si="5"/>
        <v>4352.6556400389391</v>
      </c>
      <c r="J34" s="10">
        <f t="shared" ref="J34:J65" si="6">IF(I34="","",I34*C34)</f>
        <v>3638114009.5362382</v>
      </c>
      <c r="K34" s="11">
        <f t="shared" ref="K34:K65" si="7">IFERROR(J34/J35-1,"")</f>
        <v>4.9621999999999833E-2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800304.26649243361</v>
      </c>
      <c r="D35" s="11">
        <v>4.2700000000000002E-2</v>
      </c>
      <c r="E35" s="10">
        <f t="shared" si="2"/>
        <v>32773.561119427322</v>
      </c>
      <c r="F35" s="3"/>
      <c r="G35" s="29">
        <v>-7.6</v>
      </c>
      <c r="H35" s="10"/>
      <c r="I35" s="10">
        <f t="shared" ref="I35:I66" si="8">IF(H35&lt;&gt;"",H35,I34/(1+IF(G34="",0,G34)/100))</f>
        <v>4331.0006368546665</v>
      </c>
      <c r="J35" s="10">
        <f t="shared" si="6"/>
        <v>3466118287.8562369</v>
      </c>
      <c r="K35" s="11">
        <f t="shared" si="7"/>
        <v>-8.3923000000001302E-3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767530.70537300629</v>
      </c>
      <c r="D36" s="11">
        <v>4.0099999999999997E-2</v>
      </c>
      <c r="E36" s="10">
        <f t="shared" si="2"/>
        <v>29591.367450685124</v>
      </c>
      <c r="F36" s="3"/>
      <c r="G36" s="29">
        <v>-6.7</v>
      </c>
      <c r="H36" s="10"/>
      <c r="I36" s="10">
        <f t="shared" si="8"/>
        <v>4554.1541922762008</v>
      </c>
      <c r="J36" s="10">
        <f t="shared" si="6"/>
        <v>3495453179.5751863</v>
      </c>
      <c r="K36" s="11">
        <f t="shared" si="7"/>
        <v>2.0338100000000026E-2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737939.33792232117</v>
      </c>
      <c r="D37" s="11">
        <v>3.7400000000000003E-2</v>
      </c>
      <c r="E37" s="10">
        <f t="shared" si="2"/>
        <v>26603.943742331699</v>
      </c>
      <c r="F37" s="3"/>
      <c r="G37" s="29">
        <v>-0.93</v>
      </c>
      <c r="H37" s="10"/>
      <c r="I37" s="10">
        <f t="shared" si="8"/>
        <v>4642.3590135333343</v>
      </c>
      <c r="J37" s="10">
        <f t="shared" si="6"/>
        <v>3425779336.8445086</v>
      </c>
      <c r="K37" s="11">
        <f t="shared" si="7"/>
        <v>8.2734380000000218E-2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711335.39417998947</v>
      </c>
      <c r="D38" s="11">
        <v>3.4700000000000002E-2</v>
      </c>
      <c r="E38" s="10">
        <f t="shared" si="2"/>
        <v>23855.55057315703</v>
      </c>
      <c r="F38" s="3"/>
      <c r="G38" s="29">
        <v>8.19</v>
      </c>
      <c r="H38" s="10"/>
      <c r="I38" s="10">
        <f t="shared" si="8"/>
        <v>4447.9821917536974</v>
      </c>
      <c r="J38" s="10">
        <f t="shared" si="6"/>
        <v>3164007165.6766896</v>
      </c>
      <c r="K38" s="11">
        <f t="shared" si="7"/>
        <v>0.15772582999999996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687479.84360683244</v>
      </c>
      <c r="D39" s="11">
        <v>3.3000000000000002E-2</v>
      </c>
      <c r="E39" s="10">
        <f t="shared" si="2"/>
        <v>21962.086000992684</v>
      </c>
      <c r="F39" s="3"/>
      <c r="G39" s="29">
        <v>14.88</v>
      </c>
      <c r="H39" s="10"/>
      <c r="I39" s="10">
        <f t="shared" si="8"/>
        <v>3975.317000405485</v>
      </c>
      <c r="J39" s="10">
        <f t="shared" si="6"/>
        <v>2732950309.7263451</v>
      </c>
      <c r="K39" s="11">
        <f t="shared" si="7"/>
        <v>0.18671039999999994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665517.75760583975</v>
      </c>
      <c r="D40" s="11">
        <v>3.2500000000000001E-2</v>
      </c>
      <c r="E40" s="10">
        <f t="shared" si="2"/>
        <v>20948.500844735885</v>
      </c>
      <c r="F40" s="3"/>
      <c r="G40" s="29">
        <v>31.64</v>
      </c>
      <c r="H40" s="10"/>
      <c r="I40" s="10">
        <f t="shared" si="8"/>
        <v>3460.4082524421005</v>
      </c>
      <c r="J40" s="10">
        <f t="shared" si="6"/>
        <v>2302963140.5660095</v>
      </c>
      <c r="K40" s="11">
        <f t="shared" si="7"/>
        <v>0.35918300000000003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644569.25676110387</v>
      </c>
      <c r="D41" s="11">
        <v>3.3700000000000001E-2</v>
      </c>
      <c r="E41" s="10">
        <f t="shared" si="2"/>
        <v>21013.818276917096</v>
      </c>
      <c r="F41" s="3"/>
      <c r="G41" s="29">
        <v>14.36</v>
      </c>
      <c r="H41" s="10"/>
      <c r="I41" s="10">
        <f t="shared" si="8"/>
        <v>2628.690559436418</v>
      </c>
      <c r="J41" s="10">
        <f t="shared" si="6"/>
        <v>1694373120.1508622</v>
      </c>
      <c r="K41" s="11">
        <f t="shared" si="7"/>
        <v>0.18213931999999988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623555.43848418677</v>
      </c>
      <c r="D42" s="11">
        <v>3.6299999999999999E-2</v>
      </c>
      <c r="E42" s="10">
        <f t="shared" si="2"/>
        <v>21842.190887750592</v>
      </c>
      <c r="F42" s="3"/>
      <c r="G42" s="29">
        <v>-1.9</v>
      </c>
      <c r="H42" s="10"/>
      <c r="I42" s="10">
        <f t="shared" si="8"/>
        <v>2298.6101429139717</v>
      </c>
      <c r="J42" s="10">
        <f t="shared" si="6"/>
        <v>1433310855.5689209</v>
      </c>
      <c r="K42" s="11">
        <f t="shared" si="7"/>
        <v>1.6610299999999967E-2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601713.24759643618</v>
      </c>
      <c r="D43" s="11">
        <v>3.9899999999999998E-2</v>
      </c>
      <c r="E43" s="10">
        <f t="shared" si="2"/>
        <v>23087.180093372241</v>
      </c>
      <c r="F43" s="3"/>
      <c r="G43" s="29">
        <v>-4.6500000000000004</v>
      </c>
      <c r="H43" s="10"/>
      <c r="I43" s="10">
        <f t="shared" si="8"/>
        <v>2343.1296054168929</v>
      </c>
      <c r="J43" s="10">
        <f t="shared" si="6"/>
        <v>1409892124.4147546</v>
      </c>
      <c r="K43" s="11">
        <f t="shared" si="7"/>
        <v>-8.4553499999999726E-3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578626.06750306394</v>
      </c>
      <c r="D44" s="11">
        <v>4.4200000000000003E-2</v>
      </c>
      <c r="E44" s="10">
        <f t="shared" si="2"/>
        <v>24492.695061899489</v>
      </c>
      <c r="F44" s="3"/>
      <c r="G44" s="29">
        <v>34</v>
      </c>
      <c r="H44" s="10"/>
      <c r="I44" s="10">
        <f t="shared" si="8"/>
        <v>2457.3986422830549</v>
      </c>
      <c r="J44" s="10">
        <f t="shared" si="6"/>
        <v>1421914912.6716125</v>
      </c>
      <c r="K44" s="11">
        <f t="shared" si="7"/>
        <v>0.39922800000000014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554133.37244116445</v>
      </c>
      <c r="D45" s="11">
        <v>4.8800000000000003E-2</v>
      </c>
      <c r="E45" s="10">
        <f t="shared" si="2"/>
        <v>25783.474995355471</v>
      </c>
      <c r="F45" s="3"/>
      <c r="G45" s="29">
        <v>32.270000000000003</v>
      </c>
      <c r="H45" s="10"/>
      <c r="I45" s="10">
        <f t="shared" si="8"/>
        <v>1833.8795837933244</v>
      </c>
      <c r="J45" s="10">
        <f t="shared" si="6"/>
        <v>1016213878.4183939</v>
      </c>
      <c r="K45" s="11">
        <f t="shared" si="7"/>
        <v>0.38724775999999994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528349.89744580898</v>
      </c>
      <c r="D46" s="11">
        <v>5.3499999999999999E-2</v>
      </c>
      <c r="E46" s="10">
        <f t="shared" si="2"/>
        <v>26831.247758282756</v>
      </c>
      <c r="F46" s="3"/>
      <c r="G46" s="29">
        <v>3.91</v>
      </c>
      <c r="H46" s="10"/>
      <c r="I46" s="10">
        <f t="shared" si="8"/>
        <v>1386.4667602580512</v>
      </c>
      <c r="J46" s="10">
        <f t="shared" si="6"/>
        <v>732539570.5943644</v>
      </c>
      <c r="K46" s="11">
        <f t="shared" si="7"/>
        <v>9.4691850000000244E-2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501518.64968752622</v>
      </c>
      <c r="D47" s="11">
        <v>5.8099999999999999E-2</v>
      </c>
      <c r="E47" s="10">
        <f t="shared" si="2"/>
        <v>27538.260605656658</v>
      </c>
      <c r="F47" s="3"/>
      <c r="G47" s="29">
        <v>9.51</v>
      </c>
      <c r="H47" s="10"/>
      <c r="I47" s="10">
        <f t="shared" si="8"/>
        <v>1334.2957946858351</v>
      </c>
      <c r="J47" s="10">
        <f t="shared" si="6"/>
        <v>669174225.23458469</v>
      </c>
      <c r="K47" s="11">
        <f t="shared" si="7"/>
        <v>0.1587253099999999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473980.38908186957</v>
      </c>
      <c r="D48" s="11">
        <v>6.25E-2</v>
      </c>
      <c r="E48" s="10">
        <f t="shared" si="2"/>
        <v>27881.199357757054</v>
      </c>
      <c r="F48" s="3"/>
      <c r="G48" s="29">
        <v>7.52</v>
      </c>
      <c r="H48" s="10"/>
      <c r="I48" s="10">
        <f t="shared" si="8"/>
        <v>1218.4237007449869</v>
      </c>
      <c r="J48" s="10">
        <f t="shared" si="6"/>
        <v>577508939.74568033</v>
      </c>
      <c r="K48" s="11">
        <f t="shared" si="7"/>
        <v>0.14239999999999986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446099.18972411251</v>
      </c>
      <c r="D49" s="11">
        <v>6.6699999999999995E-2</v>
      </c>
      <c r="E49" s="10">
        <f t="shared" si="2"/>
        <v>27894.26826155273</v>
      </c>
      <c r="F49" s="3"/>
      <c r="G49" s="29">
        <v>6.92</v>
      </c>
      <c r="H49" s="10"/>
      <c r="I49" s="10">
        <f t="shared" si="8"/>
        <v>1133.2065669131205</v>
      </c>
      <c r="J49" s="10">
        <f t="shared" si="6"/>
        <v>505522531.28998631</v>
      </c>
      <c r="K49" s="11">
        <f t="shared" si="7"/>
        <v>0.14051563999999983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418204.92146255978</v>
      </c>
      <c r="D50" s="11">
        <v>7.0999999999999994E-2</v>
      </c>
      <c r="E50" s="10">
        <f t="shared" si="2"/>
        <v>27724.135783232225</v>
      </c>
      <c r="F50" s="3"/>
      <c r="G50" s="29">
        <v>10.64</v>
      </c>
      <c r="H50" s="10"/>
      <c r="I50" s="10">
        <f t="shared" si="8"/>
        <v>1059.8639795296676</v>
      </c>
      <c r="J50" s="10">
        <f t="shared" si="6"/>
        <v>443240332.32020074</v>
      </c>
      <c r="K50" s="11">
        <f t="shared" si="7"/>
        <v>0.18495439999999985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390480.78567932756</v>
      </c>
      <c r="D51" s="11">
        <v>7.5399999999999995E-2</v>
      </c>
      <c r="E51" s="10">
        <f t="shared" si="2"/>
        <v>27377.953543073498</v>
      </c>
      <c r="F51" s="3"/>
      <c r="G51" s="29">
        <v>4</v>
      </c>
      <c r="H51" s="10"/>
      <c r="I51" s="10">
        <f t="shared" si="8"/>
        <v>957.93924397113847</v>
      </c>
      <c r="J51" s="10">
        <f t="shared" si="6"/>
        <v>374056868.61891121</v>
      </c>
      <c r="K51" s="11">
        <f t="shared" si="7"/>
        <v>0.11841599999999985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363102.83213625406</v>
      </c>
      <c r="D52" s="11">
        <v>7.9600000000000004E-2</v>
      </c>
      <c r="E52" s="10">
        <f t="shared" si="2"/>
        <v>26771.939086741244</v>
      </c>
      <c r="F52" s="3"/>
      <c r="G52" s="29">
        <v>11.43</v>
      </c>
      <c r="H52" s="10"/>
      <c r="I52" s="10">
        <f t="shared" si="8"/>
        <v>921.09542689532543</v>
      </c>
      <c r="J52" s="10">
        <f t="shared" si="6"/>
        <v>334452358.17344463</v>
      </c>
      <c r="K52" s="11">
        <f t="shared" si="7"/>
        <v>0.20299828000000031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336330.89304951282</v>
      </c>
      <c r="D53" s="11">
        <v>8.3599999999999994E-2</v>
      </c>
      <c r="E53" s="10">
        <f t="shared" si="2"/>
        <v>25948.009098319686</v>
      </c>
      <c r="F53" s="3"/>
      <c r="G53" s="29">
        <v>5</v>
      </c>
      <c r="H53" s="10"/>
      <c r="I53" s="10">
        <f t="shared" si="8"/>
        <v>826.61350345088874</v>
      </c>
      <c r="J53" s="10">
        <f t="shared" si="6"/>
        <v>278015657.82242393</v>
      </c>
      <c r="K53" s="11">
        <f t="shared" si="7"/>
        <v>0.13777999999999979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310382.88395119313</v>
      </c>
      <c r="D54" s="11">
        <v>8.72E-2</v>
      </c>
      <c r="E54" s="10">
        <f t="shared" si="2"/>
        <v>24894.580096158956</v>
      </c>
      <c r="F54" s="3"/>
      <c r="G54" s="29">
        <v>-5.08</v>
      </c>
      <c r="H54" s="10"/>
      <c r="I54" s="10">
        <f t="shared" si="8"/>
        <v>787.25095566751304</v>
      </c>
      <c r="J54" s="10">
        <f t="shared" si="6"/>
        <v>244349222.01341558</v>
      </c>
      <c r="K54" s="11">
        <f t="shared" si="7"/>
        <v>3.1970239999999928E-2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285488.30385503417</v>
      </c>
      <c r="D55" s="11">
        <v>9.0200000000000002E-2</v>
      </c>
      <c r="E55" s="10">
        <f t="shared" si="2"/>
        <v>23620.477901049424</v>
      </c>
      <c r="F55" s="3"/>
      <c r="G55" s="29">
        <v>9.06</v>
      </c>
      <c r="H55" s="10"/>
      <c r="I55" s="10">
        <f t="shared" si="8"/>
        <v>829.38364482460281</v>
      </c>
      <c r="J55" s="10">
        <f t="shared" si="6"/>
        <v>236779330.00608194</v>
      </c>
      <c r="K55" s="11">
        <f t="shared" si="7"/>
        <v>0.18897211999999985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261867.82595398475</v>
      </c>
      <c r="D56" s="11">
        <v>9.2700000000000005E-2</v>
      </c>
      <c r="E56" s="10">
        <f t="shared" si="2"/>
        <v>22215.747658034583</v>
      </c>
      <c r="F56" s="3"/>
      <c r="G56" s="29">
        <v>7.7</v>
      </c>
      <c r="H56" s="10"/>
      <c r="I56" s="10">
        <f t="shared" si="8"/>
        <v>760.48381150247826</v>
      </c>
      <c r="J56" s="10">
        <f t="shared" si="6"/>
        <v>199146242.39135394</v>
      </c>
      <c r="K56" s="11">
        <f t="shared" si="7"/>
        <v>0.17683789999999999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239652.07829595017</v>
      </c>
      <c r="D57" s="11">
        <v>9.4399999999999998E-2</v>
      </c>
      <c r="E57" s="10">
        <f t="shared" si="2"/>
        <v>20671.743595703301</v>
      </c>
      <c r="F57" s="3"/>
      <c r="G57" s="30">
        <v>5.66</v>
      </c>
      <c r="H57" s="10"/>
      <c r="I57" s="10">
        <f t="shared" si="8"/>
        <v>706.11310260211542</v>
      </c>
      <c r="J57" s="10">
        <f t="shared" si="6"/>
        <v>169221472.55059847</v>
      </c>
      <c r="K57" s="11">
        <f t="shared" si="7"/>
        <v>0.1563430400000001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218980.33470024687</v>
      </c>
      <c r="D58" s="11">
        <v>9.5500000000000002E-2</v>
      </c>
      <c r="E58" s="10">
        <f t="shared" si="2"/>
        <v>19089.568200706126</v>
      </c>
      <c r="F58" s="3"/>
      <c r="G58" s="30">
        <v>5.45</v>
      </c>
      <c r="H58" s="10"/>
      <c r="I58" s="10">
        <f t="shared" si="8"/>
        <v>668.28800170557963</v>
      </c>
      <c r="J58" s="10">
        <f t="shared" si="6"/>
        <v>146341930.28964698</v>
      </c>
      <c r="K58" s="11">
        <f t="shared" si="7"/>
        <v>0.15520475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199890.76649954074</v>
      </c>
      <c r="D59" s="11">
        <v>9.5600000000000004E-2</v>
      </c>
      <c r="E59" s="10">
        <f t="shared" si="2"/>
        <v>17442.093170277542</v>
      </c>
      <c r="F59" s="3"/>
      <c r="G59" s="30">
        <v>5.42</v>
      </c>
      <c r="H59" s="10"/>
      <c r="I59" s="10">
        <f t="shared" si="8"/>
        <v>633.74869768191525</v>
      </c>
      <c r="J59" s="10">
        <f t="shared" si="6"/>
        <v>126680512.94772376</v>
      </c>
      <c r="K59" s="11">
        <f t="shared" si="7"/>
        <v>0.15498151999999998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182448.6733292632</v>
      </c>
      <c r="D60" s="11">
        <v>9.3899999999999997E-2</v>
      </c>
      <c r="E60" s="10">
        <f t="shared" si="2"/>
        <v>15661.33140654341</v>
      </c>
      <c r="F60" s="3"/>
      <c r="G60" s="30">
        <v>5.83</v>
      </c>
      <c r="H60" s="10"/>
      <c r="I60" s="10">
        <f t="shared" si="8"/>
        <v>601.16552616383535</v>
      </c>
      <c r="J60" s="10">
        <f t="shared" si="6"/>
        <v>109681852.69988023</v>
      </c>
      <c r="K60" s="11">
        <f t="shared" si="7"/>
        <v>0.15767437000000029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166787.34192271979</v>
      </c>
      <c r="D61" s="11">
        <v>8.8800000000000004E-2</v>
      </c>
      <c r="E61" s="10">
        <f t="shared" si="2"/>
        <v>13602.788356665609</v>
      </c>
      <c r="F61" s="3"/>
      <c r="G61" s="30">
        <v>5.75</v>
      </c>
      <c r="H61" s="10"/>
      <c r="I61" s="10">
        <f t="shared" si="8"/>
        <v>568.04830970786668</v>
      </c>
      <c r="J61" s="10">
        <f t="shared" si="6"/>
        <v>94743267.659868985</v>
      </c>
      <c r="K61" s="11">
        <f t="shared" si="7"/>
        <v>0.15140599999999993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153184.55356605418</v>
      </c>
      <c r="D62" s="11">
        <v>0.08</v>
      </c>
      <c r="E62" s="10">
        <f t="shared" si="2"/>
        <v>11347.003967855882</v>
      </c>
      <c r="F62" s="3"/>
      <c r="G62" s="30">
        <v>5.64</v>
      </c>
      <c r="H62" s="10"/>
      <c r="I62" s="10">
        <f t="shared" si="8"/>
        <v>537.16152218237983</v>
      </c>
      <c r="J62" s="10">
        <f t="shared" si="6"/>
        <v>82284847.968369961</v>
      </c>
      <c r="K62" s="11">
        <f t="shared" si="7"/>
        <v>0.14091200000000015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141837.5495981983</v>
      </c>
      <c r="D63" s="11">
        <v>7.0000000000000007E-2</v>
      </c>
      <c r="E63" s="10">
        <f t="shared" si="2"/>
        <v>9279.0920297886769</v>
      </c>
      <c r="F63" s="3"/>
      <c r="G63" s="30">
        <v>5.66</v>
      </c>
      <c r="H63" s="10"/>
      <c r="I63" s="10">
        <f t="shared" si="8"/>
        <v>508.48307665882226</v>
      </c>
      <c r="J63" s="10">
        <f t="shared" si="6"/>
        <v>72121993.60544017</v>
      </c>
      <c r="K63" s="11">
        <f t="shared" si="7"/>
        <v>0.13056200000000007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132558.45756840962</v>
      </c>
      <c r="D64" s="11">
        <v>6.1600000000000002E-2</v>
      </c>
      <c r="E64" s="10">
        <f t="shared" si="2"/>
        <v>7691.7869124096178</v>
      </c>
      <c r="F64" s="3"/>
      <c r="G64" s="30">
        <v>5.48</v>
      </c>
      <c r="H64" s="10"/>
      <c r="I64" s="10">
        <f t="shared" si="8"/>
        <v>481.24463056863738</v>
      </c>
      <c r="J64" s="10">
        <f t="shared" si="6"/>
        <v>63793045.941257678</v>
      </c>
      <c r="K64" s="11">
        <f t="shared" si="7"/>
        <v>0.11977568000000005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124866.670656</v>
      </c>
      <c r="D65" s="11">
        <v>5.5599999999999997E-2</v>
      </c>
      <c r="E65" s="10">
        <f t="shared" si="2"/>
        <v>6576.9106560000073</v>
      </c>
      <c r="F65" s="3"/>
      <c r="G65" s="30">
        <v>5.49</v>
      </c>
      <c r="H65" s="10"/>
      <c r="I65" s="10">
        <f t="shared" si="8"/>
        <v>456.24253940902292</v>
      </c>
      <c r="J65" s="10">
        <f t="shared" si="6"/>
        <v>56969486.907643564</v>
      </c>
      <c r="K65" s="11">
        <f t="shared" si="7"/>
        <v>0.11355243999999987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118289.76</v>
      </c>
      <c r="D66" s="11">
        <v>5.2400000000000002E-2</v>
      </c>
      <c r="E66" s="10">
        <f t="shared" si="2"/>
        <v>5889.7599999999948</v>
      </c>
      <c r="F66" s="23">
        <f>SUM(F2)</f>
        <v>2162677</v>
      </c>
      <c r="G66" s="30">
        <v>5.59</v>
      </c>
      <c r="H66" s="10"/>
      <c r="I66" s="10">
        <f t="shared" si="8"/>
        <v>432.49837843304857</v>
      </c>
      <c r="J66" s="10">
        <f t="shared" ref="J66:J67" si="9">IF(I66="","",I66*C66)</f>
        <v>51160129.38523449</v>
      </c>
      <c r="K66" s="11">
        <f t="shared" ref="K66" si="10">IFERROR(J66/J67-1,"")</f>
        <v>0.11122915999999994</v>
      </c>
    </row>
    <row r="67" spans="1:11" ht="22.5" customHeight="1">
      <c r="A67" s="3">
        <f t="shared" si="0"/>
        <v>1950</v>
      </c>
      <c r="B67" s="3">
        <v>1700</v>
      </c>
      <c r="C67" s="10">
        <v>112400</v>
      </c>
      <c r="D67" s="11">
        <v>5.1400000000000001E-2</v>
      </c>
      <c r="E67" s="3" t="s">
        <v>72</v>
      </c>
      <c r="F67" s="10">
        <f>SUM(C2)</f>
        <v>2162590.4836562523</v>
      </c>
      <c r="G67" s="30">
        <v>5.59</v>
      </c>
      <c r="H67" s="10"/>
      <c r="I67" s="10">
        <f t="shared" ref="I67" si="11">IF(H67&lt;&gt;"",H67,I66/(1+IF(G66="",0,G66)/100))</f>
        <v>409.60164639932623</v>
      </c>
      <c r="J67" s="10">
        <f t="shared" si="9"/>
        <v>46039225.055284269</v>
      </c>
      <c r="K67" s="11"/>
    </row>
  </sheetData>
  <dataValidations count="1">
    <dataValidation type="custom" allowBlank="1" showDropDown="1" sqref="D2:D67" xr:uid="{00000000-0002-0000-8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outlinePr summaryBelow="0" summaryRight="0"/>
  </sheetPr>
  <dimension ref="A1:M68"/>
  <sheetViews>
    <sheetView workbookViewId="0">
      <selection activeCell="I71" sqref="I7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45062459.972715989</v>
      </c>
      <c r="D2" s="11">
        <v>3.5400000000000001E-2</v>
      </c>
      <c r="E2" s="10">
        <f t="shared" ref="E2:E66" si="2">SUM(C2-C3)</f>
        <v>1540671.3183640614</v>
      </c>
      <c r="F2" s="14">
        <v>45062542</v>
      </c>
      <c r="G2" s="29">
        <v>7.21</v>
      </c>
      <c r="H2" s="10"/>
      <c r="I2" s="10">
        <f>IF(H2&lt;&gt;"",H2,1872)</f>
        <v>234</v>
      </c>
      <c r="J2" s="10">
        <f t="shared" ref="J2:J33" si="3">IF(I2="","",I2*C2)</f>
        <v>10544615633.615541</v>
      </c>
      <c r="K2" s="11">
        <f t="shared" ref="K2:K33" si="4">IFERROR(J2/J3-1,"")</f>
        <v>0.11005233999999997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43521788.654351927</v>
      </c>
      <c r="D3" s="11">
        <v>3.5099999999999999E-2</v>
      </c>
      <c r="E3" s="10">
        <f t="shared" si="2"/>
        <v>1475813.7201891094</v>
      </c>
      <c r="F3" s="3"/>
      <c r="G3" s="29">
        <v>8</v>
      </c>
      <c r="H3" s="10"/>
      <c r="I3" s="10">
        <f t="shared" ref="I3:I34" si="5">IF(H3&lt;&gt;"",H3,I2/(1+IF(G2="",0,G2)/100))</f>
        <v>218.2632217143923</v>
      </c>
      <c r="J3" s="10">
        <f t="shared" si="3"/>
        <v>9499205806.4717388</v>
      </c>
      <c r="K3" s="11">
        <f t="shared" si="4"/>
        <v>0.11790800000000012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42045974.934162818</v>
      </c>
      <c r="D4" s="11">
        <v>3.4700000000000002E-2</v>
      </c>
      <c r="E4" s="10">
        <f t="shared" si="2"/>
        <v>1410066.0386734754</v>
      </c>
      <c r="F4" s="3"/>
      <c r="G4" s="29">
        <v>7.86</v>
      </c>
      <c r="H4" s="10"/>
      <c r="I4" s="10">
        <f t="shared" si="5"/>
        <v>202.09557566147433</v>
      </c>
      <c r="J4" s="10">
        <f t="shared" si="3"/>
        <v>8497305508.5675545</v>
      </c>
      <c r="K4" s="11">
        <f t="shared" si="4"/>
        <v>0.11602741999999977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40635908.895489343</v>
      </c>
      <c r="D5" s="11">
        <v>3.4099999999999998E-2</v>
      </c>
      <c r="E5" s="10">
        <f t="shared" si="2"/>
        <v>1339990.806823507</v>
      </c>
      <c r="F5" s="3"/>
      <c r="G5" s="29">
        <v>7.65</v>
      </c>
      <c r="H5" s="10"/>
      <c r="I5" s="10">
        <f t="shared" si="5"/>
        <v>187.36841800618797</v>
      </c>
      <c r="J5" s="10">
        <f t="shared" si="3"/>
        <v>7613885963.9914188</v>
      </c>
      <c r="K5" s="11">
        <f t="shared" si="4"/>
        <v>0.1132086499999998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39295918.088665836</v>
      </c>
      <c r="D6" s="11">
        <v>3.3399999999999999E-2</v>
      </c>
      <c r="E6" s="10">
        <f t="shared" si="2"/>
        <v>1270063.5418632105</v>
      </c>
      <c r="F6" s="3"/>
      <c r="G6" s="29">
        <v>7.29</v>
      </c>
      <c r="H6" s="10"/>
      <c r="I6" s="10">
        <f t="shared" si="5"/>
        <v>174.05333767411796</v>
      </c>
      <c r="J6" s="10">
        <f t="shared" si="3"/>
        <v>6839585700.3010349</v>
      </c>
      <c r="K6" s="11">
        <f t="shared" si="4"/>
        <v>0.10873485999999999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38025854.546802625</v>
      </c>
      <c r="D7" s="11">
        <v>3.2599999999999997E-2</v>
      </c>
      <c r="E7" s="10">
        <f t="shared" si="2"/>
        <v>1200506.3511773795</v>
      </c>
      <c r="F7" s="3"/>
      <c r="G7" s="29">
        <v>3.55</v>
      </c>
      <c r="H7" s="10"/>
      <c r="I7" s="10">
        <f t="shared" si="5"/>
        <v>162.22699009611145</v>
      </c>
      <c r="J7" s="10">
        <f t="shared" si="3"/>
        <v>6168819928.9603243</v>
      </c>
      <c r="K7" s="11">
        <f t="shared" si="4"/>
        <v>6.9257300000000077E-2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36825348.195625246</v>
      </c>
      <c r="D8" s="11">
        <v>3.2099999999999997E-2</v>
      </c>
      <c r="E8" s="10">
        <f t="shared" si="2"/>
        <v>1145328.6281170174</v>
      </c>
      <c r="F8" s="3"/>
      <c r="G8" s="29">
        <v>3.74</v>
      </c>
      <c r="H8" s="10"/>
      <c r="I8" s="10">
        <f t="shared" si="5"/>
        <v>156.66536947958613</v>
      </c>
      <c r="J8" s="10">
        <f t="shared" si="3"/>
        <v>5769256781.2820396</v>
      </c>
      <c r="K8" s="11">
        <f t="shared" si="4"/>
        <v>7.0700540000000256E-2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35680019.567508228</v>
      </c>
      <c r="D9" s="11">
        <v>3.1699999999999999E-2</v>
      </c>
      <c r="E9" s="10">
        <f t="shared" si="2"/>
        <v>1096303.7901424989</v>
      </c>
      <c r="F9" s="3"/>
      <c r="G9" s="29">
        <v>3.04</v>
      </c>
      <c r="H9" s="10"/>
      <c r="I9" s="10">
        <f t="shared" si="5"/>
        <v>151.01732164988059</v>
      </c>
      <c r="J9" s="10">
        <f t="shared" si="3"/>
        <v>5388300991.5004234</v>
      </c>
      <c r="K9" s="11">
        <f t="shared" si="4"/>
        <v>6.3063680000000177E-2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34583715.777365729</v>
      </c>
      <c r="D10" s="11">
        <v>3.1600000000000003E-2</v>
      </c>
      <c r="E10" s="10">
        <f t="shared" si="2"/>
        <v>1059369.347193446</v>
      </c>
      <c r="F10" s="3"/>
      <c r="G10" s="29">
        <v>1.18</v>
      </c>
      <c r="H10" s="10"/>
      <c r="I10" s="10">
        <f t="shared" si="5"/>
        <v>146.56184166331579</v>
      </c>
      <c r="J10" s="10">
        <f t="shared" si="3"/>
        <v>5068653075.8913918</v>
      </c>
      <c r="K10" s="11">
        <f t="shared" si="4"/>
        <v>4.3772880000000125E-2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33524346.430172283</v>
      </c>
      <c r="D11" s="11">
        <v>3.1600000000000003E-2</v>
      </c>
      <c r="E11" s="10">
        <f t="shared" si="2"/>
        <v>1026918.7157749571</v>
      </c>
      <c r="F11" s="3"/>
      <c r="G11" s="30">
        <v>2.81</v>
      </c>
      <c r="H11" s="10"/>
      <c r="I11" s="10">
        <f t="shared" si="5"/>
        <v>144.85258120509565</v>
      </c>
      <c r="J11" s="10">
        <f t="shared" si="3"/>
        <v>4856088113.6242886</v>
      </c>
      <c r="K11" s="11">
        <f t="shared" si="4"/>
        <v>6.0587959999999885E-2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32497427.714397326</v>
      </c>
      <c r="D12" s="11">
        <v>3.1699999999999999E-2</v>
      </c>
      <c r="E12" s="10">
        <f t="shared" si="2"/>
        <v>998515.51666802168</v>
      </c>
      <c r="F12" s="3"/>
      <c r="G12" s="30">
        <v>3.66</v>
      </c>
      <c r="H12" s="10"/>
      <c r="I12" s="10">
        <f t="shared" si="5"/>
        <v>140.89347456968744</v>
      </c>
      <c r="J12" s="10">
        <f t="shared" si="3"/>
        <v>4578675505.2586956</v>
      </c>
      <c r="K12" s="11">
        <f t="shared" si="4"/>
        <v>6.9460220000000072E-2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31498912.197729304</v>
      </c>
      <c r="D13" s="11">
        <v>3.1800000000000002E-2</v>
      </c>
      <c r="E13" s="10">
        <f t="shared" si="2"/>
        <v>970794.15379704908</v>
      </c>
      <c r="F13" s="3"/>
      <c r="G13" s="29">
        <v>9.4600000000000009</v>
      </c>
      <c r="H13" s="10"/>
      <c r="I13" s="10">
        <f t="shared" si="5"/>
        <v>135.9188448482418</v>
      </c>
      <c r="J13" s="10">
        <f t="shared" si="3"/>
        <v>4281295759.8915606</v>
      </c>
      <c r="K13" s="11">
        <f t="shared" si="4"/>
        <v>0.12940828000000004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30528118.043932255</v>
      </c>
      <c r="D14" s="11">
        <v>3.2099999999999997E-2</v>
      </c>
      <c r="E14" s="10">
        <f t="shared" si="2"/>
        <v>949474.45907395333</v>
      </c>
      <c r="F14" s="3"/>
      <c r="G14" s="29">
        <v>10.28</v>
      </c>
      <c r="H14" s="10"/>
      <c r="I14" s="10">
        <f t="shared" si="5"/>
        <v>124.17215864082021</v>
      </c>
      <c r="J14" s="10">
        <f t="shared" si="3"/>
        <v>3790742316.7568421</v>
      </c>
      <c r="K14" s="11">
        <f t="shared" si="4"/>
        <v>0.13819988000000016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29578643.584858302</v>
      </c>
      <c r="D15" s="11">
        <v>3.2399999999999998E-2</v>
      </c>
      <c r="E15" s="10">
        <f t="shared" si="2"/>
        <v>928272.0381144993</v>
      </c>
      <c r="F15" s="3"/>
      <c r="G15" s="29">
        <v>6.27</v>
      </c>
      <c r="H15" s="10"/>
      <c r="I15" s="10">
        <f t="shared" si="5"/>
        <v>112.59716960538648</v>
      </c>
      <c r="J15" s="10">
        <f t="shared" si="3"/>
        <v>3330471548.421567</v>
      </c>
      <c r="K15" s="11">
        <f t="shared" si="4"/>
        <v>9.7131480000000048E-2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28650371.546743803</v>
      </c>
      <c r="D16" s="11">
        <v>3.2599999999999997E-2</v>
      </c>
      <c r="E16" s="10">
        <f t="shared" si="2"/>
        <v>904514.92584141716</v>
      </c>
      <c r="F16" s="3"/>
      <c r="G16" s="29">
        <v>7.39</v>
      </c>
      <c r="H16" s="10"/>
      <c r="I16" s="10">
        <f t="shared" si="5"/>
        <v>105.95386243096497</v>
      </c>
      <c r="J16" s="10">
        <f t="shared" si="3"/>
        <v>3035617525.4597259</v>
      </c>
      <c r="K16" s="11">
        <f t="shared" si="4"/>
        <v>0.10890913999999996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27745856.620902386</v>
      </c>
      <c r="D17" s="11">
        <v>3.2800000000000003E-2</v>
      </c>
      <c r="E17" s="10">
        <f t="shared" si="2"/>
        <v>881161.9840875268</v>
      </c>
      <c r="F17" s="3"/>
      <c r="G17" s="29">
        <v>0.99</v>
      </c>
      <c r="H17" s="10"/>
      <c r="I17" s="10">
        <f t="shared" si="5"/>
        <v>98.66268966474064</v>
      </c>
      <c r="J17" s="10">
        <f t="shared" si="3"/>
        <v>2737480841.2704816</v>
      </c>
      <c r="K17" s="11">
        <f t="shared" si="4"/>
        <v>4.3024720000000016E-2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26864694.636814859</v>
      </c>
      <c r="D18" s="11">
        <v>3.3000000000000002E-2</v>
      </c>
      <c r="E18" s="10">
        <f t="shared" si="2"/>
        <v>858213.86545487866</v>
      </c>
      <c r="F18" s="3"/>
      <c r="G18" s="29">
        <v>2.71</v>
      </c>
      <c r="H18" s="10"/>
      <c r="I18" s="10">
        <f t="shared" si="5"/>
        <v>97.695504173423743</v>
      </c>
      <c r="J18" s="10">
        <f t="shared" si="3"/>
        <v>2624559887.0087004</v>
      </c>
      <c r="K18" s="11">
        <f t="shared" si="4"/>
        <v>6.0994299999999724E-2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26006480.77135998</v>
      </c>
      <c r="D19" s="11">
        <v>3.32E-2</v>
      </c>
      <c r="E19" s="10">
        <f t="shared" si="2"/>
        <v>835670.88812344894</v>
      </c>
      <c r="F19" s="3"/>
      <c r="G19" s="29">
        <v>4.68</v>
      </c>
      <c r="H19" s="10"/>
      <c r="I19" s="10">
        <f t="shared" si="5"/>
        <v>95.117811482254652</v>
      </c>
      <c r="J19" s="10">
        <f t="shared" si="3"/>
        <v>2473679535.3270993</v>
      </c>
      <c r="K19" s="11">
        <f t="shared" si="4"/>
        <v>8.1553759999999809E-2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25170809.883236531</v>
      </c>
      <c r="D20" s="11">
        <v>3.3399999999999999E-2</v>
      </c>
      <c r="E20" s="10">
        <f t="shared" si="2"/>
        <v>813533.04635194689</v>
      </c>
      <c r="F20" s="3"/>
      <c r="G20" s="29">
        <v>4.01</v>
      </c>
      <c r="H20" s="10"/>
      <c r="I20" s="10">
        <f t="shared" si="5"/>
        <v>90.865314751867274</v>
      </c>
      <c r="J20" s="10">
        <f t="shared" si="3"/>
        <v>2287153562.599699</v>
      </c>
      <c r="K20" s="11">
        <f t="shared" si="4"/>
        <v>7.4839340000000032E-2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24357276.836884584</v>
      </c>
      <c r="D21" s="11">
        <v>3.3500000000000002E-2</v>
      </c>
      <c r="E21" s="10">
        <f t="shared" si="2"/>
        <v>789519.85876694322</v>
      </c>
      <c r="F21" s="3"/>
      <c r="G21" s="29">
        <v>5.9</v>
      </c>
      <c r="H21" s="10"/>
      <c r="I21" s="10">
        <f t="shared" si="5"/>
        <v>87.362094752300038</v>
      </c>
      <c r="J21" s="10">
        <f t="shared" si="3"/>
        <v>2127902726.9319141</v>
      </c>
      <c r="K21" s="11">
        <f t="shared" si="4"/>
        <v>9.4476500000000074E-2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23567756.978117641</v>
      </c>
      <c r="D22" s="11">
        <v>3.3500000000000002E-2</v>
      </c>
      <c r="E22" s="10">
        <f t="shared" si="2"/>
        <v>763928.26199026778</v>
      </c>
      <c r="F22" s="3"/>
      <c r="G22" s="29">
        <v>9.9</v>
      </c>
      <c r="H22" s="10"/>
      <c r="I22" s="10">
        <f t="shared" si="5"/>
        <v>82.494895894523182</v>
      </c>
      <c r="J22" s="10">
        <f t="shared" si="3"/>
        <v>1944219658.3772371</v>
      </c>
      <c r="K22" s="11">
        <f t="shared" si="4"/>
        <v>0.13581650000000001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22803828.716127373</v>
      </c>
      <c r="D23" s="11">
        <v>3.32E-2</v>
      </c>
      <c r="E23" s="10">
        <f t="shared" si="2"/>
        <v>732759.4980404824</v>
      </c>
      <c r="F23" s="3"/>
      <c r="G23" s="29">
        <v>3.2</v>
      </c>
      <c r="H23" s="10"/>
      <c r="I23" s="10">
        <f t="shared" si="5"/>
        <v>75.063599540057496</v>
      </c>
      <c r="J23" s="10">
        <f t="shared" si="3"/>
        <v>1711737466.7274487</v>
      </c>
      <c r="K23" s="11">
        <f t="shared" si="4"/>
        <v>6.6262400000000055E-2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22071069.218086891</v>
      </c>
      <c r="D24" s="11">
        <v>3.2599999999999997E-2</v>
      </c>
      <c r="E24" s="10">
        <f t="shared" si="2"/>
        <v>696801.13936629146</v>
      </c>
      <c r="F24" s="3"/>
      <c r="G24" s="29">
        <v>4.0999999999999996</v>
      </c>
      <c r="H24" s="10"/>
      <c r="I24" s="10">
        <f t="shared" si="5"/>
        <v>72.736046065947178</v>
      </c>
      <c r="J24" s="10">
        <f t="shared" si="3"/>
        <v>1605362307.3714769</v>
      </c>
      <c r="K24" s="11">
        <f t="shared" si="4"/>
        <v>7.493660000000002E-2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21374268.078720599</v>
      </c>
      <c r="D25" s="11">
        <v>3.1800000000000002E-2</v>
      </c>
      <c r="E25" s="10">
        <f t="shared" si="2"/>
        <v>658753.36780705303</v>
      </c>
      <c r="F25" s="3"/>
      <c r="G25" s="29">
        <v>7.02</v>
      </c>
      <c r="H25" s="10"/>
      <c r="I25" s="10">
        <f t="shared" si="5"/>
        <v>69.871321869305646</v>
      </c>
      <c r="J25" s="10">
        <f t="shared" si="3"/>
        <v>1493448364.6491122</v>
      </c>
      <c r="K25" s="11">
        <f t="shared" si="4"/>
        <v>0.10423236000000013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20715514.710913546</v>
      </c>
      <c r="D26" s="11">
        <v>3.0800000000000001E-2</v>
      </c>
      <c r="E26" s="10">
        <f t="shared" si="2"/>
        <v>618973.47021355852</v>
      </c>
      <c r="F26" s="3"/>
      <c r="G26" s="29">
        <v>7.59</v>
      </c>
      <c r="H26" s="10"/>
      <c r="I26" s="10">
        <f t="shared" si="5"/>
        <v>65.288097429738031</v>
      </c>
      <c r="J26" s="10">
        <f t="shared" si="3"/>
        <v>1352476542.7532952</v>
      </c>
      <c r="K26" s="11">
        <f t="shared" si="4"/>
        <v>0.10903772000000012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20096541.240699988</v>
      </c>
      <c r="D27" s="11">
        <v>2.9499999999999998E-2</v>
      </c>
      <c r="E27" s="10">
        <f t="shared" si="2"/>
        <v>575860.09383258969</v>
      </c>
      <c r="F27" s="3"/>
      <c r="G27" s="29">
        <v>-14.81</v>
      </c>
      <c r="H27" s="10"/>
      <c r="I27" s="10">
        <f t="shared" si="5"/>
        <v>60.682310093631401</v>
      </c>
      <c r="J27" s="10">
        <f t="shared" si="3"/>
        <v>1219504547.3776085</v>
      </c>
      <c r="K27" s="11">
        <f t="shared" si="4"/>
        <v>-0.12296894999999985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19520681.146867398</v>
      </c>
      <c r="D28" s="11">
        <v>2.81E-2</v>
      </c>
      <c r="E28" s="10">
        <f t="shared" si="2"/>
        <v>533538.70268161967</v>
      </c>
      <c r="F28" s="3"/>
      <c r="G28" s="29">
        <v>3.48</v>
      </c>
      <c r="H28" s="10"/>
      <c r="I28" s="10">
        <f t="shared" si="5"/>
        <v>71.231729186091556</v>
      </c>
      <c r="J28" s="10">
        <f t="shared" si="3"/>
        <v>1390491872.9817016</v>
      </c>
      <c r="K28" s="11">
        <f t="shared" si="4"/>
        <v>6.3877879999999942E-2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18987142.444185778</v>
      </c>
      <c r="D29" s="11">
        <v>2.6700000000000002E-2</v>
      </c>
      <c r="E29" s="10">
        <f t="shared" si="2"/>
        <v>493772.96509180963</v>
      </c>
      <c r="F29" s="3"/>
      <c r="G29" s="29">
        <v>11.98</v>
      </c>
      <c r="H29" s="10"/>
      <c r="I29" s="10">
        <f t="shared" si="5"/>
        <v>68.836228436501315</v>
      </c>
      <c r="J29" s="10">
        <f t="shared" si="3"/>
        <v>1307003274.6443622</v>
      </c>
      <c r="K29" s="11">
        <f t="shared" si="4"/>
        <v>0.14969865999999987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18493369.479093969</v>
      </c>
      <c r="D30" s="11">
        <v>2.52E-2</v>
      </c>
      <c r="E30" s="10">
        <f t="shared" si="2"/>
        <v>454577.55645060912</v>
      </c>
      <c r="F30" s="3"/>
      <c r="G30" s="29">
        <v>21.53</v>
      </c>
      <c r="H30" s="10"/>
      <c r="I30" s="10">
        <f t="shared" si="5"/>
        <v>61.471895371049584</v>
      </c>
      <c r="J30" s="10">
        <f t="shared" si="3"/>
        <v>1136822473.6770263</v>
      </c>
      <c r="K30" s="11">
        <f t="shared" si="4"/>
        <v>0.24592555999999988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18038791.92264336</v>
      </c>
      <c r="D31" s="11">
        <v>2.4E-2</v>
      </c>
      <c r="E31" s="10">
        <f t="shared" si="2"/>
        <v>422784.18568695337</v>
      </c>
      <c r="F31" s="3"/>
      <c r="G31" s="29">
        <v>3.8</v>
      </c>
      <c r="H31" s="10"/>
      <c r="I31" s="10">
        <f t="shared" si="5"/>
        <v>50.581663269192447</v>
      </c>
      <c r="J31" s="10">
        <f t="shared" si="3"/>
        <v>912432098.81417501</v>
      </c>
      <c r="K31" s="11">
        <f t="shared" si="4"/>
        <v>6.2912000000000079E-2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17616007.736956406</v>
      </c>
      <c r="D32" s="11">
        <v>2.3300000000000001E-2</v>
      </c>
      <c r="E32" s="10">
        <f t="shared" si="2"/>
        <v>401107.18290929869</v>
      </c>
      <c r="F32" s="3"/>
      <c r="G32" s="29">
        <v>4.67</v>
      </c>
      <c r="H32" s="10"/>
      <c r="I32" s="10">
        <f t="shared" si="5"/>
        <v>48.729926078220082</v>
      </c>
      <c r="J32" s="10">
        <f t="shared" si="3"/>
        <v>858426754.81523871</v>
      </c>
      <c r="K32" s="11">
        <f t="shared" si="4"/>
        <v>7.1088110000000038E-2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17214900.554047108</v>
      </c>
      <c r="D33" s="11">
        <v>2.35E-2</v>
      </c>
      <c r="E33" s="10">
        <f t="shared" si="2"/>
        <v>395261.51736209914</v>
      </c>
      <c r="F33" s="3"/>
      <c r="G33" s="29">
        <v>4.93</v>
      </c>
      <c r="H33" s="10"/>
      <c r="I33" s="10">
        <f t="shared" si="5"/>
        <v>46.555771546976288</v>
      </c>
      <c r="J33" s="10">
        <f t="shared" si="3"/>
        <v>801452977.39813268</v>
      </c>
      <c r="K33" s="11">
        <f t="shared" si="4"/>
        <v>7.3958549999999956E-2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16819639.036685009</v>
      </c>
      <c r="D34" s="11">
        <v>2.4799999999999999E-2</v>
      </c>
      <c r="E34" s="10">
        <f t="shared" si="2"/>
        <v>407032.63867075182</v>
      </c>
      <c r="F34" s="3"/>
      <c r="G34" s="29">
        <v>3.13</v>
      </c>
      <c r="H34" s="10"/>
      <c r="I34" s="10">
        <f t="shared" si="5"/>
        <v>44.368408984062036</v>
      </c>
      <c r="J34" s="10">
        <f t="shared" ref="J34:J65" si="6">IF(I34="","",I34*C34)</f>
        <v>746260623.7439357</v>
      </c>
      <c r="K34" s="11">
        <f t="shared" ref="K34:K65" si="7">IFERROR(J34/J35-1,"")</f>
        <v>7.0198639999999868E-2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16412606.398014257</v>
      </c>
      <c r="D35" s="11">
        <v>2.69E-2</v>
      </c>
      <c r="E35" s="10">
        <f t="shared" si="2"/>
        <v>429933.89045338705</v>
      </c>
      <c r="F35" s="3"/>
      <c r="G35" s="29">
        <v>-2.7</v>
      </c>
      <c r="H35" s="10"/>
      <c r="I35" s="10">
        <f t="shared" ref="I35:I66" si="8">IF(H35&lt;&gt;"",H35,I34/(1+IF(G34="",0,G34)/100))</f>
        <v>42.486267340861858</v>
      </c>
      <c r="J35" s="10">
        <f t="shared" si="6"/>
        <v>697310383.18637347</v>
      </c>
      <c r="K35" s="11">
        <f t="shared" si="7"/>
        <v>2.6899999999999924E-2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15982672.50756087</v>
      </c>
      <c r="D36" s="11">
        <v>2.93E-2</v>
      </c>
      <c r="E36" s="10">
        <f t="shared" si="2"/>
        <v>454961.92020940036</v>
      </c>
      <c r="F36" s="3"/>
      <c r="G36" s="29">
        <v>-4.76</v>
      </c>
      <c r="H36" s="10"/>
      <c r="I36" s="10">
        <f t="shared" si="8"/>
        <v>42.486267340861858</v>
      </c>
      <c r="J36" s="10">
        <f t="shared" si="6"/>
        <v>679044096.97767413</v>
      </c>
      <c r="K36" s="11">
        <f t="shared" si="7"/>
        <v>2.971172000000033E-2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15527710.587351469</v>
      </c>
      <c r="D37" s="11">
        <v>3.15E-2</v>
      </c>
      <c r="E37" s="10">
        <f t="shared" si="2"/>
        <v>474186.02375334315</v>
      </c>
      <c r="F37" s="3"/>
      <c r="G37" s="29">
        <v>-10.97</v>
      </c>
      <c r="H37" s="10"/>
      <c r="I37" s="10">
        <f t="shared" si="8"/>
        <v>42.469279629010252</v>
      </c>
      <c r="J37" s="10">
        <f t="shared" si="6"/>
        <v>659450682.9325726</v>
      </c>
      <c r="K37" s="11">
        <f t="shared" si="7"/>
        <v>-2.6986049999999762E-2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15053524.563598126</v>
      </c>
      <c r="D38" s="11">
        <v>3.3099999999999997E-2</v>
      </c>
      <c r="E38" s="10">
        <f t="shared" si="2"/>
        <v>482307.29169983231</v>
      </c>
      <c r="F38" s="3"/>
      <c r="G38" s="29">
        <v>-16.53</v>
      </c>
      <c r="H38" s="10"/>
      <c r="I38" s="10">
        <f t="shared" si="8"/>
        <v>45.022028653673537</v>
      </c>
      <c r="J38" s="10">
        <f t="shared" si="6"/>
        <v>677740214.24109328</v>
      </c>
      <c r="K38" s="11">
        <f t="shared" si="7"/>
        <v>-9.9446730000000039E-2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14571217.271898294</v>
      </c>
      <c r="D39" s="11">
        <v>3.4099999999999998E-2</v>
      </c>
      <c r="E39" s="10">
        <f t="shared" si="2"/>
        <v>480493.67466563359</v>
      </c>
      <c r="F39" s="3"/>
      <c r="G39" s="29">
        <v>0</v>
      </c>
      <c r="H39" s="10"/>
      <c r="I39" s="10">
        <f t="shared" si="8"/>
        <v>51.64853579634454</v>
      </c>
      <c r="J39" s="10">
        <f t="shared" si="6"/>
        <v>752582036.86395288</v>
      </c>
      <c r="K39" s="11">
        <f t="shared" si="7"/>
        <v>3.4100000000000019E-2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14090723.59723266</v>
      </c>
      <c r="D40" s="11">
        <v>3.4299999999999997E-2</v>
      </c>
      <c r="E40" s="10">
        <f t="shared" si="2"/>
        <v>467283.97890851833</v>
      </c>
      <c r="F40" s="3"/>
      <c r="G40" s="29">
        <v>2.1</v>
      </c>
      <c r="H40" s="10"/>
      <c r="I40" s="10">
        <f t="shared" si="8"/>
        <v>51.64853579634454</v>
      </c>
      <c r="J40" s="10">
        <f t="shared" si="6"/>
        <v>727765242.10806775</v>
      </c>
      <c r="K40" s="11">
        <f t="shared" si="7"/>
        <v>5.6020299999999912E-2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13623439.618324142</v>
      </c>
      <c r="D41" s="11">
        <v>3.4000000000000002E-2</v>
      </c>
      <c r="E41" s="10">
        <f t="shared" si="2"/>
        <v>447966.09963541664</v>
      </c>
      <c r="F41" s="3"/>
      <c r="G41" s="29">
        <v>0</v>
      </c>
      <c r="H41" s="10"/>
      <c r="I41" s="10">
        <f t="shared" si="8"/>
        <v>50.586225069877123</v>
      </c>
      <c r="J41" s="10">
        <f t="shared" si="6"/>
        <v>689158382.75842595</v>
      </c>
      <c r="K41" s="11">
        <f t="shared" si="7"/>
        <v>3.400000000000003E-2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13175473.518688725</v>
      </c>
      <c r="D42" s="11">
        <v>3.3399999999999999E-2</v>
      </c>
      <c r="E42" s="10">
        <f t="shared" si="2"/>
        <v>425837.83193749189</v>
      </c>
      <c r="F42" s="3"/>
      <c r="G42" s="29">
        <v>-14.68</v>
      </c>
      <c r="H42" s="10"/>
      <c r="I42" s="10">
        <f t="shared" si="8"/>
        <v>50.586225069877123</v>
      </c>
      <c r="J42" s="10">
        <f t="shared" si="6"/>
        <v>666497468.81859374</v>
      </c>
      <c r="K42" s="11">
        <f t="shared" si="7"/>
        <v>-0.11830311999999998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12749635.686751233</v>
      </c>
      <c r="D43" s="11">
        <v>3.27E-2</v>
      </c>
      <c r="E43" s="10">
        <f t="shared" si="2"/>
        <v>403711.71391184814</v>
      </c>
      <c r="F43" s="3"/>
      <c r="G43" s="29">
        <v>4.3</v>
      </c>
      <c r="H43" s="10"/>
      <c r="I43" s="10">
        <f t="shared" si="8"/>
        <v>59.289996565725652</v>
      </c>
      <c r="J43" s="10">
        <f t="shared" si="6"/>
        <v>755925856.08173382</v>
      </c>
      <c r="K43" s="11">
        <f t="shared" si="7"/>
        <v>7.7106099999999955E-2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12345923.972839385</v>
      </c>
      <c r="D44" s="11">
        <v>3.2099999999999997E-2</v>
      </c>
      <c r="E44" s="10">
        <f t="shared" si="2"/>
        <v>383978.45124323666</v>
      </c>
      <c r="F44" s="3"/>
      <c r="G44" s="29">
        <v>2</v>
      </c>
      <c r="H44" s="10"/>
      <c r="I44" s="10">
        <f t="shared" si="8"/>
        <v>56.845634291203886</v>
      </c>
      <c r="J44" s="10">
        <f t="shared" si="6"/>
        <v>701811879.14703465</v>
      </c>
      <c r="K44" s="11">
        <f t="shared" si="7"/>
        <v>5.2742000000000067E-2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11961945.521596149</v>
      </c>
      <c r="D45" s="11">
        <v>3.1600000000000003E-2</v>
      </c>
      <c r="E45" s="10">
        <f t="shared" si="2"/>
        <v>366418.64916870743</v>
      </c>
      <c r="F45" s="3"/>
      <c r="G45" s="29">
        <v>5.27</v>
      </c>
      <c r="H45" s="10"/>
      <c r="I45" s="10">
        <f t="shared" si="8"/>
        <v>55.731014010984204</v>
      </c>
      <c r="J45" s="10">
        <f t="shared" si="6"/>
        <v>666651353.46270466</v>
      </c>
      <c r="K45" s="11">
        <f t="shared" si="7"/>
        <v>8.5965319999999679E-2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11595526.872427441</v>
      </c>
      <c r="D46" s="11">
        <v>3.1300000000000001E-2</v>
      </c>
      <c r="E46" s="10">
        <f t="shared" si="2"/>
        <v>351924.74654026888</v>
      </c>
      <c r="F46" s="3"/>
      <c r="G46" s="29">
        <v>4.58</v>
      </c>
      <c r="H46" s="10"/>
      <c r="I46" s="10">
        <f t="shared" si="8"/>
        <v>52.941022143995639</v>
      </c>
      <c r="J46" s="10">
        <f t="shared" si="6"/>
        <v>613879044.9244777</v>
      </c>
      <c r="K46" s="11">
        <f t="shared" si="7"/>
        <v>7.8533540000000013E-2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11243602.125887172</v>
      </c>
      <c r="D47" s="11">
        <v>3.1099999999999999E-2</v>
      </c>
      <c r="E47" s="10">
        <f t="shared" si="2"/>
        <v>339129.11077013798</v>
      </c>
      <c r="F47" s="3"/>
      <c r="G47" s="29">
        <v>7.37</v>
      </c>
      <c r="H47" s="10"/>
      <c r="I47" s="10">
        <f t="shared" si="8"/>
        <v>50.622511134055877</v>
      </c>
      <c r="J47" s="10">
        <f t="shared" si="6"/>
        <v>569179373.80461776</v>
      </c>
      <c r="K47" s="11">
        <f t="shared" si="7"/>
        <v>0.10709207000000021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10904473.015117034</v>
      </c>
      <c r="D48" s="11">
        <v>3.1E-2</v>
      </c>
      <c r="E48" s="10">
        <f t="shared" si="2"/>
        <v>327874.55234590359</v>
      </c>
      <c r="F48" s="3"/>
      <c r="G48" s="29">
        <v>7.43</v>
      </c>
      <c r="H48" s="10"/>
      <c r="I48" s="10">
        <f t="shared" si="8"/>
        <v>47.14772388381845</v>
      </c>
      <c r="J48" s="10">
        <f t="shared" si="6"/>
        <v>514121082.81528717</v>
      </c>
      <c r="K48" s="11">
        <f t="shared" si="7"/>
        <v>0.10760329999999985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10576598.462771131</v>
      </c>
      <c r="D49" s="11">
        <v>3.09E-2</v>
      </c>
      <c r="E49" s="10">
        <f t="shared" si="2"/>
        <v>317020.9452901613</v>
      </c>
      <c r="F49" s="3"/>
      <c r="G49" s="29">
        <v>6.89</v>
      </c>
      <c r="H49" s="10"/>
      <c r="I49" s="10">
        <f t="shared" si="8"/>
        <v>43.886925331674995</v>
      </c>
      <c r="J49" s="10">
        <f t="shared" si="6"/>
        <v>464174386.99874514</v>
      </c>
      <c r="K49" s="11">
        <f t="shared" si="7"/>
        <v>0.10192900999999988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10259577.517480969</v>
      </c>
      <c r="D50" s="11">
        <v>3.0800000000000001E-2</v>
      </c>
      <c r="E50" s="10">
        <f t="shared" si="2"/>
        <v>306553.15050292388</v>
      </c>
      <c r="F50" s="3"/>
      <c r="G50" s="29">
        <v>6.1</v>
      </c>
      <c r="H50" s="10"/>
      <c r="I50" s="10">
        <f t="shared" si="8"/>
        <v>41.058027253882493</v>
      </c>
      <c r="J50" s="10">
        <f t="shared" si="6"/>
        <v>421238013.32605374</v>
      </c>
      <c r="K50" s="11">
        <f t="shared" si="7"/>
        <v>9.3678799999999951E-2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9953024.3669780456</v>
      </c>
      <c r="D51" s="11">
        <v>3.0599999999999999E-2</v>
      </c>
      <c r="E51" s="10">
        <f t="shared" si="2"/>
        <v>295519.64450759627</v>
      </c>
      <c r="F51" s="3"/>
      <c r="G51" s="29">
        <v>7.38</v>
      </c>
      <c r="H51" s="10"/>
      <c r="I51" s="10">
        <f t="shared" si="8"/>
        <v>38.697480917891134</v>
      </c>
      <c r="J51" s="10">
        <f t="shared" si="6"/>
        <v>385156970.51643842</v>
      </c>
      <c r="K51" s="11">
        <f t="shared" si="7"/>
        <v>0.10665828000000022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9657504.7224704493</v>
      </c>
      <c r="D52" s="11">
        <v>3.0300000000000001E-2</v>
      </c>
      <c r="E52" s="10">
        <f t="shared" si="2"/>
        <v>284016.68746079318</v>
      </c>
      <c r="F52" s="3"/>
      <c r="G52" s="29">
        <v>8.81</v>
      </c>
      <c r="H52" s="10"/>
      <c r="I52" s="10">
        <f t="shared" si="8"/>
        <v>36.037885004554973</v>
      </c>
      <c r="J52" s="10">
        <f t="shared" si="6"/>
        <v>348036044.61933666</v>
      </c>
      <c r="K52" s="11">
        <f t="shared" si="7"/>
        <v>0.12106943000000014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9373488.0350096561</v>
      </c>
      <c r="D53" s="11">
        <v>2.9899999999999999E-2</v>
      </c>
      <c r="E53" s="10">
        <f t="shared" si="2"/>
        <v>272130.58767529763</v>
      </c>
      <c r="F53" s="3"/>
      <c r="G53" s="29">
        <v>6.48</v>
      </c>
      <c r="H53" s="10"/>
      <c r="I53" s="10">
        <f t="shared" si="8"/>
        <v>33.120011951617471</v>
      </c>
      <c r="J53" s="10">
        <f t="shared" si="6"/>
        <v>310450035.74786317</v>
      </c>
      <c r="K53" s="11">
        <f t="shared" si="7"/>
        <v>9.6637520000000032E-2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9101357.4473343585</v>
      </c>
      <c r="D54" s="11">
        <v>2.9499999999999998E-2</v>
      </c>
      <c r="E54" s="10">
        <f t="shared" si="2"/>
        <v>260796.54657247663</v>
      </c>
      <c r="F54" s="3"/>
      <c r="G54" s="29">
        <v>2.84</v>
      </c>
      <c r="H54" s="10"/>
      <c r="I54" s="10">
        <f t="shared" si="8"/>
        <v>31.104443981609197</v>
      </c>
      <c r="J54" s="10">
        <f t="shared" si="6"/>
        <v>283092662.87721324</v>
      </c>
      <c r="K54" s="11">
        <f t="shared" si="7"/>
        <v>5.8737800000000284E-2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8840560.9007618818</v>
      </c>
      <c r="D55" s="11">
        <v>2.92E-2</v>
      </c>
      <c r="E55" s="10">
        <f t="shared" si="2"/>
        <v>250820.42198041826</v>
      </c>
      <c r="F55" s="3"/>
      <c r="G55" s="29">
        <v>2.4700000000000002</v>
      </c>
      <c r="H55" s="10"/>
      <c r="I55" s="10">
        <f t="shared" si="8"/>
        <v>30.245472560880199</v>
      </c>
      <c r="J55" s="10">
        <f t="shared" si="6"/>
        <v>267386942.14678383</v>
      </c>
      <c r="K55" s="11">
        <f t="shared" si="7"/>
        <v>5.4621239999999904E-2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8589740.4787814636</v>
      </c>
      <c r="D56" s="11">
        <v>2.9100000000000001E-2</v>
      </c>
      <c r="E56" s="10">
        <f t="shared" si="2"/>
        <v>242893.25423432142</v>
      </c>
      <c r="F56" s="3"/>
      <c r="G56" s="29">
        <v>12.05</v>
      </c>
      <c r="H56" s="10"/>
      <c r="I56" s="10">
        <f t="shared" si="8"/>
        <v>29.516417059510296</v>
      </c>
      <c r="J56" s="10">
        <f t="shared" si="6"/>
        <v>253538362.40467134</v>
      </c>
      <c r="K56" s="11">
        <f t="shared" si="7"/>
        <v>0.15310655000000017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8346847.2245471422</v>
      </c>
      <c r="D57" s="11">
        <v>2.92E-2</v>
      </c>
      <c r="E57" s="10">
        <f t="shared" si="2"/>
        <v>236812.99937502481</v>
      </c>
      <c r="F57" s="3"/>
      <c r="G57" s="30">
        <v>4.78</v>
      </c>
      <c r="H57" s="10"/>
      <c r="I57" s="10">
        <f t="shared" si="8"/>
        <v>26.34218389960758</v>
      </c>
      <c r="J57" s="10">
        <f t="shared" si="6"/>
        <v>219874184.57094994</v>
      </c>
      <c r="K57" s="11">
        <f t="shared" si="7"/>
        <v>7.8395760000000037E-2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8110034.2251721174</v>
      </c>
      <c r="D58" s="11">
        <v>2.92E-2</v>
      </c>
      <c r="E58" s="10">
        <f t="shared" si="2"/>
        <v>230094.24735233653</v>
      </c>
      <c r="F58" s="3"/>
      <c r="G58" s="30">
        <v>4.46</v>
      </c>
      <c r="H58" s="10"/>
      <c r="I58" s="10">
        <f t="shared" si="8"/>
        <v>25.140469459446056</v>
      </c>
      <c r="J58" s="10">
        <f t="shared" si="6"/>
        <v>203890067.75300187</v>
      </c>
      <c r="K58" s="11">
        <f t="shared" si="7"/>
        <v>7.5102319999999612E-2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7879939.9778197808</v>
      </c>
      <c r="D59" s="11">
        <v>2.9100000000000001E-2</v>
      </c>
      <c r="E59" s="10">
        <f t="shared" si="2"/>
        <v>222822.12938932516</v>
      </c>
      <c r="F59" s="3"/>
      <c r="G59" s="30">
        <v>6.25</v>
      </c>
      <c r="H59" s="10"/>
      <c r="I59" s="10">
        <f t="shared" si="8"/>
        <v>24.067077790011542</v>
      </c>
      <c r="J59" s="10">
        <f t="shared" si="6"/>
        <v>189647128.4268105</v>
      </c>
      <c r="K59" s="11">
        <f t="shared" si="7"/>
        <v>9.3418750000000106E-2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7657117.8484304557</v>
      </c>
      <c r="D60" s="11">
        <v>2.9000000000000001E-2</v>
      </c>
      <c r="E60" s="10">
        <f t="shared" si="2"/>
        <v>215798.26783720404</v>
      </c>
      <c r="F60" s="3"/>
      <c r="G60" s="30">
        <v>7.54</v>
      </c>
      <c r="H60" s="10"/>
      <c r="I60" s="10">
        <f t="shared" si="8"/>
        <v>22.651367331775567</v>
      </c>
      <c r="J60" s="10">
        <f t="shared" si="6"/>
        <v>173444189.08749324</v>
      </c>
      <c r="K60" s="11">
        <f t="shared" si="7"/>
        <v>0.10658659999999975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7441319.5805932516</v>
      </c>
      <c r="D61" s="11">
        <v>2.8899999999999999E-2</v>
      </c>
      <c r="E61" s="10">
        <f t="shared" si="2"/>
        <v>209013.64163586777</v>
      </c>
      <c r="F61" s="3"/>
      <c r="G61" s="30">
        <v>10.56</v>
      </c>
      <c r="H61" s="10"/>
      <c r="I61" s="10">
        <f t="shared" si="8"/>
        <v>21.063201907918515</v>
      </c>
      <c r="J61" s="10">
        <f t="shared" si="6"/>
        <v>156738016.78738317</v>
      </c>
      <c r="K61" s="11">
        <f t="shared" si="7"/>
        <v>0.13755183999999976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7232305.9389573839</v>
      </c>
      <c r="D62" s="11">
        <v>2.8899999999999999E-2</v>
      </c>
      <c r="E62" s="10">
        <f t="shared" si="2"/>
        <v>203142.81430252455</v>
      </c>
      <c r="F62" s="3"/>
      <c r="G62" s="30">
        <v>-2.0499999999999998</v>
      </c>
      <c r="H62" s="10"/>
      <c r="I62" s="10">
        <f t="shared" si="8"/>
        <v>19.051376544788816</v>
      </c>
      <c r="J62" s="10">
        <f t="shared" si="6"/>
        <v>137785383.73018956</v>
      </c>
      <c r="K62" s="11">
        <f t="shared" si="7"/>
        <v>7.8075499999998854E-3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7029163.1246548593</v>
      </c>
      <c r="D63" s="11">
        <v>2.8899999999999999E-2</v>
      </c>
      <c r="E63" s="10">
        <f t="shared" si="2"/>
        <v>197436.88823260274</v>
      </c>
      <c r="F63" s="3"/>
      <c r="G63" s="30">
        <v>11.77</v>
      </c>
      <c r="H63" s="10"/>
      <c r="I63" s="10">
        <f t="shared" si="8"/>
        <v>19.450103670024316</v>
      </c>
      <c r="J63" s="10">
        <f t="shared" si="6"/>
        <v>136717951.48804906</v>
      </c>
      <c r="K63" s="11">
        <f t="shared" si="7"/>
        <v>0.15000152999999972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6831726.2364222566</v>
      </c>
      <c r="D64" s="11">
        <v>2.8899999999999999E-2</v>
      </c>
      <c r="E64" s="10">
        <f t="shared" si="2"/>
        <v>191891.23163825739</v>
      </c>
      <c r="F64" s="3"/>
      <c r="G64" s="30">
        <v>1.06</v>
      </c>
      <c r="H64" s="10"/>
      <c r="I64" s="10">
        <f t="shared" si="8"/>
        <v>17.401900035809536</v>
      </c>
      <c r="J64" s="10">
        <f t="shared" si="6"/>
        <v>118885017.03823741</v>
      </c>
      <c r="K64" s="11">
        <f t="shared" si="7"/>
        <v>3.9806339999999718E-2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6639835.0047839992</v>
      </c>
      <c r="D65" s="11">
        <v>2.8799999999999999E-2</v>
      </c>
      <c r="E65" s="10">
        <f t="shared" si="2"/>
        <v>185874.07478399947</v>
      </c>
      <c r="F65" s="3"/>
      <c r="G65" s="30">
        <v>6.16</v>
      </c>
      <c r="H65" s="10"/>
      <c r="I65" s="10">
        <f t="shared" si="8"/>
        <v>17.219374664367244</v>
      </c>
      <c r="J65" s="10">
        <f t="shared" si="6"/>
        <v>114333806.65695636</v>
      </c>
      <c r="K65" s="11">
        <f t="shared" si="7"/>
        <v>9.2174080000000158E-2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6453960.9299999997</v>
      </c>
      <c r="D66" s="11">
        <v>2.87E-2</v>
      </c>
      <c r="E66" s="10">
        <f t="shared" si="2"/>
        <v>180060.9299999997</v>
      </c>
      <c r="F66" s="23">
        <f>SUM(F2)</f>
        <v>45062542</v>
      </c>
      <c r="G66" s="29">
        <v>6.1</v>
      </c>
      <c r="H66" s="10"/>
      <c r="I66" s="10">
        <f t="shared" si="8"/>
        <v>16.220209744128901</v>
      </c>
      <c r="J66" s="10">
        <f t="shared" ref="J66:J67" si="9">IF(I66="","",I66*C66)</f>
        <v>104684599.96501322</v>
      </c>
      <c r="K66" s="11">
        <f t="shared" ref="K66" si="10">IFERROR(J66/J67-1,"")</f>
        <v>9.1450699999999996E-2</v>
      </c>
    </row>
    <row r="67" spans="1:11" ht="22.5" customHeight="1">
      <c r="A67" s="3">
        <f t="shared" si="0"/>
        <v>1950</v>
      </c>
      <c r="B67" s="3">
        <v>1700</v>
      </c>
      <c r="C67" s="10">
        <v>6273900</v>
      </c>
      <c r="D67" s="11">
        <v>2.8400000000000002E-2</v>
      </c>
      <c r="E67" s="3" t="s">
        <v>72</v>
      </c>
      <c r="F67" s="10">
        <f>SUM(C2)</f>
        <v>45062459.972715989</v>
      </c>
      <c r="G67" s="29">
        <v>7.38</v>
      </c>
      <c r="H67" s="10"/>
      <c r="I67" s="10">
        <f t="shared" ref="I67" si="11">IF(H67&lt;&gt;"",H67,I66/(1+IF(G66="",0,G66)/100))</f>
        <v>15.28766234130905</v>
      </c>
      <c r="J67" s="10">
        <f t="shared" si="9"/>
        <v>95913264.763138846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outlinePr summaryBelow="0" summaryRight="0"/>
  </sheetPr>
  <dimension ref="A1:M68"/>
  <sheetViews>
    <sheetView topLeftCell="A48" workbookViewId="0">
      <selection activeCell="K70" sqref="K7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11247548.07240485</v>
      </c>
      <c r="D2" s="11">
        <v>2.7199999999999998E-2</v>
      </c>
      <c r="E2" s="10">
        <f t="shared" ref="E2:E66" si="2">SUM(C2-C3)</f>
        <v>297832.26983003318</v>
      </c>
      <c r="F2" s="14">
        <v>11247660</v>
      </c>
      <c r="G2" s="29">
        <v>0.78</v>
      </c>
      <c r="H2" s="10"/>
      <c r="I2" s="10">
        <f>IF(H2&lt;&gt;"",H2,14256)</f>
        <v>1782</v>
      </c>
      <c r="J2" s="10">
        <f t="shared" ref="J2:J33" si="3">IF(I2="","",I2*C2)</f>
        <v>20043130665.025444</v>
      </c>
      <c r="K2" s="11">
        <f t="shared" ref="K2:K33" si="4">IFERROR(J2/J3-1,"")</f>
        <v>3.5212159999999937E-2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10949715.802574817</v>
      </c>
      <c r="D3" s="11">
        <v>2.7199999999999998E-2</v>
      </c>
      <c r="E3" s="10">
        <f t="shared" si="2"/>
        <v>289945.74555104598</v>
      </c>
      <c r="F3" s="3"/>
      <c r="G3" s="29">
        <v>-3.7</v>
      </c>
      <c r="H3" s="10"/>
      <c r="I3" s="10">
        <f t="shared" ref="I3:I34" si="5">IF(H3&lt;&gt;"",H3,I2/(1+IF(G2="",0,G2)/100))</f>
        <v>1768.2079777733677</v>
      </c>
      <c r="J3" s="10">
        <f t="shared" si="3"/>
        <v>19361374836.463905</v>
      </c>
      <c r="K3" s="11">
        <f t="shared" si="4"/>
        <v>-1.0806399999999994E-2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10659770.057023771</v>
      </c>
      <c r="D4" s="11">
        <v>2.76E-2</v>
      </c>
      <c r="E4" s="10">
        <f t="shared" si="2"/>
        <v>286307.56478576921</v>
      </c>
      <c r="F4" s="3"/>
      <c r="G4" s="29">
        <v>-0.28000000000000003</v>
      </c>
      <c r="H4" s="10"/>
      <c r="I4" s="10">
        <f t="shared" si="5"/>
        <v>1836.1453559432687</v>
      </c>
      <c r="J4" s="10">
        <f t="shared" si="3"/>
        <v>19572887285.627308</v>
      </c>
      <c r="K4" s="11">
        <f t="shared" si="4"/>
        <v>2.4722719999999976E-2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10373462.492238002</v>
      </c>
      <c r="D5" s="11">
        <v>2.8400000000000002E-2</v>
      </c>
      <c r="E5" s="10">
        <f t="shared" si="2"/>
        <v>286470.57057522237</v>
      </c>
      <c r="F5" s="3"/>
      <c r="G5" s="29">
        <v>-5.31</v>
      </c>
      <c r="H5" s="10"/>
      <c r="I5" s="10">
        <f t="shared" si="5"/>
        <v>1841.30099873974</v>
      </c>
      <c r="J5" s="10">
        <f t="shared" si="3"/>
        <v>19100666847.347065</v>
      </c>
      <c r="K5" s="11">
        <f t="shared" si="4"/>
        <v>-2.6208039999999988E-2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10086991.92166278</v>
      </c>
      <c r="D6" s="11">
        <v>2.8799999999999999E-2</v>
      </c>
      <c r="E6" s="10">
        <f t="shared" si="2"/>
        <v>282373.02424561419</v>
      </c>
      <c r="F6" s="3"/>
      <c r="G6" s="29">
        <v>-3.74</v>
      </c>
      <c r="H6" s="10"/>
      <c r="I6" s="10">
        <f t="shared" si="5"/>
        <v>1944.5569740624564</v>
      </c>
      <c r="J6" s="10">
        <f t="shared" si="3"/>
        <v>19614730488.581017</v>
      </c>
      <c r="K6" s="11">
        <f t="shared" si="4"/>
        <v>-9.6771200000000945E-3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9804618.8974171653</v>
      </c>
      <c r="D7" s="11">
        <v>2.8799999999999999E-2</v>
      </c>
      <c r="E7" s="10">
        <f t="shared" si="2"/>
        <v>274468.33616408892</v>
      </c>
      <c r="F7" s="3"/>
      <c r="G7" s="29">
        <v>2.5</v>
      </c>
      <c r="H7" s="10"/>
      <c r="I7" s="10">
        <f t="shared" si="5"/>
        <v>2020.1090526308503</v>
      </c>
      <c r="J7" s="10">
        <f t="shared" si="3"/>
        <v>19806399392.267921</v>
      </c>
      <c r="K7" s="11">
        <f t="shared" si="4"/>
        <v>5.4519999999999902E-2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9530150.5612530764</v>
      </c>
      <c r="D8" s="11">
        <v>2.8799999999999999E-2</v>
      </c>
      <c r="E8" s="10">
        <f t="shared" si="2"/>
        <v>266784.93017504737</v>
      </c>
      <c r="F8" s="3"/>
      <c r="G8" s="29">
        <v>5.63</v>
      </c>
      <c r="H8" s="10"/>
      <c r="I8" s="10">
        <f t="shared" si="5"/>
        <v>1970.8381001276591</v>
      </c>
      <c r="J8" s="10">
        <f t="shared" si="3"/>
        <v>18782383826.070557</v>
      </c>
      <c r="K8" s="11">
        <f t="shared" si="4"/>
        <v>8.6721439999999816E-2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9263365.6310780291</v>
      </c>
      <c r="D9" s="11">
        <v>2.9399999999999999E-2</v>
      </c>
      <c r="E9" s="10">
        <f t="shared" si="2"/>
        <v>264564.74602068588</v>
      </c>
      <c r="F9" s="3"/>
      <c r="G9" s="29">
        <v>1.87</v>
      </c>
      <c r="H9" s="10"/>
      <c r="I9" s="10">
        <f t="shared" si="5"/>
        <v>1865.7939033680386</v>
      </c>
      <c r="J9" s="10">
        <f t="shared" si="3"/>
        <v>17283531119.134411</v>
      </c>
      <c r="K9" s="11">
        <f t="shared" si="4"/>
        <v>4.8649780000000087E-2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8998800.8850573432</v>
      </c>
      <c r="D10" s="11">
        <v>2.9700000000000001E-2</v>
      </c>
      <c r="E10" s="10">
        <f t="shared" si="2"/>
        <v>259555.58539982885</v>
      </c>
      <c r="F10" s="3"/>
      <c r="G10" s="29">
        <v>3.35</v>
      </c>
      <c r="H10" s="10"/>
      <c r="I10" s="10">
        <f t="shared" si="5"/>
        <v>1831.5440300069095</v>
      </c>
      <c r="J10" s="10">
        <f t="shared" si="3"/>
        <v>16481700038.247669</v>
      </c>
      <c r="K10" s="11">
        <f t="shared" si="4"/>
        <v>6.4194950000000084E-2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8739245.2996575143</v>
      </c>
      <c r="D11" s="11">
        <v>2.98E-2</v>
      </c>
      <c r="E11" s="10">
        <f t="shared" si="2"/>
        <v>252893.28989104182</v>
      </c>
      <c r="F11" s="3"/>
      <c r="G11" s="29">
        <v>5.54</v>
      </c>
      <c r="H11" s="10"/>
      <c r="I11" s="10">
        <f t="shared" si="5"/>
        <v>1772.1761296631923</v>
      </c>
      <c r="J11" s="10">
        <f t="shared" si="3"/>
        <v>15487481911.324299</v>
      </c>
      <c r="K11" s="11">
        <f t="shared" si="4"/>
        <v>8.6850920000000054E-2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8486352.0097664725</v>
      </c>
      <c r="D12" s="11">
        <v>3.0099999999999998E-2</v>
      </c>
      <c r="E12" s="10">
        <f t="shared" si="2"/>
        <v>247975.14366951864</v>
      </c>
      <c r="F12" s="3"/>
      <c r="G12" s="29">
        <v>1.67</v>
      </c>
      <c r="H12" s="10"/>
      <c r="I12" s="10">
        <f t="shared" si="5"/>
        <v>1679.1511556406979</v>
      </c>
      <c r="J12" s="10">
        <f t="shared" si="3"/>
        <v>14249867784.373131</v>
      </c>
      <c r="K12" s="11">
        <f t="shared" si="4"/>
        <v>4.7302670000000102E-2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8238376.8660969539</v>
      </c>
      <c r="D13" s="11">
        <v>3.04E-2</v>
      </c>
      <c r="E13" s="10">
        <f t="shared" si="2"/>
        <v>243057.70257118344</v>
      </c>
      <c r="F13" s="3"/>
      <c r="G13" s="29">
        <v>2.3199999999999998</v>
      </c>
      <c r="H13" s="10"/>
      <c r="I13" s="10">
        <f t="shared" si="5"/>
        <v>1651.5699376814182</v>
      </c>
      <c r="J13" s="10">
        <f t="shared" si="3"/>
        <v>13606255567.335783</v>
      </c>
      <c r="K13" s="11">
        <f t="shared" si="4"/>
        <v>5.4305280000000122E-2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7995319.1635257704</v>
      </c>
      <c r="D14" s="11">
        <v>3.0700000000000002E-2</v>
      </c>
      <c r="E14" s="10">
        <f t="shared" si="2"/>
        <v>238145.2394685559</v>
      </c>
      <c r="F14" s="3"/>
      <c r="G14" s="29">
        <v>3.41</v>
      </c>
      <c r="H14" s="10"/>
      <c r="I14" s="10">
        <f t="shared" si="5"/>
        <v>1614.1223003141301</v>
      </c>
      <c r="J14" s="10">
        <f t="shared" si="3"/>
        <v>12905422959.975863</v>
      </c>
      <c r="K14" s="11">
        <f t="shared" si="4"/>
        <v>6.5846869999999891E-2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7757173.9240572145</v>
      </c>
      <c r="D15" s="11">
        <v>3.09E-2</v>
      </c>
      <c r="E15" s="10">
        <f t="shared" si="2"/>
        <v>232512.05185116641</v>
      </c>
      <c r="F15" s="3"/>
      <c r="G15" s="29">
        <v>-1.48</v>
      </c>
      <c r="H15" s="10"/>
      <c r="I15" s="10">
        <f t="shared" si="5"/>
        <v>1560.895755066367</v>
      </c>
      <c r="J15" s="10">
        <f t="shared" si="3"/>
        <v>12108139849.372419</v>
      </c>
      <c r="K15" s="11">
        <f t="shared" si="4"/>
        <v>1.564268000000002E-2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7524661.8722060481</v>
      </c>
      <c r="D16" s="11">
        <v>3.0800000000000001E-2</v>
      </c>
      <c r="E16" s="10">
        <f t="shared" si="2"/>
        <v>224834.6775940489</v>
      </c>
      <c r="F16" s="3"/>
      <c r="G16" s="29">
        <v>7.22</v>
      </c>
      <c r="H16" s="10"/>
      <c r="I16" s="10">
        <f t="shared" si="5"/>
        <v>1584.3440469613956</v>
      </c>
      <c r="J16" s="10">
        <f t="shared" si="3"/>
        <v>11921653242.627043</v>
      </c>
      <c r="K16" s="11">
        <f t="shared" si="4"/>
        <v>0.10522375999999989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7299827.1946119992</v>
      </c>
      <c r="D17" s="11">
        <v>3.1199999999999999E-2</v>
      </c>
      <c r="E17" s="10">
        <f t="shared" si="2"/>
        <v>220863.66221091338</v>
      </c>
      <c r="F17" s="3"/>
      <c r="G17" s="29">
        <v>1.32</v>
      </c>
      <c r="H17" s="10"/>
      <c r="I17" s="10">
        <f t="shared" si="5"/>
        <v>1477.6571973152356</v>
      </c>
      <c r="J17" s="10">
        <f t="shared" si="3"/>
        <v>10786642193.275906</v>
      </c>
      <c r="K17" s="11">
        <f t="shared" si="4"/>
        <v>4.4811839999999936E-2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7078963.5324010858</v>
      </c>
      <c r="D18" s="11">
        <v>3.1699999999999999E-2</v>
      </c>
      <c r="E18" s="10">
        <f t="shared" si="2"/>
        <v>217508.1360638896</v>
      </c>
      <c r="F18" s="3"/>
      <c r="G18" s="29">
        <v>3.38</v>
      </c>
      <c r="H18" s="10"/>
      <c r="I18" s="10">
        <f t="shared" si="5"/>
        <v>1458.406235013063</v>
      </c>
      <c r="J18" s="10">
        <f t="shared" si="3"/>
        <v>10324004553.083841</v>
      </c>
      <c r="K18" s="11">
        <f t="shared" si="4"/>
        <v>6.6571460000000027E-2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6861455.3963371962</v>
      </c>
      <c r="D19" s="11">
        <v>3.1899999999999998E-2</v>
      </c>
      <c r="E19" s="10">
        <f t="shared" si="2"/>
        <v>212113.99083550461</v>
      </c>
      <c r="F19" s="3"/>
      <c r="G19" s="29">
        <v>3.9</v>
      </c>
      <c r="H19" s="10"/>
      <c r="I19" s="10">
        <f t="shared" si="5"/>
        <v>1410.7237715351741</v>
      </c>
      <c r="J19" s="10">
        <f t="shared" si="3"/>
        <v>9679618234.9411831</v>
      </c>
      <c r="K19" s="11">
        <f t="shared" si="4"/>
        <v>7.2144100000000044E-2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6649341.4055016916</v>
      </c>
      <c r="D20" s="11">
        <v>3.2599999999999997E-2</v>
      </c>
      <c r="E20" s="10">
        <f t="shared" si="2"/>
        <v>209924.97561432794</v>
      </c>
      <c r="F20" s="3"/>
      <c r="G20" s="29">
        <v>4.5999999999999996</v>
      </c>
      <c r="H20" s="10"/>
      <c r="I20" s="10">
        <f t="shared" si="5"/>
        <v>1357.7707137008415</v>
      </c>
      <c r="J20" s="10">
        <f t="shared" si="3"/>
        <v>9028281025.7885876</v>
      </c>
      <c r="K20" s="11">
        <f t="shared" si="4"/>
        <v>8.0099599999999826E-2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6439416.4298873637</v>
      </c>
      <c r="D21" s="11">
        <v>3.3500000000000002E-2</v>
      </c>
      <c r="E21" s="10">
        <f t="shared" si="2"/>
        <v>208728.0603785459</v>
      </c>
      <c r="F21" s="3"/>
      <c r="G21" s="29">
        <v>2.6</v>
      </c>
      <c r="H21" s="10"/>
      <c r="I21" s="10">
        <f t="shared" si="5"/>
        <v>1298.0599557369421</v>
      </c>
      <c r="J21" s="10">
        <f t="shared" si="3"/>
        <v>8358748605.9513292</v>
      </c>
      <c r="K21" s="11">
        <f t="shared" si="4"/>
        <v>6.0371000000000175E-2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6230688.3695088178</v>
      </c>
      <c r="D22" s="11">
        <v>3.4599999999999999E-2</v>
      </c>
      <c r="E22" s="10">
        <f t="shared" si="2"/>
        <v>208372.14148946945</v>
      </c>
      <c r="F22" s="3"/>
      <c r="G22" s="29">
        <v>4.4000000000000004</v>
      </c>
      <c r="H22" s="10"/>
      <c r="I22" s="10">
        <f t="shared" si="5"/>
        <v>1265.1656488664153</v>
      </c>
      <c r="J22" s="10">
        <f t="shared" si="3"/>
        <v>7882852893.8940506</v>
      </c>
      <c r="K22" s="11">
        <f t="shared" si="4"/>
        <v>8.0122400000000038E-2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6022316.2280193483</v>
      </c>
      <c r="D23" s="11">
        <v>3.5400000000000001E-2</v>
      </c>
      <c r="E23" s="10">
        <f t="shared" si="2"/>
        <v>205901.09568464849</v>
      </c>
      <c r="F23" s="3"/>
      <c r="G23" s="29">
        <v>0.6</v>
      </c>
      <c r="H23" s="10"/>
      <c r="I23" s="10">
        <f t="shared" si="5"/>
        <v>1211.8444912513555</v>
      </c>
      <c r="J23" s="10">
        <f t="shared" si="3"/>
        <v>7298110745.4988899</v>
      </c>
      <c r="K23" s="11">
        <f t="shared" si="4"/>
        <v>4.1612399999999994E-2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5816415.1323346999</v>
      </c>
      <c r="D24" s="11">
        <v>3.5799999999999998E-2</v>
      </c>
      <c r="E24" s="10">
        <f t="shared" si="2"/>
        <v>201030.76051127911</v>
      </c>
      <c r="F24" s="3"/>
      <c r="G24" s="29">
        <v>3.01</v>
      </c>
      <c r="H24" s="10"/>
      <c r="I24" s="10">
        <f t="shared" si="5"/>
        <v>1204.6167905083057</v>
      </c>
      <c r="J24" s="10">
        <f t="shared" si="3"/>
        <v>7006551328.9769688</v>
      </c>
      <c r="K24" s="11">
        <f t="shared" si="4"/>
        <v>6.6977580000000092E-2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5615384.3718234207</v>
      </c>
      <c r="D25" s="11">
        <v>4.2999999999999997E-2</v>
      </c>
      <c r="E25" s="10">
        <f t="shared" si="2"/>
        <v>231506.73824391793</v>
      </c>
      <c r="F25" s="3"/>
      <c r="G25" s="29">
        <v>-0.06</v>
      </c>
      <c r="H25" s="10"/>
      <c r="I25" s="10">
        <f t="shared" si="5"/>
        <v>1169.4173289081698</v>
      </c>
      <c r="J25" s="10">
        <f t="shared" si="3"/>
        <v>6566727792.8904257</v>
      </c>
      <c r="K25" s="11">
        <f t="shared" si="4"/>
        <v>4.2374199999999806E-2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5383877.6335795028</v>
      </c>
      <c r="D26" s="11">
        <v>4.4299999999999999E-2</v>
      </c>
      <c r="E26" s="10">
        <f t="shared" si="2"/>
        <v>228388.1826750664</v>
      </c>
      <c r="F26" s="3"/>
      <c r="G26" s="29">
        <v>-3.53</v>
      </c>
      <c r="H26" s="10"/>
      <c r="I26" s="10">
        <f t="shared" si="5"/>
        <v>1170.119400548499</v>
      </c>
      <c r="J26" s="10">
        <f t="shared" si="3"/>
        <v>6299779669.2305193</v>
      </c>
      <c r="K26" s="11">
        <f t="shared" si="4"/>
        <v>7.4362100000000542E-3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5155489.4509044364</v>
      </c>
      <c r="D27" s="11">
        <v>3.7699999999999997E-2</v>
      </c>
      <c r="E27" s="10">
        <f t="shared" si="2"/>
        <v>187300.71533111483</v>
      </c>
      <c r="F27" s="3"/>
      <c r="G27" s="29">
        <v>-0.02</v>
      </c>
      <c r="H27" s="10"/>
      <c r="I27" s="10">
        <f t="shared" si="5"/>
        <v>1212.9360428615103</v>
      </c>
      <c r="J27" s="10">
        <f t="shared" si="3"/>
        <v>6253278973.5942879</v>
      </c>
      <c r="K27" s="11">
        <f t="shared" si="4"/>
        <v>3.7492460000000172E-2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4968188.7355733216</v>
      </c>
      <c r="D28" s="11">
        <v>3.9199999999999999E-2</v>
      </c>
      <c r="E28" s="10">
        <f t="shared" si="2"/>
        <v>187406.65746196453</v>
      </c>
      <c r="F28" s="3"/>
      <c r="G28" s="29">
        <v>0.44</v>
      </c>
      <c r="H28" s="10"/>
      <c r="I28" s="10">
        <f t="shared" si="5"/>
        <v>1213.1786785972297</v>
      </c>
      <c r="J28" s="10">
        <f t="shared" si="3"/>
        <v>6027300645.2444839</v>
      </c>
      <c r="K28" s="11">
        <f t="shared" si="4"/>
        <v>4.3772479999999891E-2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4780782.0781113571</v>
      </c>
      <c r="D29" s="11">
        <v>3.9800000000000002E-2</v>
      </c>
      <c r="E29" s="10">
        <f t="shared" si="2"/>
        <v>182992.04338221997</v>
      </c>
      <c r="F29" s="3"/>
      <c r="G29" s="29">
        <v>4.0599999999999996</v>
      </c>
      <c r="H29" s="10"/>
      <c r="I29" s="10">
        <f t="shared" si="5"/>
        <v>1207.864076659926</v>
      </c>
      <c r="J29" s="10">
        <f t="shared" si="3"/>
        <v>5774534930.4902964</v>
      </c>
      <c r="K29" s="11">
        <f t="shared" si="4"/>
        <v>8.2015880000000152E-2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4597790.0347291371</v>
      </c>
      <c r="D30" s="11">
        <v>3.4700000000000002E-2</v>
      </c>
      <c r="E30" s="10">
        <f t="shared" si="2"/>
        <v>154192.82323871739</v>
      </c>
      <c r="F30" s="3"/>
      <c r="G30" s="29">
        <v>3.75</v>
      </c>
      <c r="H30" s="10"/>
      <c r="I30" s="10">
        <f t="shared" si="5"/>
        <v>1160.7381094175726</v>
      </c>
      <c r="J30" s="10">
        <f t="shared" si="3"/>
        <v>5336830112.4104538</v>
      </c>
      <c r="K30" s="11">
        <f t="shared" si="4"/>
        <v>7.3501250000000073E-2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4443597.2114904197</v>
      </c>
      <c r="D31" s="11">
        <v>0.03</v>
      </c>
      <c r="E31" s="10">
        <f t="shared" si="2"/>
        <v>129425.161499721</v>
      </c>
      <c r="F31" s="3"/>
      <c r="G31" s="29">
        <v>6.67</v>
      </c>
      <c r="H31" s="10"/>
      <c r="I31" s="10">
        <f t="shared" si="5"/>
        <v>1118.7837199205517</v>
      </c>
      <c r="J31" s="10">
        <f t="shared" si="3"/>
        <v>4971424218.0998421</v>
      </c>
      <c r="K31" s="11">
        <f t="shared" si="4"/>
        <v>9.870100000000015E-2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4314172.0499906987</v>
      </c>
      <c r="D32" s="11">
        <v>2.86E-2</v>
      </c>
      <c r="E32" s="10">
        <f t="shared" si="2"/>
        <v>119954.61853950378</v>
      </c>
      <c r="F32" s="3"/>
      <c r="G32" s="29">
        <v>-2</v>
      </c>
      <c r="H32" s="10"/>
      <c r="I32" s="10">
        <f t="shared" si="5"/>
        <v>1048.8269615829677</v>
      </c>
      <c r="J32" s="10">
        <f t="shared" si="3"/>
        <v>4524819962.9379072</v>
      </c>
      <c r="K32" s="11">
        <f t="shared" si="4"/>
        <v>8.027999999999702E-3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4194217.4314511949</v>
      </c>
      <c r="D33" s="11">
        <v>2.64E-2</v>
      </c>
      <c r="E33" s="10">
        <f t="shared" si="2"/>
        <v>107879.32598432526</v>
      </c>
      <c r="F33" s="3"/>
      <c r="G33" s="29">
        <v>0.48</v>
      </c>
      <c r="H33" s="10"/>
      <c r="I33" s="10">
        <f t="shared" si="5"/>
        <v>1070.2315934520079</v>
      </c>
      <c r="J33" s="10">
        <f t="shared" si="3"/>
        <v>4488784004.9462004</v>
      </c>
      <c r="K33" s="11">
        <f t="shared" si="4"/>
        <v>3.132672000000003E-2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4086338.1054668697</v>
      </c>
      <c r="D34" s="11">
        <v>2.8299999999999999E-2</v>
      </c>
      <c r="E34" s="10">
        <f t="shared" si="2"/>
        <v>112460.72973326128</v>
      </c>
      <c r="F34" s="3"/>
      <c r="G34" s="29">
        <v>0.71</v>
      </c>
      <c r="H34" s="10"/>
      <c r="I34" s="10">
        <f t="shared" si="5"/>
        <v>1065.1190221457086</v>
      </c>
      <c r="J34" s="10">
        <f t="shared" ref="J34:J65" si="6">IF(I34="","",I34*C34)</f>
        <v>4352436447.0516195</v>
      </c>
      <c r="K34" s="11">
        <f t="shared" ref="K34:K65" si="7">IFERROR(J34/J35-1,"")</f>
        <v>4.8968829999999963E-2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3973877.3757336084</v>
      </c>
      <c r="D35" s="11">
        <v>3.9600000000000003E-2</v>
      </c>
      <c r="E35" s="10">
        <f t="shared" si="2"/>
        <v>151371.24286172679</v>
      </c>
      <c r="F35" s="3"/>
      <c r="G35" s="29">
        <v>-3.99</v>
      </c>
      <c r="H35" s="10"/>
      <c r="I35" s="10">
        <f t="shared" ref="I35:I66" si="8">IF(H35&lt;&gt;"",H35,I34/(1+IF(G34="",0,G34)/100))</f>
        <v>1044.1319695576008</v>
      </c>
      <c r="J35" s="10">
        <f t="shared" si="6"/>
        <v>4149252411.1051226</v>
      </c>
      <c r="K35" s="11">
        <f t="shared" si="7"/>
        <v>2.6189159999999934E-2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3822506.1328718816</v>
      </c>
      <c r="D36" s="11">
        <v>2.5399999999999999E-2</v>
      </c>
      <c r="E36" s="10">
        <f t="shared" si="2"/>
        <v>94686.615735270083</v>
      </c>
      <c r="F36" s="3"/>
      <c r="G36" s="29">
        <v>-4.42</v>
      </c>
      <c r="H36" s="10"/>
      <c r="I36" s="10">
        <f t="shared" si="8"/>
        <v>1057.7772966848352</v>
      </c>
      <c r="J36" s="10">
        <f t="shared" si="6"/>
        <v>4043360203.7904224</v>
      </c>
      <c r="K36" s="11">
        <f t="shared" si="7"/>
        <v>2.9296520000000159E-2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3727819.5171366115</v>
      </c>
      <c r="D37" s="11">
        <v>5.4999999999999997E-3</v>
      </c>
      <c r="E37" s="10">
        <f t="shared" si="2"/>
        <v>20390.857627301477</v>
      </c>
      <c r="F37" s="3"/>
      <c r="G37" s="29">
        <v>-3.36</v>
      </c>
      <c r="H37" s="10"/>
      <c r="I37" s="10">
        <f t="shared" si="8"/>
        <v>1053.7729594389671</v>
      </c>
      <c r="J37" s="10">
        <f t="shared" si="6"/>
        <v>3928275404.8273883</v>
      </c>
      <c r="K37" s="11">
        <f t="shared" si="7"/>
        <v>2.5006700000000048E-2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3707428.65950931</v>
      </c>
      <c r="D38" s="11">
        <v>1.49E-2</v>
      </c>
      <c r="E38" s="10">
        <f t="shared" si="2"/>
        <v>54429.684724296443</v>
      </c>
      <c r="F38" s="3"/>
      <c r="G38" s="29">
        <v>-1.55</v>
      </c>
      <c r="H38" s="10"/>
      <c r="I38" s="10">
        <f t="shared" si="8"/>
        <v>1033.7188144388533</v>
      </c>
      <c r="J38" s="10">
        <f t="shared" si="6"/>
        <v>3832438758.524591</v>
      </c>
      <c r="K38" s="11">
        <f t="shared" si="7"/>
        <v>3.6720349999999957E-2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3652998.9747850136</v>
      </c>
      <c r="D39" s="11">
        <v>1.7100000000000001E-2</v>
      </c>
      <c r="E39" s="10">
        <f t="shared" si="2"/>
        <v>61416.067710965872</v>
      </c>
      <c r="F39" s="3"/>
      <c r="G39" s="29">
        <v>1.45</v>
      </c>
      <c r="H39" s="10"/>
      <c r="I39" s="10">
        <f t="shared" si="8"/>
        <v>1011.9616391961363</v>
      </c>
      <c r="J39" s="10">
        <f t="shared" si="6"/>
        <v>3696694830.5052476</v>
      </c>
      <c r="K39" s="11">
        <f t="shared" si="7"/>
        <v>3.1847949999999736E-2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3591582.9070740477</v>
      </c>
      <c r="D40" s="11">
        <v>1.95E-2</v>
      </c>
      <c r="E40" s="10">
        <f t="shared" si="2"/>
        <v>68696.28905144101</v>
      </c>
      <c r="F40" s="3"/>
      <c r="G40" s="29">
        <v>5.9</v>
      </c>
      <c r="H40" s="10"/>
      <c r="I40" s="10">
        <f t="shared" si="8"/>
        <v>997.49791936533893</v>
      </c>
      <c r="J40" s="10">
        <f t="shared" si="6"/>
        <v>3582596477.0344782</v>
      </c>
      <c r="K40" s="11">
        <f t="shared" si="7"/>
        <v>7.9650500000000068E-2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3522886.6180226067</v>
      </c>
      <c r="D41" s="11">
        <v>2.5600000000000001E-2</v>
      </c>
      <c r="E41" s="10">
        <f t="shared" si="2"/>
        <v>87934.767376539763</v>
      </c>
      <c r="F41" s="3"/>
      <c r="G41" s="29">
        <v>8.94</v>
      </c>
      <c r="H41" s="10"/>
      <c r="I41" s="10">
        <f t="shared" si="8"/>
        <v>941.92438089267137</v>
      </c>
      <c r="J41" s="10">
        <f t="shared" si="6"/>
        <v>3318292796.6360207</v>
      </c>
      <c r="K41" s="11">
        <f t="shared" si="7"/>
        <v>0.11728863999999994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3434951.8506460669</v>
      </c>
      <c r="D42" s="11">
        <v>2.47E-2</v>
      </c>
      <c r="E42" s="10">
        <f t="shared" si="2"/>
        <v>82798.195287359878</v>
      </c>
      <c r="F42" s="3"/>
      <c r="G42" s="29">
        <v>-3.77</v>
      </c>
      <c r="H42" s="10"/>
      <c r="I42" s="10">
        <f t="shared" si="8"/>
        <v>864.62674948840777</v>
      </c>
      <c r="J42" s="10">
        <f t="shared" si="6"/>
        <v>2969951253.2732997</v>
      </c>
      <c r="K42" s="11">
        <f t="shared" si="7"/>
        <v>-1.3931189999999982E-2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3352153.6553587071</v>
      </c>
      <c r="D43" s="11">
        <v>2.6200000000000001E-2</v>
      </c>
      <c r="E43" s="10">
        <f t="shared" si="2"/>
        <v>85584.121779768262</v>
      </c>
      <c r="F43" s="3"/>
      <c r="G43" s="29">
        <v>0.88</v>
      </c>
      <c r="H43" s="10"/>
      <c r="I43" s="10">
        <f t="shared" si="8"/>
        <v>898.50020730375945</v>
      </c>
      <c r="J43" s="10">
        <f t="shared" si="6"/>
        <v>3011910754.2538533</v>
      </c>
      <c r="K43" s="11">
        <f t="shared" si="7"/>
        <v>3.5230560000000022E-2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3266569.5335789388</v>
      </c>
      <c r="D44" s="11">
        <v>2.7E-2</v>
      </c>
      <c r="E44" s="10">
        <f t="shared" si="2"/>
        <v>85878.653755239677</v>
      </c>
      <c r="F44" s="3"/>
      <c r="G44" s="29">
        <v>1.48</v>
      </c>
      <c r="H44" s="10"/>
      <c r="I44" s="10">
        <f t="shared" si="8"/>
        <v>890.66237837406777</v>
      </c>
      <c r="J44" s="10">
        <f t="shared" si="6"/>
        <v>2909410589.9016867</v>
      </c>
      <c r="K44" s="11">
        <f t="shared" si="7"/>
        <v>4.2199599999999782E-2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3180690.8798236991</v>
      </c>
      <c r="D45" s="11">
        <v>2.7099999999999999E-2</v>
      </c>
      <c r="E45" s="10">
        <f t="shared" si="2"/>
        <v>83922.425122404937</v>
      </c>
      <c r="F45" s="3"/>
      <c r="G45" s="29">
        <v>1.81</v>
      </c>
      <c r="H45" s="10"/>
      <c r="I45" s="10">
        <f t="shared" si="8"/>
        <v>877.67282062876211</v>
      </c>
      <c r="J45" s="10">
        <f t="shared" si="6"/>
        <v>2791605936.043045</v>
      </c>
      <c r="K45" s="11">
        <f t="shared" si="7"/>
        <v>4.5690510000000017E-2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3096768.4547012942</v>
      </c>
      <c r="D46" s="11">
        <v>2.7699999999999999E-2</v>
      </c>
      <c r="E46" s="10">
        <f t="shared" si="2"/>
        <v>83468.411204851698</v>
      </c>
      <c r="F46" s="3"/>
      <c r="G46" s="29">
        <v>3.44</v>
      </c>
      <c r="H46" s="10"/>
      <c r="I46" s="10">
        <f t="shared" si="8"/>
        <v>862.06936512008849</v>
      </c>
      <c r="J46" s="10">
        <f t="shared" si="6"/>
        <v>2669629215.668262</v>
      </c>
      <c r="K46" s="11">
        <f t="shared" si="7"/>
        <v>6.3052879999999867E-2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3013300.0434964425</v>
      </c>
      <c r="D47" s="11">
        <v>2.7900000000000001E-2</v>
      </c>
      <c r="E47" s="10">
        <f t="shared" si="2"/>
        <v>81789.153821919113</v>
      </c>
      <c r="F47" s="3"/>
      <c r="G47" s="29">
        <v>6.31</v>
      </c>
      <c r="H47" s="10"/>
      <c r="I47" s="10">
        <f t="shared" si="8"/>
        <v>833.40039164741734</v>
      </c>
      <c r="J47" s="10">
        <f t="shared" si="6"/>
        <v>2511285436.4011149</v>
      </c>
      <c r="K47" s="11">
        <f t="shared" si="7"/>
        <v>9.2760490000000084E-2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2931510.8896745234</v>
      </c>
      <c r="D48" s="11">
        <v>2.7900000000000001E-2</v>
      </c>
      <c r="E48" s="10">
        <f t="shared" si="2"/>
        <v>79569.173870920669</v>
      </c>
      <c r="F48" s="3"/>
      <c r="G48" s="29">
        <v>3.44</v>
      </c>
      <c r="H48" s="10"/>
      <c r="I48" s="10">
        <f t="shared" si="8"/>
        <v>783.93414697339608</v>
      </c>
      <c r="J48" s="10">
        <f t="shared" si="6"/>
        <v>2298111488.6402187</v>
      </c>
      <c r="K48" s="11">
        <f t="shared" si="7"/>
        <v>6.3259759999999776E-2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2851941.7158036027</v>
      </c>
      <c r="D49" s="11">
        <v>2.8000000000000001E-2</v>
      </c>
      <c r="E49" s="10">
        <f t="shared" si="2"/>
        <v>77679.346344845369</v>
      </c>
      <c r="F49" s="3"/>
      <c r="G49" s="29">
        <v>2.11</v>
      </c>
      <c r="H49" s="10"/>
      <c r="I49" s="10">
        <f t="shared" si="8"/>
        <v>757.86363783197612</v>
      </c>
      <c r="J49" s="10">
        <f t="shared" si="6"/>
        <v>2161382923.6236863</v>
      </c>
      <c r="K49" s="11">
        <f t="shared" si="7"/>
        <v>4.9690800000000035E-2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2774262.3694587573</v>
      </c>
      <c r="D50" s="11">
        <v>2.6800000000000001E-2</v>
      </c>
      <c r="E50" s="10">
        <f t="shared" si="2"/>
        <v>72409.652806286234</v>
      </c>
      <c r="F50" s="3"/>
      <c r="G50" s="29">
        <v>13.28</v>
      </c>
      <c r="H50" s="10"/>
      <c r="I50" s="10">
        <f t="shared" si="8"/>
        <v>742.20315133872907</v>
      </c>
      <c r="J50" s="10">
        <f t="shared" si="6"/>
        <v>2059066273.2527392</v>
      </c>
      <c r="K50" s="11">
        <f t="shared" si="7"/>
        <v>0.16315904000000025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2701852.7166524711</v>
      </c>
      <c r="D51" s="11">
        <v>2.64E-2</v>
      </c>
      <c r="E51" s="10">
        <f t="shared" si="2"/>
        <v>69494.263171887491</v>
      </c>
      <c r="F51" s="3"/>
      <c r="G51" s="29">
        <v>14.36</v>
      </c>
      <c r="H51" s="10"/>
      <c r="I51" s="10">
        <f t="shared" si="8"/>
        <v>655.19345986822827</v>
      </c>
      <c r="J51" s="10">
        <f t="shared" si="6"/>
        <v>1770236229.4779043</v>
      </c>
      <c r="K51" s="11">
        <f t="shared" si="7"/>
        <v>0.17379104000000001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2632358.4534805836</v>
      </c>
      <c r="D52" s="11">
        <v>2.7199999999999998E-2</v>
      </c>
      <c r="E52" s="10">
        <f t="shared" si="2"/>
        <v>69704.195808675606</v>
      </c>
      <c r="F52" s="3"/>
      <c r="G52" s="29">
        <v>4.76</v>
      </c>
      <c r="H52" s="10"/>
      <c r="I52" s="10">
        <f t="shared" si="8"/>
        <v>572.92187816389321</v>
      </c>
      <c r="J52" s="10">
        <f t="shared" si="6"/>
        <v>1508135749.1686974</v>
      </c>
      <c r="K52" s="11">
        <f t="shared" si="7"/>
        <v>7.6094719999999949E-2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2562654.257671908</v>
      </c>
      <c r="D53" s="11">
        <v>2.6700000000000002E-2</v>
      </c>
      <c r="E53" s="10">
        <f t="shared" si="2"/>
        <v>66643.487561936025</v>
      </c>
      <c r="F53" s="3"/>
      <c r="G53" s="29">
        <v>11.11</v>
      </c>
      <c r="H53" s="10"/>
      <c r="I53" s="10">
        <f t="shared" si="8"/>
        <v>546.88991806404465</v>
      </c>
      <c r="J53" s="10">
        <f t="shared" si="6"/>
        <v>1401489777.0046649</v>
      </c>
      <c r="K53" s="11">
        <f t="shared" si="7"/>
        <v>0.1407663699999997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2496010.770109972</v>
      </c>
      <c r="D54" s="11">
        <v>2.6100000000000002E-2</v>
      </c>
      <c r="E54" s="10">
        <f t="shared" si="2"/>
        <v>63488.822824159637</v>
      </c>
      <c r="F54" s="3"/>
      <c r="G54" s="29">
        <v>1.07</v>
      </c>
      <c r="H54" s="10"/>
      <c r="I54" s="10">
        <f t="shared" si="8"/>
        <v>492.20584831612337</v>
      </c>
      <c r="J54" s="10">
        <f t="shared" si="6"/>
        <v>1228551098.5081592</v>
      </c>
      <c r="K54" s="11">
        <f t="shared" si="7"/>
        <v>3.7079269999999998E-2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2432521.9472858123</v>
      </c>
      <c r="D55" s="11">
        <v>2.5499999999999998E-2</v>
      </c>
      <c r="E55" s="10">
        <f t="shared" si="2"/>
        <v>60486.893862299621</v>
      </c>
      <c r="F55" s="3"/>
      <c r="G55" s="29">
        <v>4.47</v>
      </c>
      <c r="H55" s="10"/>
      <c r="I55" s="10">
        <f t="shared" si="8"/>
        <v>486.99500179689659</v>
      </c>
      <c r="J55" s="10">
        <f t="shared" si="6"/>
        <v>1184626030.0894446</v>
      </c>
      <c r="K55" s="11">
        <f t="shared" si="7"/>
        <v>7.1339850000000204E-2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2372035.0534235127</v>
      </c>
      <c r="D56" s="11">
        <v>2.4799999999999999E-2</v>
      </c>
      <c r="E56" s="10">
        <f t="shared" si="2"/>
        <v>57402.877951700706</v>
      </c>
      <c r="F56" s="3"/>
      <c r="G56" s="29">
        <v>4.68</v>
      </c>
      <c r="H56" s="10"/>
      <c r="I56" s="10">
        <f t="shared" si="8"/>
        <v>466.15775035598409</v>
      </c>
      <c r="J56" s="10">
        <f t="shared" si="6"/>
        <v>1105742524.2694411</v>
      </c>
      <c r="K56" s="11">
        <f t="shared" si="7"/>
        <v>7.2760639999999821E-2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2314632.175471812</v>
      </c>
      <c r="D57" s="11">
        <v>2.3900000000000001E-2</v>
      </c>
      <c r="E57" s="10">
        <f t="shared" si="2"/>
        <v>54028.429528055713</v>
      </c>
      <c r="F57" s="3"/>
      <c r="G57" s="26">
        <v>2.1</v>
      </c>
      <c r="H57" s="10"/>
      <c r="I57" s="10">
        <f t="shared" si="8"/>
        <v>445.31691856704634</v>
      </c>
      <c r="J57" s="10">
        <f t="shared" si="6"/>
        <v>1030744867.9972463</v>
      </c>
      <c r="K57" s="11">
        <f t="shared" si="7"/>
        <v>4.5401899999999884E-2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2260603.7459437563</v>
      </c>
      <c r="D58" s="11">
        <v>1.9400000000000001E-2</v>
      </c>
      <c r="E58" s="10">
        <f t="shared" si="2"/>
        <v>43021.103267911356</v>
      </c>
      <c r="F58" s="3"/>
      <c r="G58" s="26">
        <v>0.9</v>
      </c>
      <c r="H58" s="10"/>
      <c r="I58" s="10">
        <f t="shared" si="8"/>
        <v>436.15760878261153</v>
      </c>
      <c r="J58" s="10">
        <f t="shared" si="6"/>
        <v>985979524.23584306</v>
      </c>
      <c r="K58" s="11">
        <f t="shared" si="7"/>
        <v>2.8574600000000006E-2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2217582.642675845</v>
      </c>
      <c r="D59" s="11">
        <v>1.52E-2</v>
      </c>
      <c r="E59" s="10">
        <f t="shared" si="2"/>
        <v>33202.576998298988</v>
      </c>
      <c r="F59" s="3"/>
      <c r="G59" s="26">
        <v>-3.2</v>
      </c>
      <c r="H59" s="10"/>
      <c r="I59" s="10">
        <f t="shared" si="8"/>
        <v>432.26720394708781</v>
      </c>
      <c r="J59" s="10">
        <f t="shared" si="6"/>
        <v>958588248.47108138</v>
      </c>
      <c r="K59" s="11">
        <f t="shared" si="7"/>
        <v>-1.7286399999999924E-2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2184380.065677546</v>
      </c>
      <c r="D60" s="11">
        <v>1.7899999999999999E-2</v>
      </c>
      <c r="E60" s="10">
        <f t="shared" si="2"/>
        <v>38412.813808456529</v>
      </c>
      <c r="F60" s="3"/>
      <c r="G60" s="26">
        <v>2.0099999999999998</v>
      </c>
      <c r="H60" s="10"/>
      <c r="I60" s="10">
        <f t="shared" si="8"/>
        <v>446.5570288709585</v>
      </c>
      <c r="J60" s="10">
        <f t="shared" si="6"/>
        <v>975450272.05391407</v>
      </c>
      <c r="K60" s="11">
        <f t="shared" si="7"/>
        <v>3.8359789999999894E-2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2145967.2518690894</v>
      </c>
      <c r="D61" s="11">
        <v>2.06E-2</v>
      </c>
      <c r="E61" s="10">
        <f t="shared" si="2"/>
        <v>43314.643727712333</v>
      </c>
      <c r="F61" s="3"/>
      <c r="G61" s="26">
        <v>0.45</v>
      </c>
      <c r="H61" s="10"/>
      <c r="I61" s="10">
        <f t="shared" si="8"/>
        <v>437.75809123709291</v>
      </c>
      <c r="J61" s="10">
        <f t="shared" si="6"/>
        <v>939414528.03552234</v>
      </c>
      <c r="K61" s="11">
        <f t="shared" si="7"/>
        <v>2.5192699999999846E-2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2102652.6081413771</v>
      </c>
      <c r="D62" s="11">
        <v>2.01E-2</v>
      </c>
      <c r="E62" s="10">
        <f t="shared" si="2"/>
        <v>41430.563105226494</v>
      </c>
      <c r="F62" s="3"/>
      <c r="G62" s="26">
        <v>5.94</v>
      </c>
      <c r="H62" s="10"/>
      <c r="I62" s="10">
        <f t="shared" si="8"/>
        <v>435.79700471587154</v>
      </c>
      <c r="J62" s="10">
        <f t="shared" si="6"/>
        <v>916329708.58602726</v>
      </c>
      <c r="K62" s="11">
        <f t="shared" si="7"/>
        <v>8.0693939999999742E-2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2061222.0450361506</v>
      </c>
      <c r="D63" s="11">
        <v>1.95E-2</v>
      </c>
      <c r="E63" s="10">
        <f t="shared" si="2"/>
        <v>39425.041567636188</v>
      </c>
      <c r="F63" s="3"/>
      <c r="G63" s="26">
        <v>2.59</v>
      </c>
      <c r="H63" s="10"/>
      <c r="I63" s="10">
        <f t="shared" si="8"/>
        <v>411.36209620150237</v>
      </c>
      <c r="J63" s="10">
        <f t="shared" si="6"/>
        <v>847908621.18281841</v>
      </c>
      <c r="K63" s="11">
        <f t="shared" si="7"/>
        <v>4.5905050000000003E-2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2021797.0034685144</v>
      </c>
      <c r="D64" s="11">
        <v>1.9E-2</v>
      </c>
      <c r="E64" s="10">
        <f t="shared" si="2"/>
        <v>37697.883283514762</v>
      </c>
      <c r="F64" s="3"/>
      <c r="G64" s="26">
        <v>0.53</v>
      </c>
      <c r="H64" s="10"/>
      <c r="I64" s="10">
        <f t="shared" si="8"/>
        <v>400.97679715518314</v>
      </c>
      <c r="J64" s="10">
        <f t="shared" si="6"/>
        <v>810693686.94875157</v>
      </c>
      <c r="K64" s="11">
        <f t="shared" si="7"/>
        <v>2.4400699999999942E-2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1984099.1201849997</v>
      </c>
      <c r="D65" s="11">
        <v>1.8700000000000001E-2</v>
      </c>
      <c r="E65" s="10">
        <f t="shared" si="2"/>
        <v>36421.570184999844</v>
      </c>
      <c r="F65" s="3"/>
      <c r="G65" s="26">
        <v>0.52</v>
      </c>
      <c r="H65" s="10"/>
      <c r="I65" s="10">
        <f t="shared" si="8"/>
        <v>398.86282418699204</v>
      </c>
      <c r="J65" s="10">
        <f t="shared" si="6"/>
        <v>791383378.54391515</v>
      </c>
      <c r="K65" s="11">
        <f t="shared" si="7"/>
        <v>2.3997240000000142E-2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1947677.5499999998</v>
      </c>
      <c r="D66" s="11">
        <v>1.8499999999999999E-2</v>
      </c>
      <c r="E66" s="10">
        <f t="shared" si="2"/>
        <v>35377.549999999814</v>
      </c>
      <c r="F66" s="23">
        <f>SUM(F2)</f>
        <v>11247660</v>
      </c>
      <c r="G66" s="26">
        <v>4.9000000000000004</v>
      </c>
      <c r="H66" s="10"/>
      <c r="I66" s="10">
        <f t="shared" si="8"/>
        <v>396.79946695880619</v>
      </c>
      <c r="J66" s="10">
        <f t="shared" ref="J66:J67" si="9">IF(I66="","",I66*C66)</f>
        <v>772837413.64763355</v>
      </c>
      <c r="K66" s="11">
        <f t="shared" ref="K66" si="10">IFERROR(J66/J67-1,"")</f>
        <v>6.8406500000000037E-2</v>
      </c>
    </row>
    <row r="67" spans="1:11" ht="22.5" customHeight="1">
      <c r="A67" s="3">
        <f t="shared" si="0"/>
        <v>1950</v>
      </c>
      <c r="B67" s="3">
        <v>1700</v>
      </c>
      <c r="C67" s="10">
        <v>1912300</v>
      </c>
      <c r="D67" s="11">
        <v>1.83E-2</v>
      </c>
      <c r="E67" s="3" t="s">
        <v>72</v>
      </c>
      <c r="F67" s="10">
        <f>SUM(C2)</f>
        <v>11247548.07240485</v>
      </c>
      <c r="G67" s="26">
        <v>3.6</v>
      </c>
      <c r="H67" s="10"/>
      <c r="I67" s="10">
        <f t="shared" ref="I67" si="11">IF(H67&lt;&gt;"",H67,I66/(1+IF(G66="",0,G66)/100))</f>
        <v>378.26450615710792</v>
      </c>
      <c r="J67" s="10">
        <f t="shared" si="9"/>
        <v>723355215.12423742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8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outlinePr summaryBelow="0" summaryRight="0"/>
  </sheetPr>
  <dimension ref="A1:M67"/>
  <sheetViews>
    <sheetView workbookViewId="0">
      <selection activeCell="L18" sqref="L1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44529500.910028689</v>
      </c>
      <c r="D2" s="11">
        <v>-8.0000000000000004E-4</v>
      </c>
      <c r="E2" s="10">
        <f t="shared" ref="E2:E66" si="2">SUM(C2-C3)</f>
        <v>-35652.122425965965</v>
      </c>
      <c r="F2" s="14">
        <v>44529546</v>
      </c>
      <c r="G2" s="29">
        <v>2.04</v>
      </c>
      <c r="H2" s="10"/>
      <c r="I2" s="10">
        <f>IF(H2&lt;&gt;"",H2,85080)</f>
        <v>10635</v>
      </c>
      <c r="J2" s="10">
        <f t="shared" ref="J2:J33" si="3">IF(I2="","",I2*C2)</f>
        <v>473571242178.15509</v>
      </c>
      <c r="K2" s="11">
        <f t="shared" ref="K2:K33" si="4">IFERROR(J2/J3-1,"")</f>
        <v>1.9583679999999992E-2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44565153.032454655</v>
      </c>
      <c r="D3" s="11">
        <v>-1E-3</v>
      </c>
      <c r="E3" s="10">
        <f t="shared" si="2"/>
        <v>-44609.762795247138</v>
      </c>
      <c r="F3" s="3"/>
      <c r="G3" s="29">
        <v>2.1</v>
      </c>
      <c r="H3" s="10"/>
      <c r="I3" s="10">
        <f t="shared" ref="I3:I34" si="5">IF(H3&lt;&gt;"",H3,I2/(1+IF(G2="",0,G2)/100))</f>
        <v>10422.383379067032</v>
      </c>
      <c r="J3" s="10">
        <f t="shared" si="3"/>
        <v>464475110251.03412</v>
      </c>
      <c r="K3" s="11">
        <f t="shared" si="4"/>
        <v>1.9978999999999969E-2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44609762.795249902</v>
      </c>
      <c r="D4" s="11">
        <v>1.1000000000000001E-3</v>
      </c>
      <c r="E4" s="10">
        <f t="shared" si="2"/>
        <v>49016.820572152734</v>
      </c>
      <c r="F4" s="3"/>
      <c r="G4" s="29">
        <v>1.27</v>
      </c>
      <c r="H4" s="10"/>
      <c r="I4" s="10">
        <f t="shared" si="5"/>
        <v>10208.015062749299</v>
      </c>
      <c r="J4" s="10">
        <f t="shared" si="3"/>
        <v>455377130559.58423</v>
      </c>
      <c r="K4" s="11">
        <f t="shared" si="4"/>
        <v>1.3813969999999953E-2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44560745.974677749</v>
      </c>
      <c r="D5" s="11">
        <v>3.3999999999999998E-3</v>
      </c>
      <c r="E5" s="10">
        <f t="shared" si="2"/>
        <v>150993.15957136452</v>
      </c>
      <c r="F5" s="3"/>
      <c r="G5" s="29">
        <v>2.82</v>
      </c>
      <c r="H5" s="10"/>
      <c r="I5" s="10">
        <f t="shared" si="5"/>
        <v>10079.99907450311</v>
      </c>
      <c r="J5" s="10">
        <f t="shared" si="3"/>
        <v>449172278183.91992</v>
      </c>
      <c r="K5" s="11">
        <f t="shared" si="4"/>
        <v>3.169588000000001E-2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44409752.815106384</v>
      </c>
      <c r="D6" s="11">
        <v>4.7000000000000002E-3</v>
      </c>
      <c r="E6" s="10">
        <f t="shared" si="2"/>
        <v>207749.41597591341</v>
      </c>
      <c r="F6" s="3"/>
      <c r="G6" s="29">
        <v>1.39</v>
      </c>
      <c r="H6" s="10"/>
      <c r="I6" s="10">
        <f t="shared" si="5"/>
        <v>9803.539267168946</v>
      </c>
      <c r="J6" s="10">
        <f t="shared" si="3"/>
        <v>435372755568.16211</v>
      </c>
      <c r="K6" s="11">
        <f t="shared" si="4"/>
        <v>1.8665330000000147E-2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44202003.399130471</v>
      </c>
      <c r="D7" s="11">
        <v>6.1000000000000004E-3</v>
      </c>
      <c r="E7" s="10">
        <f t="shared" si="2"/>
        <v>267997.43637282401</v>
      </c>
      <c r="F7" s="3"/>
      <c r="G7" s="29">
        <v>1</v>
      </c>
      <c r="H7" s="10"/>
      <c r="I7" s="10">
        <f t="shared" si="5"/>
        <v>9669.1382455557214</v>
      </c>
      <c r="J7" s="10">
        <f t="shared" si="3"/>
        <v>427395281596.71643</v>
      </c>
      <c r="K7" s="11">
        <f t="shared" si="4"/>
        <v>1.6161000000000092E-2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43934005.962757647</v>
      </c>
      <c r="D8" s="11">
        <v>8.2000000000000007E-3</v>
      </c>
      <c r="E8" s="10">
        <f t="shared" si="2"/>
        <v>357328.75311903656</v>
      </c>
      <c r="F8" s="3"/>
      <c r="G8" s="29">
        <v>1.61</v>
      </c>
      <c r="H8" s="10"/>
      <c r="I8" s="10">
        <f t="shared" si="5"/>
        <v>9573.4042035205166</v>
      </c>
      <c r="J8" s="10">
        <f t="shared" si="3"/>
        <v>420597997361.3595</v>
      </c>
      <c r="K8" s="11">
        <f t="shared" si="4"/>
        <v>2.4432019999999888E-2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43576677.20963861</v>
      </c>
      <c r="D9" s="11">
        <v>1.09E-2</v>
      </c>
      <c r="E9" s="10">
        <f t="shared" si="2"/>
        <v>469864.26113864779</v>
      </c>
      <c r="F9" s="3"/>
      <c r="G9" s="29">
        <v>0.82</v>
      </c>
      <c r="H9" s="10"/>
      <c r="I9" s="10">
        <f t="shared" si="5"/>
        <v>9421.7145984849103</v>
      </c>
      <c r="J9" s="10">
        <f t="shared" si="3"/>
        <v>410567015819.51678</v>
      </c>
      <c r="K9" s="11">
        <f t="shared" si="4"/>
        <v>1.9189379999999812E-2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43106812.948499963</v>
      </c>
      <c r="D10" s="11">
        <v>1.34E-2</v>
      </c>
      <c r="E10" s="10">
        <f t="shared" si="2"/>
        <v>569993.38218857348</v>
      </c>
      <c r="F10" s="3"/>
      <c r="G10" s="29">
        <v>3.42</v>
      </c>
      <c r="H10" s="10"/>
      <c r="I10" s="10">
        <f t="shared" si="5"/>
        <v>9345.0849022861639</v>
      </c>
      <c r="J10" s="10">
        <f t="shared" si="3"/>
        <v>402836826870.70074</v>
      </c>
      <c r="K10" s="11">
        <f t="shared" si="4"/>
        <v>4.8058280000000009E-2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42536819.566311389</v>
      </c>
      <c r="D11" s="11">
        <v>1.55E-2</v>
      </c>
      <c r="E11" s="10">
        <f t="shared" si="2"/>
        <v>649257.21642326564</v>
      </c>
      <c r="F11" s="3"/>
      <c r="G11" s="29">
        <v>2.85</v>
      </c>
      <c r="H11" s="10"/>
      <c r="I11" s="10">
        <f t="shared" si="5"/>
        <v>9036.0519264031755</v>
      </c>
      <c r="J11" s="10">
        <f t="shared" si="3"/>
        <v>384364910385.2323</v>
      </c>
      <c r="K11" s="11">
        <f t="shared" si="4"/>
        <v>4.4441749999999836E-2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41887562.349888124</v>
      </c>
      <c r="D12" s="11">
        <v>1.6799999999999999E-2</v>
      </c>
      <c r="E12" s="10">
        <f t="shared" si="2"/>
        <v>692084.03567871451</v>
      </c>
      <c r="F12" s="3"/>
      <c r="G12" s="29">
        <v>2.97</v>
      </c>
      <c r="H12" s="10"/>
      <c r="I12" s="10">
        <f t="shared" si="5"/>
        <v>8785.6605993224857</v>
      </c>
      <c r="J12" s="10">
        <f t="shared" si="3"/>
        <v>368009906139.07605</v>
      </c>
      <c r="K12" s="11">
        <f t="shared" si="4"/>
        <v>4.6998959999999812E-2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41195478.314209409</v>
      </c>
      <c r="D13" s="11">
        <v>1.72E-2</v>
      </c>
      <c r="E13" s="10">
        <f t="shared" si="2"/>
        <v>696581.03323280066</v>
      </c>
      <c r="F13" s="3"/>
      <c r="G13" s="29">
        <v>4.33</v>
      </c>
      <c r="H13" s="10"/>
      <c r="I13" s="10">
        <f t="shared" si="5"/>
        <v>8532.2526943017237</v>
      </c>
      <c r="J13" s="10">
        <f t="shared" si="3"/>
        <v>351490230839.46149</v>
      </c>
      <c r="K13" s="11">
        <f t="shared" si="4"/>
        <v>6.124476000000012E-2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40498897.280976608</v>
      </c>
      <c r="D14" s="11">
        <v>1.6400000000000001E-2</v>
      </c>
      <c r="E14" s="10">
        <f t="shared" si="2"/>
        <v>653465.08796538413</v>
      </c>
      <c r="F14" s="3"/>
      <c r="G14" s="29">
        <v>1.1000000000000001</v>
      </c>
      <c r="H14" s="10"/>
      <c r="I14" s="10">
        <f t="shared" si="5"/>
        <v>8178.1392641634475</v>
      </c>
      <c r="J14" s="10">
        <f t="shared" si="3"/>
        <v>331205622008.87708</v>
      </c>
      <c r="K14" s="11">
        <f t="shared" si="4"/>
        <v>2.7580399999999727E-2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39845432.193011224</v>
      </c>
      <c r="D15" s="11">
        <v>1.49E-2</v>
      </c>
      <c r="E15" s="10">
        <f t="shared" si="2"/>
        <v>584980.72684586048</v>
      </c>
      <c r="F15" s="3"/>
      <c r="G15" s="29">
        <v>1.46</v>
      </c>
      <c r="H15" s="10"/>
      <c r="I15" s="10">
        <f t="shared" si="5"/>
        <v>8089.1585204386238</v>
      </c>
      <c r="J15" s="10">
        <f t="shared" si="3"/>
        <v>322316017324.65619</v>
      </c>
      <c r="K15" s="11">
        <f t="shared" si="4"/>
        <v>2.971753999999982E-2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39260451.466165364</v>
      </c>
      <c r="D16" s="11">
        <v>1.2699999999999999E-2</v>
      </c>
      <c r="E16" s="10">
        <f t="shared" si="2"/>
        <v>492354.82731341571</v>
      </c>
      <c r="F16" s="3"/>
      <c r="G16" s="29">
        <v>2.16</v>
      </c>
      <c r="H16" s="10"/>
      <c r="I16" s="10">
        <f t="shared" si="5"/>
        <v>7972.7562787686029</v>
      </c>
      <c r="J16" s="10">
        <f t="shared" si="3"/>
        <v>313014010934.15991</v>
      </c>
      <c r="K16" s="11">
        <f t="shared" si="4"/>
        <v>3.4574319999999936E-2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38768096.638851948</v>
      </c>
      <c r="D17" s="11">
        <v>1.0200000000000001E-2</v>
      </c>
      <c r="E17" s="10">
        <f t="shared" si="2"/>
        <v>391441.87855502963</v>
      </c>
      <c r="F17" s="3"/>
      <c r="G17" s="29">
        <v>3.44</v>
      </c>
      <c r="H17" s="10"/>
      <c r="I17" s="10">
        <f t="shared" si="5"/>
        <v>7804.1858641039571</v>
      </c>
      <c r="J17" s="10">
        <f t="shared" si="3"/>
        <v>302553431767.14453</v>
      </c>
      <c r="K17" s="11">
        <f t="shared" si="4"/>
        <v>4.4950880000000248E-2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38376654.760296918</v>
      </c>
      <c r="D18" s="11">
        <v>7.7999999999999996E-3</v>
      </c>
      <c r="E18" s="10">
        <f t="shared" si="2"/>
        <v>297021.14222099632</v>
      </c>
      <c r="F18" s="3"/>
      <c r="G18" s="29">
        <v>2.1800000000000002</v>
      </c>
      <c r="H18" s="10"/>
      <c r="I18" s="10">
        <f t="shared" si="5"/>
        <v>7544.6499072930756</v>
      </c>
      <c r="J18" s="10">
        <f t="shared" si="3"/>
        <v>289538424779.49249</v>
      </c>
      <c r="K18" s="11">
        <f t="shared" si="4"/>
        <v>2.9770040000000053E-2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38079633.618075922</v>
      </c>
      <c r="D19" s="11">
        <v>6.1000000000000004E-3</v>
      </c>
      <c r="E19" s="10">
        <f t="shared" si="2"/>
        <v>230877.41285187006</v>
      </c>
      <c r="F19" s="3"/>
      <c r="G19" s="29">
        <v>2.73</v>
      </c>
      <c r="H19" s="10"/>
      <c r="I19" s="10">
        <f t="shared" si="5"/>
        <v>7383.6855620405904</v>
      </c>
      <c r="J19" s="10">
        <f t="shared" si="3"/>
        <v>281168040953.5827</v>
      </c>
      <c r="K19" s="11">
        <f t="shared" si="4"/>
        <v>3.3566530000000316E-2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37848756.205224052</v>
      </c>
      <c r="D20" s="11">
        <v>5.1999999999999998E-3</v>
      </c>
      <c r="E20" s="10">
        <f t="shared" si="2"/>
        <v>195795.39620689303</v>
      </c>
      <c r="F20" s="3"/>
      <c r="G20" s="29">
        <v>5.09</v>
      </c>
      <c r="H20" s="10"/>
      <c r="I20" s="10">
        <f t="shared" si="5"/>
        <v>7187.4676939945384</v>
      </c>
      <c r="J20" s="10">
        <f t="shared" si="3"/>
        <v>272036712482.92319</v>
      </c>
      <c r="K20" s="11">
        <f t="shared" si="4"/>
        <v>5.6364679999999945E-2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37652960.809017159</v>
      </c>
      <c r="D21" s="11">
        <v>4.7999999999999996E-3</v>
      </c>
      <c r="E21" s="10">
        <f t="shared" si="2"/>
        <v>179870.83189020306</v>
      </c>
      <c r="F21" s="3"/>
      <c r="G21" s="29">
        <v>4.97</v>
      </c>
      <c r="H21" s="10"/>
      <c r="I21" s="10">
        <f t="shared" si="5"/>
        <v>6839.3450318722416</v>
      </c>
      <c r="J21" s="10">
        <f t="shared" si="3"/>
        <v>257521590444.43173</v>
      </c>
      <c r="K21" s="11">
        <f t="shared" si="4"/>
        <v>5.4738559999999881E-2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37473089.977126956</v>
      </c>
      <c r="D22" s="11">
        <v>4.3E-3</v>
      </c>
      <c r="E22" s="10">
        <f t="shared" si="2"/>
        <v>160444.37608448416</v>
      </c>
      <c r="F22" s="3"/>
      <c r="G22" s="29">
        <v>4.1500000000000004</v>
      </c>
      <c r="H22" s="10"/>
      <c r="I22" s="10">
        <f t="shared" si="5"/>
        <v>6515.5235132630669</v>
      </c>
      <c r="J22" s="10">
        <f t="shared" si="3"/>
        <v>244156798860.59323</v>
      </c>
      <c r="K22" s="11">
        <f t="shared" si="4"/>
        <v>4.5978450000000226E-2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37312645.601042472</v>
      </c>
      <c r="D23" s="11">
        <v>3.8E-3</v>
      </c>
      <c r="E23" s="10">
        <f t="shared" si="2"/>
        <v>141251.29835022986</v>
      </c>
      <c r="F23" s="3"/>
      <c r="G23" s="29">
        <v>5.04</v>
      </c>
      <c r="H23" s="10"/>
      <c r="I23" s="10">
        <f t="shared" si="5"/>
        <v>6255.9035172953108</v>
      </c>
      <c r="J23" s="10">
        <f t="shared" si="3"/>
        <v>233424310855.155</v>
      </c>
      <c r="K23" s="11">
        <f t="shared" si="4"/>
        <v>5.4391520000000027E-2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37171394.302692242</v>
      </c>
      <c r="D24" s="11">
        <v>3.0999999999999999E-3</v>
      </c>
      <c r="E24" s="10">
        <f t="shared" si="2"/>
        <v>114875.20918986201</v>
      </c>
      <c r="F24" s="3"/>
      <c r="G24" s="29">
        <v>2.87</v>
      </c>
      <c r="H24" s="10"/>
      <c r="I24" s="10">
        <f t="shared" si="5"/>
        <v>5955.7344985675081</v>
      </c>
      <c r="J24" s="10">
        <f t="shared" si="3"/>
        <v>221382955408.3999</v>
      </c>
      <c r="K24" s="11">
        <f t="shared" si="4"/>
        <v>3.1888970000000016E-2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37056519.09350238</v>
      </c>
      <c r="D25" s="11">
        <v>2.3999999999999998E-3</v>
      </c>
      <c r="E25" s="10">
        <f t="shared" si="2"/>
        <v>88722.711317241192</v>
      </c>
      <c r="F25" s="3"/>
      <c r="G25" s="29">
        <v>3.56</v>
      </c>
      <c r="H25" s="10"/>
      <c r="I25" s="10">
        <f t="shared" si="5"/>
        <v>5789.5737324462998</v>
      </c>
      <c r="J25" s="10">
        <f t="shared" si="3"/>
        <v>214541449559.63614</v>
      </c>
      <c r="K25" s="11">
        <f t="shared" si="4"/>
        <v>3.8085439999999915E-2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36967796.382185139</v>
      </c>
      <c r="D26" s="11">
        <v>1.6000000000000001E-3</v>
      </c>
      <c r="E26" s="10">
        <f t="shared" si="2"/>
        <v>59053.987830966711</v>
      </c>
      <c r="F26" s="3"/>
      <c r="G26" s="29">
        <v>2.86</v>
      </c>
      <c r="H26" s="10"/>
      <c r="I26" s="10">
        <f t="shared" si="5"/>
        <v>5590.550147205774</v>
      </c>
      <c r="J26" s="10">
        <f t="shared" si="3"/>
        <v>206670319506.29822</v>
      </c>
      <c r="K26" s="11">
        <f t="shared" si="4"/>
        <v>3.0245760000000121E-2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36908742.394354172</v>
      </c>
      <c r="D27" s="11">
        <v>1.1000000000000001E-3</v>
      </c>
      <c r="E27" s="10">
        <f t="shared" si="2"/>
        <v>40555.006127052009</v>
      </c>
      <c r="F27" s="3"/>
      <c r="G27" s="29">
        <v>-1.96</v>
      </c>
      <c r="H27" s="10"/>
      <c r="I27" s="10">
        <f t="shared" si="5"/>
        <v>5435.1061123913805</v>
      </c>
      <c r="J27" s="10">
        <f t="shared" si="3"/>
        <v>200602931388.23325</v>
      </c>
      <c r="K27" s="11">
        <f t="shared" si="4"/>
        <v>-1.8521559999999826E-2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36868187.38822712</v>
      </c>
      <c r="D28" s="11">
        <v>1.5E-3</v>
      </c>
      <c r="E28" s="10">
        <f t="shared" si="2"/>
        <v>55219.45190448314</v>
      </c>
      <c r="F28" s="3"/>
      <c r="G28" s="29">
        <v>1.03</v>
      </c>
      <c r="H28" s="10"/>
      <c r="I28" s="10">
        <f t="shared" si="5"/>
        <v>5543.7638845281317</v>
      </c>
      <c r="J28" s="10">
        <f t="shared" si="3"/>
        <v>204388525730.86905</v>
      </c>
      <c r="K28" s="11">
        <f t="shared" si="4"/>
        <v>1.1815449999999839E-2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36812967.936322637</v>
      </c>
      <c r="D29" s="11">
        <v>2.3999999999999998E-3</v>
      </c>
      <c r="E29" s="10">
        <f t="shared" si="2"/>
        <v>88139.58803588897</v>
      </c>
      <c r="F29" s="3"/>
      <c r="G29" s="29">
        <v>-0.33</v>
      </c>
      <c r="H29" s="10"/>
      <c r="I29" s="10">
        <f t="shared" si="5"/>
        <v>5487.2452583669519</v>
      </c>
      <c r="J29" s="10">
        <f t="shared" si="3"/>
        <v>202001783755.00104</v>
      </c>
      <c r="K29" s="11">
        <f t="shared" si="4"/>
        <v>-9.0791999999983997E-4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36724828.348286748</v>
      </c>
      <c r="D30" s="11">
        <v>3.2000000000000002E-3</v>
      </c>
      <c r="E30" s="10">
        <f t="shared" si="2"/>
        <v>117144.58803281933</v>
      </c>
      <c r="F30" s="3"/>
      <c r="G30" s="29">
        <v>1.74</v>
      </c>
      <c r="H30" s="10"/>
      <c r="I30" s="10">
        <f t="shared" si="5"/>
        <v>5505.4131216684573</v>
      </c>
      <c r="J30" s="10">
        <f t="shared" si="3"/>
        <v>202185351879.6796</v>
      </c>
      <c r="K30" s="11">
        <f t="shared" si="4"/>
        <v>2.0655680000000176E-2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36607683.760253929</v>
      </c>
      <c r="D31" s="11">
        <v>3.8E-3</v>
      </c>
      <c r="E31" s="10">
        <f t="shared" si="2"/>
        <v>138582.58446798474</v>
      </c>
      <c r="F31" s="3"/>
      <c r="G31" s="29">
        <v>4.05</v>
      </c>
      <c r="H31" s="10"/>
      <c r="I31" s="10">
        <f t="shared" si="5"/>
        <v>5411.2572455951022</v>
      </c>
      <c r="J31" s="10">
        <f t="shared" si="3"/>
        <v>198093593992.12823</v>
      </c>
      <c r="K31" s="11">
        <f t="shared" si="4"/>
        <v>4.4453899999999935E-2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36469101.175785944</v>
      </c>
      <c r="D32" s="11">
        <v>4.4000000000000003E-3</v>
      </c>
      <c r="E32" s="10">
        <f t="shared" si="2"/>
        <v>159761.09634952247</v>
      </c>
      <c r="F32" s="3"/>
      <c r="G32" s="29">
        <v>3.06</v>
      </c>
      <c r="H32" s="10"/>
      <c r="I32" s="10">
        <f t="shared" si="5"/>
        <v>5200.6316632341204</v>
      </c>
      <c r="J32" s="10">
        <f t="shared" si="3"/>
        <v>189662362304.48108</v>
      </c>
      <c r="K32" s="11">
        <f t="shared" si="4"/>
        <v>3.5134639999999884E-2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36309340.079436421</v>
      </c>
      <c r="D33" s="11">
        <v>5.0000000000000001E-3</v>
      </c>
      <c r="E33" s="10">
        <f t="shared" si="2"/>
        <v>180643.48298227042</v>
      </c>
      <c r="F33" s="3"/>
      <c r="G33" s="29">
        <v>1.7</v>
      </c>
      <c r="H33" s="10"/>
      <c r="I33" s="10">
        <f t="shared" si="5"/>
        <v>5046.2174104736278</v>
      </c>
      <c r="J33" s="10">
        <f t="shared" si="3"/>
        <v>183224824071.65997</v>
      </c>
      <c r="K33" s="11">
        <f t="shared" si="4"/>
        <v>2.208499999999991E-2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36128696.596454151</v>
      </c>
      <c r="D34" s="11">
        <v>5.7000000000000002E-3</v>
      </c>
      <c r="E34" s="10">
        <f t="shared" si="2"/>
        <v>204766.40210777521</v>
      </c>
      <c r="F34" s="3"/>
      <c r="G34" s="29">
        <v>2.79</v>
      </c>
      <c r="H34" s="10"/>
      <c r="I34" s="10">
        <f t="shared" si="5"/>
        <v>4961.8656936810503</v>
      </c>
      <c r="J34" s="10">
        <f t="shared" ref="J34:J65" si="6">IF(I34="","",I34*C34)</f>
        <v>179265740199.35718</v>
      </c>
      <c r="K34" s="11">
        <f t="shared" ref="K34:K65" si="7">IFERROR(J34/J35-1,"")</f>
        <v>4.6833130000000001E-2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35923930.194346376</v>
      </c>
      <c r="D35" s="11">
        <v>6.4999999999999997E-3</v>
      </c>
      <c r="E35" s="10">
        <f t="shared" si="2"/>
        <v>231997.56210953742</v>
      </c>
      <c r="F35" s="3"/>
      <c r="G35" s="29">
        <v>1.32</v>
      </c>
      <c r="H35" s="10"/>
      <c r="I35" s="10">
        <f t="shared" ref="I35:I66" si="8">IF(H35&lt;&gt;"",H35,I34/(1+IF(G34="",0,G34)/100))</f>
        <v>4766.8995039687297</v>
      </c>
      <c r="J35" s="10">
        <f t="shared" si="6"/>
        <v>171245765024.03702</v>
      </c>
      <c r="K35" s="11">
        <f t="shared" si="7"/>
        <v>4.6961299999999762E-2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35691932.632236838</v>
      </c>
      <c r="D36" s="11">
        <v>7.4000000000000003E-3</v>
      </c>
      <c r="E36" s="10">
        <f t="shared" si="2"/>
        <v>262180.16823362559</v>
      </c>
      <c r="F36" s="3"/>
      <c r="G36" s="29">
        <v>-6.87</v>
      </c>
      <c r="H36" s="10"/>
      <c r="I36" s="10">
        <f t="shared" si="8"/>
        <v>4582.6759315215631</v>
      </c>
      <c r="J36" s="10">
        <f t="shared" si="6"/>
        <v>163564560623.24084</v>
      </c>
      <c r="K36" s="11">
        <f t="shared" si="7"/>
        <v>-1.3453179999999842E-2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35429752.464003213</v>
      </c>
      <c r="D37" s="11">
        <v>8.5000000000000006E-3</v>
      </c>
      <c r="E37" s="10">
        <f t="shared" si="2"/>
        <v>298614.6712384969</v>
      </c>
      <c r="F37" s="3"/>
      <c r="G37" s="29">
        <v>-6.46</v>
      </c>
      <c r="H37" s="10"/>
      <c r="I37" s="10">
        <f t="shared" si="8"/>
        <v>4679.5424604529389</v>
      </c>
      <c r="J37" s="10">
        <f t="shared" si="6"/>
        <v>165795031018.64017</v>
      </c>
      <c r="K37" s="11">
        <f t="shared" si="7"/>
        <v>-3.1985999999999404E-3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35131137.792764716</v>
      </c>
      <c r="D38" s="11">
        <v>9.5999999999999992E-3</v>
      </c>
      <c r="E38" s="10">
        <f t="shared" si="2"/>
        <v>334052.02338603884</v>
      </c>
      <c r="F38" s="3"/>
      <c r="G38" s="29">
        <v>-4.85</v>
      </c>
      <c r="H38" s="10"/>
      <c r="I38" s="10">
        <f t="shared" si="8"/>
        <v>4734.4622222308162</v>
      </c>
      <c r="J38" s="10">
        <f t="shared" si="6"/>
        <v>166327044703.82983</v>
      </c>
      <c r="K38" s="11">
        <f t="shared" si="7"/>
        <v>-2.0103999999999678E-3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34797085.769378677</v>
      </c>
      <c r="D39" s="11">
        <v>1.0500000000000001E-2</v>
      </c>
      <c r="E39" s="10">
        <f t="shared" si="2"/>
        <v>361572.88528300077</v>
      </c>
      <c r="F39" s="3"/>
      <c r="G39" s="29">
        <v>0.75</v>
      </c>
      <c r="H39" s="10"/>
      <c r="I39" s="10">
        <f t="shared" si="8"/>
        <v>4789.5419547099809</v>
      </c>
      <c r="J39" s="10">
        <f t="shared" si="6"/>
        <v>166662102194.08081</v>
      </c>
      <c r="K39" s="11">
        <f t="shared" si="7"/>
        <v>1.8078750000000143E-2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34435512.884095676</v>
      </c>
      <c r="D40" s="11">
        <v>1.11E-2</v>
      </c>
      <c r="E40" s="10">
        <f t="shared" si="2"/>
        <v>378037.97152949125</v>
      </c>
      <c r="F40" s="3"/>
      <c r="G40" s="29">
        <v>2.65</v>
      </c>
      <c r="H40" s="10"/>
      <c r="I40" s="10">
        <f t="shared" si="8"/>
        <v>4753.8877962381939</v>
      </c>
      <c r="J40" s="10">
        <f t="shared" si="6"/>
        <v>163702564456.90552</v>
      </c>
      <c r="K40" s="11">
        <f t="shared" si="7"/>
        <v>3.7894150000000071E-2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34057474.912566185</v>
      </c>
      <c r="D41" s="11">
        <v>1.1299999999999999E-2</v>
      </c>
      <c r="E41" s="10">
        <f t="shared" si="2"/>
        <v>380549.25987540931</v>
      </c>
      <c r="F41" s="3"/>
      <c r="G41" s="29">
        <v>2.56</v>
      </c>
      <c r="H41" s="10"/>
      <c r="I41" s="10">
        <f t="shared" si="8"/>
        <v>4631.1620031545972</v>
      </c>
      <c r="J41" s="10">
        <f t="shared" si="6"/>
        <v>157725683738.46747</v>
      </c>
      <c r="K41" s="11">
        <f t="shared" si="7"/>
        <v>3.7189280000000213E-2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33676925.652690776</v>
      </c>
      <c r="D42" s="11">
        <v>1.11E-2</v>
      </c>
      <c r="E42" s="10">
        <f t="shared" si="2"/>
        <v>369710.0927157253</v>
      </c>
      <c r="F42" s="3"/>
      <c r="G42" s="29">
        <v>-3.35</v>
      </c>
      <c r="H42" s="10"/>
      <c r="I42" s="10">
        <f t="shared" si="8"/>
        <v>4515.5635756187567</v>
      </c>
      <c r="J42" s="10">
        <f t="shared" si="6"/>
        <v>152070298816.11139</v>
      </c>
      <c r="K42" s="11">
        <f t="shared" si="7"/>
        <v>-2.2771850000000038E-2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33307215.55997505</v>
      </c>
      <c r="D43" s="11">
        <v>1.06E-2</v>
      </c>
      <c r="E43" s="10">
        <f t="shared" si="2"/>
        <v>349353.33953664452</v>
      </c>
      <c r="F43" s="3"/>
      <c r="G43" s="29">
        <v>2.69</v>
      </c>
      <c r="H43" s="10"/>
      <c r="I43" s="10">
        <f t="shared" si="8"/>
        <v>4672.0781951564995</v>
      </c>
      <c r="J43" s="10">
        <f t="shared" si="6"/>
        <v>155613915559.13672</v>
      </c>
      <c r="K43" s="11">
        <f t="shared" si="7"/>
        <v>3.7785139999999995E-2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32957862.220438406</v>
      </c>
      <c r="D44" s="11">
        <v>1.0200000000000001E-2</v>
      </c>
      <c r="E44" s="10">
        <f t="shared" si="2"/>
        <v>332775.88066568226</v>
      </c>
      <c r="F44" s="3"/>
      <c r="G44" s="29">
        <v>2.16</v>
      </c>
      <c r="H44" s="10"/>
      <c r="I44" s="10">
        <f t="shared" si="8"/>
        <v>4549.6914939687404</v>
      </c>
      <c r="J44" s="10">
        <f t="shared" si="6"/>
        <v>149948105403.72232</v>
      </c>
      <c r="K44" s="11">
        <f t="shared" si="7"/>
        <v>3.2020320000000213E-2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32625086.339772724</v>
      </c>
      <c r="D45" s="11">
        <v>9.9000000000000008E-3</v>
      </c>
      <c r="E45" s="10">
        <f t="shared" si="2"/>
        <v>319822.11581715941</v>
      </c>
      <c r="F45" s="3"/>
      <c r="G45" s="29">
        <v>5.28</v>
      </c>
      <c r="H45" s="10"/>
      <c r="I45" s="10">
        <f t="shared" si="8"/>
        <v>4453.4959807838095</v>
      </c>
      <c r="J45" s="10">
        <f t="shared" si="6"/>
        <v>145295690886.90259</v>
      </c>
      <c r="K45" s="11">
        <f t="shared" si="7"/>
        <v>6.3222719999999955E-2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32305264.223955564</v>
      </c>
      <c r="D46" s="11">
        <v>9.5999999999999992E-3</v>
      </c>
      <c r="E46" s="10">
        <f t="shared" si="2"/>
        <v>307181.59325473011</v>
      </c>
      <c r="F46" s="3"/>
      <c r="G46" s="29">
        <v>5.71</v>
      </c>
      <c r="H46" s="10"/>
      <c r="I46" s="10">
        <f t="shared" si="8"/>
        <v>4230.144358647236</v>
      </c>
      <c r="J46" s="10">
        <f t="shared" si="6"/>
        <v>136655931211.57401</v>
      </c>
      <c r="K46" s="11">
        <f t="shared" si="7"/>
        <v>6.7248160000000112E-2</v>
      </c>
      <c r="L46" t="s">
        <v>133</v>
      </c>
      <c r="M46" t="s">
        <v>134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31998082.630700834</v>
      </c>
      <c r="D47" s="11">
        <v>9.4999999999999998E-3</v>
      </c>
      <c r="E47" s="10">
        <f t="shared" si="2"/>
        <v>301121.13421660289</v>
      </c>
      <c r="F47" s="3"/>
      <c r="G47" s="29">
        <v>1.94</v>
      </c>
      <c r="H47" s="10"/>
      <c r="I47" s="10">
        <f t="shared" si="8"/>
        <v>4001.6501358880296</v>
      </c>
      <c r="J47" s="10">
        <f t="shared" si="6"/>
        <v>128045131707.30038</v>
      </c>
      <c r="K47" s="11">
        <f t="shared" si="7"/>
        <v>2.9084300000000063E-2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31696961.496484231</v>
      </c>
      <c r="D48" s="11">
        <v>9.4999999999999998E-3</v>
      </c>
      <c r="E48" s="10">
        <f t="shared" si="2"/>
        <v>298287.40387974307</v>
      </c>
      <c r="F48" s="3"/>
      <c r="G48" s="29">
        <v>4.5</v>
      </c>
      <c r="H48" s="10"/>
      <c r="I48" s="10">
        <f t="shared" si="8"/>
        <v>3925.4955227467426</v>
      </c>
      <c r="J48" s="10">
        <f t="shared" si="6"/>
        <v>124426280439.12474</v>
      </c>
      <c r="K48" s="11">
        <f t="shared" si="7"/>
        <v>5.4927500000000018E-2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31398674.092604488</v>
      </c>
      <c r="D49" s="11">
        <v>9.5999999999999992E-3</v>
      </c>
      <c r="E49" s="10">
        <f t="shared" si="2"/>
        <v>298561.08487421274</v>
      </c>
      <c r="F49" s="3"/>
      <c r="G49" s="29">
        <v>2.2599999999999998</v>
      </c>
      <c r="H49" s="10"/>
      <c r="I49" s="10">
        <f t="shared" si="8"/>
        <v>3756.4550456906632</v>
      </c>
      <c r="J49" s="10">
        <f t="shared" si="6"/>
        <v>117947707723.16083</v>
      </c>
      <c r="K49" s="11">
        <f t="shared" si="7"/>
        <v>3.2416959999999939E-2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31100113.007730275</v>
      </c>
      <c r="D50" s="11">
        <v>9.7999999999999997E-3</v>
      </c>
      <c r="E50" s="10">
        <f t="shared" si="2"/>
        <v>301823.23972643912</v>
      </c>
      <c r="F50" s="3"/>
      <c r="G50" s="29">
        <v>6.26</v>
      </c>
      <c r="H50" s="10"/>
      <c r="I50" s="10">
        <f t="shared" si="8"/>
        <v>3673.4354055257809</v>
      </c>
      <c r="J50" s="10">
        <f t="shared" si="6"/>
        <v>114244256238.44928</v>
      </c>
      <c r="K50" s="11">
        <f t="shared" si="7"/>
        <v>7.3013480000000186E-2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30798289.768003836</v>
      </c>
      <c r="D51" s="11">
        <v>1.0200000000000001E-2</v>
      </c>
      <c r="E51" s="10">
        <f t="shared" si="2"/>
        <v>310970.65495311841</v>
      </c>
      <c r="F51" s="3"/>
      <c r="G51" s="29">
        <v>3.79</v>
      </c>
      <c r="H51" s="10"/>
      <c r="I51" s="10">
        <f t="shared" si="8"/>
        <v>3457.0256027910605</v>
      </c>
      <c r="J51" s="10">
        <f t="shared" si="6"/>
        <v>106470476250.16721</v>
      </c>
      <c r="K51" s="11">
        <f t="shared" si="7"/>
        <v>4.8486580000000057E-2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30487319.113050718</v>
      </c>
      <c r="D52" s="11">
        <v>1.06E-2</v>
      </c>
      <c r="E52" s="10">
        <f t="shared" si="2"/>
        <v>319775.95744937286</v>
      </c>
      <c r="F52" s="3"/>
      <c r="G52" s="29">
        <v>5.29</v>
      </c>
      <c r="H52" s="10"/>
      <c r="I52" s="10">
        <f t="shared" si="8"/>
        <v>3330.7887106571543</v>
      </c>
      <c r="J52" s="10">
        <f t="shared" si="6"/>
        <v>101546818319.95142</v>
      </c>
      <c r="K52" s="11">
        <f t="shared" si="7"/>
        <v>6.4060739999999949E-2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30167543.155601345</v>
      </c>
      <c r="D53" s="11">
        <v>1.0999999999999999E-2</v>
      </c>
      <c r="E53" s="10">
        <f t="shared" si="2"/>
        <v>328232.41811237484</v>
      </c>
      <c r="F53" s="3"/>
      <c r="G53" s="29">
        <v>5.01</v>
      </c>
      <c r="H53" s="10"/>
      <c r="I53" s="10">
        <f t="shared" si="8"/>
        <v>3163.4425972619947</v>
      </c>
      <c r="J53" s="10">
        <f t="shared" si="6"/>
        <v>95433291073.168823</v>
      </c>
      <c r="K53" s="11">
        <f t="shared" si="7"/>
        <v>6.1651099999999737E-2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29839310.73748897</v>
      </c>
      <c r="D54" s="11">
        <v>1.12E-2</v>
      </c>
      <c r="E54" s="10">
        <f t="shared" si="2"/>
        <v>330498.69487725571</v>
      </c>
      <c r="F54" s="3"/>
      <c r="G54" s="29">
        <v>3.79</v>
      </c>
      <c r="H54" s="10"/>
      <c r="I54" s="10">
        <f t="shared" si="8"/>
        <v>3012.5155673383438</v>
      </c>
      <c r="J54" s="10">
        <f t="shared" si="6"/>
        <v>89891388115.331711</v>
      </c>
      <c r="K54" s="11">
        <f t="shared" si="7"/>
        <v>4.9524480000000315E-2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29508812.042611714</v>
      </c>
      <c r="D55" s="11">
        <v>1.12E-2</v>
      </c>
      <c r="E55" s="10">
        <f t="shared" si="2"/>
        <v>326838.10806690529</v>
      </c>
      <c r="F55" s="3"/>
      <c r="G55" s="29">
        <v>2.81</v>
      </c>
      <c r="H55" s="10"/>
      <c r="I55" s="10">
        <f t="shared" si="8"/>
        <v>2902.5104223319622</v>
      </c>
      <c r="J55" s="10">
        <f t="shared" si="6"/>
        <v>85649634504.315414</v>
      </c>
      <c r="K55" s="11">
        <f t="shared" si="7"/>
        <v>3.9614720000000103E-2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29181973.934544809</v>
      </c>
      <c r="D56" s="11">
        <v>1.0999999999999999E-2</v>
      </c>
      <c r="E56" s="10">
        <f t="shared" si="2"/>
        <v>317509.11303658783</v>
      </c>
      <c r="F56" s="3"/>
      <c r="G56" s="29">
        <v>6.27</v>
      </c>
      <c r="H56" s="10"/>
      <c r="I56" s="10">
        <f t="shared" si="8"/>
        <v>2823.1790899056145</v>
      </c>
      <c r="J56" s="10">
        <f t="shared" si="6"/>
        <v>82385938614.177582</v>
      </c>
      <c r="K56" s="11">
        <f t="shared" si="7"/>
        <v>7.4389699999999781E-2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28864464.821508221</v>
      </c>
      <c r="D57" s="11">
        <v>1.06E-2</v>
      </c>
      <c r="E57" s="10">
        <f t="shared" si="2"/>
        <v>302754.1332950592</v>
      </c>
      <c r="F57" s="3"/>
      <c r="G57" s="30">
        <v>5.64</v>
      </c>
      <c r="H57" s="10"/>
      <c r="I57" s="10">
        <f t="shared" si="8"/>
        <v>2656.6096639744187</v>
      </c>
      <c r="J57" s="10">
        <f t="shared" si="6"/>
        <v>76681616190.268387</v>
      </c>
      <c r="K57" s="11">
        <f t="shared" si="7"/>
        <v>6.7597839999999909E-2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28561710.688213162</v>
      </c>
      <c r="D58" s="11">
        <v>1.01E-2</v>
      </c>
      <c r="E58" s="10">
        <f t="shared" si="2"/>
        <v>285588.83076027408</v>
      </c>
      <c r="F58" s="3"/>
      <c r="G58" s="30">
        <v>4.21</v>
      </c>
      <c r="H58" s="10"/>
      <c r="I58" s="10">
        <f t="shared" si="8"/>
        <v>2514.7762816872573</v>
      </c>
      <c r="J58" s="10">
        <f t="shared" si="6"/>
        <v>71826312603.131897</v>
      </c>
      <c r="K58" s="11">
        <f t="shared" si="7"/>
        <v>5.26252100000002E-2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28276121.857452888</v>
      </c>
      <c r="D59" s="11">
        <v>9.4999999999999998E-3</v>
      </c>
      <c r="E59" s="10">
        <f t="shared" si="2"/>
        <v>266095.25274473056</v>
      </c>
      <c r="F59" s="3"/>
      <c r="G59" s="30">
        <v>0</v>
      </c>
      <c r="H59" s="10"/>
      <c r="I59" s="10">
        <f t="shared" si="8"/>
        <v>2413.1813469794233</v>
      </c>
      <c r="J59" s="10">
        <f t="shared" si="6"/>
        <v>68235409831.322472</v>
      </c>
      <c r="K59" s="11">
        <f t="shared" si="7"/>
        <v>9.5000000000000639E-3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28010026.604708157</v>
      </c>
      <c r="D60" s="11">
        <v>8.8999999999999999E-3</v>
      </c>
      <c r="E60" s="10">
        <f t="shared" si="2"/>
        <v>247090.13458410278</v>
      </c>
      <c r="F60" s="3"/>
      <c r="G60" s="30">
        <v>3.01</v>
      </c>
      <c r="H60" s="10"/>
      <c r="I60" s="10">
        <f t="shared" si="8"/>
        <v>2413.1813469794233</v>
      </c>
      <c r="J60" s="10">
        <f t="shared" si="6"/>
        <v>67593273730.879112</v>
      </c>
      <c r="K60" s="11">
        <f t="shared" si="7"/>
        <v>3.9267889999999861E-2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27762936.470124055</v>
      </c>
      <c r="D61" s="11">
        <v>8.3999999999999995E-3</v>
      </c>
      <c r="E61" s="10">
        <f t="shared" si="2"/>
        <v>231266.03168290481</v>
      </c>
      <c r="F61" s="3"/>
      <c r="G61" s="30">
        <v>5.33</v>
      </c>
      <c r="H61" s="10"/>
      <c r="I61" s="10">
        <f t="shared" si="8"/>
        <v>2342.6670682258259</v>
      </c>
      <c r="J61" s="10">
        <f t="shared" si="6"/>
        <v>65039316985.805382</v>
      </c>
      <c r="K61" s="11">
        <f t="shared" si="7"/>
        <v>6.2147720000000017E-2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27531670.43844115</v>
      </c>
      <c r="D62" s="11">
        <v>8.0999999999999996E-3</v>
      </c>
      <c r="E62" s="10">
        <f t="shared" si="2"/>
        <v>221214.69154981896</v>
      </c>
      <c r="F62" s="3"/>
      <c r="G62" s="30">
        <v>2.21</v>
      </c>
      <c r="H62" s="10"/>
      <c r="I62" s="10">
        <f t="shared" si="8"/>
        <v>2224.1213977269781</v>
      </c>
      <c r="J62" s="10">
        <f t="shared" si="6"/>
        <v>61233777337.304253</v>
      </c>
      <c r="K62" s="11">
        <f t="shared" si="7"/>
        <v>3.0379010000000095E-2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27310455.746891331</v>
      </c>
      <c r="D63" s="11">
        <v>7.9000000000000008E-3</v>
      </c>
      <c r="E63" s="10">
        <f t="shared" si="2"/>
        <v>214061.51443639398</v>
      </c>
      <c r="F63" s="3"/>
      <c r="G63" s="30">
        <v>5.05</v>
      </c>
      <c r="H63" s="10"/>
      <c r="I63" s="10">
        <f t="shared" si="8"/>
        <v>2176.0311101917405</v>
      </c>
      <c r="J63" s="10">
        <f t="shared" si="6"/>
        <v>59428401338.750343</v>
      </c>
      <c r="K63" s="11">
        <f t="shared" si="7"/>
        <v>5.8798950000000128E-2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27096394.232454937</v>
      </c>
      <c r="D64" s="11">
        <v>7.7999999999999996E-3</v>
      </c>
      <c r="E64" s="10">
        <f t="shared" si="2"/>
        <v>209716.08951493353</v>
      </c>
      <c r="F64" s="3"/>
      <c r="G64" s="30">
        <v>3.97</v>
      </c>
      <c r="H64" s="10"/>
      <c r="I64" s="10">
        <f t="shared" si="8"/>
        <v>2071.4241886641985</v>
      </c>
      <c r="J64" s="10">
        <f t="shared" si="6"/>
        <v>56128126438.688232</v>
      </c>
      <c r="K64" s="11">
        <f t="shared" si="7"/>
        <v>4.7809660000000198E-2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26886678.142940003</v>
      </c>
      <c r="D65" s="11">
        <v>7.6E-3</v>
      </c>
      <c r="E65" s="10">
        <f t="shared" si="2"/>
        <v>202797.49294000119</v>
      </c>
      <c r="F65" s="3"/>
      <c r="G65" s="30">
        <v>3.52</v>
      </c>
      <c r="H65" s="10"/>
      <c r="I65" s="10">
        <f t="shared" si="8"/>
        <v>1992.3287377745487</v>
      </c>
      <c r="J65" s="10">
        <f t="shared" si="6"/>
        <v>53567101527.474205</v>
      </c>
      <c r="K65" s="11">
        <f t="shared" si="7"/>
        <v>4.3067519999999915E-2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26683880.650000002</v>
      </c>
      <c r="D66" s="11">
        <v>7.3000000000000001E-3</v>
      </c>
      <c r="E66" s="10">
        <f t="shared" si="2"/>
        <v>193380.65000000224</v>
      </c>
      <c r="F66" s="23">
        <f>SUM(F2)</f>
        <v>44529546</v>
      </c>
      <c r="G66" s="30">
        <v>5.41</v>
      </c>
      <c r="H66" s="10"/>
      <c r="I66" s="10">
        <f t="shared" si="8"/>
        <v>1924.5834020233278</v>
      </c>
      <c r="J66" s="10">
        <f t="shared" ref="J66:J67" si="9">IF(I66="","",I66*C66)</f>
        <v>51355353800.561455</v>
      </c>
      <c r="K66" s="11">
        <f t="shared" ref="K66" si="10">IFERROR(J66/J67-1,"")</f>
        <v>6.1794930000000026E-2</v>
      </c>
    </row>
    <row r="67" spans="1:11" ht="22.5" customHeight="1">
      <c r="A67" s="3">
        <f t="shared" si="0"/>
        <v>1950</v>
      </c>
      <c r="B67" s="3">
        <v>1700</v>
      </c>
      <c r="C67" s="10">
        <v>26490500</v>
      </c>
      <c r="D67" s="11">
        <v>6.7999999999999996E-3</v>
      </c>
      <c r="E67" s="3" t="s">
        <v>72</v>
      </c>
      <c r="F67" s="10">
        <f>SUM(C2)</f>
        <v>44529500.910028689</v>
      </c>
      <c r="G67" s="30">
        <v>4.88</v>
      </c>
      <c r="H67" s="10"/>
      <c r="I67" s="10">
        <f t="shared" ref="I67" si="11">IF(H67&lt;&gt;"",H67,I66/(1+IF(G66="",0,G66)/100))</f>
        <v>1825.8072308351464</v>
      </c>
      <c r="J67" s="10">
        <f t="shared" si="9"/>
        <v>48366546448.438446</v>
      </c>
      <c r="K67" s="11"/>
    </row>
  </sheetData>
  <dataValidations count="1">
    <dataValidation type="custom" allowBlank="1" showDropDown="1" sqref="D2:D67" xr:uid="{00000000-0002-0000-8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outlinePr summaryBelow="0" summaryRight="0"/>
  </sheetPr>
  <dimension ref="A1:M67"/>
  <sheetViews>
    <sheetView topLeftCell="A37" workbookViewId="0">
      <selection activeCell="L56" sqref="L5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74091162.229207247</v>
      </c>
      <c r="D2" s="11">
        <v>1.1299999999999999E-2</v>
      </c>
      <c r="E2" s="10">
        <f t="shared" ref="E2:E66" si="2">SUM(C2-C3)</f>
        <v>827875.14406214654</v>
      </c>
      <c r="F2" s="14">
        <v>74091042</v>
      </c>
      <c r="G2" s="26">
        <v>5.18</v>
      </c>
      <c r="H2" s="10"/>
      <c r="I2" s="10">
        <f>IF(H2&lt;&gt;"",H2,39048)</f>
        <v>4881</v>
      </c>
      <c r="J2" s="10">
        <f t="shared" ref="J2:J33" si="3">IF(I2="","",I2*C2)</f>
        <v>361638962840.76056</v>
      </c>
      <c r="K2" s="11">
        <f t="shared" ref="K2:K33" si="4">IFERROR(J2/J3-1,"")</f>
        <v>6.3685340000000146E-2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73263287.085145101</v>
      </c>
      <c r="D3" s="11">
        <v>1.14E-2</v>
      </c>
      <c r="E3" s="10">
        <f t="shared" si="2"/>
        <v>825787.49532397091</v>
      </c>
      <c r="F3" s="3"/>
      <c r="G3" s="26">
        <v>2.71</v>
      </c>
      <c r="H3" s="10"/>
      <c r="I3" s="10">
        <f t="shared" ref="I3:I34" si="5">IF(H3&lt;&gt;"",H3,I2/(1+IF(G2="",0,G2)/100))</f>
        <v>4640.6160867084991</v>
      </c>
      <c r="J3" s="10">
        <f t="shared" si="3"/>
        <v>339986788612.46741</v>
      </c>
      <c r="K3" s="11">
        <f t="shared" si="4"/>
        <v>3.8808940000000236E-2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72437499.58982113</v>
      </c>
      <c r="D4" s="11">
        <v>1.15E-2</v>
      </c>
      <c r="E4" s="10">
        <f t="shared" si="2"/>
        <v>823560.30181211233</v>
      </c>
      <c r="F4" s="3"/>
      <c r="G4" s="26">
        <v>0.7</v>
      </c>
      <c r="H4" s="10"/>
      <c r="I4" s="10">
        <f t="shared" si="5"/>
        <v>4518.1735826195109</v>
      </c>
      <c r="J4" s="10">
        <f t="shared" si="3"/>
        <v>327285197037.74146</v>
      </c>
      <c r="K4" s="11">
        <f t="shared" si="4"/>
        <v>1.8580499999999889E-2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71613939.288009018</v>
      </c>
      <c r="D5" s="11">
        <v>1.18E-2</v>
      </c>
      <c r="E5" s="10">
        <f t="shared" si="2"/>
        <v>835189.25044327974</v>
      </c>
      <c r="F5" s="3"/>
      <c r="G5" s="26">
        <v>1.57</v>
      </c>
      <c r="H5" s="10"/>
      <c r="I5" s="10">
        <f t="shared" si="5"/>
        <v>4486.7662190859101</v>
      </c>
      <c r="J5" s="10">
        <f t="shared" si="3"/>
        <v>321315003613.10815</v>
      </c>
      <c r="K5" s="11">
        <f t="shared" si="4"/>
        <v>2.7685260000000156E-2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70778750.037565738</v>
      </c>
      <c r="D6" s="11">
        <v>1.23E-2</v>
      </c>
      <c r="E6" s="10">
        <f t="shared" si="2"/>
        <v>860000.61786234379</v>
      </c>
      <c r="F6" s="3"/>
      <c r="G6" s="26">
        <v>2.56</v>
      </c>
      <c r="H6" s="10"/>
      <c r="I6" s="10">
        <f t="shared" si="5"/>
        <v>4417.4128375365854</v>
      </c>
      <c r="J6" s="10">
        <f t="shared" si="3"/>
        <v>312658959040.73596</v>
      </c>
      <c r="K6" s="11">
        <f t="shared" si="4"/>
        <v>3.8214880000000173E-2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69918749.419703394</v>
      </c>
      <c r="D7" s="11">
        <v>1.29E-2</v>
      </c>
      <c r="E7" s="10">
        <f t="shared" si="2"/>
        <v>890464.87068235874</v>
      </c>
      <c r="F7" s="3"/>
      <c r="G7" s="26">
        <v>6.79</v>
      </c>
      <c r="H7" s="10"/>
      <c r="I7" s="10">
        <f t="shared" si="5"/>
        <v>4307.1498025902738</v>
      </c>
      <c r="J7" s="10">
        <f t="shared" si="3"/>
        <v>301150527760.43427</v>
      </c>
      <c r="K7" s="11">
        <f t="shared" si="4"/>
        <v>8.1675909999999963E-2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69028284.549021035</v>
      </c>
      <c r="D8" s="11">
        <v>1.34E-2</v>
      </c>
      <c r="E8" s="10">
        <f t="shared" si="2"/>
        <v>912748.18724776804</v>
      </c>
      <c r="F8" s="3"/>
      <c r="G8" s="26">
        <v>5.51</v>
      </c>
      <c r="H8" s="10"/>
      <c r="I8" s="10">
        <f t="shared" si="5"/>
        <v>4033.2894490029717</v>
      </c>
      <c r="J8" s="10">
        <f t="shared" si="3"/>
        <v>278411051754.34137</v>
      </c>
      <c r="K8" s="11">
        <f t="shared" si="4"/>
        <v>6.9238339999999843E-2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68115536.361773267</v>
      </c>
      <c r="D9" s="11">
        <v>1.38E-2</v>
      </c>
      <c r="E9" s="10">
        <f t="shared" si="2"/>
        <v>927199.05483573675</v>
      </c>
      <c r="F9" s="3"/>
      <c r="G9" s="26">
        <v>5.36</v>
      </c>
      <c r="H9" s="10"/>
      <c r="I9" s="10">
        <f t="shared" si="5"/>
        <v>3822.6608368903157</v>
      </c>
      <c r="J9" s="10">
        <f t="shared" si="3"/>
        <v>260382593233.92892</v>
      </c>
      <c r="K9" s="11">
        <f t="shared" si="4"/>
        <v>6.8139680000000036E-2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67188337.306937531</v>
      </c>
      <c r="D10" s="11">
        <v>1.4200000000000001E-2</v>
      </c>
      <c r="E10" s="10">
        <f t="shared" si="2"/>
        <v>940716.21944242716</v>
      </c>
      <c r="F10" s="3"/>
      <c r="G10" s="26">
        <v>10.82</v>
      </c>
      <c r="H10" s="10"/>
      <c r="I10" s="10">
        <f t="shared" si="5"/>
        <v>3628.1898603742552</v>
      </c>
      <c r="J10" s="10">
        <f t="shared" si="3"/>
        <v>243772044152.43604</v>
      </c>
      <c r="K10" s="11">
        <f t="shared" si="4"/>
        <v>0.12393643999999981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66247621.087495103</v>
      </c>
      <c r="D11" s="11">
        <v>1.46E-2</v>
      </c>
      <c r="E11" s="10">
        <f t="shared" si="2"/>
        <v>953297.12978260219</v>
      </c>
      <c r="F11" s="3"/>
      <c r="G11" s="26">
        <v>8.93</v>
      </c>
      <c r="H11" s="10"/>
      <c r="I11" s="10">
        <f t="shared" si="5"/>
        <v>3273.9486197204974</v>
      </c>
      <c r="J11" s="10">
        <f t="shared" si="3"/>
        <v>216891307619.17111</v>
      </c>
      <c r="K11" s="11">
        <f t="shared" si="4"/>
        <v>0.10520377999999986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65294323.957712501</v>
      </c>
      <c r="D12" s="11">
        <v>1.49E-2</v>
      </c>
      <c r="E12" s="10">
        <f t="shared" si="2"/>
        <v>958602.25339433551</v>
      </c>
      <c r="F12" s="3"/>
      <c r="G12" s="26">
        <v>6.48</v>
      </c>
      <c r="H12" s="10"/>
      <c r="I12" s="10">
        <f t="shared" si="5"/>
        <v>3005.5527583957564</v>
      </c>
      <c r="J12" s="10">
        <f t="shared" si="3"/>
        <v>196245535478.68893</v>
      </c>
      <c r="K12" s="11">
        <f t="shared" si="4"/>
        <v>8.0665519999999935E-2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64335721.704318166</v>
      </c>
      <c r="D13" s="11">
        <v>1.52E-2</v>
      </c>
      <c r="E13" s="10">
        <f t="shared" si="2"/>
        <v>963261.39667616785</v>
      </c>
      <c r="F13" s="3"/>
      <c r="G13" s="26">
        <v>5.39</v>
      </c>
      <c r="H13" s="10"/>
      <c r="I13" s="10">
        <f t="shared" si="5"/>
        <v>2822.6453403416194</v>
      </c>
      <c r="J13" s="10">
        <f t="shared" si="3"/>
        <v>181596925086.20886</v>
      </c>
      <c r="K13" s="11">
        <f t="shared" si="4"/>
        <v>6.9919280000000139E-2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63372460.307641998</v>
      </c>
      <c r="D14" s="11">
        <v>1.5599999999999999E-2</v>
      </c>
      <c r="E14" s="10">
        <f t="shared" si="2"/>
        <v>973424.9515549615</v>
      </c>
      <c r="F14" s="3"/>
      <c r="G14" s="26">
        <v>4.8600000000000003</v>
      </c>
      <c r="H14" s="10"/>
      <c r="I14" s="10">
        <f t="shared" si="5"/>
        <v>2678.2857390090326</v>
      </c>
      <c r="J14" s="10">
        <f t="shared" si="3"/>
        <v>169729556687.87354</v>
      </c>
      <c r="K14" s="11">
        <f t="shared" si="4"/>
        <v>6.4958159999999987E-2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62399035.356087036</v>
      </c>
      <c r="D15" s="11">
        <v>1.6199999999999999E-2</v>
      </c>
      <c r="E15" s="10">
        <f t="shared" si="2"/>
        <v>994749.43197068572</v>
      </c>
      <c r="F15" s="3"/>
      <c r="G15" s="26">
        <v>-1.42</v>
      </c>
      <c r="H15" s="26"/>
      <c r="I15" s="10">
        <f>IF(H15&lt;&gt;"",H15,I14/(1+IF(G14="",0,G14)/100))</f>
        <v>2554.1538613475423</v>
      </c>
      <c r="J15" s="10">
        <f t="shared" si="3"/>
        <v>159376737099.11151</v>
      </c>
      <c r="K15" s="11">
        <f t="shared" si="4"/>
        <v>1.7699600000000704E-3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61404285.924116351</v>
      </c>
      <c r="D16" s="11">
        <v>1.7000000000000001E-2</v>
      </c>
      <c r="E16" s="10">
        <f t="shared" si="2"/>
        <v>1026423.6585152149</v>
      </c>
      <c r="F16" s="3"/>
      <c r="G16" s="26">
        <v>2.93</v>
      </c>
      <c r="H16" s="10"/>
      <c r="I16" s="10">
        <f>IF(H16&lt;&gt;"",H16,I15/(1+IF(G15="",0,G15)/100))</f>
        <v>2590.9452843858207</v>
      </c>
      <c r="J16" s="10">
        <f t="shared" si="3"/>
        <v>159095145056.16788</v>
      </c>
      <c r="K16" s="11">
        <f t="shared" si="4"/>
        <v>4.6798099999999954E-2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60377862.265601136</v>
      </c>
      <c r="D17" s="11">
        <v>1.8100000000000002E-2</v>
      </c>
      <c r="E17" s="10">
        <f t="shared" si="2"/>
        <v>1073410.5755892172</v>
      </c>
      <c r="F17" s="3"/>
      <c r="G17" s="26">
        <v>0.79</v>
      </c>
      <c r="H17" s="10"/>
      <c r="I17" s="10">
        <f t="shared" si="5"/>
        <v>2517.1915713454005</v>
      </c>
      <c r="J17" s="10">
        <f t="shared" si="3"/>
        <v>151982645990.82468</v>
      </c>
      <c r="K17" s="11">
        <f t="shared" si="4"/>
        <v>2.6142990000000088E-2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59304451.690011919</v>
      </c>
      <c r="D18" s="11">
        <v>1.9300000000000001E-2</v>
      </c>
      <c r="E18" s="10">
        <f t="shared" si="2"/>
        <v>1122903.8728708252</v>
      </c>
      <c r="F18" s="3"/>
      <c r="G18" s="26">
        <v>3.47</v>
      </c>
      <c r="H18" s="10"/>
      <c r="I18" s="10">
        <f>IF(H18&lt;&gt;"",H18,I17/(1+IF(G17="",0,G17)/100))</f>
        <v>2497.4616245117577</v>
      </c>
      <c r="J18" s="10">
        <f t="shared" si="3"/>
        <v>148110592258.5162</v>
      </c>
      <c r="K18" s="11">
        <f t="shared" si="4"/>
        <v>5.4669709999999982E-2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58181547.817141093</v>
      </c>
      <c r="D19" s="11">
        <v>2.0500000000000001E-2</v>
      </c>
      <c r="E19" s="10">
        <f t="shared" si="2"/>
        <v>1168762.1070567295</v>
      </c>
      <c r="F19" s="3"/>
      <c r="G19" s="26">
        <v>3.83</v>
      </c>
      <c r="H19" s="10"/>
      <c r="I19" s="10">
        <f>IF(H19&lt;&gt;"",H19,I18/(1+IF(G18="",0,G18)/100))</f>
        <v>2413.7060254293592</v>
      </c>
      <c r="J19" s="10">
        <f t="shared" si="3"/>
        <v>140433152535.03983</v>
      </c>
      <c r="K19" s="11">
        <f t="shared" si="4"/>
        <v>5.9585149999999976E-2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57012785.710084364</v>
      </c>
      <c r="D20" s="11">
        <v>2.1499999999999998E-2</v>
      </c>
      <c r="E20" s="10">
        <f t="shared" si="2"/>
        <v>1199975.4212107882</v>
      </c>
      <c r="F20" s="3"/>
      <c r="G20" s="26">
        <v>5.49</v>
      </c>
      <c r="H20" s="10"/>
      <c r="I20" s="10">
        <f t="shared" si="5"/>
        <v>2324.6711214767979</v>
      </c>
      <c r="J20" s="10">
        <f t="shared" si="3"/>
        <v>132535976495.17818</v>
      </c>
      <c r="K20" s="11">
        <f t="shared" si="4"/>
        <v>7.7580350000000076E-2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55812810.288873576</v>
      </c>
      <c r="D21" s="11">
        <v>2.2200000000000001E-2</v>
      </c>
      <c r="E21" s="10">
        <f t="shared" si="2"/>
        <v>1212134.9915994853</v>
      </c>
      <c r="F21" s="3"/>
      <c r="G21" s="26">
        <v>6.12</v>
      </c>
      <c r="H21" s="10"/>
      <c r="I21" s="10">
        <f t="shared" si="5"/>
        <v>2203.6886164345415</v>
      </c>
      <c r="J21" s="10">
        <f t="shared" si="3"/>
        <v>122994054684.81136</v>
      </c>
      <c r="K21" s="11">
        <f t="shared" si="4"/>
        <v>8.4758640000000218E-2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54600675.29727409</v>
      </c>
      <c r="D22" s="11">
        <v>2.2700000000000001E-2</v>
      </c>
      <c r="E22" s="10">
        <f t="shared" si="2"/>
        <v>1211924.6399218887</v>
      </c>
      <c r="F22" s="3"/>
      <c r="G22" s="26">
        <v>5.84</v>
      </c>
      <c r="H22" s="10"/>
      <c r="I22" s="10">
        <f t="shared" si="5"/>
        <v>2076.6006562707703</v>
      </c>
      <c r="J22" s="10">
        <f t="shared" si="3"/>
        <v>113383798155.14661</v>
      </c>
      <c r="K22" s="11">
        <f t="shared" si="4"/>
        <v>8.2425679999999835E-2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53388750.657352202</v>
      </c>
      <c r="D23" s="11">
        <v>2.3E-2</v>
      </c>
      <c r="E23" s="10">
        <f t="shared" si="2"/>
        <v>1200333.5924917832</v>
      </c>
      <c r="F23" s="3"/>
      <c r="G23" s="26">
        <v>6.21</v>
      </c>
      <c r="H23" s="10"/>
      <c r="I23" s="10">
        <f t="shared" si="5"/>
        <v>1962.018760648876</v>
      </c>
      <c r="J23" s="10">
        <f t="shared" si="3"/>
        <v>104749730397.33003</v>
      </c>
      <c r="K23" s="11">
        <f t="shared" si="4"/>
        <v>8.6528299999999891E-2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52188417.064860418</v>
      </c>
      <c r="D24" s="11">
        <v>2.35E-2</v>
      </c>
      <c r="E24" s="10">
        <f t="shared" si="2"/>
        <v>1198268.4914745688</v>
      </c>
      <c r="F24" s="3"/>
      <c r="G24" s="26">
        <v>1.9</v>
      </c>
      <c r="H24" s="10"/>
      <c r="I24" s="10">
        <f t="shared" si="5"/>
        <v>1847.3013470001656</v>
      </c>
      <c r="J24" s="10">
        <f t="shared" si="3"/>
        <v>96407733141.723083</v>
      </c>
      <c r="K24" s="11">
        <f t="shared" si="4"/>
        <v>4.2946499999999999E-2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50990148.57338585</v>
      </c>
      <c r="D25" s="11">
        <v>2.41E-2</v>
      </c>
      <c r="E25" s="10">
        <f t="shared" si="2"/>
        <v>1199943.9318607524</v>
      </c>
      <c r="F25" s="3"/>
      <c r="G25" s="26">
        <v>2.72</v>
      </c>
      <c r="H25" s="10"/>
      <c r="I25" s="10">
        <f t="shared" si="5"/>
        <v>1812.857062806836</v>
      </c>
      <c r="J25" s="10">
        <f t="shared" si="3"/>
        <v>92437850974.832443</v>
      </c>
      <c r="K25" s="11">
        <f t="shared" si="4"/>
        <v>5.1955519999999922E-2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49790204.641525097</v>
      </c>
      <c r="D26" s="11">
        <v>2.4899999999999999E-2</v>
      </c>
      <c r="E26" s="10">
        <f t="shared" si="2"/>
        <v>1209655.6694057658</v>
      </c>
      <c r="F26" s="3"/>
      <c r="G26" s="26">
        <v>-4.57</v>
      </c>
      <c r="H26" s="10"/>
      <c r="I26" s="10">
        <f t="shared" si="5"/>
        <v>1764.8530595860941</v>
      </c>
      <c r="J26" s="10">
        <f t="shared" si="3"/>
        <v>87872394999.013306</v>
      </c>
      <c r="K26" s="11">
        <f t="shared" si="4"/>
        <v>-2.1937930000000105E-2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48580548.972119331</v>
      </c>
      <c r="D27" s="11">
        <v>2.5600000000000001E-2</v>
      </c>
      <c r="E27" s="10">
        <f t="shared" si="2"/>
        <v>1212619.0071043894</v>
      </c>
      <c r="F27" s="3"/>
      <c r="G27" s="26">
        <v>-7.94</v>
      </c>
      <c r="H27" s="10"/>
      <c r="I27" s="10">
        <f t="shared" si="5"/>
        <v>1849.3692335597757</v>
      </c>
      <c r="J27" s="10">
        <f t="shared" si="3"/>
        <v>89843372618.481476</v>
      </c>
      <c r="K27" s="11">
        <f t="shared" si="4"/>
        <v>-5.5832639999999878E-2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47367929.965014942</v>
      </c>
      <c r="D28" s="11">
        <v>2.63E-2</v>
      </c>
      <c r="E28" s="10">
        <f t="shared" si="2"/>
        <v>1213852.2440610826</v>
      </c>
      <c r="F28" s="3"/>
      <c r="G28" s="26">
        <v>7.71</v>
      </c>
      <c r="H28" s="10"/>
      <c r="I28" s="10">
        <f t="shared" si="5"/>
        <v>2008.8738144251311</v>
      </c>
      <c r="J28" s="10">
        <f t="shared" si="3"/>
        <v>95156194150.242035</v>
      </c>
      <c r="K28" s="11">
        <f t="shared" si="4"/>
        <v>0.10542772999999994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46154077.720953859</v>
      </c>
      <c r="D29" s="11">
        <v>2.7E-2</v>
      </c>
      <c r="E29" s="10">
        <f t="shared" si="2"/>
        <v>1213398.3431993648</v>
      </c>
      <c r="F29" s="3"/>
      <c r="G29" s="26">
        <v>7.92</v>
      </c>
      <c r="H29" s="10"/>
      <c r="I29" s="10">
        <f t="shared" si="5"/>
        <v>1865.0764222682492</v>
      </c>
      <c r="J29" s="10">
        <f t="shared" si="3"/>
        <v>86080882148.887329</v>
      </c>
      <c r="K29" s="11">
        <f t="shared" si="4"/>
        <v>0.10833839999999961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44940679.377754495</v>
      </c>
      <c r="D30" s="11">
        <v>2.7699999999999999E-2</v>
      </c>
      <c r="E30" s="10">
        <f t="shared" si="2"/>
        <v>1211303.7061047032</v>
      </c>
      <c r="F30" s="3"/>
      <c r="G30" s="26">
        <v>7.36</v>
      </c>
      <c r="H30" s="10"/>
      <c r="I30" s="10">
        <f t="shared" si="5"/>
        <v>1728.2027634064577</v>
      </c>
      <c r="J30" s="10">
        <f t="shared" si="3"/>
        <v>77666606289.998932</v>
      </c>
      <c r="K30" s="11">
        <f t="shared" si="4"/>
        <v>0.10333872000000022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43729375.671649791</v>
      </c>
      <c r="D31" s="11">
        <v>2.8400000000000002E-2</v>
      </c>
      <c r="E31" s="10">
        <f t="shared" si="2"/>
        <v>1207617.9201427996</v>
      </c>
      <c r="F31" s="3"/>
      <c r="G31" s="26">
        <v>8.1300000000000008</v>
      </c>
      <c r="H31" s="10"/>
      <c r="I31" s="10">
        <f t="shared" si="5"/>
        <v>1609.7268660641373</v>
      </c>
      <c r="J31" s="10">
        <f t="shared" si="3"/>
        <v>70392350854.86615</v>
      </c>
      <c r="K31" s="11">
        <f t="shared" si="4"/>
        <v>0.11200892000000007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42521757.751506992</v>
      </c>
      <c r="D32" s="11">
        <v>2.92E-2</v>
      </c>
      <c r="E32" s="10">
        <f t="shared" si="2"/>
        <v>1206408.2067081258</v>
      </c>
      <c r="F32" s="3"/>
      <c r="G32" s="26">
        <v>7.6</v>
      </c>
      <c r="H32" s="10"/>
      <c r="I32" s="10">
        <f t="shared" si="5"/>
        <v>1488.6958901915634</v>
      </c>
      <c r="J32" s="10">
        <f t="shared" si="3"/>
        <v>63301966008.389709</v>
      </c>
      <c r="K32" s="11">
        <f t="shared" si="4"/>
        <v>0.10741919999999983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41315349.544798866</v>
      </c>
      <c r="D33" s="11">
        <v>3.0099999999999998E-2</v>
      </c>
      <c r="E33" s="10">
        <f t="shared" si="2"/>
        <v>1207253.6853688434</v>
      </c>
      <c r="F33" s="3"/>
      <c r="G33" s="26">
        <v>8.0500000000000007</v>
      </c>
      <c r="H33" s="10"/>
      <c r="I33" s="10">
        <f t="shared" si="5"/>
        <v>1383.5463663490366</v>
      </c>
      <c r="J33" s="10">
        <f t="shared" si="3"/>
        <v>57161701737.146797</v>
      </c>
      <c r="K33" s="11">
        <f t="shared" si="4"/>
        <v>0.11302305000000001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40108095.859430023</v>
      </c>
      <c r="D34" s="11">
        <v>3.1199999999999999E-2</v>
      </c>
      <c r="E34" s="10">
        <f t="shared" si="2"/>
        <v>1213511.0461735949</v>
      </c>
      <c r="F34" s="3"/>
      <c r="G34" s="26">
        <v>7.73</v>
      </c>
      <c r="H34" s="10"/>
      <c r="I34" s="10">
        <f t="shared" si="5"/>
        <v>1280.4686407672712</v>
      </c>
      <c r="J34" s="10">
        <f t="shared" ref="J34:J65" si="6">IF(I34="","",I34*C34)</f>
        <v>51357158988.887779</v>
      </c>
      <c r="K34" s="11">
        <f t="shared" ref="K34:K65" si="7">IFERROR(J34/J35-1,"")</f>
        <v>0.12431735999999982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38894584.813256428</v>
      </c>
      <c r="D35" s="11">
        <v>3.2599999999999997E-2</v>
      </c>
      <c r="E35" s="10">
        <f t="shared" si="2"/>
        <v>1227932.8538758084</v>
      </c>
      <c r="F35" s="3"/>
      <c r="G35" s="26">
        <v>6.77</v>
      </c>
      <c r="H35" s="10"/>
      <c r="I35" s="10">
        <f t="shared" ref="I35:I66" si="8">IF(H35&lt;&gt;"",H35,I34/(1+IF(G34="",0,G34)/100))</f>
        <v>1174.4186377760902</v>
      </c>
      <c r="J35" s="10">
        <f t="shared" si="6"/>
        <v>45678525313.251221</v>
      </c>
      <c r="K35" s="11">
        <f t="shared" si="7"/>
        <v>0.13038722000000003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37666651.959380619</v>
      </c>
      <c r="D36" s="11">
        <v>3.4099999999999998E-2</v>
      </c>
      <c r="E36" s="10">
        <f t="shared" si="2"/>
        <v>1242077.9729377031</v>
      </c>
      <c r="F36" s="3"/>
      <c r="G36" s="26">
        <v>2.65</v>
      </c>
      <c r="H36" s="10"/>
      <c r="I36" s="10">
        <f t="shared" si="8"/>
        <v>1072.8223602595142</v>
      </c>
      <c r="J36" s="10">
        <f t="shared" si="6"/>
        <v>40409626458.136368</v>
      </c>
      <c r="K36" s="11">
        <f t="shared" si="7"/>
        <v>0.11114044999999995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36424573.986442916</v>
      </c>
      <c r="D37" s="11">
        <v>3.4200000000000001E-2</v>
      </c>
      <c r="E37" s="10">
        <f t="shared" si="2"/>
        <v>1204525.6530036256</v>
      </c>
      <c r="F37" s="3"/>
      <c r="G37" s="26">
        <v>1.65</v>
      </c>
      <c r="H37" s="10"/>
      <c r="I37" s="10">
        <f t="shared" si="8"/>
        <v>998.43867869661631</v>
      </c>
      <c r="J37" s="10">
        <f t="shared" si="6"/>
        <v>36367703523.111206</v>
      </c>
      <c r="K37" s="11">
        <f t="shared" si="7"/>
        <v>0.10607690000000014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35220048.333439291</v>
      </c>
      <c r="D38" s="11">
        <v>3.1699999999999999E-2</v>
      </c>
      <c r="E38" s="10">
        <f t="shared" si="2"/>
        <v>1082170.7203353941</v>
      </c>
      <c r="F38" s="3"/>
      <c r="G38" s="26">
        <v>3.75</v>
      </c>
      <c r="H38" s="10"/>
      <c r="I38" s="10">
        <f t="shared" si="8"/>
        <v>933.556501820118</v>
      </c>
      <c r="J38" s="10">
        <f t="shared" si="6"/>
        <v>32879905116.101063</v>
      </c>
      <c r="K38" s="11">
        <f t="shared" si="7"/>
        <v>0.10856165000000018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34137877.613103896</v>
      </c>
      <c r="D39" s="11">
        <v>2.7300000000000001E-2</v>
      </c>
      <c r="E39" s="10">
        <f t="shared" si="2"/>
        <v>907197.56530491263</v>
      </c>
      <c r="F39" s="3"/>
      <c r="G39" s="26">
        <v>4.2300000000000004</v>
      </c>
      <c r="H39" s="10"/>
      <c r="I39" s="10">
        <f t="shared" si="8"/>
        <v>868.82875925557744</v>
      </c>
      <c r="J39" s="10">
        <f t="shared" si="6"/>
        <v>29659969850.211811</v>
      </c>
      <c r="K39" s="11">
        <f t="shared" si="7"/>
        <v>7.0754790000000067E-2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33230680.047798984</v>
      </c>
      <c r="D40" s="11">
        <v>2.41E-2</v>
      </c>
      <c r="E40" s="10">
        <f t="shared" si="2"/>
        <v>782012.87877351418</v>
      </c>
      <c r="F40" s="3"/>
      <c r="G40" s="26">
        <v>3.97</v>
      </c>
      <c r="H40" s="10"/>
      <c r="I40" s="10">
        <f t="shared" si="8"/>
        <v>833.56879905552853</v>
      </c>
      <c r="J40" s="10">
        <f t="shared" si="6"/>
        <v>27700058059.242313</v>
      </c>
      <c r="K40" s="11">
        <f t="shared" si="7"/>
        <v>6.4756770000000241E-2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32448667.16902547</v>
      </c>
      <c r="D41" s="11">
        <v>2.4E-2</v>
      </c>
      <c r="E41" s="10">
        <f t="shared" si="2"/>
        <v>760515.63677403331</v>
      </c>
      <c r="F41" s="3"/>
      <c r="G41" s="26">
        <v>4.16</v>
      </c>
      <c r="H41" s="10"/>
      <c r="I41" s="10">
        <f t="shared" si="8"/>
        <v>801.7397317067697</v>
      </c>
      <c r="J41" s="10">
        <f t="shared" si="6"/>
        <v>26015385710.336746</v>
      </c>
      <c r="K41" s="11">
        <f t="shared" si="7"/>
        <v>6.6598400000000169E-2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31688151.532251436</v>
      </c>
      <c r="D42" s="11">
        <v>2.7400000000000001E-2</v>
      </c>
      <c r="E42" s="10">
        <f t="shared" si="2"/>
        <v>845099.6223318018</v>
      </c>
      <c r="F42" s="3"/>
      <c r="G42" s="26">
        <v>-13.84</v>
      </c>
      <c r="H42" s="10"/>
      <c r="I42" s="10">
        <f t="shared" si="8"/>
        <v>769.71940448038561</v>
      </c>
      <c r="J42" s="10">
        <f t="shared" si="6"/>
        <v>24390985126.488792</v>
      </c>
      <c r="K42" s="11">
        <f t="shared" si="7"/>
        <v>-0.11479215999999992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30843051.909919634</v>
      </c>
      <c r="D43" s="11">
        <v>3.1099999999999999E-2</v>
      </c>
      <c r="E43" s="10">
        <f t="shared" si="2"/>
        <v>930286.98903937265</v>
      </c>
      <c r="F43" s="3"/>
      <c r="G43" s="26">
        <v>4.3</v>
      </c>
      <c r="H43" s="10"/>
      <c r="I43" s="10">
        <f t="shared" si="8"/>
        <v>893.36049730778268</v>
      </c>
      <c r="J43" s="10">
        <f t="shared" si="6"/>
        <v>27553964192.735561</v>
      </c>
      <c r="K43" s="11">
        <f t="shared" si="7"/>
        <v>7.5437299999999929E-2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29912764.920880262</v>
      </c>
      <c r="D44" s="11">
        <v>3.3000000000000002E-2</v>
      </c>
      <c r="E44" s="10">
        <f t="shared" si="2"/>
        <v>955586.87549762428</v>
      </c>
      <c r="F44" s="3"/>
      <c r="G44" s="26">
        <v>4.3</v>
      </c>
      <c r="H44" s="10"/>
      <c r="I44" s="10">
        <f t="shared" si="8"/>
        <v>856.5297193746718</v>
      </c>
      <c r="J44" s="10">
        <f t="shared" si="6"/>
        <v>25621172143.402096</v>
      </c>
      <c r="K44" s="11">
        <f t="shared" si="7"/>
        <v>7.7418999999999683E-2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28957178.045382638</v>
      </c>
      <c r="D45" s="11">
        <v>3.2300000000000002E-2</v>
      </c>
      <c r="E45" s="10">
        <f t="shared" si="2"/>
        <v>906051.39093854278</v>
      </c>
      <c r="F45" s="3"/>
      <c r="G45" s="26">
        <v>5.2</v>
      </c>
      <c r="H45" s="10"/>
      <c r="I45" s="10">
        <f t="shared" si="8"/>
        <v>821.21737236306024</v>
      </c>
      <c r="J45" s="10">
        <f t="shared" si="6"/>
        <v>23780137665.478428</v>
      </c>
      <c r="K45" s="11">
        <f t="shared" si="7"/>
        <v>8.5979600000000156E-2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28051126.654444095</v>
      </c>
      <c r="D46" s="11">
        <v>3.1300000000000001E-2</v>
      </c>
      <c r="E46" s="10">
        <f t="shared" si="2"/>
        <v>851352.91795219854</v>
      </c>
      <c r="F46" s="3"/>
      <c r="G46" s="26">
        <v>1.7</v>
      </c>
      <c r="H46" s="10"/>
      <c r="I46" s="10">
        <f t="shared" si="8"/>
        <v>780.62487867211041</v>
      </c>
      <c r="J46" s="10">
        <f t="shared" si="6"/>
        <v>21897407341.241425</v>
      </c>
      <c r="K46" s="11">
        <f t="shared" si="7"/>
        <v>4.8832099999999823E-2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27199773.736491896</v>
      </c>
      <c r="D47" s="11">
        <v>3.1E-2</v>
      </c>
      <c r="E47" s="10">
        <f t="shared" si="2"/>
        <v>817839.9474599883</v>
      </c>
      <c r="F47" s="3"/>
      <c r="G47" s="26">
        <v>-0.9</v>
      </c>
      <c r="H47" s="10"/>
      <c r="I47" s="10">
        <f t="shared" si="8"/>
        <v>767.57608522331418</v>
      </c>
      <c r="J47" s="10">
        <f t="shared" si="6"/>
        <v>20877895843.616367</v>
      </c>
      <c r="K47" s="11">
        <f t="shared" si="7"/>
        <v>2.1720999999999879E-2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26381933.789031908</v>
      </c>
      <c r="D48" s="11">
        <v>3.1099999999999999E-2</v>
      </c>
      <c r="E48" s="10">
        <f t="shared" si="2"/>
        <v>795730.9095518291</v>
      </c>
      <c r="F48" s="3"/>
      <c r="G48" s="26">
        <v>-5.2</v>
      </c>
      <c r="H48" s="10"/>
      <c r="I48" s="10">
        <f t="shared" si="8"/>
        <v>774.54700829799617</v>
      </c>
      <c r="J48" s="10">
        <f t="shared" si="6"/>
        <v>20434047889.410484</v>
      </c>
      <c r="K48" s="11">
        <f t="shared" si="7"/>
        <v>-2.2517199999999904E-2</v>
      </c>
    </row>
    <row r="49" spans="1:13" ht="22.5" customHeight="1">
      <c r="A49" s="3">
        <f t="shared" si="0"/>
        <v>1968</v>
      </c>
      <c r="B49" s="3">
        <v>1718</v>
      </c>
      <c r="C49" s="10">
        <f t="shared" si="1"/>
        <v>25586202.879480079</v>
      </c>
      <c r="D49" s="11">
        <v>3.1199999999999999E-2</v>
      </c>
      <c r="E49" s="10">
        <f t="shared" si="2"/>
        <v>774136.47191599756</v>
      </c>
      <c r="F49" s="3"/>
      <c r="G49" s="26">
        <v>-2.2999999999999998</v>
      </c>
      <c r="H49" s="10"/>
      <c r="I49" s="10">
        <f t="shared" si="8"/>
        <v>817.03270917510144</v>
      </c>
      <c r="J49" s="10">
        <f t="shared" si="6"/>
        <v>20904764656.125389</v>
      </c>
      <c r="K49" s="11">
        <f t="shared" si="7"/>
        <v>7.4823999999997781E-3</v>
      </c>
    </row>
    <row r="50" spans="1:13" ht="22.5" customHeight="1">
      <c r="A50" s="3">
        <f t="shared" si="0"/>
        <v>1967</v>
      </c>
      <c r="B50" s="3">
        <v>1717</v>
      </c>
      <c r="C50" s="10">
        <f t="shared" si="1"/>
        <v>24812066.407564081</v>
      </c>
      <c r="D50" s="11">
        <v>3.1199999999999999E-2</v>
      </c>
      <c r="E50" s="10">
        <f t="shared" si="2"/>
        <v>750714.18921256438</v>
      </c>
      <c r="F50" s="3"/>
      <c r="G50" s="26">
        <v>-11.2</v>
      </c>
      <c r="H50" s="10"/>
      <c r="I50" s="10">
        <f t="shared" si="8"/>
        <v>836.26684664800564</v>
      </c>
      <c r="J50" s="10">
        <f t="shared" si="6"/>
        <v>20749508533.474525</v>
      </c>
      <c r="K50" s="11">
        <f t="shared" si="7"/>
        <v>-8.4294400000000103E-2</v>
      </c>
    </row>
    <row r="51" spans="1:13" ht="22.5" customHeight="1">
      <c r="A51" s="3">
        <f t="shared" si="0"/>
        <v>1966</v>
      </c>
      <c r="B51" s="3">
        <v>1716</v>
      </c>
      <c r="C51" s="10">
        <f t="shared" si="1"/>
        <v>24061352.218351517</v>
      </c>
      <c r="D51" s="11">
        <v>3.1199999999999999E-2</v>
      </c>
      <c r="E51" s="10">
        <f t="shared" si="2"/>
        <v>728000.57138534263</v>
      </c>
      <c r="F51" s="3"/>
      <c r="G51" s="26">
        <v>-0.49</v>
      </c>
      <c r="H51" s="10"/>
      <c r="I51" s="10">
        <f t="shared" si="8"/>
        <v>941.7419444234298</v>
      </c>
      <c r="J51" s="10">
        <f t="shared" si="6"/>
        <v>22659584623.567364</v>
      </c>
      <c r="K51" s="11">
        <f t="shared" si="7"/>
        <v>2.6147119999999857E-2</v>
      </c>
    </row>
    <row r="52" spans="1:13" ht="22.5" customHeight="1">
      <c r="A52" s="3">
        <f t="shared" si="0"/>
        <v>1965</v>
      </c>
      <c r="B52" s="3">
        <v>1715</v>
      </c>
      <c r="C52" s="10">
        <f t="shared" si="1"/>
        <v>23333351.646966174</v>
      </c>
      <c r="D52" s="11">
        <v>3.1099999999999999E-2</v>
      </c>
      <c r="E52" s="10">
        <f t="shared" si="2"/>
        <v>703779.68792614341</v>
      </c>
      <c r="F52" s="3"/>
      <c r="G52" s="26">
        <v>-8.6</v>
      </c>
      <c r="H52" s="10"/>
      <c r="I52" s="10">
        <f t="shared" si="8"/>
        <v>946.37920251575702</v>
      </c>
      <c r="J52" s="10">
        <f t="shared" si="6"/>
        <v>22082198723.675575</v>
      </c>
      <c r="K52" s="11">
        <f t="shared" si="7"/>
        <v>-5.7574599999999809E-2</v>
      </c>
      <c r="L52" t="s">
        <v>100</v>
      </c>
      <c r="M52" t="s">
        <v>101</v>
      </c>
    </row>
    <row r="53" spans="1:13" ht="22.5" customHeight="1">
      <c r="A53" s="3">
        <f t="shared" si="0"/>
        <v>1964</v>
      </c>
      <c r="B53" s="3">
        <v>1714</v>
      </c>
      <c r="C53" s="10">
        <f t="shared" si="1"/>
        <v>22629571.959040031</v>
      </c>
      <c r="D53" s="11">
        <v>3.1E-2</v>
      </c>
      <c r="E53" s="10">
        <f t="shared" si="2"/>
        <v>680423.59915639088</v>
      </c>
      <c r="F53" s="3"/>
      <c r="G53" s="26">
        <v>3.09</v>
      </c>
      <c r="H53" s="10"/>
      <c r="I53" s="10">
        <f t="shared" si="8"/>
        <v>1035.425823321397</v>
      </c>
      <c r="J53" s="10">
        <f t="shared" si="6"/>
        <v>23431243177.099823</v>
      </c>
      <c r="K53" s="11">
        <f t="shared" si="7"/>
        <v>6.2857900000000022E-2</v>
      </c>
    </row>
    <row r="54" spans="1:13" ht="22.5" customHeight="1">
      <c r="A54" s="3">
        <f t="shared" si="0"/>
        <v>1963</v>
      </c>
      <c r="B54" s="3">
        <v>1713</v>
      </c>
      <c r="C54" s="10">
        <f t="shared" si="1"/>
        <v>21949148.35988364</v>
      </c>
      <c r="D54" s="11">
        <v>3.0800000000000001E-2</v>
      </c>
      <c r="E54" s="10">
        <f t="shared" si="2"/>
        <v>655834.07982578129</v>
      </c>
      <c r="F54" s="3"/>
      <c r="G54" s="29">
        <v>7.18</v>
      </c>
      <c r="H54" s="10"/>
      <c r="I54" s="10">
        <f t="shared" si="8"/>
        <v>1004.3901671562684</v>
      </c>
      <c r="J54" s="10">
        <f t="shared" si="6"/>
        <v>22045508790.121262</v>
      </c>
      <c r="K54" s="11">
        <f t="shared" si="7"/>
        <v>0.10481143999999998</v>
      </c>
    </row>
    <row r="55" spans="1:13" ht="22.5" customHeight="1">
      <c r="A55" s="3">
        <f t="shared" si="0"/>
        <v>1962</v>
      </c>
      <c r="B55" s="3">
        <v>1712</v>
      </c>
      <c r="C55" s="10">
        <f t="shared" si="1"/>
        <v>21293314.280057859</v>
      </c>
      <c r="D55" s="11">
        <v>3.0599999999999999E-2</v>
      </c>
      <c r="E55" s="10">
        <f t="shared" si="2"/>
        <v>632229.20334734023</v>
      </c>
      <c r="F55" s="3"/>
      <c r="G55" s="29">
        <v>4.3</v>
      </c>
      <c r="H55" s="10"/>
      <c r="I55" s="10">
        <f t="shared" si="8"/>
        <v>937.10595927996667</v>
      </c>
      <c r="J55" s="10">
        <f t="shared" si="6"/>
        <v>19954091704.663433</v>
      </c>
      <c r="K55" s="11">
        <f t="shared" si="7"/>
        <v>7.4915799999999866E-2</v>
      </c>
    </row>
    <row r="56" spans="1:13" ht="22.5" customHeight="1">
      <c r="A56" s="3">
        <f t="shared" si="0"/>
        <v>1961</v>
      </c>
      <c r="B56" s="3">
        <v>1711</v>
      </c>
      <c r="C56" s="10">
        <f t="shared" si="1"/>
        <v>20661085.076710518</v>
      </c>
      <c r="D56" s="11">
        <v>3.04E-2</v>
      </c>
      <c r="E56" s="10">
        <f t="shared" si="2"/>
        <v>609566.1746234484</v>
      </c>
      <c r="F56" s="3"/>
      <c r="G56" s="29">
        <v>1.76</v>
      </c>
      <c r="H56" s="10"/>
      <c r="I56" s="10">
        <f t="shared" si="8"/>
        <v>898.47167716200067</v>
      </c>
      <c r="J56" s="10">
        <f t="shared" si="6"/>
        <v>18563399760.858883</v>
      </c>
      <c r="K56" s="11">
        <f t="shared" si="7"/>
        <v>4.8535039999999974E-2</v>
      </c>
    </row>
    <row r="57" spans="1:13" ht="22.5" customHeight="1">
      <c r="A57" s="3">
        <f t="shared" si="0"/>
        <v>1960</v>
      </c>
      <c r="B57" s="3">
        <v>1710</v>
      </c>
      <c r="C57" s="10">
        <f t="shared" si="1"/>
        <v>20051518.90208707</v>
      </c>
      <c r="D57" s="11">
        <v>3.0300000000000001E-2</v>
      </c>
      <c r="E57" s="10">
        <f t="shared" si="2"/>
        <v>589693.31528024748</v>
      </c>
      <c r="F57" s="3"/>
      <c r="G57" s="29">
        <v>2.84</v>
      </c>
      <c r="H57" s="10"/>
      <c r="I57" s="10">
        <f t="shared" si="8"/>
        <v>882.93207268278366</v>
      </c>
      <c r="J57" s="10">
        <f t="shared" si="6"/>
        <v>17704129144.657753</v>
      </c>
      <c r="K57" s="11">
        <f t="shared" si="7"/>
        <v>5.9560520000000006E-2</v>
      </c>
    </row>
    <row r="58" spans="1:13" ht="22.5" customHeight="1">
      <c r="A58" s="3">
        <f t="shared" si="0"/>
        <v>1959</v>
      </c>
      <c r="B58" s="3">
        <v>1709</v>
      </c>
      <c r="C58" s="10">
        <f t="shared" si="1"/>
        <v>19461825.586806823</v>
      </c>
      <c r="D58" s="11">
        <v>3.04E-2</v>
      </c>
      <c r="E58" s="10">
        <f t="shared" si="2"/>
        <v>574184.29526293278</v>
      </c>
      <c r="F58" s="3"/>
      <c r="G58" s="29">
        <v>2.87</v>
      </c>
      <c r="H58" s="10"/>
      <c r="I58" s="10">
        <f t="shared" si="8"/>
        <v>858.54927332048203</v>
      </c>
      <c r="J58" s="10">
        <f t="shared" si="6"/>
        <v>16708936215.042961</v>
      </c>
      <c r="K58" s="11">
        <f t="shared" si="7"/>
        <v>5.9972479999999884E-2</v>
      </c>
    </row>
    <row r="59" spans="1:13" ht="22.5" customHeight="1">
      <c r="A59" s="3">
        <f t="shared" si="0"/>
        <v>1958</v>
      </c>
      <c r="B59" s="3">
        <v>1708</v>
      </c>
      <c r="C59" s="10">
        <f t="shared" si="1"/>
        <v>18887641.29154389</v>
      </c>
      <c r="D59" s="11">
        <v>3.04E-2</v>
      </c>
      <c r="E59" s="10">
        <f t="shared" si="2"/>
        <v>557244.07537163794</v>
      </c>
      <c r="F59" s="3"/>
      <c r="G59" s="29">
        <v>0.2</v>
      </c>
      <c r="H59" s="10"/>
      <c r="I59" s="10">
        <f t="shared" si="8"/>
        <v>834.5963578501819</v>
      </c>
      <c r="J59" s="10">
        <f t="shared" si="6"/>
        <v>15763556630.303236</v>
      </c>
      <c r="K59" s="11">
        <f t="shared" si="7"/>
        <v>3.2460800000000178E-2</v>
      </c>
    </row>
    <row r="60" spans="1:13" ht="22.5" customHeight="1">
      <c r="A60" s="3">
        <f t="shared" si="0"/>
        <v>1957</v>
      </c>
      <c r="B60" s="3">
        <v>1707</v>
      </c>
      <c r="C60" s="10">
        <f t="shared" si="1"/>
        <v>18330397.216172252</v>
      </c>
      <c r="D60" s="11">
        <v>3.0200000000000001E-2</v>
      </c>
      <c r="E60" s="10">
        <f t="shared" si="2"/>
        <v>537350.0251683183</v>
      </c>
      <c r="F60" s="3"/>
      <c r="G60" s="29">
        <v>2.7</v>
      </c>
      <c r="H60" s="10"/>
      <c r="I60" s="10">
        <f t="shared" si="8"/>
        <v>832.93049685646895</v>
      </c>
      <c r="J60" s="10">
        <f t="shared" si="6"/>
        <v>15267946860.842789</v>
      </c>
      <c r="K60" s="11">
        <f t="shared" si="7"/>
        <v>5.8015399999999939E-2</v>
      </c>
    </row>
    <row r="61" spans="1:13" ht="22.5" customHeight="1">
      <c r="A61" s="3">
        <f t="shared" si="0"/>
        <v>1956</v>
      </c>
      <c r="B61" s="3">
        <v>1706</v>
      </c>
      <c r="C61" s="10">
        <f t="shared" si="1"/>
        <v>17793047.191003934</v>
      </c>
      <c r="D61" s="11">
        <v>0.03</v>
      </c>
      <c r="E61" s="10">
        <f t="shared" si="2"/>
        <v>518244.0929418616</v>
      </c>
      <c r="F61" s="3"/>
      <c r="G61" s="29">
        <v>4.4000000000000004</v>
      </c>
      <c r="H61" s="10"/>
      <c r="I61" s="10">
        <f t="shared" si="8"/>
        <v>811.03261621856768</v>
      </c>
      <c r="J61" s="10">
        <f t="shared" si="6"/>
        <v>14430741613.820356</v>
      </c>
      <c r="K61" s="11">
        <f t="shared" si="7"/>
        <v>7.5319999999999832E-2</v>
      </c>
    </row>
    <row r="62" spans="1:13" ht="22.5" customHeight="1">
      <c r="A62" s="3">
        <f t="shared" si="0"/>
        <v>1955</v>
      </c>
      <c r="B62" s="3">
        <v>1705</v>
      </c>
      <c r="C62" s="10">
        <f t="shared" si="1"/>
        <v>17274803.098062072</v>
      </c>
      <c r="D62" s="11">
        <v>2.98E-2</v>
      </c>
      <c r="E62" s="10">
        <f t="shared" si="2"/>
        <v>499892.34057316929</v>
      </c>
      <c r="F62" s="3"/>
      <c r="G62" s="29">
        <v>7.6</v>
      </c>
      <c r="H62" s="10"/>
      <c r="I62" s="10">
        <f t="shared" si="8"/>
        <v>776.85116496031389</v>
      </c>
      <c r="J62" s="10">
        <f t="shared" si="6"/>
        <v>13419950911.18956</v>
      </c>
      <c r="K62" s="11">
        <f t="shared" si="7"/>
        <v>0.10806479999999996</v>
      </c>
    </row>
    <row r="63" spans="1:13" ht="22.5" customHeight="1">
      <c r="A63" s="3">
        <f t="shared" si="0"/>
        <v>1954</v>
      </c>
      <c r="B63" s="3">
        <v>1704</v>
      </c>
      <c r="C63" s="10">
        <f t="shared" si="1"/>
        <v>16774910.757488903</v>
      </c>
      <c r="D63" s="11">
        <v>2.9499999999999998E-2</v>
      </c>
      <c r="E63" s="10">
        <f t="shared" si="2"/>
        <v>480679.81286636554</v>
      </c>
      <c r="F63" s="3"/>
      <c r="G63" s="29">
        <v>3.6</v>
      </c>
      <c r="H63" s="10"/>
      <c r="I63" s="10">
        <f t="shared" si="8"/>
        <v>721.98063658021738</v>
      </c>
      <c r="J63" s="10">
        <f t="shared" si="6"/>
        <v>12111160747.268175</v>
      </c>
      <c r="K63" s="11">
        <f t="shared" si="7"/>
        <v>6.6562000000000232E-2</v>
      </c>
    </row>
    <row r="64" spans="1:13" ht="22.5" customHeight="1">
      <c r="A64" s="3">
        <f t="shared" si="0"/>
        <v>1953</v>
      </c>
      <c r="B64" s="3">
        <v>1703</v>
      </c>
      <c r="C64" s="10">
        <f t="shared" si="1"/>
        <v>16294230.944622537</v>
      </c>
      <c r="D64" s="11">
        <v>2.92E-2</v>
      </c>
      <c r="E64" s="10">
        <f t="shared" si="2"/>
        <v>462292.59967253916</v>
      </c>
      <c r="F64" s="3"/>
      <c r="G64" s="29">
        <v>6.2</v>
      </c>
      <c r="H64" s="10"/>
      <c r="I64" s="10">
        <f t="shared" si="8"/>
        <v>696.89250635156111</v>
      </c>
      <c r="J64" s="10">
        <f t="shared" si="6"/>
        <v>11355327442.069164</v>
      </c>
      <c r="K64" s="11">
        <f t="shared" si="7"/>
        <v>9.3010400000000049E-2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15831938.344949998</v>
      </c>
      <c r="D65" s="11">
        <v>2.9000000000000001E-2</v>
      </c>
      <c r="E65" s="10">
        <f t="shared" si="2"/>
        <v>446186.79494999908</v>
      </c>
      <c r="F65" s="3"/>
      <c r="G65" s="29">
        <v>5.9</v>
      </c>
      <c r="H65" s="10"/>
      <c r="I65" s="10">
        <f t="shared" si="8"/>
        <v>656.20763309939832</v>
      </c>
      <c r="J65" s="10">
        <f t="shared" si="6"/>
        <v>10389038788.715244</v>
      </c>
      <c r="K65" s="11">
        <f t="shared" si="7"/>
        <v>8.9711000000000096E-2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15385751.549999999</v>
      </c>
      <c r="D66" s="11">
        <v>2.87E-2</v>
      </c>
      <c r="E66" s="10">
        <f t="shared" si="2"/>
        <v>429251.54999999888</v>
      </c>
      <c r="F66" s="23">
        <f>SUM(F2)</f>
        <v>74091042</v>
      </c>
      <c r="G66" s="29">
        <v>6.9</v>
      </c>
      <c r="H66" s="10"/>
      <c r="I66" s="10">
        <f t="shared" si="8"/>
        <v>619.64837875297292</v>
      </c>
      <c r="J66" s="10">
        <f t="shared" ref="J66:J67" si="9">IF(I66="","",I66*C66)</f>
        <v>9533756003.8535385</v>
      </c>
      <c r="K66" s="11">
        <f t="shared" ref="K66" si="10">IFERROR(J66/J67-1,"")</f>
        <v>9.9680299999999722E-2</v>
      </c>
    </row>
    <row r="67" spans="1:11" ht="22.5" customHeight="1">
      <c r="A67" s="3">
        <f t="shared" si="0"/>
        <v>1950</v>
      </c>
      <c r="B67" s="3">
        <v>1700</v>
      </c>
      <c r="C67" s="10">
        <v>14956500</v>
      </c>
      <c r="D67" s="11">
        <v>2.8400000000000002E-2</v>
      </c>
      <c r="E67" s="3" t="s">
        <v>72</v>
      </c>
      <c r="F67" s="10">
        <f>SUM(C2)</f>
        <v>74091162.229207247</v>
      </c>
      <c r="G67" s="29">
        <v>6.1</v>
      </c>
      <c r="H67" s="10"/>
      <c r="I67" s="10">
        <f t="shared" ref="I67" si="11">IF(H67&lt;&gt;"",H67,I66/(1+IF(G66="",0,G66)/100))</f>
        <v>579.6523655313124</v>
      </c>
      <c r="J67" s="10">
        <f t="shared" si="9"/>
        <v>8669570605.0690746</v>
      </c>
      <c r="K67" s="11"/>
    </row>
  </sheetData>
  <dataValidations count="1">
    <dataValidation type="custom" allowBlank="1" showDropDown="1" sqref="D2:D67" xr:uid="{00000000-0002-0000-8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outlinePr summaryBelow="0" summaryRight="0"/>
  </sheetPr>
  <dimension ref="A1:M67"/>
  <sheetViews>
    <sheetView workbookViewId="0">
      <selection activeCell="L14" sqref="L1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1158652.1487606454</v>
      </c>
      <c r="D2" s="11">
        <v>1.18E-2</v>
      </c>
      <c r="E2" s="10">
        <f t="shared" ref="E2:E66" si="2">SUM(C2-C3)</f>
        <v>13512.646131029585</v>
      </c>
      <c r="F2" s="14">
        <v>1158763</v>
      </c>
      <c r="G2" s="29">
        <v>3.84</v>
      </c>
      <c r="H2" s="10"/>
      <c r="I2" s="10">
        <f>IF(H2&lt;&gt;"",H2,134288)</f>
        <v>16786</v>
      </c>
      <c r="J2" s="10">
        <f t="shared" ref="J2:J33" si="3">IF(I2="","",I2*C2)</f>
        <v>19449134969.096195</v>
      </c>
      <c r="K2" s="11">
        <f t="shared" ref="K2:K33" si="4">IFERROR(J2/J3-1,"")</f>
        <v>5.0653120000000218E-2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1145139.5026296158</v>
      </c>
      <c r="D3" s="11">
        <v>1.15E-2</v>
      </c>
      <c r="E3" s="10">
        <f t="shared" si="2"/>
        <v>13019.381394207245</v>
      </c>
      <c r="F3" s="3"/>
      <c r="G3" s="29">
        <v>3.06</v>
      </c>
      <c r="H3" s="10"/>
      <c r="I3" s="10">
        <f t="shared" ref="I3:I34" si="5">IF(H3&lt;&gt;"",H3,I2/(1+IF(G2="",0,G2)/100))</f>
        <v>16165.254237288136</v>
      </c>
      <c r="J3" s="10">
        <f t="shared" si="3"/>
        <v>18511471197.169426</v>
      </c>
      <c r="K3" s="11">
        <f t="shared" si="4"/>
        <v>4.2451900000000098E-2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1132120.1212354086</v>
      </c>
      <c r="D4" s="11">
        <v>1.09E-2</v>
      </c>
      <c r="E4" s="10">
        <f t="shared" si="2"/>
        <v>12207.05244976352</v>
      </c>
      <c r="F4" s="3"/>
      <c r="G4" s="29">
        <v>2.79</v>
      </c>
      <c r="H4" s="10"/>
      <c r="I4" s="10">
        <f t="shared" si="5"/>
        <v>15685.284530650239</v>
      </c>
      <c r="J4" s="10">
        <f t="shared" si="3"/>
        <v>17757626224.451626</v>
      </c>
      <c r="K4" s="11">
        <f t="shared" si="4"/>
        <v>3.9104110000000025E-2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1119913.0687856451</v>
      </c>
      <c r="D5" s="11">
        <v>1.01E-2</v>
      </c>
      <c r="E5" s="10">
        <f t="shared" si="2"/>
        <v>11198.021972809685</v>
      </c>
      <c r="F5" s="3"/>
      <c r="G5" s="29">
        <v>4.13</v>
      </c>
      <c r="H5" s="10"/>
      <c r="I5" s="10">
        <f t="shared" si="5"/>
        <v>15259.543273324485</v>
      </c>
      <c r="J5" s="10">
        <f t="shared" si="3"/>
        <v>17089361935.496172</v>
      </c>
      <c r="K5" s="11">
        <f t="shared" si="4"/>
        <v>5.1817129999999878E-2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1108715.0468128354</v>
      </c>
      <c r="D6" s="11">
        <v>8.8999999999999999E-3</v>
      </c>
      <c r="E6" s="10">
        <f t="shared" si="2"/>
        <v>9780.5173125523143</v>
      </c>
      <c r="F6" s="3"/>
      <c r="G6" s="29">
        <v>3.84</v>
      </c>
      <c r="H6" s="10"/>
      <c r="I6" s="10">
        <f t="shared" si="5"/>
        <v>14654.319862983277</v>
      </c>
      <c r="J6" s="10">
        <f t="shared" si="3"/>
        <v>16247464932.897768</v>
      </c>
      <c r="K6" s="11">
        <f t="shared" si="4"/>
        <v>4.7641759999999866E-2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1098934.5295002831</v>
      </c>
      <c r="D7" s="11">
        <v>7.7999999999999996E-3</v>
      </c>
      <c r="E7" s="10">
        <f t="shared" si="2"/>
        <v>8505.3476186764892</v>
      </c>
      <c r="F7" s="3"/>
      <c r="G7" s="29">
        <v>3.73</v>
      </c>
      <c r="H7" s="10"/>
      <c r="I7" s="10">
        <f t="shared" si="5"/>
        <v>14112.403566047069</v>
      </c>
      <c r="J7" s="10">
        <f t="shared" si="3"/>
        <v>15508607572.972054</v>
      </c>
      <c r="K7" s="11">
        <f t="shared" si="4"/>
        <v>4.5390940000000324E-2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1090429.1818816066</v>
      </c>
      <c r="D8" s="11">
        <v>7.3000000000000001E-3</v>
      </c>
      <c r="E8" s="10">
        <f t="shared" si="2"/>
        <v>7902.4451779369265</v>
      </c>
      <c r="F8" s="3"/>
      <c r="G8" s="29">
        <v>2.4300000000000002</v>
      </c>
      <c r="H8" s="10"/>
      <c r="I8" s="10">
        <f t="shared" si="5"/>
        <v>13604.939329072657</v>
      </c>
      <c r="J8" s="10">
        <f t="shared" si="3"/>
        <v>14835222862.14959</v>
      </c>
      <c r="K8" s="11">
        <f t="shared" si="4"/>
        <v>3.1777390000000016E-2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1082526.7367036697</v>
      </c>
      <c r="D9" s="11">
        <v>6.7999999999999996E-3</v>
      </c>
      <c r="E9" s="10">
        <f t="shared" si="2"/>
        <v>7311.463855368318</v>
      </c>
      <c r="F9" s="3"/>
      <c r="G9" s="29">
        <v>4.2300000000000004</v>
      </c>
      <c r="H9" s="10"/>
      <c r="I9" s="10">
        <f t="shared" si="5"/>
        <v>13282.182299202046</v>
      </c>
      <c r="J9" s="10">
        <f t="shared" si="3"/>
        <v>14378317460.658436</v>
      </c>
      <c r="K9" s="11">
        <f t="shared" si="4"/>
        <v>4.9387639999999955E-2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1075215.2728483013</v>
      </c>
      <c r="D10" s="11">
        <v>4.1999999999999997E-3</v>
      </c>
      <c r="E10" s="10">
        <f t="shared" si="2"/>
        <v>4497.016675923951</v>
      </c>
      <c r="F10" s="3"/>
      <c r="G10" s="29">
        <v>6.19</v>
      </c>
      <c r="H10" s="10"/>
      <c r="I10" s="10">
        <f t="shared" si="5"/>
        <v>12743.147173752322</v>
      </c>
      <c r="J10" s="10">
        <f t="shared" si="3"/>
        <v>13701626465.372164</v>
      </c>
      <c r="K10" s="11">
        <f t="shared" si="4"/>
        <v>6.6359979999999874E-2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1070718.2561723774</v>
      </c>
      <c r="D11" s="11">
        <v>-4.1000000000000003E-3</v>
      </c>
      <c r="E11" s="10">
        <f t="shared" si="2"/>
        <v>-4408.0177229708061</v>
      </c>
      <c r="F11" s="3"/>
      <c r="G11" s="29">
        <v>6.57</v>
      </c>
      <c r="H11" s="10"/>
      <c r="I11" s="10">
        <f t="shared" si="5"/>
        <v>12000.326936389794</v>
      </c>
      <c r="J11" s="10">
        <f t="shared" si="3"/>
        <v>12848969130.829689</v>
      </c>
      <c r="K11" s="11">
        <f t="shared" si="4"/>
        <v>6.1330630000000497E-2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1075126.2738953482</v>
      </c>
      <c r="D12" s="11">
        <v>-9.1999999999999998E-3</v>
      </c>
      <c r="E12" s="10">
        <f t="shared" si="2"/>
        <v>-9983.0053692341316</v>
      </c>
      <c r="F12" s="3"/>
      <c r="G12" s="29">
        <v>6.05</v>
      </c>
      <c r="H12" s="10"/>
      <c r="I12" s="10">
        <f t="shared" si="5"/>
        <v>11260.511341268455</v>
      </c>
      <c r="J12" s="10">
        <f t="shared" si="3"/>
        <v>12106471600.494263</v>
      </c>
      <c r="K12" s="11">
        <f t="shared" si="4"/>
        <v>5.0743399999999994E-2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1085109.2792645823</v>
      </c>
      <c r="D13" s="11">
        <v>-7.0000000000000001E-3</v>
      </c>
      <c r="E13" s="10">
        <f t="shared" si="2"/>
        <v>-7649.3101257320959</v>
      </c>
      <c r="F13" s="3"/>
      <c r="G13" s="29">
        <v>6.23</v>
      </c>
      <c r="H13" s="10"/>
      <c r="I13" s="10">
        <f t="shared" si="5"/>
        <v>10618.115361875016</v>
      </c>
      <c r="J13" s="10">
        <f t="shared" si="3"/>
        <v>11521815507.472387</v>
      </c>
      <c r="K13" s="11">
        <f t="shared" si="4"/>
        <v>5.4863900000000188E-2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1092758.5893903144</v>
      </c>
      <c r="D14" s="11">
        <v>-4.7999999999999996E-3</v>
      </c>
      <c r="E14" s="10">
        <f t="shared" si="2"/>
        <v>-5270.5398202105425</v>
      </c>
      <c r="F14" s="3"/>
      <c r="G14" s="29">
        <v>4.55</v>
      </c>
      <c r="H14" s="10"/>
      <c r="I14" s="10">
        <f t="shared" si="5"/>
        <v>9995.4018279911652</v>
      </c>
      <c r="J14" s="10">
        <f t="shared" si="3"/>
        <v>10922561201.944996</v>
      </c>
      <c r="K14" s="11">
        <f t="shared" si="4"/>
        <v>4.0481600000000117E-2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1098029.129210525</v>
      </c>
      <c r="D15" s="11">
        <v>-3.0999999999999999E-3</v>
      </c>
      <c r="E15" s="10">
        <f t="shared" si="2"/>
        <v>-3414.4751735907048</v>
      </c>
      <c r="F15" s="3"/>
      <c r="G15" s="29">
        <v>3.75</v>
      </c>
      <c r="H15" s="10"/>
      <c r="I15" s="10">
        <f t="shared" si="5"/>
        <v>9560.4034701015444</v>
      </c>
      <c r="J15" s="10">
        <f t="shared" si="3"/>
        <v>10497601497.17688</v>
      </c>
      <c r="K15" s="11">
        <f t="shared" si="4"/>
        <v>3.4283750000000168E-2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1101443.6043841157</v>
      </c>
      <c r="D16" s="11">
        <v>-1.5E-3</v>
      </c>
      <c r="E16" s="10">
        <f t="shared" si="2"/>
        <v>-1654.6473776425701</v>
      </c>
      <c r="F16" s="3"/>
      <c r="G16" s="29">
        <v>2.72</v>
      </c>
      <c r="H16" s="10"/>
      <c r="I16" s="10">
        <f t="shared" si="5"/>
        <v>9214.8467181701617</v>
      </c>
      <c r="J16" s="10">
        <f t="shared" si="3"/>
        <v>10149633983.108482</v>
      </c>
      <c r="K16" s="11">
        <f t="shared" si="4"/>
        <v>2.5659200000000437E-2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1103098.2517617582</v>
      </c>
      <c r="D17" s="11">
        <v>2.9999999999999997E-4</v>
      </c>
      <c r="E17" s="10">
        <f t="shared" si="2"/>
        <v>330.83022646047175</v>
      </c>
      <c r="F17" s="3"/>
      <c r="G17" s="29">
        <v>9.61</v>
      </c>
      <c r="H17" s="10"/>
      <c r="I17" s="10">
        <f t="shared" si="5"/>
        <v>8970.8398736080217</v>
      </c>
      <c r="J17" s="10">
        <f t="shared" si="3"/>
        <v>9895717781.4116802</v>
      </c>
      <c r="K17" s="11">
        <f t="shared" si="4"/>
        <v>9.6428829999999799E-2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1102767.4215352978</v>
      </c>
      <c r="D18" s="11">
        <v>2.5999999999999999E-3</v>
      </c>
      <c r="E18" s="10">
        <f t="shared" si="2"/>
        <v>2859.7599201991688</v>
      </c>
      <c r="F18" s="3"/>
      <c r="G18" s="29">
        <v>11.58</v>
      </c>
      <c r="H18" s="10"/>
      <c r="I18" s="10">
        <f t="shared" si="5"/>
        <v>8184.3261322945182</v>
      </c>
      <c r="J18" s="10">
        <f t="shared" si="3"/>
        <v>9025408225.9143829</v>
      </c>
      <c r="K18" s="11">
        <f t="shared" si="4"/>
        <v>0.11870108000000013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1099907.6616150986</v>
      </c>
      <c r="D19" s="11">
        <v>5.0000000000000001E-3</v>
      </c>
      <c r="E19" s="10">
        <f t="shared" si="2"/>
        <v>5472.1774209705181</v>
      </c>
      <c r="F19" s="3"/>
      <c r="G19" s="29">
        <v>11.58</v>
      </c>
      <c r="H19" s="10"/>
      <c r="I19" s="10">
        <f t="shared" si="5"/>
        <v>7334.9400719613895</v>
      </c>
      <c r="J19" s="10">
        <f t="shared" si="3"/>
        <v>8067756782.6379347</v>
      </c>
      <c r="K19" s="11">
        <f t="shared" si="4"/>
        <v>0.1213789999999999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1094435.4841941281</v>
      </c>
      <c r="D20" s="11">
        <v>8.0000000000000002E-3</v>
      </c>
      <c r="E20" s="10">
        <f t="shared" si="2"/>
        <v>8685.9959063027054</v>
      </c>
      <c r="F20" s="3"/>
      <c r="G20" s="29">
        <v>22.43</v>
      </c>
      <c r="H20" s="10"/>
      <c r="I20" s="10">
        <f t="shared" si="5"/>
        <v>6573.7050295405897</v>
      </c>
      <c r="J20" s="10">
        <f t="shared" si="3"/>
        <v>7194496046.9546299</v>
      </c>
      <c r="K20" s="11">
        <f t="shared" si="4"/>
        <v>0.23409439999999981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1085749.4882878254</v>
      </c>
      <c r="D21" s="11">
        <v>1.0800000000000001E-2</v>
      </c>
      <c r="E21" s="10">
        <f t="shared" si="2"/>
        <v>11600.80577117973</v>
      </c>
      <c r="F21" s="3"/>
      <c r="G21" s="29">
        <v>22.96</v>
      </c>
      <c r="H21" s="10"/>
      <c r="I21" s="10">
        <f t="shared" si="5"/>
        <v>5369.3580246186311</v>
      </c>
      <c r="J21" s="10">
        <f t="shared" si="3"/>
        <v>5829777727.6638079</v>
      </c>
      <c r="K21" s="11">
        <f t="shared" si="4"/>
        <v>0.24287968000000015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1074148.6825166456</v>
      </c>
      <c r="D22" s="11">
        <v>1.23E-2</v>
      </c>
      <c r="E22" s="10">
        <f t="shared" si="2"/>
        <v>13051.495401516091</v>
      </c>
      <c r="F22" s="3"/>
      <c r="G22" s="29">
        <v>24.67</v>
      </c>
      <c r="H22" s="10"/>
      <c r="I22" s="10">
        <f t="shared" si="5"/>
        <v>4366.7518092213977</v>
      </c>
      <c r="J22" s="10">
        <f t="shared" si="3"/>
        <v>4690540702.7523432</v>
      </c>
      <c r="K22" s="11">
        <f t="shared" si="4"/>
        <v>0.26203441000000027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1061097.1871151295</v>
      </c>
      <c r="D23" s="11">
        <v>1.3599999999999999E-2</v>
      </c>
      <c r="E23" s="10">
        <f t="shared" si="2"/>
        <v>14237.294539034949</v>
      </c>
      <c r="F23" s="3"/>
      <c r="G23" s="29">
        <v>29.02</v>
      </c>
      <c r="H23" s="10"/>
      <c r="I23" s="10">
        <f t="shared" si="5"/>
        <v>3502.6484392567554</v>
      </c>
      <c r="J23" s="10">
        <f t="shared" si="3"/>
        <v>3716650406.3485417</v>
      </c>
      <c r="K23" s="11">
        <f t="shared" si="4"/>
        <v>0.30774671999999992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1046859.8925760946</v>
      </c>
      <c r="D24" s="11">
        <v>1.52E-2</v>
      </c>
      <c r="E24" s="10">
        <f t="shared" si="2"/>
        <v>15674.025184354512</v>
      </c>
      <c r="F24" s="3"/>
      <c r="G24" s="29">
        <v>13.64</v>
      </c>
      <c r="H24" s="10"/>
      <c r="I24" s="10">
        <f t="shared" si="5"/>
        <v>2714.8104474164902</v>
      </c>
      <c r="J24" s="10">
        <f t="shared" si="3"/>
        <v>2842026173.3468862</v>
      </c>
      <c r="K24" s="11">
        <f t="shared" si="4"/>
        <v>0.15367328000000002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1031185.8673917401</v>
      </c>
      <c r="D25" s="11">
        <v>1.6799999999999999E-2</v>
      </c>
      <c r="E25" s="10">
        <f t="shared" si="2"/>
        <v>17037.689390422078</v>
      </c>
      <c r="F25" s="3"/>
      <c r="G25" s="29">
        <v>9.0399999999999991</v>
      </c>
      <c r="H25" s="10"/>
      <c r="I25" s="10">
        <f t="shared" si="5"/>
        <v>2388.9567471106038</v>
      </c>
      <c r="J25" s="10">
        <f t="shared" si="3"/>
        <v>2463458435.4305978</v>
      </c>
      <c r="K25" s="11">
        <f t="shared" si="4"/>
        <v>0.10871871999999994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1014148.178001318</v>
      </c>
      <c r="D26" s="11">
        <v>1.8100000000000002E-2</v>
      </c>
      <c r="E26" s="10">
        <f t="shared" si="2"/>
        <v>18029.743661549757</v>
      </c>
      <c r="F26" s="3"/>
      <c r="G26" s="29">
        <v>26.05</v>
      </c>
      <c r="H26" s="10"/>
      <c r="I26" s="10">
        <f t="shared" si="5"/>
        <v>2190.8994379224173</v>
      </c>
      <c r="J26" s="10">
        <f t="shared" si="3"/>
        <v>2221896673.153131</v>
      </c>
      <c r="K26" s="11">
        <f t="shared" si="4"/>
        <v>0.28331504999999968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996118.43433976825</v>
      </c>
      <c r="D27" s="11">
        <v>1.9300000000000001E-2</v>
      </c>
      <c r="E27" s="10">
        <f t="shared" si="2"/>
        <v>18861.067186066532</v>
      </c>
      <c r="F27" s="3"/>
      <c r="G27" s="29">
        <v>21.17</v>
      </c>
      <c r="H27" s="10"/>
      <c r="I27" s="10">
        <f t="shared" si="5"/>
        <v>1738.1193478162772</v>
      </c>
      <c r="J27" s="10">
        <f t="shared" si="3"/>
        <v>1731372723.4424093</v>
      </c>
      <c r="K27" s="11">
        <f t="shared" si="4"/>
        <v>0.23508581000000017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977257.36715370172</v>
      </c>
      <c r="D28" s="11">
        <v>2.0500000000000001E-2</v>
      </c>
      <c r="E28" s="10">
        <f t="shared" si="2"/>
        <v>19631.333686086116</v>
      </c>
      <c r="F28" s="3"/>
      <c r="G28" s="29">
        <v>7.13</v>
      </c>
      <c r="H28" s="10"/>
      <c r="I28" s="10">
        <f t="shared" si="5"/>
        <v>1434.4469322573882</v>
      </c>
      <c r="J28" s="10">
        <f t="shared" si="3"/>
        <v>1401823832.3395596</v>
      </c>
      <c r="K28" s="11">
        <f t="shared" si="4"/>
        <v>9.3261649999999863E-2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957626.03346761561</v>
      </c>
      <c r="D29" s="11">
        <v>2.1399999999999999E-2</v>
      </c>
      <c r="E29" s="10">
        <f t="shared" si="2"/>
        <v>20063.831130024511</v>
      </c>
      <c r="F29" s="3"/>
      <c r="G29" s="29">
        <v>7.57</v>
      </c>
      <c r="H29" s="10"/>
      <c r="I29" s="10">
        <f t="shared" si="5"/>
        <v>1338.9778141112558</v>
      </c>
      <c r="J29" s="10">
        <f t="shared" si="3"/>
        <v>1282240013.0285003</v>
      </c>
      <c r="K29" s="11">
        <f t="shared" si="4"/>
        <v>9.871998000000004E-2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937562.20233759109</v>
      </c>
      <c r="D30" s="11">
        <v>2.24E-2</v>
      </c>
      <c r="E30" s="10">
        <f t="shared" si="2"/>
        <v>20541.268908804748</v>
      </c>
      <c r="F30" s="3"/>
      <c r="G30" s="29">
        <v>1.74</v>
      </c>
      <c r="H30" s="10"/>
      <c r="I30" s="10">
        <f t="shared" si="5"/>
        <v>1244.7502222843318</v>
      </c>
      <c r="J30" s="10">
        <f t="shared" si="3"/>
        <v>1167030759.7651043</v>
      </c>
      <c r="K30" s="11">
        <f t="shared" si="4"/>
        <v>4.0189760000000074E-2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917020.93342878635</v>
      </c>
      <c r="D31" s="11">
        <v>2.5700000000000001E-2</v>
      </c>
      <c r="E31" s="10">
        <f t="shared" si="2"/>
        <v>22976.930865867063</v>
      </c>
      <c r="F31" s="3"/>
      <c r="G31" s="29">
        <v>5.54</v>
      </c>
      <c r="H31" s="10"/>
      <c r="I31" s="10">
        <f t="shared" si="5"/>
        <v>1223.4619837667897</v>
      </c>
      <c r="J31" s="10">
        <f t="shared" si="3"/>
        <v>1121940250.3684561</v>
      </c>
      <c r="K31" s="11">
        <f t="shared" si="4"/>
        <v>8.2523780000000047E-2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894044.00256291928</v>
      </c>
      <c r="D32" s="11">
        <v>2.87E-2</v>
      </c>
      <c r="E32" s="10">
        <f t="shared" si="2"/>
        <v>24943.193227914628</v>
      </c>
      <c r="F32" s="3"/>
      <c r="G32" s="29">
        <v>4.67</v>
      </c>
      <c r="H32" s="10"/>
      <c r="I32" s="10">
        <f t="shared" si="5"/>
        <v>1159.2400831597402</v>
      </c>
      <c r="J32" s="10">
        <f t="shared" si="3"/>
        <v>1036411643.8795055</v>
      </c>
      <c r="K32" s="11">
        <f t="shared" si="4"/>
        <v>7.6740290000000044E-2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869100.80933500465</v>
      </c>
      <c r="D33" s="11">
        <v>2.9000000000000001E-2</v>
      </c>
      <c r="E33" s="10">
        <f t="shared" si="2"/>
        <v>24493.608815077809</v>
      </c>
      <c r="F33" s="3"/>
      <c r="G33" s="29">
        <v>2.36</v>
      </c>
      <c r="H33" s="10"/>
      <c r="I33" s="10">
        <f t="shared" si="5"/>
        <v>1107.5189482752844</v>
      </c>
      <c r="J33" s="10">
        <f t="shared" si="3"/>
        <v>962545614.2999028</v>
      </c>
      <c r="K33" s="11">
        <f t="shared" si="4"/>
        <v>5.3284399999999899E-2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844607.20051992685</v>
      </c>
      <c r="D34" s="11">
        <v>2.93E-2</v>
      </c>
      <c r="E34" s="10">
        <f t="shared" si="2"/>
        <v>24042.544423621846</v>
      </c>
      <c r="F34" s="3"/>
      <c r="G34" s="29">
        <v>5.7</v>
      </c>
      <c r="H34" s="10"/>
      <c r="I34" s="10">
        <f t="shared" si="5"/>
        <v>1081.9841229731187</v>
      </c>
      <c r="J34" s="10">
        <f t="shared" ref="J34:J65" si="6">IF(I34="","",I34*C34)</f>
        <v>913851581.11133409</v>
      </c>
      <c r="K34" s="11">
        <f t="shared" ref="K34:K65" si="7">IFERROR(J34/J35-1,"")</f>
        <v>0.10135100000000019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820564.656096305</v>
      </c>
      <c r="D35" s="11">
        <v>2.9499999999999998E-2</v>
      </c>
      <c r="E35" s="10">
        <f t="shared" si="2"/>
        <v>23513.023171288078</v>
      </c>
      <c r="F35" s="3"/>
      <c r="G35" s="29">
        <v>1.69</v>
      </c>
      <c r="H35" s="10"/>
      <c r="I35" s="10">
        <f t="shared" ref="I35:I66" si="8">IF(H35&lt;&gt;"",H35,I34/(1+IF(G34="",0,G34)/100))</f>
        <v>1011.2001149281483</v>
      </c>
      <c r="J35" s="10">
        <f t="shared" si="6"/>
        <v>829755074.55056012</v>
      </c>
      <c r="K35" s="11">
        <f t="shared" si="7"/>
        <v>7.4695050000000096E-2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797051.63292501692</v>
      </c>
      <c r="D36" s="11">
        <v>2.9499999999999998E-2</v>
      </c>
      <c r="E36" s="10">
        <f t="shared" si="2"/>
        <v>22839.264857977745</v>
      </c>
      <c r="F36" s="3"/>
      <c r="G36" s="29">
        <v>2.45</v>
      </c>
      <c r="H36" s="10"/>
      <c r="I36" s="10">
        <f t="shared" si="8"/>
        <v>968.67527055096105</v>
      </c>
      <c r="J36" s="10">
        <f t="shared" si="6"/>
        <v>772084206.16672611</v>
      </c>
      <c r="K36" s="11">
        <f t="shared" si="7"/>
        <v>0.10413875000000039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774212.36806703918</v>
      </c>
      <c r="D37" s="11">
        <v>2.9499999999999998E-2</v>
      </c>
      <c r="E37" s="10">
        <f t="shared" si="2"/>
        <v>22184.812878074474</v>
      </c>
      <c r="F37" s="3"/>
      <c r="G37" s="29">
        <v>7.75</v>
      </c>
      <c r="H37" s="10"/>
      <c r="I37" s="10">
        <f t="shared" si="8"/>
        <v>903.19372545544149</v>
      </c>
      <c r="J37" s="10">
        <f t="shared" si="6"/>
        <v>699263753.00814855</v>
      </c>
      <c r="K37" s="11">
        <f t="shared" si="7"/>
        <v>0.16384974999999979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752027.5551889647</v>
      </c>
      <c r="D38" s="11">
        <v>2.93E-2</v>
      </c>
      <c r="E38" s="10">
        <f t="shared" si="2"/>
        <v>21407.177078632754</v>
      </c>
      <c r="F38" s="3"/>
      <c r="G38" s="29">
        <v>7.83</v>
      </c>
      <c r="H38" s="10"/>
      <c r="I38" s="10">
        <f t="shared" si="8"/>
        <v>798.9329725390902</v>
      </c>
      <c r="J38" s="10">
        <f t="shared" si="6"/>
        <v>600819610.09842432</v>
      </c>
      <c r="K38" s="11">
        <f t="shared" si="7"/>
        <v>0.14797829000000018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730620.37811033195</v>
      </c>
      <c r="D39" s="11">
        <v>2.8899999999999999E-2</v>
      </c>
      <c r="E39" s="10">
        <f t="shared" si="2"/>
        <v>20521.847533665597</v>
      </c>
      <c r="F39" s="3"/>
      <c r="G39" s="29">
        <v>12.94</v>
      </c>
      <c r="H39" s="10"/>
      <c r="I39" s="10">
        <f t="shared" si="8"/>
        <v>716.33907696502308</v>
      </c>
      <c r="J39" s="10">
        <f t="shared" si="6"/>
        <v>523371927.26739132</v>
      </c>
      <c r="K39" s="11">
        <f t="shared" si="7"/>
        <v>0.16203966000000003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710098.53057666635</v>
      </c>
      <c r="D40" s="11">
        <v>2.93E-2</v>
      </c>
      <c r="E40" s="10">
        <f t="shared" si="2"/>
        <v>20213.627655587625</v>
      </c>
      <c r="F40" s="3"/>
      <c r="G40" s="29">
        <v>8.68</v>
      </c>
      <c r="H40" s="10"/>
      <c r="I40" s="10">
        <f t="shared" si="8"/>
        <v>634.26516465824602</v>
      </c>
      <c r="J40" s="10">
        <f t="shared" si="6"/>
        <v>450390761.41978782</v>
      </c>
      <c r="K40" s="11">
        <f t="shared" si="7"/>
        <v>0.11864324000000015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689884.90292107873</v>
      </c>
      <c r="D41" s="11">
        <v>3.2599999999999997E-2</v>
      </c>
      <c r="E41" s="10">
        <f t="shared" si="2"/>
        <v>21780.212894854834</v>
      </c>
      <c r="F41" s="3"/>
      <c r="G41" s="29">
        <v>16.100000000000001</v>
      </c>
      <c r="H41" s="10"/>
      <c r="I41" s="10">
        <f t="shared" si="8"/>
        <v>583.60799103629552</v>
      </c>
      <c r="J41" s="10">
        <f t="shared" si="6"/>
        <v>402622342.24004054</v>
      </c>
      <c r="K41" s="11">
        <f t="shared" si="7"/>
        <v>0.19884860000000004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668104.69002622389</v>
      </c>
      <c r="D42" s="11">
        <v>3.5200000000000002E-2</v>
      </c>
      <c r="E42" s="10">
        <f t="shared" si="2"/>
        <v>22717.624699500622</v>
      </c>
      <c r="F42" s="3"/>
      <c r="G42" s="29">
        <v>1.32</v>
      </c>
      <c r="H42" s="10"/>
      <c r="I42" s="10">
        <f t="shared" si="8"/>
        <v>502.67699486330361</v>
      </c>
      <c r="J42" s="10">
        <f t="shared" si="6"/>
        <v>335840857.83646119</v>
      </c>
      <c r="K42" s="11">
        <f t="shared" si="7"/>
        <v>4.8864639999999904E-2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645387.06532672327</v>
      </c>
      <c r="D43" s="11">
        <v>3.5099999999999999E-2</v>
      </c>
      <c r="E43" s="10">
        <f t="shared" si="2"/>
        <v>21884.925121213309</v>
      </c>
      <c r="F43" s="3"/>
      <c r="G43" s="29">
        <v>9.41</v>
      </c>
      <c r="H43" s="10"/>
      <c r="I43" s="10">
        <f t="shared" si="8"/>
        <v>496.1281038919301</v>
      </c>
      <c r="J43" s="10">
        <f t="shared" si="6"/>
        <v>320194660.99692446</v>
      </c>
      <c r="K43" s="11">
        <f t="shared" si="7"/>
        <v>0.13250291000000014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623502.14020550996</v>
      </c>
      <c r="D44" s="11">
        <v>3.5299999999999998E-2</v>
      </c>
      <c r="E44" s="10">
        <f t="shared" si="2"/>
        <v>21259.176614753669</v>
      </c>
      <c r="F44" s="3"/>
      <c r="G44" s="29">
        <v>4.4400000000000004</v>
      </c>
      <c r="H44" s="10"/>
      <c r="I44" s="10">
        <f t="shared" si="8"/>
        <v>453.45773137001191</v>
      </c>
      <c r="J44" s="10">
        <f t="shared" si="6"/>
        <v>282731866.00193763</v>
      </c>
      <c r="K44" s="11">
        <f t="shared" si="7"/>
        <v>8.126731999999981E-2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602242.96359075629</v>
      </c>
      <c r="D45" s="11">
        <v>3.5799999999999998E-2</v>
      </c>
      <c r="E45" s="10">
        <f t="shared" si="2"/>
        <v>20815.116911130608</v>
      </c>
      <c r="F45" s="3"/>
      <c r="G45" s="29">
        <v>3.91</v>
      </c>
      <c r="H45" s="10"/>
      <c r="I45" s="10">
        <f t="shared" si="8"/>
        <v>434.18013344505164</v>
      </c>
      <c r="J45" s="10">
        <f t="shared" si="6"/>
        <v>261481930.29817793</v>
      </c>
      <c r="K45" s="11">
        <f t="shared" si="7"/>
        <v>7.6299779999999817E-2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581427.84667962568</v>
      </c>
      <c r="D46" s="11">
        <v>3.6299999999999999E-2</v>
      </c>
      <c r="E46" s="10">
        <f t="shared" si="2"/>
        <v>20366.525942748645</v>
      </c>
      <c r="F46" s="3"/>
      <c r="G46" s="29">
        <v>4.6500000000000004</v>
      </c>
      <c r="H46" s="10"/>
      <c r="I46" s="10">
        <f t="shared" si="8"/>
        <v>417.84249200755625</v>
      </c>
      <c r="J46" s="10">
        <f t="shared" si="6"/>
        <v>242945260.37920213</v>
      </c>
      <c r="K46" s="11">
        <f t="shared" si="7"/>
        <v>8.4487949999999978E-2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561061.32073687704</v>
      </c>
      <c r="D47" s="11">
        <v>3.6700000000000003E-2</v>
      </c>
      <c r="E47" s="10">
        <f t="shared" si="2"/>
        <v>19862.014537516516</v>
      </c>
      <c r="F47" s="3"/>
      <c r="G47" s="29">
        <v>4.9400000000000004</v>
      </c>
      <c r="H47" s="10"/>
      <c r="I47" s="10">
        <f t="shared" si="8"/>
        <v>399.27615098667582</v>
      </c>
      <c r="J47" s="10">
        <f t="shared" si="6"/>
        <v>224018404.61132106</v>
      </c>
      <c r="K47" s="11">
        <f t="shared" si="7"/>
        <v>8.7912980000000029E-2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541199.30619936052</v>
      </c>
      <c r="D48" s="11">
        <v>3.6999999999999998E-2</v>
      </c>
      <c r="E48" s="10">
        <f t="shared" si="2"/>
        <v>19309.907742889365</v>
      </c>
      <c r="F48" s="3"/>
      <c r="G48" s="29">
        <v>0.88</v>
      </c>
      <c r="H48" s="10"/>
      <c r="I48" s="10">
        <f t="shared" si="8"/>
        <v>380.48041832158924</v>
      </c>
      <c r="J48" s="10">
        <f t="shared" si="6"/>
        <v>205915738.41808656</v>
      </c>
      <c r="K48" s="11">
        <f t="shared" si="7"/>
        <v>4.6125599999999656E-2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521889.39845647116</v>
      </c>
      <c r="D49" s="11">
        <v>3.73E-2</v>
      </c>
      <c r="E49" s="10">
        <f t="shared" si="2"/>
        <v>18766.484683723538</v>
      </c>
      <c r="F49" s="3"/>
      <c r="G49" s="29">
        <v>-1.18</v>
      </c>
      <c r="H49" s="10"/>
      <c r="I49" s="10">
        <f t="shared" si="8"/>
        <v>377.16139801902187</v>
      </c>
      <c r="J49" s="10">
        <f t="shared" si="6"/>
        <v>196836535.13314903</v>
      </c>
      <c r="K49" s="11">
        <f t="shared" si="7"/>
        <v>2.5059860000000267E-2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503122.91377274762</v>
      </c>
      <c r="D50" s="11">
        <v>3.6400000000000002E-2</v>
      </c>
      <c r="E50" s="10">
        <f t="shared" si="2"/>
        <v>17670.46899008879</v>
      </c>
      <c r="F50" s="3"/>
      <c r="G50" s="29">
        <v>3.76</v>
      </c>
      <c r="H50" s="10"/>
      <c r="I50" s="10">
        <f t="shared" si="8"/>
        <v>381.66504555658963</v>
      </c>
      <c r="J50" s="10">
        <f t="shared" si="6"/>
        <v>192024429.80563983</v>
      </c>
      <c r="K50" s="11">
        <f t="shared" si="7"/>
        <v>7.5368640000000209E-2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485452.44478265883</v>
      </c>
      <c r="D51" s="11">
        <v>3.2500000000000001E-2</v>
      </c>
      <c r="E51" s="10">
        <f t="shared" si="2"/>
        <v>15280.585428994091</v>
      </c>
      <c r="F51" s="3"/>
      <c r="G51" s="29">
        <v>-1.1200000000000001</v>
      </c>
      <c r="H51" s="10"/>
      <c r="I51" s="10">
        <f t="shared" si="8"/>
        <v>367.83446950326675</v>
      </c>
      <c r="J51" s="10">
        <f t="shared" si="6"/>
        <v>178566142.49569321</v>
      </c>
      <c r="K51" s="11">
        <f t="shared" si="7"/>
        <v>2.0936000000000066E-2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470171.85935366474</v>
      </c>
      <c r="D52" s="11">
        <v>2.9700000000000001E-2</v>
      </c>
      <c r="E52" s="10">
        <f t="shared" si="2"/>
        <v>13561.332643297908</v>
      </c>
      <c r="F52" s="3"/>
      <c r="G52" s="29">
        <v>2.58</v>
      </c>
      <c r="H52" s="10"/>
      <c r="I52" s="10">
        <f t="shared" si="8"/>
        <v>372.00087935200924</v>
      </c>
      <c r="J52" s="10">
        <f t="shared" si="6"/>
        <v>174904345.12613249</v>
      </c>
      <c r="K52" s="11">
        <f t="shared" si="7"/>
        <v>5.6266259999999901E-2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456610.52671036683</v>
      </c>
      <c r="D53" s="11">
        <v>2.9899999999999999E-2</v>
      </c>
      <c r="E53" s="10">
        <f t="shared" si="2"/>
        <v>13256.29162893485</v>
      </c>
      <c r="F53" s="3"/>
      <c r="G53" s="29">
        <v>1.55</v>
      </c>
      <c r="H53" s="10"/>
      <c r="I53" s="10">
        <f t="shared" si="8"/>
        <v>362.6446474478546</v>
      </c>
      <c r="J53" s="10">
        <f t="shared" si="6"/>
        <v>165587363.47986019</v>
      </c>
      <c r="K53" s="11">
        <f t="shared" si="7"/>
        <v>4.5863450000000361E-2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443354.23508143198</v>
      </c>
      <c r="D54" s="11">
        <v>3.0099999999999998E-2</v>
      </c>
      <c r="E54" s="10">
        <f t="shared" si="2"/>
        <v>12955.016479905928</v>
      </c>
      <c r="F54" s="3"/>
      <c r="G54" s="29">
        <v>1.27</v>
      </c>
      <c r="H54" s="10"/>
      <c r="I54" s="10">
        <f t="shared" si="8"/>
        <v>357.10945095800548</v>
      </c>
      <c r="J54" s="10">
        <f t="shared" si="6"/>
        <v>158325987.46983665</v>
      </c>
      <c r="K54" s="11">
        <f t="shared" si="7"/>
        <v>4.3182269999999745E-2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430399.21860152605</v>
      </c>
      <c r="D55" s="11">
        <v>3.0300000000000001E-2</v>
      </c>
      <c r="E55" s="10">
        <f t="shared" si="2"/>
        <v>12657.571895201632</v>
      </c>
      <c r="F55" s="3"/>
      <c r="G55" s="29">
        <v>2.19</v>
      </c>
      <c r="H55" s="10"/>
      <c r="I55" s="10">
        <f t="shared" si="8"/>
        <v>352.63103679076283</v>
      </c>
      <c r="J55" s="10">
        <f t="shared" si="6"/>
        <v>151772122.6893903</v>
      </c>
      <c r="K55" s="11">
        <f t="shared" si="7"/>
        <v>5.2863569999999971E-2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417741.64670632442</v>
      </c>
      <c r="D56" s="11">
        <v>3.0300000000000001E-2</v>
      </c>
      <c r="E56" s="10">
        <f t="shared" si="2"/>
        <v>12285.326502185431</v>
      </c>
      <c r="F56" s="3"/>
      <c r="G56" s="29">
        <v>1.66</v>
      </c>
      <c r="H56" s="10"/>
      <c r="I56" s="10">
        <f t="shared" si="8"/>
        <v>345.0739179868508</v>
      </c>
      <c r="J56" s="10">
        <f t="shared" si="6"/>
        <v>144151746.73523021</v>
      </c>
      <c r="K56" s="11">
        <f t="shared" si="7"/>
        <v>4.7402979999999983E-2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405456.32020413899</v>
      </c>
      <c r="D57" s="11">
        <v>3.0099999999999998E-2</v>
      </c>
      <c r="E57" s="10">
        <f t="shared" si="2"/>
        <v>11847.621821322769</v>
      </c>
      <c r="F57" s="3"/>
      <c r="G57" s="30">
        <v>6.15</v>
      </c>
      <c r="H57" s="10"/>
      <c r="I57" s="10">
        <f t="shared" si="8"/>
        <v>339.43922682161207</v>
      </c>
      <c r="J57" s="10">
        <f t="shared" si="6"/>
        <v>137627779.84002891</v>
      </c>
      <c r="K57" s="11">
        <f t="shared" si="7"/>
        <v>9.3451150000000149E-2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393608.69838281622</v>
      </c>
      <c r="D58" s="11">
        <v>2.9700000000000001E-2</v>
      </c>
      <c r="E58" s="10">
        <f t="shared" si="2"/>
        <v>11352.994408050552</v>
      </c>
      <c r="F58" s="3"/>
      <c r="G58" s="30">
        <v>2.5</v>
      </c>
      <c r="H58" s="10"/>
      <c r="I58" s="10">
        <f t="shared" si="8"/>
        <v>319.77317646878197</v>
      </c>
      <c r="J58" s="10">
        <f t="shared" si="6"/>
        <v>125865503.76761587</v>
      </c>
      <c r="K58" s="11">
        <f t="shared" si="7"/>
        <v>5.5442499999999839E-2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382255.70397476567</v>
      </c>
      <c r="D59" s="11">
        <v>2.9100000000000001E-2</v>
      </c>
      <c r="E59" s="10">
        <f t="shared" si="2"/>
        <v>10809.096283806837</v>
      </c>
      <c r="F59" s="3"/>
      <c r="G59" s="30">
        <v>3.25</v>
      </c>
      <c r="H59" s="10"/>
      <c r="I59" s="10">
        <f t="shared" si="8"/>
        <v>311.97383070125073</v>
      </c>
      <c r="J59" s="10">
        <f t="shared" si="6"/>
        <v>119253776.27641097</v>
      </c>
      <c r="K59" s="11">
        <f t="shared" si="7"/>
        <v>6.2545749999999956E-2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371446.60769095883</v>
      </c>
      <c r="D60" s="11">
        <v>2.64E-2</v>
      </c>
      <c r="E60" s="10">
        <f t="shared" si="2"/>
        <v>9553.9657473122352</v>
      </c>
      <c r="F60" s="3"/>
      <c r="G60" s="30">
        <v>4.57</v>
      </c>
      <c r="H60" s="10"/>
      <c r="I60" s="10">
        <f t="shared" si="8"/>
        <v>302.15383118765203</v>
      </c>
      <c r="J60" s="10">
        <f t="shared" si="6"/>
        <v>112234015.59547998</v>
      </c>
      <c r="K60" s="11">
        <f t="shared" si="7"/>
        <v>7.3306479999999841E-2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361892.64194364659</v>
      </c>
      <c r="D61" s="11">
        <v>2.35E-2</v>
      </c>
      <c r="E61" s="10">
        <f t="shared" si="2"/>
        <v>8309.2106357359444</v>
      </c>
      <c r="F61" s="3"/>
      <c r="G61" s="30">
        <v>8.06</v>
      </c>
      <c r="H61" s="10"/>
      <c r="I61" s="10">
        <f t="shared" si="8"/>
        <v>288.94886792354595</v>
      </c>
      <c r="J61" s="10">
        <f t="shared" si="6"/>
        <v>104568469.19947785</v>
      </c>
      <c r="K61" s="11">
        <f t="shared" si="7"/>
        <v>0.1059941000000002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353583.43130791065</v>
      </c>
      <c r="D62" s="11">
        <v>2.2800000000000001E-2</v>
      </c>
      <c r="E62" s="10">
        <f t="shared" si="2"/>
        <v>7881.9927980253706</v>
      </c>
      <c r="F62" s="3"/>
      <c r="G62" s="30">
        <v>2.61</v>
      </c>
      <c r="H62" s="10"/>
      <c r="I62" s="10">
        <f t="shared" si="8"/>
        <v>267.39669435826943</v>
      </c>
      <c r="J62" s="10">
        <f t="shared" si="6"/>
        <v>94547040.711589545</v>
      </c>
      <c r="K62" s="11">
        <f t="shared" si="7"/>
        <v>4.9495080000000247E-2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345701.43850988528</v>
      </c>
      <c r="D63" s="11">
        <v>2.18E-2</v>
      </c>
      <c r="E63" s="10">
        <f t="shared" si="2"/>
        <v>7375.5053430373082</v>
      </c>
      <c r="F63" s="3"/>
      <c r="G63" s="30">
        <v>-5.71</v>
      </c>
      <c r="H63" s="10"/>
      <c r="I63" s="10">
        <f t="shared" si="8"/>
        <v>260.59516066491511</v>
      </c>
      <c r="J63" s="10">
        <f t="shared" si="6"/>
        <v>90088121.910575822</v>
      </c>
      <c r="K63" s="11">
        <f t="shared" si="7"/>
        <v>-3.6544780000000054E-2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338325.93316684797</v>
      </c>
      <c r="D64" s="11">
        <v>2.0799999999999999E-2</v>
      </c>
      <c r="E64" s="10">
        <f t="shared" si="2"/>
        <v>6893.7886068479856</v>
      </c>
      <c r="F64" s="3"/>
      <c r="G64" s="30">
        <v>7.94</v>
      </c>
      <c r="H64" s="10"/>
      <c r="I64" s="10">
        <f t="shared" si="8"/>
        <v>276.37624420926409</v>
      </c>
      <c r="J64" s="10">
        <f t="shared" si="6"/>
        <v>93505250.727247939</v>
      </c>
      <c r="K64" s="11">
        <f t="shared" si="7"/>
        <v>0.10185152000000008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331432.14455999999</v>
      </c>
      <c r="D65" s="11">
        <v>1.9800000000000002E-2</v>
      </c>
      <c r="E65" s="10">
        <f t="shared" si="2"/>
        <v>6434.9445600000327</v>
      </c>
      <c r="F65" s="3"/>
      <c r="G65" s="30">
        <v>3.78</v>
      </c>
      <c r="H65" s="10"/>
      <c r="I65" s="10">
        <f t="shared" si="8"/>
        <v>256.04617769989261</v>
      </c>
      <c r="J65" s="10">
        <f t="shared" si="6"/>
        <v>84861933.781466246</v>
      </c>
      <c r="K65" s="11">
        <f t="shared" si="7"/>
        <v>5.8348440000000057E-2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324997.19999999995</v>
      </c>
      <c r="D66" s="11">
        <v>1.8800000000000001E-2</v>
      </c>
      <c r="E66" s="10">
        <f t="shared" si="2"/>
        <v>5997.1999999999534</v>
      </c>
      <c r="F66" s="23">
        <f>SUM(F2)</f>
        <v>1158763</v>
      </c>
      <c r="G66" s="30">
        <v>5.44</v>
      </c>
      <c r="H66" s="10"/>
      <c r="I66" s="10">
        <f t="shared" si="8"/>
        <v>246.7201558102646</v>
      </c>
      <c r="J66" s="10">
        <f t="shared" ref="J66:J67" si="9">IF(I66="","",I66*C66)</f>
        <v>80183359.821899712</v>
      </c>
      <c r="K66" s="11">
        <f t="shared" ref="K66" si="10">IFERROR(J66/J67-1,"")</f>
        <v>7.4222719999999631E-2</v>
      </c>
    </row>
    <row r="67" spans="1:11" ht="22.5" customHeight="1">
      <c r="A67" s="3">
        <f t="shared" si="0"/>
        <v>1950</v>
      </c>
      <c r="B67" s="3">
        <v>1700</v>
      </c>
      <c r="C67" s="10">
        <v>319000</v>
      </c>
      <c r="D67" s="11">
        <v>1.8100000000000002E-2</v>
      </c>
      <c r="E67" s="3" t="s">
        <v>72</v>
      </c>
      <c r="F67" s="10">
        <f>SUM(C2)</f>
        <v>1158652.1487606454</v>
      </c>
      <c r="G67" s="30">
        <v>3.24</v>
      </c>
      <c r="H67" s="10"/>
      <c r="I67" s="10">
        <f t="shared" ref="I67" si="11">IF(H67&lt;&gt;"",H67,I66/(1+IF(G66="",0,G66)/100))</f>
        <v>233.99104306739815</v>
      </c>
      <c r="J67" s="10">
        <f t="shared" si="9"/>
        <v>74643142.738500014</v>
      </c>
      <c r="K67" s="11"/>
    </row>
  </sheetData>
  <dataValidations count="1">
    <dataValidation type="custom" allowBlank="1" showDropDown="1" sqref="D2:D67" xr:uid="{00000000-0002-0000-8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outlinePr summaryBelow="0" summaryRight="0"/>
  </sheetPr>
  <dimension ref="A1:M67"/>
  <sheetViews>
    <sheetView workbookViewId="0">
      <selection activeCell="I11" sqref="I1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143923.67315868818</v>
      </c>
      <c r="D2" s="11">
        <v>6.7999999999999996E-3</v>
      </c>
      <c r="E2" s="10">
        <f t="shared" ref="E2:E66" si="2">SUM(C2-C3)</f>
        <v>972.07089539041044</v>
      </c>
      <c r="F2" s="14">
        <v>143925</v>
      </c>
      <c r="G2" s="26">
        <v>4.28</v>
      </c>
      <c r="H2" s="10"/>
      <c r="I2" s="10">
        <f>IF(H2&lt;&gt;"",H2,8568)</f>
        <v>1071</v>
      </c>
      <c r="J2" s="10">
        <f t="shared" ref="J2:J33" si="3">IF(I2="","",I2*C2)</f>
        <v>154142253.95295504</v>
      </c>
      <c r="K2" s="11">
        <f t="shared" ref="K2:K33" si="4">IFERROR(J2/J3-1,"")</f>
        <v>4.9891039999999887E-2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142951.60226329777</v>
      </c>
      <c r="D3" s="11">
        <v>5.8999999999999999E-3</v>
      </c>
      <c r="E3" s="10">
        <f t="shared" si="2"/>
        <v>838.46749513217947</v>
      </c>
      <c r="F3" s="3"/>
      <c r="G3" s="26">
        <v>1.1499999999999999</v>
      </c>
      <c r="H3" s="10"/>
      <c r="I3" s="10">
        <f t="shared" ref="I3:I34" si="5">IF(H3&lt;&gt;"",H3,I2/(1+IF(G2="",0,G2)/100))</f>
        <v>1027.0425776754892</v>
      </c>
      <c r="J3" s="10">
        <f t="shared" si="3"/>
        <v>146817382.07133862</v>
      </c>
      <c r="K3" s="11">
        <f t="shared" si="4"/>
        <v>1.7467850000000062E-2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142113.13476816559</v>
      </c>
      <c r="D4" s="11">
        <v>4.7000000000000002E-3</v>
      </c>
      <c r="E4" s="10">
        <f t="shared" si="2"/>
        <v>664.80713985304465</v>
      </c>
      <c r="F4" s="3"/>
      <c r="G4" s="26">
        <v>2.35</v>
      </c>
      <c r="H4" s="10"/>
      <c r="I4" s="10">
        <f t="shared" si="5"/>
        <v>1015.3658701685507</v>
      </c>
      <c r="J4" s="10">
        <f t="shared" si="3"/>
        <v>144296826.74625897</v>
      </c>
      <c r="K4" s="11">
        <f t="shared" si="4"/>
        <v>2.8310449999999987E-2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141448.32762831255</v>
      </c>
      <c r="D5" s="11">
        <v>4.5999999999999999E-3</v>
      </c>
      <c r="E5" s="10">
        <f t="shared" si="2"/>
        <v>647.68296544917393</v>
      </c>
      <c r="F5" s="3"/>
      <c r="G5" s="26">
        <v>-0.82</v>
      </c>
      <c r="H5" s="10"/>
      <c r="I5" s="10">
        <f t="shared" si="5"/>
        <v>992.05263328632202</v>
      </c>
      <c r="J5" s="10">
        <f t="shared" si="3"/>
        <v>140324185.89761388</v>
      </c>
      <c r="K5" s="11">
        <f t="shared" si="4"/>
        <v>-3.6377199999998444E-3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140800.64466286337</v>
      </c>
      <c r="D6" s="11">
        <v>2.3999999999999998E-3</v>
      </c>
      <c r="E6" s="10">
        <f t="shared" si="2"/>
        <v>337.11247724547866</v>
      </c>
      <c r="F6" s="3"/>
      <c r="G6" s="26">
        <v>0.96</v>
      </c>
      <c r="H6" s="10"/>
      <c r="I6" s="10">
        <f t="shared" si="5"/>
        <v>1000.2547220067776</v>
      </c>
      <c r="J6" s="10">
        <f t="shared" si="3"/>
        <v>140836509.68562746</v>
      </c>
      <c r="K6" s="11">
        <f t="shared" si="4"/>
        <v>1.2023039999999874E-2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140463.53218561789</v>
      </c>
      <c r="D7" s="11">
        <v>-4.7999999999999996E-3</v>
      </c>
      <c r="E7" s="10">
        <f t="shared" si="2"/>
        <v>-677.4768433389836</v>
      </c>
      <c r="F7" s="3"/>
      <c r="G7" s="26">
        <v>0.87</v>
      </c>
      <c r="H7" s="10"/>
      <c r="I7" s="10">
        <f t="shared" si="5"/>
        <v>990.74358360417739</v>
      </c>
      <c r="J7" s="10">
        <f t="shared" si="3"/>
        <v>139163343.24327978</v>
      </c>
      <c r="K7" s="11">
        <f t="shared" si="4"/>
        <v>3.8582400000000128E-3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141141.00902895688</v>
      </c>
      <c r="D8" s="11">
        <v>-4.4000000000000003E-3</v>
      </c>
      <c r="E8" s="10">
        <f t="shared" si="2"/>
        <v>-623.7650057527062</v>
      </c>
      <c r="F8" s="3"/>
      <c r="G8" s="26">
        <v>3</v>
      </c>
      <c r="H8" s="10"/>
      <c r="I8" s="10">
        <f t="shared" si="5"/>
        <v>982.19845702803354</v>
      </c>
      <c r="J8" s="10">
        <f t="shared" si="3"/>
        <v>138628481.29162121</v>
      </c>
      <c r="K8" s="11">
        <f t="shared" si="4"/>
        <v>2.5468000000000046E-2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141764.77403470958</v>
      </c>
      <c r="D9" s="11">
        <v>-4.4999999999999997E-3</v>
      </c>
      <c r="E9" s="10">
        <f t="shared" si="2"/>
        <v>-640.82519654062344</v>
      </c>
      <c r="F9" s="3"/>
      <c r="G9" s="26">
        <v>5.44</v>
      </c>
      <c r="H9" s="10"/>
      <c r="I9" s="10">
        <f t="shared" si="5"/>
        <v>953.59073497867337</v>
      </c>
      <c r="J9" s="10">
        <f t="shared" si="3"/>
        <v>135185575.06584427</v>
      </c>
      <c r="K9" s="11">
        <f t="shared" si="4"/>
        <v>4.9655199999999899E-2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142405.59923125021</v>
      </c>
      <c r="D10" s="11">
        <v>-4.7999999999999996E-3</v>
      </c>
      <c r="E10" s="10">
        <f t="shared" si="2"/>
        <v>-686.84372619574424</v>
      </c>
      <c r="F10" s="3"/>
      <c r="G10" s="26">
        <v>5.86</v>
      </c>
      <c r="H10" s="10"/>
      <c r="I10" s="10">
        <f t="shared" si="5"/>
        <v>904.39181997218645</v>
      </c>
      <c r="J10" s="10">
        <f t="shared" si="3"/>
        <v>128790459.06298018</v>
      </c>
      <c r="K10" s="11">
        <f t="shared" si="4"/>
        <v>5.351872000000002E-2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143092.44295744595</v>
      </c>
      <c r="D11" s="11">
        <v>-5.4000000000000003E-3</v>
      </c>
      <c r="E11" s="10">
        <f t="shared" si="2"/>
        <v>-776.89442184817744</v>
      </c>
      <c r="F11" s="3"/>
      <c r="G11" s="26">
        <v>5.41</v>
      </c>
      <c r="H11" s="10"/>
      <c r="I11" s="10">
        <f t="shared" si="5"/>
        <v>854.3281881467849</v>
      </c>
      <c r="J11" s="10">
        <f t="shared" si="3"/>
        <v>122247907.52933197</v>
      </c>
      <c r="K11" s="11">
        <f t="shared" si="4"/>
        <v>4.8407860000000191E-2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143869.33737929413</v>
      </c>
      <c r="D12" s="11">
        <v>-4.7999999999999996E-3</v>
      </c>
      <c r="E12" s="10">
        <f t="shared" si="2"/>
        <v>-693.90355649177218</v>
      </c>
      <c r="F12" s="3"/>
      <c r="G12" s="26">
        <v>3.9</v>
      </c>
      <c r="H12" s="10"/>
      <c r="I12" s="10">
        <f t="shared" si="5"/>
        <v>810.48115752469869</v>
      </c>
      <c r="J12" s="10">
        <f t="shared" si="3"/>
        <v>116603387.0914817</v>
      </c>
      <c r="K12" s="11">
        <f t="shared" si="4"/>
        <v>3.4012799999999954E-2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144563.2409357859</v>
      </c>
      <c r="D13" s="11">
        <v>-3.3999999999999998E-3</v>
      </c>
      <c r="E13" s="10">
        <f t="shared" si="2"/>
        <v>-493.19187154492829</v>
      </c>
      <c r="F13" s="3"/>
      <c r="G13" s="26">
        <v>6.33</v>
      </c>
      <c r="H13" s="10"/>
      <c r="I13" s="10">
        <f t="shared" si="5"/>
        <v>780.0588619102009</v>
      </c>
      <c r="J13" s="10">
        <f t="shared" si="3"/>
        <v>112767837.19841932</v>
      </c>
      <c r="K13" s="11">
        <f t="shared" si="4"/>
        <v>5.9684779999999993E-2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145056.43280733083</v>
      </c>
      <c r="D14" s="11">
        <v>-2E-3</v>
      </c>
      <c r="E14" s="10">
        <f t="shared" si="2"/>
        <v>-290.6942541229073</v>
      </c>
      <c r="F14" s="3"/>
      <c r="G14" s="26">
        <v>3.87</v>
      </c>
      <c r="H14" s="10"/>
      <c r="I14" s="10">
        <f t="shared" si="5"/>
        <v>733.62067329088779</v>
      </c>
      <c r="J14" s="10">
        <f t="shared" si="3"/>
        <v>106416397.90128846</v>
      </c>
      <c r="K14" s="11">
        <f t="shared" si="4"/>
        <v>3.6622599999999839E-2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145347.12706145374</v>
      </c>
      <c r="D15" s="11">
        <v>4.0000000000000001E-3</v>
      </c>
      <c r="E15" s="10">
        <f t="shared" si="2"/>
        <v>579.0722193683323</v>
      </c>
      <c r="F15" s="3"/>
      <c r="G15" s="26">
        <v>5.03</v>
      </c>
      <c r="H15" s="10"/>
      <c r="I15" s="10">
        <f t="shared" si="5"/>
        <v>706.28735273985546</v>
      </c>
      <c r="J15" s="10">
        <f t="shared" si="3"/>
        <v>102656837.60057756</v>
      </c>
      <c r="K15" s="11">
        <f t="shared" si="4"/>
        <v>5.4501199999999805E-2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144768.0548420854</v>
      </c>
      <c r="D16" s="11">
        <v>1.03E-2</v>
      </c>
      <c r="E16" s="10">
        <f t="shared" si="2"/>
        <v>1475.9091011318087</v>
      </c>
      <c r="F16" s="3"/>
      <c r="G16" s="26">
        <v>2.42</v>
      </c>
      <c r="H16" s="10"/>
      <c r="I16" s="10">
        <f t="shared" si="5"/>
        <v>672.46248951714313</v>
      </c>
      <c r="J16" s="10">
        <f t="shared" si="3"/>
        <v>97351086.561663061</v>
      </c>
      <c r="K16" s="11">
        <f t="shared" si="4"/>
        <v>3.4749259999999893E-2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143292.14574095359</v>
      </c>
      <c r="D17" s="11">
        <v>1.10078181818182E-2</v>
      </c>
      <c r="E17" s="10">
        <f t="shared" si="2"/>
        <v>1560.1599303511612</v>
      </c>
      <c r="F17" s="3"/>
      <c r="G17" s="26">
        <v>5.41</v>
      </c>
      <c r="H17" s="10"/>
      <c r="I17" s="10">
        <f t="shared" si="5"/>
        <v>656.57341292437332</v>
      </c>
      <c r="J17" s="10">
        <f t="shared" si="3"/>
        <v>94081813.174394608</v>
      </c>
      <c r="K17" s="11">
        <f t="shared" si="4"/>
        <v>6.5703341145454619E-2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141731.98581060243</v>
      </c>
      <c r="D18" s="11">
        <v>1.21927272727274E-2</v>
      </c>
      <c r="E18" s="10">
        <f t="shared" si="2"/>
        <v>1707.2830126600165</v>
      </c>
      <c r="F18" s="3"/>
      <c r="G18" s="26">
        <v>9.52</v>
      </c>
      <c r="H18" s="10"/>
      <c r="I18" s="10">
        <f t="shared" si="5"/>
        <v>622.87583049461466</v>
      </c>
      <c r="J18" s="10">
        <f t="shared" si="3"/>
        <v>88281428.369429931</v>
      </c>
      <c r="K18" s="11">
        <f t="shared" si="4"/>
        <v>0.10855347490909084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140024.70279794242</v>
      </c>
      <c r="D19" s="11">
        <v>1.33072727272729E-2</v>
      </c>
      <c r="E19" s="10">
        <f t="shared" si="2"/>
        <v>1838.8764778845944</v>
      </c>
      <c r="F19" s="3"/>
      <c r="G19" s="26">
        <v>16.62</v>
      </c>
      <c r="H19" s="10"/>
      <c r="I19" s="10">
        <f t="shared" si="5"/>
        <v>568.73249679931951</v>
      </c>
      <c r="J19" s="10">
        <f t="shared" si="3"/>
        <v>79636598.835856453</v>
      </c>
      <c r="K19" s="11">
        <f t="shared" si="4"/>
        <v>0.1817189414545457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138185.82632005782</v>
      </c>
      <c r="D20" s="11">
        <v>1.4221818181818301E-2</v>
      </c>
      <c r="E20" s="10">
        <f t="shared" si="2"/>
        <v>1937.6961351031496</v>
      </c>
      <c r="F20" s="3"/>
      <c r="G20" s="26">
        <v>36.64</v>
      </c>
      <c r="H20" s="10"/>
      <c r="I20" s="10">
        <f t="shared" si="5"/>
        <v>487.68006928427332</v>
      </c>
      <c r="J20" s="10">
        <f t="shared" si="3"/>
        <v>67390473.353870362</v>
      </c>
      <c r="K20" s="11">
        <f t="shared" si="4"/>
        <v>0.3858326923636366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136248.13018495467</v>
      </c>
      <c r="D21" s="11">
        <v>1.47363636363637E-2</v>
      </c>
      <c r="E21" s="10">
        <f t="shared" si="2"/>
        <v>1978.6439740713104</v>
      </c>
      <c r="F21" s="3"/>
      <c r="G21" s="26">
        <v>54.2</v>
      </c>
      <c r="H21" s="10"/>
      <c r="I21" s="10">
        <f t="shared" si="5"/>
        <v>356.90871581108996</v>
      </c>
      <c r="J21" s="10">
        <f t="shared" si="3"/>
        <v>48628145.175974376</v>
      </c>
      <c r="K21" s="11">
        <f t="shared" si="4"/>
        <v>0.56472347272727297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134269.48621088336</v>
      </c>
      <c r="D22" s="11">
        <v>1.52509090909092E-2</v>
      </c>
      <c r="E22" s="10">
        <f t="shared" si="2"/>
        <v>2016.9710852254939</v>
      </c>
      <c r="F22" s="3"/>
      <c r="G22" s="26">
        <v>15.97</v>
      </c>
      <c r="H22" s="10"/>
      <c r="I22" s="10">
        <f t="shared" si="5"/>
        <v>231.45831116153693</v>
      </c>
      <c r="J22" s="10">
        <f t="shared" si="3"/>
        <v>31077788.518898334</v>
      </c>
      <c r="K22" s="11">
        <f t="shared" si="4"/>
        <v>0.17738647927272733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132252.51512565787</v>
      </c>
      <c r="D23" s="11">
        <v>1.57654545454546E-2</v>
      </c>
      <c r="E23" s="10">
        <f t="shared" si="2"/>
        <v>2052.6598993944208</v>
      </c>
      <c r="F23" s="3"/>
      <c r="G23" s="26">
        <v>11.13</v>
      </c>
      <c r="H23" s="10"/>
      <c r="I23" s="10">
        <f t="shared" si="5"/>
        <v>199.58464358156155</v>
      </c>
      <c r="J23" s="10">
        <f t="shared" si="3"/>
        <v>26395571.094119504</v>
      </c>
      <c r="K23" s="11">
        <f t="shared" si="4"/>
        <v>0.12882014963636368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130199.85522626345</v>
      </c>
      <c r="D24" s="11">
        <v>1.62800000000001E-2</v>
      </c>
      <c r="E24" s="10">
        <f t="shared" si="2"/>
        <v>2085.6984719600732</v>
      </c>
      <c r="F24" s="3"/>
      <c r="G24" s="26">
        <v>-2.1800000000000002</v>
      </c>
      <c r="H24" s="10"/>
      <c r="I24" s="10">
        <f t="shared" si="5"/>
        <v>179.59564796325165</v>
      </c>
      <c r="J24" s="10">
        <f t="shared" si="3"/>
        <v>23383327.36408234</v>
      </c>
      <c r="K24" s="11">
        <f t="shared" si="4"/>
        <v>-5.8749040000000141E-3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128114.15675430337</v>
      </c>
      <c r="D25" s="11">
        <v>1.6794545454545499E-2</v>
      </c>
      <c r="E25" s="10">
        <f t="shared" si="2"/>
        <v>2116.0804201787541</v>
      </c>
      <c r="F25" s="3"/>
      <c r="G25" s="26">
        <v>-6.44</v>
      </c>
      <c r="H25" s="10"/>
      <c r="I25" s="10">
        <f t="shared" si="5"/>
        <v>183.59808624335685</v>
      </c>
      <c r="J25" s="10">
        <f t="shared" si="3"/>
        <v>23521514.00077153</v>
      </c>
      <c r="K25" s="11">
        <f t="shared" si="4"/>
        <v>-4.8687023272727226E-2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125998.07633412462</v>
      </c>
      <c r="D26" s="11">
        <v>1.7309090909091E-2</v>
      </c>
      <c r="E26" s="10">
        <f t="shared" si="2"/>
        <v>2143.8048446898611</v>
      </c>
      <c r="F26" s="3"/>
      <c r="G26" s="26">
        <v>-9.35</v>
      </c>
      <c r="H26" s="10"/>
      <c r="I26" s="10">
        <f t="shared" si="5"/>
        <v>196.23566293646522</v>
      </c>
      <c r="J26" s="10">
        <f t="shared" si="3"/>
        <v>24725316.038146295</v>
      </c>
      <c r="K26" s="11">
        <f t="shared" si="4"/>
        <v>-7.7809309090909107E-2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123854.27148943476</v>
      </c>
      <c r="D27" s="11">
        <v>1.7823636363636399E-2</v>
      </c>
      <c r="E27" s="10">
        <f t="shared" si="2"/>
        <v>2168.8762357667438</v>
      </c>
      <c r="F27" s="3"/>
      <c r="G27" s="26">
        <v>3.2</v>
      </c>
      <c r="H27" s="10"/>
      <c r="I27" s="10">
        <f t="shared" si="5"/>
        <v>216.47618636124128</v>
      </c>
      <c r="J27" s="10">
        <f t="shared" si="3"/>
        <v>26811500.356582653</v>
      </c>
      <c r="K27" s="11">
        <f t="shared" si="4"/>
        <v>5.0393992727272963E-2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121685.39525366802</v>
      </c>
      <c r="D28" s="11">
        <v>1.8338181818181899E-2</v>
      </c>
      <c r="E28" s="10">
        <f t="shared" si="2"/>
        <v>2191.3043649162719</v>
      </c>
      <c r="F28" s="3"/>
      <c r="G28" s="26">
        <v>3.6</v>
      </c>
      <c r="H28" s="10"/>
      <c r="I28" s="10">
        <f t="shared" si="5"/>
        <v>209.76374647407098</v>
      </c>
      <c r="J28" s="10">
        <f t="shared" si="3"/>
        <v>25525184.399587538</v>
      </c>
      <c r="K28" s="11">
        <f t="shared" si="4"/>
        <v>5.499835636363648E-2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119494.09088875174</v>
      </c>
      <c r="D29" s="11">
        <v>1.8852727272727299E-2</v>
      </c>
      <c r="E29" s="10">
        <f t="shared" si="2"/>
        <v>2211.1041624812642</v>
      </c>
      <c r="F29" s="3"/>
      <c r="G29" s="26">
        <v>3.3</v>
      </c>
      <c r="H29" s="10"/>
      <c r="I29" s="10">
        <f t="shared" si="5"/>
        <v>202.47465875875577</v>
      </c>
      <c r="J29" s="10">
        <f t="shared" si="3"/>
        <v>24194525.276387755</v>
      </c>
      <c r="K29" s="11">
        <f t="shared" si="4"/>
        <v>5.2474867272727099E-2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117282.98672627048</v>
      </c>
      <c r="D30" s="11">
        <v>1.9367272727272799E-2</v>
      </c>
      <c r="E30" s="10">
        <f t="shared" si="2"/>
        <v>2228.2955819443159</v>
      </c>
      <c r="F30" s="3"/>
      <c r="G30" s="26">
        <v>7.2</v>
      </c>
      <c r="H30" s="10"/>
      <c r="I30" s="10">
        <f t="shared" si="5"/>
        <v>196.00644603945381</v>
      </c>
      <c r="J30" s="10">
        <f t="shared" si="3"/>
        <v>22988221.409108713</v>
      </c>
      <c r="K30" s="11">
        <f t="shared" si="4"/>
        <v>9.2761716363636726E-2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115054.69114432616</v>
      </c>
      <c r="D31" s="11">
        <v>1.9881818181818198E-2</v>
      </c>
      <c r="E31" s="10">
        <f t="shared" si="2"/>
        <v>2242.9034516712272</v>
      </c>
      <c r="F31" s="3"/>
      <c r="G31" s="26">
        <v>4.7</v>
      </c>
      <c r="H31" s="10"/>
      <c r="I31" s="10">
        <f t="shared" si="5"/>
        <v>182.8418339920278</v>
      </c>
      <c r="J31" s="10">
        <f t="shared" si="3"/>
        <v>21036810.738214914</v>
      </c>
      <c r="K31" s="11">
        <f t="shared" si="4"/>
        <v>6.7816263636363283E-2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112811.78769265494</v>
      </c>
      <c r="D32" s="11">
        <v>2.0396363636363699E-2</v>
      </c>
      <c r="E32" s="10">
        <f t="shared" si="2"/>
        <v>2254.9573148691125</v>
      </c>
      <c r="F32" s="3"/>
      <c r="G32" s="26">
        <v>2.2000000000000002</v>
      </c>
      <c r="H32" s="10"/>
      <c r="I32" s="10">
        <f t="shared" si="5"/>
        <v>174.63403437633986</v>
      </c>
      <c r="J32" s="10">
        <f t="shared" si="3"/>
        <v>19700777.609975457</v>
      </c>
      <c r="K32" s="11">
        <f t="shared" si="4"/>
        <v>4.2845083636363857E-2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110556.83037778582</v>
      </c>
      <c r="D33" s="11">
        <v>2.0910909090909102E-2</v>
      </c>
      <c r="E33" s="10">
        <f t="shared" si="2"/>
        <v>2264.491258563954</v>
      </c>
      <c r="F33" s="3"/>
      <c r="G33" s="26">
        <v>-14.1</v>
      </c>
      <c r="H33" s="10"/>
      <c r="I33" s="10">
        <f t="shared" si="5"/>
        <v>170.87478901794506</v>
      </c>
      <c r="J33" s="10">
        <f t="shared" si="3"/>
        <v>18891375.065296892</v>
      </c>
      <c r="K33" s="11">
        <f t="shared" si="4"/>
        <v>-0.12303752909090915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108292.33911922187</v>
      </c>
      <c r="D34" s="11">
        <v>2.1425454545454602E-2</v>
      </c>
      <c r="E34" s="10">
        <f t="shared" si="2"/>
        <v>2271.5437324326049</v>
      </c>
      <c r="F34" s="3"/>
      <c r="G34" s="26">
        <v>5.6</v>
      </c>
      <c r="H34" s="10"/>
      <c r="I34" s="10">
        <f t="shared" si="5"/>
        <v>198.92292085907459</v>
      </c>
      <c r="J34" s="10">
        <f t="shared" ref="J34:J65" si="6">IF(I34="","",I34*C34)</f>
        <v>21541828.40425704</v>
      </c>
      <c r="K34" s="11">
        <f t="shared" ref="K34:K65" si="7">IFERROR(J34/J35-1,"")</f>
        <v>9.1903810909091055E-2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106020.79538678926</v>
      </c>
      <c r="D35" s="11">
        <v>2.1940000000000098E-2</v>
      </c>
      <c r="E35" s="10">
        <f t="shared" si="2"/>
        <v>2276.1573583440913</v>
      </c>
      <c r="F35" s="3"/>
      <c r="G35" s="26">
        <v>11</v>
      </c>
      <c r="H35" s="10"/>
      <c r="I35" s="10">
        <f t="shared" ref="I35:I66" si="8">IF(H35&lt;&gt;"",H35,I34/(1+IF(G34="",0,G34)/100))</f>
        <v>186.08318134618764</v>
      </c>
      <c r="J35" s="10">
        <f t="shared" si="6"/>
        <v>19728686.89442696</v>
      </c>
      <c r="K35" s="11">
        <f t="shared" si="7"/>
        <v>0.16194578000000015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103744.63802844517</v>
      </c>
      <c r="D36" s="11">
        <v>2.2800000000000001E-2</v>
      </c>
      <c r="E36" s="10">
        <f t="shared" si="2"/>
        <v>2312.6493420498009</v>
      </c>
      <c r="F36" s="3"/>
      <c r="G36" s="26">
        <v>8.4</v>
      </c>
      <c r="H36" s="10"/>
      <c r="I36" s="10">
        <f t="shared" si="8"/>
        <v>163.66154911713951</v>
      </c>
      <c r="J36" s="10">
        <f t="shared" si="6"/>
        <v>16979008.172332238</v>
      </c>
      <c r="K36" s="11">
        <f t="shared" si="7"/>
        <v>0.15780959999999999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101431.98868639537</v>
      </c>
      <c r="D37" s="11">
        <v>2.3300000000000001E-2</v>
      </c>
      <c r="E37" s="10">
        <f t="shared" si="2"/>
        <v>2309.5527571513958</v>
      </c>
      <c r="F37" s="3"/>
      <c r="G37" s="26">
        <v>8.6</v>
      </c>
      <c r="H37" s="10"/>
      <c r="I37" s="10">
        <f t="shared" si="8"/>
        <v>144.57734020948718</v>
      </c>
      <c r="J37" s="10">
        <f t="shared" si="6"/>
        <v>14664767.136437839</v>
      </c>
      <c r="K37" s="11">
        <f t="shared" si="7"/>
        <v>0.16553870000000015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99122.435929243977</v>
      </c>
      <c r="D38" s="11">
        <v>2.3400000000000001E-2</v>
      </c>
      <c r="E38" s="10">
        <f t="shared" si="2"/>
        <v>2266.4305264259456</v>
      </c>
      <c r="F38" s="3"/>
      <c r="G38" s="26">
        <v>6.8</v>
      </c>
      <c r="H38" s="10"/>
      <c r="I38" s="10">
        <f t="shared" si="8"/>
        <v>126.933573493843</v>
      </c>
      <c r="J38" s="10">
        <f t="shared" si="6"/>
        <v>12581965.005913435</v>
      </c>
      <c r="K38" s="11">
        <f t="shared" si="7"/>
        <v>0.130857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96856.005402818031</v>
      </c>
      <c r="D39" s="11">
        <v>2.3599999999999999E-2</v>
      </c>
      <c r="E39" s="10">
        <f t="shared" si="2"/>
        <v>2233.1005544221553</v>
      </c>
      <c r="F39" s="3"/>
      <c r="G39" s="26">
        <v>14</v>
      </c>
      <c r="H39" s="10"/>
      <c r="I39" s="10">
        <f t="shared" si="8"/>
        <v>114.87201221162263</v>
      </c>
      <c r="J39" s="10">
        <f t="shared" si="6"/>
        <v>11126044.2354015</v>
      </c>
      <c r="K39" s="11">
        <f t="shared" si="7"/>
        <v>0.16690400000000016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94622.904848395876</v>
      </c>
      <c r="D40" s="11">
        <v>2.41E-2</v>
      </c>
      <c r="E40" s="10">
        <f t="shared" si="2"/>
        <v>2226.7473946356185</v>
      </c>
      <c r="F40" s="3"/>
      <c r="G40" s="26">
        <v>13.2</v>
      </c>
      <c r="H40" s="10"/>
      <c r="I40" s="10">
        <f t="shared" si="8"/>
        <v>100.76492299265142</v>
      </c>
      <c r="J40" s="10">
        <f t="shared" si="6"/>
        <v>9534669.7203895934</v>
      </c>
      <c r="K40" s="11">
        <f t="shared" si="7"/>
        <v>0.15928120000000012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92396.157453760257</v>
      </c>
      <c r="D41" s="11">
        <v>2.4799999999999999E-2</v>
      </c>
      <c r="E41" s="10">
        <f t="shared" si="2"/>
        <v>2235.9725847514201</v>
      </c>
      <c r="F41" s="3"/>
      <c r="G41" s="26">
        <v>9.6</v>
      </c>
      <c r="H41" s="10"/>
      <c r="I41" s="10">
        <f t="shared" si="8"/>
        <v>89.014949640151428</v>
      </c>
      <c r="J41" s="10">
        <f t="shared" si="6"/>
        <v>8224639.3026899714</v>
      </c>
      <c r="K41" s="11">
        <f t="shared" si="7"/>
        <v>0.12318080000000009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90160.184869008837</v>
      </c>
      <c r="D42" s="11">
        <v>2.5499999999999998E-2</v>
      </c>
      <c r="E42" s="10">
        <f t="shared" si="2"/>
        <v>2241.9158597364585</v>
      </c>
      <c r="F42" s="3"/>
      <c r="G42" s="26">
        <v>-5.9</v>
      </c>
      <c r="H42" s="10"/>
      <c r="I42" s="10">
        <f t="shared" si="8"/>
        <v>81.218019744663707</v>
      </c>
      <c r="J42" s="10">
        <f t="shared" si="6"/>
        <v>7322631.6748736901</v>
      </c>
      <c r="K42" s="11">
        <f t="shared" si="7"/>
        <v>-3.5004499999999883E-2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87918.269009272379</v>
      </c>
      <c r="D43" s="11">
        <v>2.6200000000000001E-2</v>
      </c>
      <c r="E43" s="10">
        <f t="shared" si="2"/>
        <v>2244.6488482195855</v>
      </c>
      <c r="F43" s="3"/>
      <c r="G43" s="26">
        <v>3.3</v>
      </c>
      <c r="H43" s="10"/>
      <c r="I43" s="10">
        <f t="shared" si="8"/>
        <v>86.31032916542371</v>
      </c>
      <c r="J43" s="10">
        <f t="shared" si="6"/>
        <v>7588254.7378445696</v>
      </c>
      <c r="K43" s="11">
        <f t="shared" si="7"/>
        <v>6.0064600000000024E-2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85673.620161052793</v>
      </c>
      <c r="D44" s="11">
        <v>2.6700000000000002E-2</v>
      </c>
      <c r="E44" s="10">
        <f t="shared" si="2"/>
        <v>2227.9981087952765</v>
      </c>
      <c r="F44" s="3"/>
      <c r="G44" s="26">
        <v>7.3</v>
      </c>
      <c r="H44" s="10"/>
      <c r="I44" s="10">
        <f t="shared" si="8"/>
        <v>83.553077604476002</v>
      </c>
      <c r="J44" s="10">
        <f t="shared" si="6"/>
        <v>7158294.6339728441</v>
      </c>
      <c r="K44" s="11">
        <f t="shared" si="7"/>
        <v>0.10164909999999994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83445.622052257517</v>
      </c>
      <c r="D45" s="11">
        <v>2.7199999999999998E-2</v>
      </c>
      <c r="E45" s="10">
        <f t="shared" si="2"/>
        <v>2209.6192755270604</v>
      </c>
      <c r="F45" s="3"/>
      <c r="G45" s="26">
        <v>3.32</v>
      </c>
      <c r="H45" s="10"/>
      <c r="I45" s="10">
        <f t="shared" si="8"/>
        <v>77.868665055429645</v>
      </c>
      <c r="J45" s="10">
        <f t="shared" si="6"/>
        <v>6497799.193929214</v>
      </c>
      <c r="K45" s="11">
        <f t="shared" si="7"/>
        <v>6.1303039999999864E-2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81236.002776730456</v>
      </c>
      <c r="D46" s="11">
        <v>2.7699999999999999E-2</v>
      </c>
      <c r="E46" s="10">
        <f t="shared" si="2"/>
        <v>2189.5857515962271</v>
      </c>
      <c r="F46" s="3"/>
      <c r="G46" s="26">
        <v>5.87</v>
      </c>
      <c r="H46" s="10"/>
      <c r="I46" s="10">
        <f t="shared" si="8"/>
        <v>75.366497343621418</v>
      </c>
      <c r="J46" s="10">
        <f t="shared" si="6"/>
        <v>6122472.9874788783</v>
      </c>
      <c r="K46" s="11">
        <f t="shared" si="7"/>
        <v>8.802599000000022E-2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79046.417025134229</v>
      </c>
      <c r="D47" s="11">
        <v>2.81E-2</v>
      </c>
      <c r="E47" s="10">
        <f t="shared" si="2"/>
        <v>2160.494425062032</v>
      </c>
      <c r="F47" s="3"/>
      <c r="G47" s="26">
        <v>6.9</v>
      </c>
      <c r="H47" s="10"/>
      <c r="I47" s="10">
        <f t="shared" si="8"/>
        <v>71.187774953831507</v>
      </c>
      <c r="J47" s="10">
        <f t="shared" si="6"/>
        <v>5627138.546091971</v>
      </c>
      <c r="K47" s="11">
        <f t="shared" si="7"/>
        <v>9.9038900000000041E-2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76885.922600072197</v>
      </c>
      <c r="D48" s="11">
        <v>2.8400000000000002E-2</v>
      </c>
      <c r="E48" s="10">
        <f t="shared" si="2"/>
        <v>2123.2596283956082</v>
      </c>
      <c r="F48" s="3"/>
      <c r="G48" s="26">
        <v>5.4</v>
      </c>
      <c r="H48" s="10"/>
      <c r="I48" s="10">
        <f t="shared" si="8"/>
        <v>66.592867122386821</v>
      </c>
      <c r="J48" s="10">
        <f t="shared" si="6"/>
        <v>5120054.0272887256</v>
      </c>
      <c r="K48" s="11">
        <f t="shared" si="7"/>
        <v>8.3933599999999942E-2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74762.662971676589</v>
      </c>
      <c r="D49" s="11">
        <v>2.8500000000000001E-2</v>
      </c>
      <c r="E49" s="10">
        <f t="shared" si="2"/>
        <v>2071.6926540522836</v>
      </c>
      <c r="F49" s="3"/>
      <c r="G49" s="26">
        <v>8.8000000000000007</v>
      </c>
      <c r="H49" s="10"/>
      <c r="I49" s="10">
        <f t="shared" si="8"/>
        <v>63.181088351410644</v>
      </c>
      <c r="J49" s="10">
        <f t="shared" si="6"/>
        <v>4723586.4146002354</v>
      </c>
      <c r="K49" s="11">
        <f t="shared" si="7"/>
        <v>0.119008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72690.970317624306</v>
      </c>
      <c r="D50" s="11">
        <v>2.87E-2</v>
      </c>
      <c r="E50" s="10">
        <f t="shared" si="2"/>
        <v>2028.0264879127208</v>
      </c>
      <c r="F50" s="3"/>
      <c r="G50" s="26">
        <v>1.8</v>
      </c>
      <c r="H50" s="10"/>
      <c r="I50" s="10">
        <f t="shared" si="8"/>
        <v>58.070853264164192</v>
      </c>
      <c r="J50" s="10">
        <f t="shared" si="6"/>
        <v>4221226.6709444756</v>
      </c>
      <c r="K50" s="11">
        <f t="shared" si="7"/>
        <v>4.7216599999999831E-2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70662.943829711585</v>
      </c>
      <c r="D51" s="11">
        <v>2.9000000000000001E-2</v>
      </c>
      <c r="E51" s="10">
        <f t="shared" si="2"/>
        <v>1991.4726638111024</v>
      </c>
      <c r="F51" s="3"/>
      <c r="G51" s="26">
        <v>-11.7</v>
      </c>
      <c r="H51" s="10"/>
      <c r="I51" s="10">
        <f t="shared" si="8"/>
        <v>57.044060180907849</v>
      </c>
      <c r="J51" s="10">
        <f t="shared" si="6"/>
        <v>4030901.2203821787</v>
      </c>
      <c r="K51" s="11">
        <f t="shared" si="7"/>
        <v>-9.139300000000028E-2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68671.471165900482</v>
      </c>
      <c r="D52" s="11">
        <v>2.92E-2</v>
      </c>
      <c r="E52" s="10">
        <f t="shared" si="2"/>
        <v>1948.3161271320278</v>
      </c>
      <c r="F52" s="3"/>
      <c r="G52" s="26">
        <v>3.46</v>
      </c>
      <c r="H52" s="10"/>
      <c r="I52" s="10">
        <f t="shared" si="8"/>
        <v>64.602559661277297</v>
      </c>
      <c r="J52" s="10">
        <f t="shared" si="6"/>
        <v>4436352.81302277</v>
      </c>
      <c r="K52" s="11">
        <f t="shared" si="7"/>
        <v>6.4810319999999866E-2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66723.155038768455</v>
      </c>
      <c r="D53" s="11">
        <v>2.93E-2</v>
      </c>
      <c r="E53" s="10">
        <f t="shared" si="2"/>
        <v>1899.3378438122309</v>
      </c>
      <c r="F53" s="3"/>
      <c r="G53" s="26">
        <v>0.23</v>
      </c>
      <c r="H53" s="10"/>
      <c r="I53" s="10">
        <f t="shared" si="8"/>
        <v>62.442064238621015</v>
      </c>
      <c r="J53" s="10">
        <f t="shared" si="6"/>
        <v>4166331.5331342495</v>
      </c>
      <c r="K53" s="11">
        <f t="shared" si="7"/>
        <v>3.1667390000000184E-2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64823.817194956224</v>
      </c>
      <c r="D54" s="11">
        <v>2.92E-2</v>
      </c>
      <c r="E54" s="10">
        <f t="shared" si="2"/>
        <v>1839.1522173462072</v>
      </c>
      <c r="F54" s="3"/>
      <c r="G54" s="26">
        <v>9.07</v>
      </c>
      <c r="H54" s="10"/>
      <c r="I54" s="10">
        <f t="shared" si="8"/>
        <v>62.298777051402787</v>
      </c>
      <c r="J54" s="10">
        <f t="shared" si="6"/>
        <v>4038444.5350494683</v>
      </c>
      <c r="K54" s="11">
        <f t="shared" si="7"/>
        <v>0.12254843999999987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62984.664977610017</v>
      </c>
      <c r="D55" s="11">
        <v>2.8799999999999999E-2</v>
      </c>
      <c r="E55" s="10">
        <f t="shared" si="2"/>
        <v>1763.1788018615553</v>
      </c>
      <c r="F55" s="3"/>
      <c r="G55" s="26">
        <v>-0.6</v>
      </c>
      <c r="H55" s="10"/>
      <c r="I55" s="10">
        <f t="shared" si="8"/>
        <v>57.118159944441906</v>
      </c>
      <c r="J55" s="10">
        <f t="shared" si="6"/>
        <v>3597568.1682382175</v>
      </c>
      <c r="K55" s="11">
        <f t="shared" si="7"/>
        <v>2.2627199999999847E-2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61221.486175748461</v>
      </c>
      <c r="D56" s="11">
        <v>2.8000000000000001E-2</v>
      </c>
      <c r="E56" s="10">
        <f t="shared" si="2"/>
        <v>1667.5112966157176</v>
      </c>
      <c r="F56" s="3"/>
      <c r="G56" s="26">
        <v>2.15</v>
      </c>
      <c r="H56" s="10"/>
      <c r="I56" s="10">
        <f t="shared" si="8"/>
        <v>57.462937569861076</v>
      </c>
      <c r="J56" s="10">
        <f t="shared" si="6"/>
        <v>3517966.4380511469</v>
      </c>
      <c r="K56" s="11">
        <f t="shared" si="7"/>
        <v>5.0102000000000091E-2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59553.974879132744</v>
      </c>
      <c r="D57" s="11">
        <v>2.7E-2</v>
      </c>
      <c r="E57" s="10">
        <f t="shared" si="2"/>
        <v>1565.6838575818692</v>
      </c>
      <c r="F57" s="3"/>
      <c r="G57" s="26">
        <v>5.8</v>
      </c>
      <c r="H57" s="10"/>
      <c r="I57" s="10">
        <f t="shared" si="8"/>
        <v>56.253487586746033</v>
      </c>
      <c r="J57" s="10">
        <f t="shared" si="6"/>
        <v>3350118.7866046787</v>
      </c>
      <c r="K57" s="11">
        <f t="shared" si="7"/>
        <v>8.6565999999999921E-2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57988.291021550875</v>
      </c>
      <c r="D58" s="11">
        <v>2.5600000000000001E-2</v>
      </c>
      <c r="E58" s="10">
        <f t="shared" si="2"/>
        <v>1447.4456417235851</v>
      </c>
      <c r="F58" s="3"/>
      <c r="G58" s="26">
        <v>-0.24</v>
      </c>
      <c r="H58" s="10"/>
      <c r="I58" s="10">
        <f t="shared" si="8"/>
        <v>53.169648002595494</v>
      </c>
      <c r="J58" s="10">
        <f t="shared" si="6"/>
        <v>3083217.0218879287</v>
      </c>
      <c r="K58" s="11">
        <f t="shared" si="7"/>
        <v>2.313856000000003E-2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56540.845379827289</v>
      </c>
      <c r="D59" s="11">
        <v>2.41E-2</v>
      </c>
      <c r="E59" s="10">
        <f t="shared" si="2"/>
        <v>1330.5676922701314</v>
      </c>
      <c r="F59" s="3"/>
      <c r="G59" s="26">
        <v>7.96</v>
      </c>
      <c r="H59" s="10"/>
      <c r="I59" s="10">
        <f t="shared" si="8"/>
        <v>53.297562151759713</v>
      </c>
      <c r="J59" s="10">
        <f t="shared" si="6"/>
        <v>3013489.2207443812</v>
      </c>
      <c r="K59" s="11">
        <f t="shared" si="7"/>
        <v>0.10561836000000047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55210.277687557158</v>
      </c>
      <c r="D60" s="11">
        <v>2.24E-2</v>
      </c>
      <c r="E60" s="10">
        <f t="shared" si="2"/>
        <v>1209.6148476147064</v>
      </c>
      <c r="F60" s="3"/>
      <c r="G60" s="26">
        <v>9.42</v>
      </c>
      <c r="H60" s="10"/>
      <c r="I60" s="10">
        <f t="shared" si="8"/>
        <v>49.367878984586611</v>
      </c>
      <c r="J60" s="10">
        <f t="shared" si="6"/>
        <v>2725614.3075847439</v>
      </c>
      <c r="K60" s="11">
        <f t="shared" si="7"/>
        <v>0.11871007999999983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54000.662839942452</v>
      </c>
      <c r="D61" s="11">
        <v>2.1000000000000001E-2</v>
      </c>
      <c r="E61" s="10">
        <f t="shared" si="2"/>
        <v>1110.6894413700138</v>
      </c>
      <c r="F61" s="3"/>
      <c r="G61" s="26">
        <v>1.96</v>
      </c>
      <c r="H61" s="10"/>
      <c r="I61" s="10">
        <f t="shared" si="8"/>
        <v>45.117783754877181</v>
      </c>
      <c r="J61" s="10">
        <f t="shared" si="6"/>
        <v>2436390.2286325553</v>
      </c>
      <c r="K61" s="11">
        <f t="shared" si="7"/>
        <v>4.1011599999999815E-2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52889.973398572438</v>
      </c>
      <c r="D62" s="11">
        <v>1.9800000000000002E-2</v>
      </c>
      <c r="E62" s="10">
        <f t="shared" si="2"/>
        <v>1026.8890697114475</v>
      </c>
      <c r="F62" s="3"/>
      <c r="G62" s="26">
        <v>4.84</v>
      </c>
      <c r="H62" s="10"/>
      <c r="I62" s="10">
        <f t="shared" si="8"/>
        <v>44.250474455548428</v>
      </c>
      <c r="J62" s="10">
        <f t="shared" si="6"/>
        <v>2340406.4168281658</v>
      </c>
      <c r="K62" s="11">
        <f t="shared" si="7"/>
        <v>6.9158320000000106E-2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51863.08432886099</v>
      </c>
      <c r="D63" s="11">
        <v>1.8800000000000001E-2</v>
      </c>
      <c r="E63" s="10">
        <f t="shared" si="2"/>
        <v>957.03375086629967</v>
      </c>
      <c r="F63" s="3"/>
      <c r="G63" s="26">
        <v>4.2</v>
      </c>
      <c r="H63" s="10"/>
      <c r="I63" s="10">
        <f t="shared" si="8"/>
        <v>42.207625386826045</v>
      </c>
      <c r="J63" s="10">
        <f t="shared" si="6"/>
        <v>2189017.6347579332</v>
      </c>
      <c r="K63" s="11">
        <f t="shared" si="7"/>
        <v>6.1589600000000244E-2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50906.050577994691</v>
      </c>
      <c r="D64" s="11">
        <v>1.7899999999999999E-2</v>
      </c>
      <c r="E64" s="10">
        <f t="shared" si="2"/>
        <v>895.19432689469249</v>
      </c>
      <c r="F64" s="3"/>
      <c r="G64" s="26">
        <v>7.17</v>
      </c>
      <c r="H64" s="10"/>
      <c r="I64" s="10">
        <f t="shared" si="8"/>
        <v>40.50635833668526</v>
      </c>
      <c r="J64" s="10">
        <f t="shared" si="6"/>
        <v>2062018.7262176767</v>
      </c>
      <c r="K64" s="11">
        <f t="shared" si="7"/>
        <v>9.0883430000000098E-2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50010.856251099998</v>
      </c>
      <c r="D65" s="11">
        <v>1.6899999999999998E-2</v>
      </c>
      <c r="E65" s="10">
        <f t="shared" si="2"/>
        <v>831.13725109999359</v>
      </c>
      <c r="F65" s="3"/>
      <c r="G65" s="26">
        <v>10.77</v>
      </c>
      <c r="H65" s="10"/>
      <c r="I65" s="10">
        <f t="shared" si="8"/>
        <v>37.796359369865876</v>
      </c>
      <c r="J65" s="10">
        <f t="shared" si="6"/>
        <v>1890228.2952612787</v>
      </c>
      <c r="K65" s="11">
        <f t="shared" si="7"/>
        <v>0.12642012999999985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49179.719000000005</v>
      </c>
      <c r="D66" s="11">
        <v>1.5900000000000001E-2</v>
      </c>
      <c r="E66" s="10">
        <f t="shared" si="2"/>
        <v>769.7190000000046</v>
      </c>
      <c r="F66" s="23">
        <f>SUM(F2)</f>
        <v>143925</v>
      </c>
      <c r="G66" s="26">
        <v>16.440000000000001</v>
      </c>
      <c r="H66" s="10"/>
      <c r="I66" s="10">
        <f t="shared" si="8"/>
        <v>34.121476365320824</v>
      </c>
      <c r="J66" s="10">
        <f t="shared" ref="J66:J67" si="9">IF(I66="","",I66*C66)</f>
        <v>1678084.6195116197</v>
      </c>
      <c r="K66" s="11">
        <f t="shared" ref="K66" si="10">IFERROR(J66/J67-1,"")</f>
        <v>0.18291396000000026</v>
      </c>
    </row>
    <row r="67" spans="1:11" ht="22.5" customHeight="1">
      <c r="A67" s="3">
        <f t="shared" si="0"/>
        <v>1950</v>
      </c>
      <c r="B67" s="3">
        <v>1700</v>
      </c>
      <c r="C67" s="10">
        <v>48410</v>
      </c>
      <c r="D67" s="11">
        <v>1.49E-2</v>
      </c>
      <c r="E67" s="3" t="s">
        <v>72</v>
      </c>
      <c r="F67" s="10">
        <f>SUM(C2)</f>
        <v>143923.67315868818</v>
      </c>
      <c r="G67" s="26">
        <v>7.17</v>
      </c>
      <c r="H67" s="10"/>
      <c r="I67" s="10">
        <f t="shared" ref="I67" si="11">IF(H67&lt;&gt;"",H67,I66/(1+IF(G66="",0,G66)/100))</f>
        <v>29.303913058502939</v>
      </c>
      <c r="J67" s="10">
        <f t="shared" si="9"/>
        <v>1418602.4311621273</v>
      </c>
      <c r="K67" s="11"/>
    </row>
  </sheetData>
  <dataValidations count="1">
    <dataValidation type="custom" allowBlank="1" showDropDown="1" sqref="D2:D67" xr:uid="{00000000-0002-0000-9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outlinePr summaryBelow="0" summaryRight="0"/>
  </sheetPr>
  <dimension ref="A1:M67"/>
  <sheetViews>
    <sheetView topLeftCell="A34" workbookViewId="0">
      <selection activeCell="K64" sqref="K6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10353.827030039225</v>
      </c>
      <c r="D2" s="11">
        <v>2.23E-2</v>
      </c>
      <c r="E2" s="10">
        <f t="shared" ref="E2:E66" si="2">SUM(C2-C3)</f>
        <v>225.85380296378207</v>
      </c>
      <c r="F2" s="14">
        <v>10360</v>
      </c>
      <c r="G2" s="29">
        <v>2.3199999999999998</v>
      </c>
      <c r="H2" s="10"/>
      <c r="I2" s="10">
        <f>IF(H2&lt;&gt;"",H2,28256)</f>
        <v>3532</v>
      </c>
      <c r="J2" s="10">
        <f t="shared" ref="J2:J33" si="3">IF(I2="","",I2*C2)</f>
        <v>36569717.070098542</v>
      </c>
      <c r="K2" s="11">
        <f t="shared" ref="K2:K33" si="4">IFERROR(J2/J3-1,"")</f>
        <v>4.6017360000000007E-2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10127.973227075443</v>
      </c>
      <c r="D3" s="11">
        <v>2.24E-2</v>
      </c>
      <c r="E3" s="10">
        <f t="shared" si="2"/>
        <v>221.89612704077626</v>
      </c>
      <c r="F3" s="3"/>
      <c r="G3" s="29">
        <v>4.9000000000000004</v>
      </c>
      <c r="H3" s="10"/>
      <c r="I3" s="10">
        <f t="shared" ref="I3:I34" si="5">IF(H3&lt;&gt;"",H3,I2/(1+IF(G2="",0,G2)/100))</f>
        <v>3451.9155590304922</v>
      </c>
      <c r="J3" s="10">
        <f t="shared" si="3"/>
        <v>34960908.363985986</v>
      </c>
      <c r="K3" s="11">
        <f t="shared" si="4"/>
        <v>7.249759999999994E-2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9906.0771000346667</v>
      </c>
      <c r="D4" s="11">
        <v>2.23E-2</v>
      </c>
      <c r="E4" s="10">
        <f t="shared" si="2"/>
        <v>216.08678404653438</v>
      </c>
      <c r="F4" s="3"/>
      <c r="G4" s="29">
        <v>5.99</v>
      </c>
      <c r="H4" s="10"/>
      <c r="I4" s="10">
        <f t="shared" si="5"/>
        <v>3290.6726015543304</v>
      </c>
      <c r="J4" s="10">
        <f t="shared" si="3"/>
        <v>32597656.501968853</v>
      </c>
      <c r="K4" s="11">
        <f t="shared" si="4"/>
        <v>8.3535769999999898E-2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9689.9903159881324</v>
      </c>
      <c r="D5" s="11">
        <v>2.1999999999999999E-2</v>
      </c>
      <c r="E5" s="10">
        <f t="shared" si="2"/>
        <v>208.59078958095779</v>
      </c>
      <c r="F5" s="3"/>
      <c r="G5" s="29">
        <v>3.94</v>
      </c>
      <c r="H5" s="10"/>
      <c r="I5" s="10">
        <f t="shared" si="5"/>
        <v>3104.7010109956886</v>
      </c>
      <c r="J5" s="10">
        <f t="shared" si="3"/>
        <v>30084522.730586786</v>
      </c>
      <c r="K5" s="11">
        <f t="shared" si="4"/>
        <v>6.2266799999999956E-2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9481.3995264071746</v>
      </c>
      <c r="D6" s="11">
        <v>2.1499999999999998E-2</v>
      </c>
      <c r="E6" s="10">
        <f t="shared" si="2"/>
        <v>199.55955929295669</v>
      </c>
      <c r="F6" s="3"/>
      <c r="G6" s="29">
        <v>1.71</v>
      </c>
      <c r="H6" s="10"/>
      <c r="I6" s="10">
        <f t="shared" si="5"/>
        <v>2987.0127102132851</v>
      </c>
      <c r="J6" s="10">
        <f t="shared" si="3"/>
        <v>28321060.895988453</v>
      </c>
      <c r="K6" s="11">
        <f t="shared" si="4"/>
        <v>3.896765000000002E-2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9281.8399671142179</v>
      </c>
      <c r="D7" s="11">
        <v>2.1100000000000001E-2</v>
      </c>
      <c r="E7" s="10">
        <f t="shared" si="2"/>
        <v>191.79984654403052</v>
      </c>
      <c r="F7" s="3"/>
      <c r="G7" s="29">
        <v>4.43</v>
      </c>
      <c r="H7" s="10"/>
      <c r="I7" s="10">
        <f t="shared" si="5"/>
        <v>2936.7935406678648</v>
      </c>
      <c r="J7" s="10">
        <f t="shared" si="3"/>
        <v>27258847.660933863</v>
      </c>
      <c r="K7" s="11">
        <f t="shared" si="4"/>
        <v>6.6334730000000119E-2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9090.0401205701874</v>
      </c>
      <c r="D8" s="11">
        <v>2.0799999999999999E-2</v>
      </c>
      <c r="E8" s="10">
        <f t="shared" si="2"/>
        <v>185.22025324045717</v>
      </c>
      <c r="F8" s="3"/>
      <c r="G8" s="29">
        <v>3.44</v>
      </c>
      <c r="H8" s="10"/>
      <c r="I8" s="10">
        <f t="shared" si="5"/>
        <v>2812.2125257759885</v>
      </c>
      <c r="J8" s="10">
        <f t="shared" si="3"/>
        <v>25563124.686873756</v>
      </c>
      <c r="K8" s="11">
        <f t="shared" si="4"/>
        <v>5.5915519999999885E-2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8904.8198673297302</v>
      </c>
      <c r="D9" s="11">
        <v>2.06E-2</v>
      </c>
      <c r="E9" s="10">
        <f t="shared" si="2"/>
        <v>179.73671297961118</v>
      </c>
      <c r="F9" s="3"/>
      <c r="G9" s="29">
        <v>4.4800000000000004</v>
      </c>
      <c r="H9" s="10"/>
      <c r="I9" s="10">
        <f t="shared" si="5"/>
        <v>2718.6896034183956</v>
      </c>
      <c r="J9" s="10">
        <f t="shared" si="3"/>
        <v>24209441.193622913</v>
      </c>
      <c r="K9" s="11">
        <f t="shared" si="4"/>
        <v>6.6322879999999751E-2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8725.083154350119</v>
      </c>
      <c r="D10" s="11">
        <v>2.0299999999999999E-2</v>
      </c>
      <c r="E10" s="10">
        <f t="shared" si="2"/>
        <v>173.5952053644105</v>
      </c>
      <c r="F10" s="3"/>
      <c r="G10" s="29">
        <v>5.67</v>
      </c>
      <c r="H10" s="10"/>
      <c r="I10" s="10">
        <f t="shared" si="5"/>
        <v>2602.1148577894292</v>
      </c>
      <c r="J10" s="10">
        <f t="shared" si="3"/>
        <v>22703668.511382703</v>
      </c>
      <c r="K10" s="11">
        <f t="shared" si="4"/>
        <v>7.8151010000000021E-2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8551.4879489857085</v>
      </c>
      <c r="D11" s="11">
        <v>2.0199999999999999E-2</v>
      </c>
      <c r="E11" s="10">
        <f t="shared" si="2"/>
        <v>169.31979667664382</v>
      </c>
      <c r="F11" s="3"/>
      <c r="G11" s="29">
        <v>5.05</v>
      </c>
      <c r="H11" s="10"/>
      <c r="I11" s="10">
        <f t="shared" si="5"/>
        <v>2462.4915849242257</v>
      </c>
      <c r="J11" s="10">
        <f t="shared" si="3"/>
        <v>21057967.112958234</v>
      </c>
      <c r="K11" s="11">
        <f t="shared" si="4"/>
        <v>7.1720100000000064E-2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8382.1681523090647</v>
      </c>
      <c r="D12" s="11">
        <v>2.0299999999999999E-2</v>
      </c>
      <c r="E12" s="10">
        <f t="shared" si="2"/>
        <v>166.77253111033497</v>
      </c>
      <c r="F12" s="3"/>
      <c r="G12" s="29">
        <v>6.22</v>
      </c>
      <c r="H12" s="10"/>
      <c r="I12" s="10">
        <f t="shared" si="5"/>
        <v>2344.1138361963121</v>
      </c>
      <c r="J12" s="10">
        <f t="shared" si="3"/>
        <v>19648756.343151756</v>
      </c>
      <c r="K12" s="11">
        <f t="shared" si="4"/>
        <v>8.3762659999999878E-2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8215.3956211987297</v>
      </c>
      <c r="D13" s="11">
        <v>2.0799999999999999E-2</v>
      </c>
      <c r="E13" s="10">
        <f t="shared" si="2"/>
        <v>167.39834337865614</v>
      </c>
      <c r="F13" s="3"/>
      <c r="G13" s="29">
        <v>6.9</v>
      </c>
      <c r="H13" s="10"/>
      <c r="I13" s="10">
        <f t="shared" si="5"/>
        <v>2206.8478970027418</v>
      </c>
      <c r="J13" s="10">
        <f t="shared" si="3"/>
        <v>18130128.549687952</v>
      </c>
      <c r="K13" s="11">
        <f t="shared" si="4"/>
        <v>9.123519999999985E-2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8047.9972778200736</v>
      </c>
      <c r="D14" s="11">
        <v>2.1499999999999998E-2</v>
      </c>
      <c r="E14" s="10">
        <f t="shared" si="2"/>
        <v>169.39005528451526</v>
      </c>
      <c r="F14" s="3"/>
      <c r="G14" s="29">
        <v>0.59</v>
      </c>
      <c r="H14" s="10"/>
      <c r="I14" s="10">
        <f t="shared" si="5"/>
        <v>2064.4040196470924</v>
      </c>
      <c r="J14" s="10">
        <f t="shared" si="3"/>
        <v>16614317.930440618</v>
      </c>
      <c r="K14" s="11">
        <f t="shared" si="4"/>
        <v>2.7526850000000325E-2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7878.6072225355583</v>
      </c>
      <c r="D15" s="11">
        <v>2.24E-2</v>
      </c>
      <c r="E15" s="10">
        <f t="shared" si="2"/>
        <v>172.61424274725778</v>
      </c>
      <c r="F15" s="3"/>
      <c r="G15" s="29">
        <v>7.86</v>
      </c>
      <c r="H15" s="10"/>
      <c r="I15" s="10">
        <f t="shared" si="5"/>
        <v>2052.2954763367056</v>
      </c>
      <c r="J15" s="10">
        <f t="shared" si="3"/>
        <v>16169229.962643422</v>
      </c>
      <c r="K15" s="11">
        <f t="shared" si="4"/>
        <v>0.10276063999999985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7705.9929797883005</v>
      </c>
      <c r="D16" s="11">
        <v>2.35E-2</v>
      </c>
      <c r="E16" s="10">
        <f t="shared" si="2"/>
        <v>176.93291160237004</v>
      </c>
      <c r="F16" s="3"/>
      <c r="G16" s="29">
        <v>3.79</v>
      </c>
      <c r="H16" s="10"/>
      <c r="I16" s="10">
        <f t="shared" si="5"/>
        <v>1902.7401041504781</v>
      </c>
      <c r="J16" s="10">
        <f t="shared" si="3"/>
        <v>14662501.884945244</v>
      </c>
      <c r="K16" s="11">
        <f t="shared" si="4"/>
        <v>6.2290650000000003E-2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7529.0600681859305</v>
      </c>
      <c r="D17" s="11">
        <v>2.4500000000000001E-2</v>
      </c>
      <c r="E17" s="10">
        <f t="shared" si="2"/>
        <v>180.05072881459728</v>
      </c>
      <c r="F17" s="3"/>
      <c r="G17" s="29">
        <v>0.68</v>
      </c>
      <c r="H17" s="10"/>
      <c r="I17" s="10">
        <f t="shared" si="5"/>
        <v>1833.2595665772021</v>
      </c>
      <c r="J17" s="10">
        <f t="shared" si="3"/>
        <v>13802721.397336259</v>
      </c>
      <c r="K17" s="11">
        <f t="shared" si="4"/>
        <v>3.1466600000000122E-2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7349.0093393713332</v>
      </c>
      <c r="D18" s="11">
        <v>2.5399999999999999E-2</v>
      </c>
      <c r="E18" s="10">
        <f t="shared" si="2"/>
        <v>182.04099592357397</v>
      </c>
      <c r="F18" s="3"/>
      <c r="G18" s="29">
        <v>-3.55</v>
      </c>
      <c r="H18" s="10"/>
      <c r="I18" s="10">
        <f t="shared" si="5"/>
        <v>1820.8775989046505</v>
      </c>
      <c r="J18" s="10">
        <f t="shared" si="3"/>
        <v>13381646.480202325</v>
      </c>
      <c r="K18" s="11">
        <f t="shared" si="4"/>
        <v>-1.1001699999999781E-2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7166.9683434477593</v>
      </c>
      <c r="D19" s="11">
        <v>2.6100000000000002E-2</v>
      </c>
      <c r="E19" s="10">
        <f t="shared" si="2"/>
        <v>182.29984773802425</v>
      </c>
      <c r="F19" s="3"/>
      <c r="G19" s="29">
        <v>6.79</v>
      </c>
      <c r="H19" s="10"/>
      <c r="I19" s="10">
        <f t="shared" si="5"/>
        <v>1887.897977091395</v>
      </c>
      <c r="J19" s="10">
        <f t="shared" si="3"/>
        <v>13530505.03747309</v>
      </c>
      <c r="K19" s="11">
        <f t="shared" si="4"/>
        <v>9.5772189999999924E-2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6984.668495709735</v>
      </c>
      <c r="D20" s="11">
        <v>2.6700000000000002E-2</v>
      </c>
      <c r="E20" s="10">
        <f t="shared" si="2"/>
        <v>181.640838448865</v>
      </c>
      <c r="F20" s="3"/>
      <c r="G20" s="29">
        <v>5.0199999999999996</v>
      </c>
      <c r="H20" s="10"/>
      <c r="I20" s="10">
        <f t="shared" si="5"/>
        <v>1767.8602650916705</v>
      </c>
      <c r="J20" s="10">
        <f t="shared" si="3"/>
        <v>12347917.898402851</v>
      </c>
      <c r="K20" s="11">
        <f t="shared" si="4"/>
        <v>7.8240340000000019E-2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6803.02765726087</v>
      </c>
      <c r="D21" s="11">
        <v>2.7099999999999999E-2</v>
      </c>
      <c r="E21" s="10">
        <f t="shared" si="2"/>
        <v>179.49766284857287</v>
      </c>
      <c r="F21" s="3"/>
      <c r="G21" s="29">
        <v>9.83</v>
      </c>
      <c r="H21" s="10"/>
      <c r="I21" s="10">
        <f t="shared" si="5"/>
        <v>1683.3558037437349</v>
      </c>
      <c r="J21" s="10">
        <f t="shared" si="3"/>
        <v>11451916.08987923</v>
      </c>
      <c r="K21" s="11">
        <f t="shared" si="4"/>
        <v>0.12806392999999994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6623.5299944122971</v>
      </c>
      <c r="D22" s="11">
        <v>2.7199999999999998E-2</v>
      </c>
      <c r="E22" s="10">
        <f t="shared" si="2"/>
        <v>175.38942352805043</v>
      </c>
      <c r="F22" s="3"/>
      <c r="G22" s="29">
        <v>7.03</v>
      </c>
      <c r="H22" s="10"/>
      <c r="I22" s="10">
        <f t="shared" si="5"/>
        <v>1532.6921640205178</v>
      </c>
      <c r="J22" s="10">
        <f t="shared" si="3"/>
        <v>10151832.520590592</v>
      </c>
      <c r="K22" s="11">
        <f t="shared" si="4"/>
        <v>9.941215999999975E-2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6448.1405708842467</v>
      </c>
      <c r="D23" s="11">
        <v>2.7199999999999998E-2</v>
      </c>
      <c r="E23" s="10">
        <f t="shared" si="2"/>
        <v>170.74515530378812</v>
      </c>
      <c r="F23" s="3"/>
      <c r="G23" s="29">
        <v>7.21</v>
      </c>
      <c r="H23" s="10"/>
      <c r="I23" s="10">
        <f t="shared" si="5"/>
        <v>1432.0210819588133</v>
      </c>
      <c r="J23" s="10">
        <f t="shared" si="3"/>
        <v>9233873.236940179</v>
      </c>
      <c r="K23" s="11">
        <f t="shared" si="4"/>
        <v>0.10126111999999998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6277.3954155804586</v>
      </c>
      <c r="D24" s="11">
        <v>2.7099999999999999E-2</v>
      </c>
      <c r="E24" s="10">
        <f t="shared" si="2"/>
        <v>165.62887329591103</v>
      </c>
      <c r="F24" s="3"/>
      <c r="G24" s="29">
        <v>6.15</v>
      </c>
      <c r="H24" s="10"/>
      <c r="I24" s="10">
        <f t="shared" si="5"/>
        <v>1335.7159611592326</v>
      </c>
      <c r="J24" s="10">
        <f t="shared" si="3"/>
        <v>8384817.2510986123</v>
      </c>
      <c r="K24" s="11">
        <f t="shared" si="4"/>
        <v>9.0266650000000004E-2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6111.7665422845475</v>
      </c>
      <c r="D25" s="11">
        <v>2.7199999999999998E-2</v>
      </c>
      <c r="E25" s="10">
        <f t="shared" si="2"/>
        <v>161.83805485800167</v>
      </c>
      <c r="F25" s="3"/>
      <c r="G25" s="29">
        <v>12.97</v>
      </c>
      <c r="H25" s="10"/>
      <c r="I25" s="10">
        <f t="shared" si="5"/>
        <v>1258.3287434378074</v>
      </c>
      <c r="J25" s="10">
        <f t="shared" si="3"/>
        <v>7690611.5133381477</v>
      </c>
      <c r="K25" s="11">
        <f t="shared" si="4"/>
        <v>0.1604278400000001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5949.9284874265459</v>
      </c>
      <c r="D26" s="11">
        <v>2.7400000000000001E-2</v>
      </c>
      <c r="E26" s="10">
        <f t="shared" si="2"/>
        <v>158.68020299346699</v>
      </c>
      <c r="F26" s="3"/>
      <c r="G26" s="29">
        <v>7.67</v>
      </c>
      <c r="H26" s="10"/>
      <c r="I26" s="10">
        <f t="shared" si="5"/>
        <v>1113.8609749825682</v>
      </c>
      <c r="J26" s="10">
        <f t="shared" si="3"/>
        <v>6627393.1460814895</v>
      </c>
      <c r="K26" s="11">
        <f t="shared" si="4"/>
        <v>0.10620158000000024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5791.2482844330789</v>
      </c>
      <c r="D27" s="11">
        <v>2.76E-2</v>
      </c>
      <c r="E27" s="10">
        <f t="shared" si="2"/>
        <v>155.5453996208189</v>
      </c>
      <c r="F27" s="3"/>
      <c r="G27" s="29">
        <v>-13.65</v>
      </c>
      <c r="H27" s="10"/>
      <c r="I27" s="10">
        <f t="shared" si="5"/>
        <v>1034.5137689073727</v>
      </c>
      <c r="J27" s="10">
        <f t="shared" si="3"/>
        <v>5991126.0894072205</v>
      </c>
      <c r="K27" s="11">
        <f t="shared" si="4"/>
        <v>-0.11266739999999997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5635.70288481226</v>
      </c>
      <c r="D28" s="11">
        <v>2.76E-2</v>
      </c>
      <c r="E28" s="10">
        <f t="shared" si="2"/>
        <v>151.36765241418743</v>
      </c>
      <c r="F28" s="3"/>
      <c r="G28" s="29">
        <v>3.7</v>
      </c>
      <c r="H28" s="10"/>
      <c r="I28" s="10">
        <f t="shared" si="5"/>
        <v>1198.047213558046</v>
      </c>
      <c r="J28" s="10">
        <f t="shared" si="3"/>
        <v>6751838.1375903692</v>
      </c>
      <c r="K28" s="11">
        <f t="shared" si="4"/>
        <v>6.5621200000000046E-2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5484.3352323980725</v>
      </c>
      <c r="D29" s="11">
        <v>2.7099999999999999E-2</v>
      </c>
      <c r="E29" s="10">
        <f t="shared" si="2"/>
        <v>144.70400622917623</v>
      </c>
      <c r="F29" s="3"/>
      <c r="G29" s="29">
        <v>18.010000000000002</v>
      </c>
      <c r="H29" s="10"/>
      <c r="I29" s="10">
        <f t="shared" si="5"/>
        <v>1155.3010738264668</v>
      </c>
      <c r="J29" s="10">
        <f t="shared" si="3"/>
        <v>6336058.3832138181</v>
      </c>
      <c r="K29" s="11">
        <f t="shared" si="4"/>
        <v>0.21208070999999973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5339.6312261688963</v>
      </c>
      <c r="D30" s="11">
        <v>2.5899999999999999E-2</v>
      </c>
      <c r="E30" s="10">
        <f t="shared" si="2"/>
        <v>134.80499927651272</v>
      </c>
      <c r="F30" s="3"/>
      <c r="G30" s="29">
        <v>1.68</v>
      </c>
      <c r="H30" s="10"/>
      <c r="I30" s="10">
        <f t="shared" si="5"/>
        <v>978.98574173923134</v>
      </c>
      <c r="J30" s="10">
        <f t="shared" si="3"/>
        <v>5227422.836564918</v>
      </c>
      <c r="K30" s="11">
        <f t="shared" si="4"/>
        <v>4.313511999999986E-2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5204.8262268923836</v>
      </c>
      <c r="D31" s="11">
        <v>2.41E-2</v>
      </c>
      <c r="E31" s="10">
        <f t="shared" si="2"/>
        <v>122.48443713319648</v>
      </c>
      <c r="F31" s="3"/>
      <c r="G31" s="29">
        <v>-7.95</v>
      </c>
      <c r="H31" s="10"/>
      <c r="I31" s="10">
        <f t="shared" si="5"/>
        <v>962.81052492056585</v>
      </c>
      <c r="J31" s="10">
        <f t="shared" si="3"/>
        <v>5011261.4716345845</v>
      </c>
      <c r="K31" s="11">
        <f t="shared" si="4"/>
        <v>-5.7315949999999893E-2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5082.3417897591871</v>
      </c>
      <c r="D32" s="11">
        <v>2.1600000000000001E-2</v>
      </c>
      <c r="E32" s="10">
        <f t="shared" si="2"/>
        <v>107.45750064486947</v>
      </c>
      <c r="F32" s="3"/>
      <c r="G32" s="29">
        <v>9.35</v>
      </c>
      <c r="H32" s="10"/>
      <c r="I32" s="10">
        <f t="shared" si="5"/>
        <v>1045.9647201744333</v>
      </c>
      <c r="J32" s="10">
        <f t="shared" si="3"/>
        <v>5315950.2079562964</v>
      </c>
      <c r="K32" s="11">
        <f t="shared" si="4"/>
        <v>0.11711959999999988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4974.8842891143177</v>
      </c>
      <c r="D33" s="11">
        <v>1.9099999999999999E-2</v>
      </c>
      <c r="E33" s="10">
        <f t="shared" si="2"/>
        <v>93.239417056307502</v>
      </c>
      <c r="F33" s="3"/>
      <c r="G33" s="29">
        <v>-7.61</v>
      </c>
      <c r="H33" s="10"/>
      <c r="I33" s="10">
        <f t="shared" si="5"/>
        <v>956.52923655640916</v>
      </c>
      <c r="J33" s="10">
        <f t="shared" si="3"/>
        <v>4758622.2710229922</v>
      </c>
      <c r="K33" s="11">
        <f t="shared" si="4"/>
        <v>-5.8453510000000319E-2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4881.6448720580102</v>
      </c>
      <c r="D34" s="11">
        <v>1.6899999999999998E-2</v>
      </c>
      <c r="E34" s="10">
        <f t="shared" si="2"/>
        <v>81.12872292042448</v>
      </c>
      <c r="F34" s="3"/>
      <c r="G34" s="29">
        <v>1.02</v>
      </c>
      <c r="H34" s="10"/>
      <c r="I34" s="10">
        <f t="shared" si="5"/>
        <v>1035.3168487459782</v>
      </c>
      <c r="J34" s="10">
        <f t="shared" ref="J34:J65" si="6">IF(I34="","",I34*C34)</f>
        <v>5054049.1856360631</v>
      </c>
      <c r="K34" s="11">
        <f t="shared" ref="K34:K65" si="7">IFERROR(J34/J35-1,"")</f>
        <v>4.049207999999993E-2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4800.5161491375857</v>
      </c>
      <c r="D35" s="11">
        <v>1.52E-2</v>
      </c>
      <c r="E35" s="10">
        <f t="shared" si="2"/>
        <v>71.875340294416674</v>
      </c>
      <c r="F35" s="3"/>
      <c r="G35" s="29">
        <v>0.09</v>
      </c>
      <c r="H35" s="10"/>
      <c r="I35" s="10">
        <f t="shared" ref="I35:I66" si="8">IF(H35&lt;&gt;"",H35,I34/(1+IF(G34="",0,G34)/100))</f>
        <v>1011.8421117533014</v>
      </c>
      <c r="J35" s="10">
        <f t="shared" si="6"/>
        <v>4857364.3978492012</v>
      </c>
      <c r="K35" s="11">
        <f t="shared" si="7"/>
        <v>4.3524080000000076E-2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4728.640808843169</v>
      </c>
      <c r="D36" s="11">
        <v>1.4200000000000001E-2</v>
      </c>
      <c r="E36" s="10">
        <f t="shared" si="2"/>
        <v>66.206566244895839</v>
      </c>
      <c r="F36" s="3"/>
      <c r="G36" s="29">
        <v>2.96</v>
      </c>
      <c r="H36" s="10"/>
      <c r="I36" s="10">
        <f t="shared" si="8"/>
        <v>984.37796648827839</v>
      </c>
      <c r="J36" s="10">
        <f t="shared" si="6"/>
        <v>4654769.8236625269</v>
      </c>
      <c r="K36" s="11">
        <f t="shared" si="7"/>
        <v>9.2901920000000082E-2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4662.4342425982732</v>
      </c>
      <c r="D37" s="11">
        <v>1.3599999999999999E-2</v>
      </c>
      <c r="E37" s="10">
        <f t="shared" si="2"/>
        <v>62.558312647332968</v>
      </c>
      <c r="F37" s="3"/>
      <c r="G37" s="29">
        <v>9.21</v>
      </c>
      <c r="H37" s="10"/>
      <c r="I37" s="10">
        <f t="shared" si="8"/>
        <v>913.49106021555167</v>
      </c>
      <c r="J37" s="10">
        <f t="shared" si="6"/>
        <v>4259091.9994563889</v>
      </c>
      <c r="K37" s="11">
        <f t="shared" si="7"/>
        <v>0.16067335999999988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4599.8759299509402</v>
      </c>
      <c r="D38" s="11">
        <v>1.34E-2</v>
      </c>
      <c r="E38" s="10">
        <f t="shared" si="2"/>
        <v>60.82330517203809</v>
      </c>
      <c r="F38" s="3"/>
      <c r="G38" s="29">
        <v>-2.81</v>
      </c>
      <c r="H38" s="10"/>
      <c r="I38" s="10">
        <f t="shared" si="8"/>
        <v>797.73911467605592</v>
      </c>
      <c r="J38" s="10">
        <f t="shared" si="6"/>
        <v>3669500.9519787626</v>
      </c>
      <c r="K38" s="11">
        <f t="shared" si="7"/>
        <v>2.2419260000000163E-2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4539.0526247789021</v>
      </c>
      <c r="D39" s="11">
        <v>1.34E-2</v>
      </c>
      <c r="E39" s="10">
        <f t="shared" si="2"/>
        <v>60.019049903333325</v>
      </c>
      <c r="F39" s="3"/>
      <c r="G39" s="29">
        <v>9.94</v>
      </c>
      <c r="H39" s="10"/>
      <c r="I39" s="10">
        <f t="shared" si="8"/>
        <v>790.70186805040737</v>
      </c>
      <c r="J39" s="10">
        <f t="shared" si="6"/>
        <v>3589037.3895917828</v>
      </c>
      <c r="K39" s="11">
        <f t="shared" si="7"/>
        <v>0.11413196000000014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4479.0335748755688</v>
      </c>
      <c r="D40" s="11">
        <v>1.35E-2</v>
      </c>
      <c r="E40" s="10">
        <f t="shared" si="2"/>
        <v>59.661522704312119</v>
      </c>
      <c r="F40" s="3"/>
      <c r="G40" s="29">
        <v>2.8</v>
      </c>
      <c r="H40" s="10"/>
      <c r="I40" s="10">
        <f t="shared" si="8"/>
        <v>719.21217759724163</v>
      </c>
      <c r="J40" s="10">
        <f t="shared" si="6"/>
        <v>3221375.4909174158</v>
      </c>
      <c r="K40" s="11">
        <f t="shared" si="7"/>
        <v>4.1878000000000304E-2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4419.3720521712567</v>
      </c>
      <c r="D41" s="11">
        <v>1.34E-2</v>
      </c>
      <c r="E41" s="10">
        <f t="shared" si="2"/>
        <v>58.436535917796391</v>
      </c>
      <c r="F41" s="3"/>
      <c r="G41" s="29">
        <v>12.25</v>
      </c>
      <c r="H41" s="10"/>
      <c r="I41" s="10">
        <f t="shared" si="8"/>
        <v>699.62274085334786</v>
      </c>
      <c r="J41" s="10">
        <f t="shared" si="6"/>
        <v>3091893.187990739</v>
      </c>
      <c r="K41" s="11">
        <f t="shared" si="7"/>
        <v>0.13754150000000021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4360.9355162534603</v>
      </c>
      <c r="D42" s="11">
        <v>1.32E-2</v>
      </c>
      <c r="E42" s="10">
        <f t="shared" si="2"/>
        <v>56.814398751032058</v>
      </c>
      <c r="F42" s="3"/>
      <c r="G42" s="29">
        <v>-16.350000000000001</v>
      </c>
      <c r="H42" s="10"/>
      <c r="I42" s="10">
        <f t="shared" si="8"/>
        <v>623.27192949073299</v>
      </c>
      <c r="J42" s="10">
        <f t="shared" si="6"/>
        <v>2718048.6935999598</v>
      </c>
      <c r="K42" s="11">
        <f t="shared" si="7"/>
        <v>-0.1524582000000001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4304.1211175024282</v>
      </c>
      <c r="D43" s="11">
        <v>1.2699999999999999E-2</v>
      </c>
      <c r="E43" s="10">
        <f t="shared" si="2"/>
        <v>53.976832420539722</v>
      </c>
      <c r="F43" s="3"/>
      <c r="G43" s="29">
        <v>25.8</v>
      </c>
      <c r="H43" s="10"/>
      <c r="I43" s="10">
        <f t="shared" si="8"/>
        <v>745.09495456154571</v>
      </c>
      <c r="J43" s="10">
        <f t="shared" si="6"/>
        <v>3206978.9284728612</v>
      </c>
      <c r="K43" s="11">
        <f t="shared" si="7"/>
        <v>0.27397660000000013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4250.1442850818885</v>
      </c>
      <c r="D44" s="11">
        <v>1.2E-2</v>
      </c>
      <c r="E44" s="10">
        <f t="shared" si="2"/>
        <v>50.396967807295368</v>
      </c>
      <c r="F44" s="3"/>
      <c r="G44" s="29">
        <v>-10.47</v>
      </c>
      <c r="H44" s="10"/>
      <c r="I44" s="10">
        <f t="shared" si="8"/>
        <v>592.28533748930499</v>
      </c>
      <c r="J44" s="10">
        <f t="shared" si="6"/>
        <v>2517298.1422679671</v>
      </c>
      <c r="K44" s="11">
        <f t="shared" si="7"/>
        <v>-9.395639999999994E-2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4199.7473172745931</v>
      </c>
      <c r="D45" s="11">
        <v>1.1299999999999999E-2</v>
      </c>
      <c r="E45" s="10">
        <f t="shared" si="2"/>
        <v>46.926871042423954</v>
      </c>
      <c r="F45" s="3"/>
      <c r="G45" s="29">
        <v>25.66</v>
      </c>
      <c r="H45" s="10"/>
      <c r="I45" s="10">
        <f t="shared" si="8"/>
        <v>661.54957834167874</v>
      </c>
      <c r="J45" s="10">
        <f t="shared" si="6"/>
        <v>2778341.0668846034</v>
      </c>
      <c r="K45" s="11">
        <f t="shared" si="7"/>
        <v>0.27079957999999982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4152.8204462321692</v>
      </c>
      <c r="D46" s="11">
        <v>1.0699999999999999E-2</v>
      </c>
      <c r="E46" s="10">
        <f t="shared" si="2"/>
        <v>43.964755886696366</v>
      </c>
      <c r="F46" s="3"/>
      <c r="G46" s="29">
        <v>8.9600000000000009</v>
      </c>
      <c r="H46" s="10"/>
      <c r="I46" s="10">
        <f t="shared" si="8"/>
        <v>526.45995411561262</v>
      </c>
      <c r="J46" s="10">
        <f t="shared" si="6"/>
        <v>2186293.6615737658</v>
      </c>
      <c r="K46" s="11">
        <f t="shared" si="7"/>
        <v>0.10125871999999991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4108.8556903454728</v>
      </c>
      <c r="D47" s="11">
        <v>1.0200000000000001E-2</v>
      </c>
      <c r="E47" s="10">
        <f t="shared" si="2"/>
        <v>41.487159019524825</v>
      </c>
      <c r="F47" s="3"/>
      <c r="G47" s="29">
        <v>-1.8</v>
      </c>
      <c r="H47" s="10"/>
      <c r="I47" s="10">
        <f t="shared" si="8"/>
        <v>483.16809298422601</v>
      </c>
      <c r="J47" s="10">
        <f t="shared" si="6"/>
        <v>1985267.9682516076</v>
      </c>
      <c r="K47" s="11">
        <f t="shared" si="7"/>
        <v>-7.9835999999999796E-3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4067.368531325948</v>
      </c>
      <c r="D48" s="11">
        <v>0.01</v>
      </c>
      <c r="E48" s="10">
        <f t="shared" si="2"/>
        <v>40.270975557682505</v>
      </c>
      <c r="F48" s="3"/>
      <c r="G48" s="29">
        <v>18.77</v>
      </c>
      <c r="H48" s="10"/>
      <c r="I48" s="10">
        <f t="shared" si="8"/>
        <v>492.02453460715481</v>
      </c>
      <c r="J48" s="10">
        <f t="shared" si="6"/>
        <v>2001245.1087014363</v>
      </c>
      <c r="K48" s="11">
        <f t="shared" si="7"/>
        <v>0.19957700000000012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4027.0975557682655</v>
      </c>
      <c r="D49" s="11">
        <v>0.01</v>
      </c>
      <c r="E49" s="10">
        <f t="shared" si="2"/>
        <v>39.872253027408533</v>
      </c>
      <c r="F49" s="3"/>
      <c r="G49" s="29">
        <v>3.73</v>
      </c>
      <c r="H49" s="10"/>
      <c r="I49" s="10">
        <f t="shared" si="8"/>
        <v>414.26667896535724</v>
      </c>
      <c r="J49" s="10">
        <f t="shared" si="6"/>
        <v>1668292.3302976268</v>
      </c>
      <c r="K49" s="11">
        <f t="shared" si="7"/>
        <v>4.7673000000000076E-2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3987.2253027408569</v>
      </c>
      <c r="D50" s="11">
        <v>1.04E-2</v>
      </c>
      <c r="E50" s="10">
        <f t="shared" si="2"/>
        <v>41.040323781180632</v>
      </c>
      <c r="F50" s="3"/>
      <c r="G50" s="29">
        <v>8.26</v>
      </c>
      <c r="H50" s="10"/>
      <c r="I50" s="10">
        <f t="shared" si="8"/>
        <v>399.37017156594737</v>
      </c>
      <c r="J50" s="10">
        <f t="shared" si="6"/>
        <v>1592378.8532277024</v>
      </c>
      <c r="K50" s="11">
        <f t="shared" si="7"/>
        <v>9.3859040000000116E-2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3946.1849789596763</v>
      </c>
      <c r="D51" s="11">
        <v>1.11E-2</v>
      </c>
      <c r="E51" s="10">
        <f t="shared" si="2"/>
        <v>43.321781491893034</v>
      </c>
      <c r="F51" s="3"/>
      <c r="G51" s="29">
        <v>-7.66</v>
      </c>
      <c r="H51" s="10"/>
      <c r="I51" s="10">
        <f t="shared" si="8"/>
        <v>368.89910545533655</v>
      </c>
      <c r="J51" s="10">
        <f t="shared" si="6"/>
        <v>1455744.1086995106</v>
      </c>
      <c r="K51" s="11">
        <f t="shared" si="7"/>
        <v>-6.6350259999999883E-2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3902.8631974677833</v>
      </c>
      <c r="D52" s="11">
        <v>1.2E-2</v>
      </c>
      <c r="E52" s="10">
        <f t="shared" si="2"/>
        <v>46.279010246653797</v>
      </c>
      <c r="F52" s="3"/>
      <c r="G52" s="29">
        <v>2.2999999999999998</v>
      </c>
      <c r="H52" s="10"/>
      <c r="I52" s="10">
        <f t="shared" si="8"/>
        <v>399.50087227131962</v>
      </c>
      <c r="J52" s="10">
        <f t="shared" si="6"/>
        <v>1559197.251744011</v>
      </c>
      <c r="K52" s="11">
        <f t="shared" si="7"/>
        <v>3.5275999999999863E-2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3856.5841872211295</v>
      </c>
      <c r="D53" s="11">
        <v>1.29E-2</v>
      </c>
      <c r="E53" s="10">
        <f t="shared" si="2"/>
        <v>49.116335289912513</v>
      </c>
      <c r="F53" s="3"/>
      <c r="G53" s="29">
        <v>9.27</v>
      </c>
      <c r="H53" s="10"/>
      <c r="I53" s="10">
        <f t="shared" si="8"/>
        <v>390.51893672660771</v>
      </c>
      <c r="J53" s="10">
        <f t="shared" si="6"/>
        <v>1506069.156190244</v>
      </c>
      <c r="K53" s="11">
        <f t="shared" si="7"/>
        <v>0.10679582999999981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3807.467851931217</v>
      </c>
      <c r="D54" s="11">
        <v>1.37E-2</v>
      </c>
      <c r="E54" s="10">
        <f t="shared" si="2"/>
        <v>51.45734395921636</v>
      </c>
      <c r="F54" s="3"/>
      <c r="G54" s="29">
        <v>-8.65</v>
      </c>
      <c r="H54" s="10"/>
      <c r="I54" s="10">
        <f t="shared" si="8"/>
        <v>357.38897842647361</v>
      </c>
      <c r="J54" s="10">
        <f t="shared" si="6"/>
        <v>1360747.0459933376</v>
      </c>
      <c r="K54" s="11">
        <f t="shared" si="7"/>
        <v>-7.3985049999999886E-2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3756.0105079720006</v>
      </c>
      <c r="D55" s="11">
        <v>1.43E-2</v>
      </c>
      <c r="E55" s="10">
        <f t="shared" si="2"/>
        <v>52.953712179828017</v>
      </c>
      <c r="F55" s="3"/>
      <c r="G55" s="29">
        <v>24.52</v>
      </c>
      <c r="H55" s="10"/>
      <c r="I55" s="10">
        <f t="shared" si="8"/>
        <v>391.23040878650642</v>
      </c>
      <c r="J55" s="10">
        <f t="shared" si="6"/>
        <v>1469465.5264402993</v>
      </c>
      <c r="K55" s="11">
        <f t="shared" si="7"/>
        <v>0.26300636000000011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3703.0567957921726</v>
      </c>
      <c r="D56" s="11">
        <v>1.46E-2</v>
      </c>
      <c r="E56" s="10">
        <f t="shared" si="2"/>
        <v>53.286644213054842</v>
      </c>
      <c r="F56" s="3"/>
      <c r="G56" s="29">
        <v>10.83</v>
      </c>
      <c r="H56" s="10"/>
      <c r="I56" s="10">
        <f t="shared" si="8"/>
        <v>314.19081977714939</v>
      </c>
      <c r="J56" s="10">
        <f t="shared" si="6"/>
        <v>1163466.4503512867</v>
      </c>
      <c r="K56" s="11">
        <f t="shared" si="7"/>
        <v>0.12448117999999986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3649.7701515791177</v>
      </c>
      <c r="D57" s="11">
        <v>1.4500000000000001E-2</v>
      </c>
      <c r="E57" s="10">
        <f t="shared" si="2"/>
        <v>52.165270771707128</v>
      </c>
      <c r="F57" s="3"/>
      <c r="G57" s="30">
        <v>1.82</v>
      </c>
      <c r="H57" s="10"/>
      <c r="I57" s="10">
        <f t="shared" si="8"/>
        <v>283.48896488058233</v>
      </c>
      <c r="J57" s="10">
        <f t="shared" si="6"/>
        <v>1034669.5623232102</v>
      </c>
      <c r="K57" s="11">
        <f t="shared" si="7"/>
        <v>3.2963899999999935E-2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3597.6048808074106</v>
      </c>
      <c r="D58" s="11">
        <v>1.41E-2</v>
      </c>
      <c r="E58" s="10">
        <f t="shared" si="2"/>
        <v>50.020933654850978</v>
      </c>
      <c r="F58" s="3"/>
      <c r="G58" s="30">
        <v>3.77</v>
      </c>
      <c r="H58" s="10"/>
      <c r="I58" s="10">
        <f t="shared" si="8"/>
        <v>278.42169012039119</v>
      </c>
      <c r="J58" s="10">
        <f t="shared" si="6"/>
        <v>1001651.2312997677</v>
      </c>
      <c r="K58" s="11">
        <f t="shared" si="7"/>
        <v>5.2331569999999994E-2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3547.5839471525596</v>
      </c>
      <c r="D59" s="11">
        <v>1.34E-2</v>
      </c>
      <c r="E59" s="10">
        <f t="shared" si="2"/>
        <v>46.909043706181819</v>
      </c>
      <c r="F59" s="3"/>
      <c r="G59" s="30">
        <v>-13.83</v>
      </c>
      <c r="H59" s="10"/>
      <c r="I59" s="10">
        <f t="shared" si="8"/>
        <v>268.30653379627171</v>
      </c>
      <c r="J59" s="10">
        <f t="shared" si="6"/>
        <v>951839.95221179922</v>
      </c>
      <c r="K59" s="11">
        <f t="shared" si="7"/>
        <v>-0.12675321999999978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3500.6749034463778</v>
      </c>
      <c r="D60" s="11">
        <v>1.24E-2</v>
      </c>
      <c r="E60" s="10">
        <f t="shared" si="2"/>
        <v>42.876697750627045</v>
      </c>
      <c r="F60" s="3"/>
      <c r="G60" s="30">
        <v>6.17</v>
      </c>
      <c r="H60" s="10"/>
      <c r="I60" s="10">
        <f t="shared" si="8"/>
        <v>311.36884506936485</v>
      </c>
      <c r="J60" s="10">
        <f t="shared" si="6"/>
        <v>1090001.1016494089</v>
      </c>
      <c r="K60" s="11">
        <f t="shared" si="7"/>
        <v>7.4865079999999917E-2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3457.7982056957508</v>
      </c>
      <c r="D61" s="11">
        <v>1.1299999999999999E-2</v>
      </c>
      <c r="E61" s="10">
        <f t="shared" si="2"/>
        <v>38.636526969605711</v>
      </c>
      <c r="F61" s="3"/>
      <c r="G61" s="30">
        <v>18.45</v>
      </c>
      <c r="H61" s="10"/>
      <c r="I61" s="10">
        <f t="shared" si="8"/>
        <v>293.27384861012041</v>
      </c>
      <c r="J61" s="10">
        <f t="shared" si="6"/>
        <v>1014081.7875015616</v>
      </c>
      <c r="K61" s="11">
        <f t="shared" si="7"/>
        <v>0.19788484999999989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3419.1616787261451</v>
      </c>
      <c r="D62" s="11">
        <v>1.03E-2</v>
      </c>
      <c r="E62" s="10">
        <f t="shared" si="2"/>
        <v>34.858324548034489</v>
      </c>
      <c r="F62" s="3"/>
      <c r="G62" s="30">
        <v>-9.7799999999999994</v>
      </c>
      <c r="H62" s="10"/>
      <c r="I62" s="10">
        <f t="shared" si="8"/>
        <v>247.59294943868335</v>
      </c>
      <c r="J62" s="10">
        <f t="shared" si="6"/>
        <v>846560.32464352611</v>
      </c>
      <c r="K62" s="11">
        <f t="shared" si="7"/>
        <v>-8.8507340000000045E-2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3384.3033541781106</v>
      </c>
      <c r="D63" s="11">
        <v>9.5999999999999992E-3</v>
      </c>
      <c r="E63" s="10">
        <f t="shared" si="2"/>
        <v>32.180380546860306</v>
      </c>
      <c r="F63" s="3"/>
      <c r="G63" s="30">
        <v>14.7</v>
      </c>
      <c r="H63" s="10"/>
      <c r="I63" s="10">
        <f t="shared" si="8"/>
        <v>274.43244229514892</v>
      </c>
      <c r="J63" s="10">
        <f t="shared" si="6"/>
        <v>928762.63495476323</v>
      </c>
      <c r="K63" s="11">
        <f t="shared" si="7"/>
        <v>0.15801120000000002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3352.1229736312503</v>
      </c>
      <c r="D64" s="11">
        <v>9.4999999999999998E-3</v>
      </c>
      <c r="E64" s="10">
        <f t="shared" si="2"/>
        <v>31.545486131250073</v>
      </c>
      <c r="F64" s="3"/>
      <c r="G64" s="30">
        <v>13.37</v>
      </c>
      <c r="H64" s="10"/>
      <c r="I64" s="10">
        <f t="shared" si="8"/>
        <v>239.26106564529113</v>
      </c>
      <c r="J64" s="10">
        <f t="shared" si="6"/>
        <v>802032.51484507509</v>
      </c>
      <c r="K64" s="11">
        <f t="shared" si="7"/>
        <v>0.14447014999999985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3320.5774875000002</v>
      </c>
      <c r="D65" s="11">
        <v>1.01E-2</v>
      </c>
      <c r="E65" s="10">
        <f t="shared" si="2"/>
        <v>33.202487500000188</v>
      </c>
      <c r="F65" s="3"/>
      <c r="G65" s="30">
        <v>25.98</v>
      </c>
      <c r="H65" s="10"/>
      <c r="I65" s="10">
        <f t="shared" si="8"/>
        <v>211.0444259021709</v>
      </c>
      <c r="J65" s="10">
        <f t="shared" si="6"/>
        <v>700789.36951311061</v>
      </c>
      <c r="K65" s="11">
        <f t="shared" si="7"/>
        <v>0.27252397999999989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3287.375</v>
      </c>
      <c r="D66" s="11">
        <v>1.15E-2</v>
      </c>
      <c r="E66" s="10">
        <f t="shared" si="2"/>
        <v>37.375</v>
      </c>
      <c r="F66" s="23">
        <f>SUM(F2)</f>
        <v>10360</v>
      </c>
      <c r="G66" s="30">
        <v>-3.77</v>
      </c>
      <c r="H66" s="10"/>
      <c r="I66" s="10">
        <f t="shared" si="8"/>
        <v>167.52216693298215</v>
      </c>
      <c r="J66" s="10">
        <f t="shared" ref="J66:J67" si="9">IF(I66="","",I66*C66)</f>
        <v>550708.1835213122</v>
      </c>
      <c r="K66" s="11">
        <f t="shared" ref="K66" si="10">IFERROR(J66/J67-1,"")</f>
        <v>-2.6633549999999895E-2</v>
      </c>
    </row>
    <row r="67" spans="1:11" ht="22.5" customHeight="1">
      <c r="A67" s="3">
        <f t="shared" si="0"/>
        <v>1950</v>
      </c>
      <c r="B67" s="3">
        <v>1700</v>
      </c>
      <c r="C67" s="10">
        <v>3250</v>
      </c>
      <c r="D67" s="11">
        <v>1.35E-2</v>
      </c>
      <c r="E67" s="3" t="s">
        <v>72</v>
      </c>
      <c r="F67" s="10">
        <f>SUM(C2)</f>
        <v>10353.827030039225</v>
      </c>
      <c r="G67" s="29">
        <v>2.8</v>
      </c>
      <c r="H67" s="10"/>
      <c r="I67" s="10">
        <f t="shared" ref="I67" si="11">IF(H67&lt;&gt;"",H67,I66/(1+IF(G66="",0,G66)/100))</f>
        <v>174.08517814920725</v>
      </c>
      <c r="J67" s="10">
        <f t="shared" si="9"/>
        <v>565776.82898492354</v>
      </c>
      <c r="K67" s="11"/>
    </row>
  </sheetData>
  <dataValidations count="1">
    <dataValidation type="custom" allowBlank="1" showDropDown="1" sqref="D2:D67" xr:uid="{00000000-0002-0000-9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M67"/>
  <sheetViews>
    <sheetView topLeftCell="A5" workbookViewId="0">
      <selection activeCell="J28" sqref="J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27844494.037598766</v>
      </c>
      <c r="D2" s="11">
        <v>8.9999999999999998E-4</v>
      </c>
      <c r="E2" s="10">
        <f t="shared" ref="E2:E66" si="2">SUM(C2-C3)</f>
        <v>25037.510874047875</v>
      </c>
      <c r="F2" s="14">
        <v>27844193</v>
      </c>
      <c r="G2" s="29">
        <v>0.23</v>
      </c>
      <c r="H2" s="10"/>
      <c r="I2" s="10">
        <f>IF(H2&lt;&gt;"",H2,124128)</f>
        <v>15516</v>
      </c>
      <c r="J2" s="10">
        <f t="shared" ref="J2:J33" si="3">IF(I2="","",I2*C2)</f>
        <v>432035169487.38245</v>
      </c>
      <c r="K2" s="11">
        <f t="shared" ref="K2:K33" si="4">IFERROR(J2/J3-1,"")</f>
        <v>3.2020699999999458E-3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27819456.526724719</v>
      </c>
      <c r="D3" s="11">
        <v>1.1000000000000001E-3</v>
      </c>
      <c r="E3" s="10">
        <f t="shared" si="2"/>
        <v>30567.777624014765</v>
      </c>
      <c r="F3" s="3"/>
      <c r="G3" s="29">
        <v>0.79</v>
      </c>
      <c r="H3" s="10"/>
      <c r="I3" s="10">
        <f t="shared" ref="I3:I34" si="5">IF(H3&lt;&gt;"",H3,I2/(1+IF(G2="",0,G2)/100))</f>
        <v>15480.395091290033</v>
      </c>
      <c r="J3" s="10">
        <f t="shared" si="3"/>
        <v>430656178258.66577</v>
      </c>
      <c r="K3" s="11">
        <f t="shared" si="4"/>
        <v>9.0086900000001524E-3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27788888.749100704</v>
      </c>
      <c r="D4" s="11">
        <v>1.5E-3</v>
      </c>
      <c r="E4" s="10">
        <f t="shared" si="2"/>
        <v>41620.901770997792</v>
      </c>
      <c r="F4" s="3"/>
      <c r="G4" s="29">
        <v>2.27</v>
      </c>
      <c r="H4" s="10"/>
      <c r="I4" s="10">
        <f t="shared" si="5"/>
        <v>15359.05852891163</v>
      </c>
      <c r="J4" s="10">
        <f t="shared" si="3"/>
        <v>426811168750.85162</v>
      </c>
      <c r="K4" s="11">
        <f t="shared" si="4"/>
        <v>2.4234050000000007E-2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27747267.847329706</v>
      </c>
      <c r="D5" s="11">
        <v>2.0999999999999999E-3</v>
      </c>
      <c r="E5" s="10">
        <f t="shared" si="2"/>
        <v>58147.153457131237</v>
      </c>
      <c r="F5" s="3"/>
      <c r="G5" s="29">
        <v>3.33</v>
      </c>
      <c r="H5" s="10"/>
      <c r="I5" s="10">
        <f t="shared" si="5"/>
        <v>15018.146601067401</v>
      </c>
      <c r="J5" s="10">
        <f t="shared" si="3"/>
        <v>416712536310.28143</v>
      </c>
      <c r="K5" s="11">
        <f t="shared" si="4"/>
        <v>3.5469930000000094E-2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27689120.693872575</v>
      </c>
      <c r="D6" s="11">
        <v>2.8E-3</v>
      </c>
      <c r="E6" s="10">
        <f t="shared" si="2"/>
        <v>77313.061371002346</v>
      </c>
      <c r="F6" s="3"/>
      <c r="G6" s="29">
        <v>2.88</v>
      </c>
      <c r="H6" s="10"/>
      <c r="I6" s="10">
        <f t="shared" si="5"/>
        <v>14534.159102939513</v>
      </c>
      <c r="J6" s="10">
        <f t="shared" si="3"/>
        <v>402438085585.23895</v>
      </c>
      <c r="K6" s="11">
        <f t="shared" si="4"/>
        <v>3.1680640000000038E-2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27611807.632501572</v>
      </c>
      <c r="D7" s="11">
        <v>3.3999999999999998E-3</v>
      </c>
      <c r="E7" s="10">
        <f t="shared" si="2"/>
        <v>93562.035031400621</v>
      </c>
      <c r="F7" s="3"/>
      <c r="G7" s="29">
        <v>2.69</v>
      </c>
      <c r="H7" s="10"/>
      <c r="I7" s="10">
        <f t="shared" si="5"/>
        <v>14127.29306273281</v>
      </c>
      <c r="J7" s="10">
        <f t="shared" si="3"/>
        <v>390080098416.15228</v>
      </c>
      <c r="K7" s="11">
        <f t="shared" si="4"/>
        <v>3.0391459999999926E-2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27518245.597470172</v>
      </c>
      <c r="D8" s="11">
        <v>4.1000000000000003E-3</v>
      </c>
      <c r="E8" s="10">
        <f t="shared" si="2"/>
        <v>112364.11408189312</v>
      </c>
      <c r="F8" s="3"/>
      <c r="G8" s="29">
        <v>4.12</v>
      </c>
      <c r="H8" s="10"/>
      <c r="I8" s="10">
        <f t="shared" si="5"/>
        <v>13757.223744018707</v>
      </c>
      <c r="J8" s="10">
        <f t="shared" si="3"/>
        <v>378574661727.25488</v>
      </c>
      <c r="K8" s="11">
        <f t="shared" si="4"/>
        <v>4.5468919999999802E-2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27405881.483388279</v>
      </c>
      <c r="D9" s="11">
        <v>4.7000000000000002E-3</v>
      </c>
      <c r="E9" s="10">
        <f t="shared" si="2"/>
        <v>128205.07910015061</v>
      </c>
      <c r="F9" s="3"/>
      <c r="G9" s="29">
        <v>0.06</v>
      </c>
      <c r="H9" s="10"/>
      <c r="I9" s="10">
        <f t="shared" si="5"/>
        <v>13212.854152918468</v>
      </c>
      <c r="J9" s="10">
        <f t="shared" si="3"/>
        <v>362109914972.17816</v>
      </c>
      <c r="K9" s="11">
        <f t="shared" si="4"/>
        <v>5.3028199999998193E-3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27277676.404288128</v>
      </c>
      <c r="D10" s="11">
        <v>5.3E-3</v>
      </c>
      <c r="E10" s="10">
        <f t="shared" si="2"/>
        <v>143809.49462123588</v>
      </c>
      <c r="F10" s="3"/>
      <c r="G10" s="29">
        <v>3.51</v>
      </c>
      <c r="H10" s="10"/>
      <c r="I10" s="10">
        <f t="shared" si="5"/>
        <v>13204.931194201947</v>
      </c>
      <c r="J10" s="10">
        <f t="shared" si="3"/>
        <v>360199840056.33069</v>
      </c>
      <c r="K10" s="11">
        <f t="shared" si="4"/>
        <v>4.0586029999999829E-2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27133866.909666892</v>
      </c>
      <c r="D11" s="11">
        <v>5.7999999999999996E-3</v>
      </c>
      <c r="E11" s="10">
        <f t="shared" si="2"/>
        <v>156468.90840730816</v>
      </c>
      <c r="F11" s="3"/>
      <c r="G11" s="29">
        <v>6.44</v>
      </c>
      <c r="H11" s="10"/>
      <c r="I11" s="10">
        <f t="shared" si="5"/>
        <v>12757.155051880927</v>
      </c>
      <c r="J11" s="10">
        <f t="shared" si="3"/>
        <v>346150947323.72174</v>
      </c>
      <c r="K11" s="11">
        <f t="shared" si="4"/>
        <v>7.0573520000000167E-2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26977398.001259584</v>
      </c>
      <c r="D12" s="11">
        <v>6.1000000000000004E-3</v>
      </c>
      <c r="E12" s="10">
        <f t="shared" si="2"/>
        <v>163564.38505882397</v>
      </c>
      <c r="F12" s="3"/>
      <c r="G12" s="29">
        <v>1.18</v>
      </c>
      <c r="H12" s="10"/>
      <c r="I12" s="10">
        <f t="shared" si="5"/>
        <v>11985.301627095949</v>
      </c>
      <c r="J12" s="10">
        <f t="shared" si="3"/>
        <v>323332252159.31146</v>
      </c>
      <c r="K12" s="11">
        <f t="shared" si="4"/>
        <v>1.7971979999999776E-2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26813833.61620076</v>
      </c>
      <c r="D13" s="11">
        <v>6.4000000000000003E-3</v>
      </c>
      <c r="E13" s="10">
        <f t="shared" si="2"/>
        <v>170517.22490429506</v>
      </c>
      <c r="F13" s="3"/>
      <c r="G13" s="29">
        <v>5.38</v>
      </c>
      <c r="H13" s="10"/>
      <c r="I13" s="10">
        <f t="shared" si="5"/>
        <v>11845.524438719063</v>
      </c>
      <c r="J13" s="10">
        <f t="shared" si="3"/>
        <v>317623921396.45288</v>
      </c>
      <c r="K13" s="11">
        <f t="shared" si="4"/>
        <v>6.0544319999999985E-2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26643316.391296465</v>
      </c>
      <c r="D14" s="11">
        <v>6.7000000000000002E-3</v>
      </c>
      <c r="E14" s="10">
        <f t="shared" si="2"/>
        <v>177322.16134070233</v>
      </c>
      <c r="F14" s="3"/>
      <c r="G14" s="29">
        <v>5.8</v>
      </c>
      <c r="H14" s="10"/>
      <c r="I14" s="10">
        <f t="shared" si="5"/>
        <v>11240.770961016382</v>
      </c>
      <c r="J14" s="10">
        <f t="shared" si="3"/>
        <v>299491417196.45709</v>
      </c>
      <c r="K14" s="11">
        <f t="shared" si="4"/>
        <v>6.5088599999999941E-2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26465994.229955763</v>
      </c>
      <c r="D15" s="11">
        <v>7.1000000000000004E-3</v>
      </c>
      <c r="E15" s="10">
        <f t="shared" si="2"/>
        <v>186583.81395361945</v>
      </c>
      <c r="F15" s="3"/>
      <c r="G15" s="29">
        <v>4.68</v>
      </c>
      <c r="H15" s="10"/>
      <c r="I15" s="10">
        <f t="shared" si="5"/>
        <v>10624.547222132685</v>
      </c>
      <c r="J15" s="10">
        <f t="shared" si="3"/>
        <v>281189205476.8562</v>
      </c>
      <c r="K15" s="11">
        <f t="shared" si="4"/>
        <v>5.4232280000000133E-2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26279410.416002143</v>
      </c>
      <c r="D16" s="11">
        <v>7.7000000000000002E-3</v>
      </c>
      <c r="E16" s="10">
        <f t="shared" si="2"/>
        <v>200805.25970350206</v>
      </c>
      <c r="F16" s="3"/>
      <c r="G16" s="29">
        <v>6.65</v>
      </c>
      <c r="H16" s="10"/>
      <c r="I16" s="10">
        <f t="shared" si="5"/>
        <v>10149.548358934549</v>
      </c>
      <c r="J16" s="10">
        <f t="shared" si="3"/>
        <v>266724146861.50204</v>
      </c>
      <c r="K16" s="11">
        <f t="shared" si="4"/>
        <v>7.471205000000003E-2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26078605.156298641</v>
      </c>
      <c r="D17" s="11">
        <v>8.6999999999999994E-3</v>
      </c>
      <c r="E17" s="10">
        <f t="shared" si="2"/>
        <v>224926.99996014312</v>
      </c>
      <c r="F17" s="3"/>
      <c r="G17" s="29">
        <v>-13.14</v>
      </c>
      <c r="H17" s="10"/>
      <c r="I17" s="10">
        <f t="shared" si="5"/>
        <v>9516.6885690900599</v>
      </c>
      <c r="J17" s="10">
        <f t="shared" si="3"/>
        <v>248181963588.76038</v>
      </c>
      <c r="K17" s="11">
        <f t="shared" si="4"/>
        <v>-0.12384317999999994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25853678.156338498</v>
      </c>
      <c r="D18" s="11">
        <v>9.9000000000000008E-3</v>
      </c>
      <c r="E18" s="10">
        <f t="shared" si="2"/>
        <v>253442.33463486657</v>
      </c>
      <c r="F18" s="3"/>
      <c r="G18" s="29">
        <v>12.66</v>
      </c>
      <c r="H18" s="10"/>
      <c r="I18" s="10">
        <f>IF(H18&lt;&gt;"",H18,I17/(1+IF(G17="",0,G17)/100))</f>
        <v>10956.353406735045</v>
      </c>
      <c r="J18" s="10">
        <f t="shared" si="3"/>
        <v>283262034744.83069</v>
      </c>
      <c r="K18" s="11">
        <f t="shared" si="4"/>
        <v>0.13775333999999995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25600235.821703631</v>
      </c>
      <c r="D19" s="11">
        <v>1.1299999999999999E-2</v>
      </c>
      <c r="E19" s="10">
        <f t="shared" si="2"/>
        <v>286050.29643553123</v>
      </c>
      <c r="F19" s="3"/>
      <c r="G19" s="29">
        <v>3.44</v>
      </c>
      <c r="H19" s="10"/>
      <c r="I19" s="10">
        <f t="shared" si="5"/>
        <v>9725.1494822785771</v>
      </c>
      <c r="J19" s="10">
        <f t="shared" si="3"/>
        <v>248966120147.65054</v>
      </c>
      <c r="K19" s="11">
        <f t="shared" si="4"/>
        <v>4.6088720000000194E-2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25314185.5252681</v>
      </c>
      <c r="D20" s="11">
        <v>1.2699999999999999E-2</v>
      </c>
      <c r="E20" s="10">
        <f t="shared" si="2"/>
        <v>317458.43405836076</v>
      </c>
      <c r="F20" s="3"/>
      <c r="G20" s="29">
        <v>7.6</v>
      </c>
      <c r="H20" s="10"/>
      <c r="I20" s="10">
        <f t="shared" si="5"/>
        <v>9401.7299712669919</v>
      </c>
      <c r="J20" s="10">
        <f t="shared" si="3"/>
        <v>237997136751.12616</v>
      </c>
      <c r="K20" s="11">
        <f t="shared" si="4"/>
        <v>8.96652E-2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24996727.091209739</v>
      </c>
      <c r="D21" s="11">
        <v>1.4200000000000001E-2</v>
      </c>
      <c r="E21" s="10">
        <f t="shared" si="2"/>
        <v>349983.75536894053</v>
      </c>
      <c r="F21" s="3"/>
      <c r="G21" s="29">
        <v>5.38</v>
      </c>
      <c r="H21" s="10"/>
      <c r="I21" s="10">
        <f t="shared" si="5"/>
        <v>8737.6672595418131</v>
      </c>
      <c r="J21" s="10">
        <f t="shared" si="3"/>
        <v>218413083900.56522</v>
      </c>
      <c r="K21" s="11">
        <f t="shared" si="4"/>
        <v>6.8763960000000068E-2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24646743.335840799</v>
      </c>
      <c r="D22" s="11">
        <v>1.55E-2</v>
      </c>
      <c r="E22" s="10">
        <f t="shared" si="2"/>
        <v>376193.52211278677</v>
      </c>
      <c r="F22" s="3"/>
      <c r="G22" s="29">
        <v>2.1</v>
      </c>
      <c r="H22" s="10"/>
      <c r="I22" s="10">
        <f t="shared" si="5"/>
        <v>8291.5802424955527</v>
      </c>
      <c r="J22" s="10">
        <f t="shared" si="3"/>
        <v>204360450085.3165</v>
      </c>
      <c r="K22" s="11">
        <f t="shared" si="4"/>
        <v>3.6825499999999955E-2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24270549.813728012</v>
      </c>
      <c r="D23" s="11">
        <v>1.6500000000000001E-2</v>
      </c>
      <c r="E23" s="10">
        <f t="shared" si="2"/>
        <v>393963.67134924978</v>
      </c>
      <c r="F23" s="3"/>
      <c r="G23" s="29">
        <v>2</v>
      </c>
      <c r="H23" s="10"/>
      <c r="I23" s="10">
        <f t="shared" si="5"/>
        <v>8121.0384353531372</v>
      </c>
      <c r="J23" s="10">
        <f t="shared" si="3"/>
        <v>197102067884.43811</v>
      </c>
      <c r="K23" s="11">
        <f t="shared" si="4"/>
        <v>3.683000000000014E-2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23876586.142378762</v>
      </c>
      <c r="D24" s="11">
        <v>1.72E-2</v>
      </c>
      <c r="E24" s="10">
        <f t="shared" si="2"/>
        <v>403733.07279681042</v>
      </c>
      <c r="F24" s="3"/>
      <c r="G24" s="29">
        <v>-1.6</v>
      </c>
      <c r="H24" s="10"/>
      <c r="I24" s="10">
        <f t="shared" si="5"/>
        <v>7961.8023876011148</v>
      </c>
      <c r="J24" s="10">
        <f t="shared" si="3"/>
        <v>190100660556.15491</v>
      </c>
      <c r="K24" s="11">
        <f t="shared" si="4"/>
        <v>9.2479999999994789E-4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23472853.069581952</v>
      </c>
      <c r="D25" s="11">
        <v>1.7500000000000002E-2</v>
      </c>
      <c r="E25" s="10">
        <f t="shared" si="2"/>
        <v>403710.0036537461</v>
      </c>
      <c r="F25" s="3"/>
      <c r="G25" s="29">
        <v>0.7</v>
      </c>
      <c r="H25" s="10"/>
      <c r="I25" s="10">
        <f t="shared" si="5"/>
        <v>8091.2625890255231</v>
      </c>
      <c r="J25" s="10">
        <f t="shared" si="3"/>
        <v>189925017899.60135</v>
      </c>
      <c r="K25" s="11">
        <f t="shared" si="4"/>
        <v>2.4622499999999992E-2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23069143.065928206</v>
      </c>
      <c r="D26" s="11">
        <v>1.7299999999999999E-2</v>
      </c>
      <c r="E26" s="10">
        <f t="shared" si="2"/>
        <v>392309.22544043884</v>
      </c>
      <c r="F26" s="3"/>
      <c r="G26" s="29">
        <v>3.1</v>
      </c>
      <c r="H26" s="10"/>
      <c r="I26" s="10">
        <f t="shared" si="5"/>
        <v>8035.017466758216</v>
      </c>
      <c r="J26" s="10">
        <f t="shared" si="3"/>
        <v>185360967477.87732</v>
      </c>
      <c r="K26" s="11">
        <f t="shared" si="4"/>
        <v>4.8836299999999833E-2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22676833.840487767</v>
      </c>
      <c r="D27" s="11">
        <v>1.6799999999999999E-2</v>
      </c>
      <c r="E27" s="10">
        <f t="shared" si="2"/>
        <v>374676.2475611642</v>
      </c>
      <c r="F27" s="3"/>
      <c r="G27" s="29">
        <v>0</v>
      </c>
      <c r="H27" s="10"/>
      <c r="I27" s="10">
        <f t="shared" si="5"/>
        <v>7793.4214032572418</v>
      </c>
      <c r="J27" s="10">
        <f t="shared" si="3"/>
        <v>176730122210.56549</v>
      </c>
      <c r="K27" s="11">
        <f t="shared" si="4"/>
        <v>1.6799999999999926E-2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22302157.592926603</v>
      </c>
      <c r="D28" s="11">
        <v>1.61E-2</v>
      </c>
      <c r="E28" s="10">
        <f t="shared" si="2"/>
        <v>353375.39341218397</v>
      </c>
      <c r="F28" s="3"/>
      <c r="G28" s="29">
        <v>3.8</v>
      </c>
      <c r="H28" s="10"/>
      <c r="I28" s="10">
        <f t="shared" si="5"/>
        <v>7793.4214032572418</v>
      </c>
      <c r="J28" s="10">
        <f t="shared" si="3"/>
        <v>173810112323.53018</v>
      </c>
      <c r="K28" s="11">
        <f t="shared" si="4"/>
        <v>5.4711800000000199E-2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21948782.199514419</v>
      </c>
      <c r="D29" s="11">
        <v>1.5599999999999999E-2</v>
      </c>
      <c r="E29" s="10">
        <f t="shared" si="2"/>
        <v>337141.59345453605</v>
      </c>
      <c r="F29" s="3"/>
      <c r="G29" s="29">
        <v>4.29</v>
      </c>
      <c r="H29" s="10"/>
      <c r="I29" s="10">
        <f t="shared" si="5"/>
        <v>7508.1131052574583</v>
      </c>
      <c r="J29" s="10">
        <f t="shared" si="3"/>
        <v>164793939276.61581</v>
      </c>
      <c r="K29" s="11">
        <f t="shared" si="4"/>
        <v>5.9169239999999901E-2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21611640.606059883</v>
      </c>
      <c r="D30" s="11">
        <v>1.5599999999999999E-2</v>
      </c>
      <c r="E30" s="10">
        <f t="shared" si="2"/>
        <v>331962.97110529244</v>
      </c>
      <c r="F30" s="3"/>
      <c r="G30" s="29">
        <v>-2.2599999999999998</v>
      </c>
      <c r="H30" s="10"/>
      <c r="I30" s="10">
        <f t="shared" si="5"/>
        <v>7199.2646516995483</v>
      </c>
      <c r="J30" s="10">
        <f t="shared" si="3"/>
        <v>155587920280.44153</v>
      </c>
      <c r="K30" s="11">
        <f t="shared" si="4"/>
        <v>-7.3525599999999525E-3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21279677.63495459</v>
      </c>
      <c r="D31" s="11">
        <v>1.6199999999999999E-2</v>
      </c>
      <c r="E31" s="10">
        <f t="shared" si="2"/>
        <v>339235.16796522588</v>
      </c>
      <c r="F31" s="3"/>
      <c r="G31" s="29">
        <v>0.52</v>
      </c>
      <c r="H31" s="10"/>
      <c r="I31" s="10">
        <f t="shared" si="5"/>
        <v>7365.7301531609864</v>
      </c>
      <c r="J31" s="10">
        <f t="shared" si="3"/>
        <v>156740363205.33051</v>
      </c>
      <c r="K31" s="11">
        <f t="shared" si="4"/>
        <v>2.1484240000000154E-2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20940442.466989364</v>
      </c>
      <c r="D32" s="11">
        <v>1.7399999999999999E-2</v>
      </c>
      <c r="E32" s="10">
        <f t="shared" si="2"/>
        <v>358132.19866878167</v>
      </c>
      <c r="F32" s="3"/>
      <c r="G32" s="29">
        <v>2.5099999999999998</v>
      </c>
      <c r="H32" s="10"/>
      <c r="I32" s="10">
        <f t="shared" si="5"/>
        <v>7327.6264953849841</v>
      </c>
      <c r="J32" s="10">
        <f t="shared" si="3"/>
        <v>153443741046.19617</v>
      </c>
      <c r="K32" s="11">
        <f t="shared" si="4"/>
        <v>4.2936740000000029E-2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20582310.268320583</v>
      </c>
      <c r="D33" s="11">
        <v>1.9099999999999999E-2</v>
      </c>
      <c r="E33" s="10">
        <f t="shared" si="2"/>
        <v>385754.22051312029</v>
      </c>
      <c r="F33" s="3"/>
      <c r="G33" s="29">
        <v>2.0099999999999998</v>
      </c>
      <c r="H33" s="10"/>
      <c r="I33" s="10">
        <f t="shared" si="5"/>
        <v>7148.2065119354065</v>
      </c>
      <c r="J33" s="10">
        <f t="shared" si="3"/>
        <v>147126604290.68417</v>
      </c>
      <c r="K33" s="11">
        <f t="shared" si="4"/>
        <v>3.9583909999999722E-2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20196556.047807463</v>
      </c>
      <c r="D34" s="11">
        <v>2.1100000000000001E-2</v>
      </c>
      <c r="E34" s="10">
        <f t="shared" si="2"/>
        <v>417341.42846805975</v>
      </c>
      <c r="F34" s="3"/>
      <c r="G34" s="29">
        <v>-2.38</v>
      </c>
      <c r="H34" s="10"/>
      <c r="I34" s="10">
        <f t="shared" si="5"/>
        <v>7007.3586039951051</v>
      </c>
      <c r="J34" s="10">
        <f t="shared" ref="J34:J65" si="6">IF(I34="","",I34*C34)</f>
        <v>141524510792.673</v>
      </c>
      <c r="K34" s="11">
        <f t="shared" ref="K34:K65" si="7">IFERROR(J34/J35-1,"")</f>
        <v>1.0072120000000018E-2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19779214.619339403</v>
      </c>
      <c r="D35" s="11">
        <v>2.3E-2</v>
      </c>
      <c r="E35" s="10">
        <f t="shared" si="2"/>
        <v>444693.97482385486</v>
      </c>
      <c r="F35" s="3"/>
      <c r="G35" s="29">
        <v>-3.83</v>
      </c>
      <c r="H35" s="10"/>
      <c r="I35" s="10">
        <f t="shared" ref="I35:I66" si="8">IF(H35&lt;&gt;"",H35,I34/(1+IF(G34="",0,G34)/100))</f>
        <v>7083.8643388547362</v>
      </c>
      <c r="J35" s="10">
        <f t="shared" si="6"/>
        <v>140113273092.49265</v>
      </c>
      <c r="K35" s="11">
        <f t="shared" si="7"/>
        <v>1.1440099999999731E-2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19334520.644515548</v>
      </c>
      <c r="D36" s="11">
        <v>2.47E-2</v>
      </c>
      <c r="E36" s="10">
        <f t="shared" si="2"/>
        <v>466051.19539331645</v>
      </c>
      <c r="F36" s="3"/>
      <c r="G36" s="29">
        <v>-6.35</v>
      </c>
      <c r="H36" s="10"/>
      <c r="I36" s="10">
        <f t="shared" si="8"/>
        <v>7164.8268826284375</v>
      </c>
      <c r="J36" s="10">
        <f t="shared" si="6"/>
        <v>138528493276.55951</v>
      </c>
      <c r="K36" s="11">
        <f t="shared" si="7"/>
        <v>8.8171499999998293E-3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18868469.449122231</v>
      </c>
      <c r="D37" s="11">
        <v>2.5899999999999999E-2</v>
      </c>
      <c r="E37" s="10">
        <f t="shared" si="2"/>
        <v>476355.74493836239</v>
      </c>
      <c r="F37" s="3"/>
      <c r="G37" s="29">
        <v>-4.62</v>
      </c>
      <c r="H37" s="10"/>
      <c r="I37" s="10">
        <f t="shared" si="8"/>
        <v>7277.6301499527044</v>
      </c>
      <c r="J37" s="10">
        <f t="shared" si="6"/>
        <v>137317742146.39345</v>
      </c>
      <c r="K37" s="11">
        <f t="shared" si="7"/>
        <v>3.2876120000000064E-2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18392113.704183869</v>
      </c>
      <c r="D38" s="11">
        <v>2.63E-2</v>
      </c>
      <c r="E38" s="10">
        <f t="shared" si="2"/>
        <v>471316.95451625809</v>
      </c>
      <c r="F38" s="3"/>
      <c r="G38" s="29">
        <v>-0.42</v>
      </c>
      <c r="H38" s="10"/>
      <c r="I38" s="10">
        <f t="shared" si="8"/>
        <v>7228.4765096868341</v>
      </c>
      <c r="J38" s="10">
        <f t="shared" si="6"/>
        <v>132946961874.1824</v>
      </c>
      <c r="K38" s="11">
        <f t="shared" si="7"/>
        <v>5.9962639999999956E-2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17920796.749667611</v>
      </c>
      <c r="D39" s="11">
        <v>2.5999999999999999E-2</v>
      </c>
      <c r="E39" s="10">
        <f t="shared" si="2"/>
        <v>454133.250966236</v>
      </c>
      <c r="F39" s="3"/>
      <c r="G39" s="29">
        <v>7.25</v>
      </c>
      <c r="H39" s="10"/>
      <c r="I39" s="10">
        <f t="shared" si="8"/>
        <v>6998.9121898594449</v>
      </c>
      <c r="J39" s="10">
        <f t="shared" si="6"/>
        <v>125426082823.24216</v>
      </c>
      <c r="K39" s="11">
        <f t="shared" si="7"/>
        <v>0.10038499999999995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17466663.498701375</v>
      </c>
      <c r="D40" s="11">
        <v>2.4899999999999999E-2</v>
      </c>
      <c r="E40" s="10">
        <f t="shared" si="2"/>
        <v>424353.5185068436</v>
      </c>
      <c r="F40" s="3"/>
      <c r="G40" s="29">
        <v>2.94</v>
      </c>
      <c r="H40" s="10"/>
      <c r="I40" s="10">
        <f t="shared" si="8"/>
        <v>6525.7922516171984</v>
      </c>
      <c r="J40" s="10">
        <f t="shared" si="6"/>
        <v>113983817321.43037</v>
      </c>
      <c r="K40" s="11">
        <f t="shared" si="7"/>
        <v>5.5032060000000049E-2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17042309.980194531</v>
      </c>
      <c r="D41" s="11">
        <v>2.3400000000000001E-2</v>
      </c>
      <c r="E41" s="10">
        <f t="shared" si="2"/>
        <v>389671.73493898101</v>
      </c>
      <c r="F41" s="3"/>
      <c r="G41" s="29">
        <v>6.85</v>
      </c>
      <c r="H41" s="10"/>
      <c r="I41" s="10">
        <f t="shared" si="8"/>
        <v>6339.4134948680767</v>
      </c>
      <c r="J41" s="10">
        <f t="shared" si="6"/>
        <v>108038249872.17012</v>
      </c>
      <c r="K41" s="11">
        <f t="shared" si="7"/>
        <v>9.3502900000000055E-2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16652638.24525555</v>
      </c>
      <c r="D42" s="11">
        <v>2.1499999999999998E-2</v>
      </c>
      <c r="E42" s="10">
        <f t="shared" si="2"/>
        <v>350496.05704649538</v>
      </c>
      <c r="F42" s="3"/>
      <c r="G42" s="29">
        <v>-6.37</v>
      </c>
      <c r="H42" s="10"/>
      <c r="I42" s="10">
        <f t="shared" si="8"/>
        <v>5933.0028028713868</v>
      </c>
      <c r="J42" s="10">
        <f t="shared" si="6"/>
        <v>98800149384.304428</v>
      </c>
      <c r="K42" s="11">
        <f t="shared" si="7"/>
        <v>-4.3569549999999957E-2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16302142.188209055</v>
      </c>
      <c r="D43" s="11">
        <v>1.9300000000000001E-2</v>
      </c>
      <c r="E43" s="10">
        <f t="shared" si="2"/>
        <v>308673.93724363483</v>
      </c>
      <c r="F43" s="3"/>
      <c r="G43" s="29">
        <v>6.44</v>
      </c>
      <c r="H43" s="10"/>
      <c r="I43" s="10">
        <f t="shared" si="8"/>
        <v>6336.6472315191568</v>
      </c>
      <c r="J43" s="10">
        <f t="shared" si="6"/>
        <v>103300924164.74655</v>
      </c>
      <c r="K43" s="11">
        <f t="shared" si="7"/>
        <v>8.4942920000000033E-2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15993468.25096542</v>
      </c>
      <c r="D44" s="11">
        <v>1.7100000000000001E-2</v>
      </c>
      <c r="E44" s="10">
        <f t="shared" si="2"/>
        <v>268890.28324796632</v>
      </c>
      <c r="F44" s="3"/>
      <c r="G44" s="29">
        <v>8.09</v>
      </c>
      <c r="H44" s="10"/>
      <c r="I44" s="10">
        <f t="shared" si="8"/>
        <v>5953.2574516339319</v>
      </c>
      <c r="J44" s="10">
        <f t="shared" si="6"/>
        <v>95213234042.530594</v>
      </c>
      <c r="K44" s="11">
        <f t="shared" si="7"/>
        <v>9.9383389999999849E-2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15724577.967717454</v>
      </c>
      <c r="D45" s="11">
        <v>1.49E-2</v>
      </c>
      <c r="E45" s="10">
        <f t="shared" si="2"/>
        <v>230856.45060497522</v>
      </c>
      <c r="F45" s="3"/>
      <c r="G45" s="29">
        <v>10.16</v>
      </c>
      <c r="H45" s="10"/>
      <c r="I45" s="10">
        <f t="shared" si="8"/>
        <v>5507.685680112806</v>
      </c>
      <c r="J45" s="10">
        <f t="shared" si="6"/>
        <v>86606032898.614746</v>
      </c>
      <c r="K45" s="11">
        <f t="shared" si="7"/>
        <v>0.1180138399999997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15493721.517112479</v>
      </c>
      <c r="D46" s="11">
        <v>1.2999999999999999E-2</v>
      </c>
      <c r="E46" s="10">
        <f t="shared" si="2"/>
        <v>198833.54365494661</v>
      </c>
      <c r="F46" s="3"/>
      <c r="G46" s="29">
        <v>7.84</v>
      </c>
      <c r="H46" s="10"/>
      <c r="I46" s="10">
        <f t="shared" si="8"/>
        <v>4999.7146696739346</v>
      </c>
      <c r="J46" s="10">
        <f t="shared" si="6"/>
        <v>77464186756.949951</v>
      </c>
      <c r="K46" s="11">
        <f t="shared" si="7"/>
        <v>9.2419200000000146E-2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15294887.973457532</v>
      </c>
      <c r="D47" s="11">
        <v>1.14E-2</v>
      </c>
      <c r="E47" s="10">
        <f t="shared" si="2"/>
        <v>172396.40389303677</v>
      </c>
      <c r="F47" s="3"/>
      <c r="G47" s="29">
        <v>8.93</v>
      </c>
      <c r="H47" s="10"/>
      <c r="I47" s="10">
        <f t="shared" si="8"/>
        <v>4636.2339295937818</v>
      </c>
      <c r="J47" s="10">
        <f t="shared" si="6"/>
        <v>70910678571.879684</v>
      </c>
      <c r="K47" s="11">
        <f t="shared" si="7"/>
        <v>0.10171802000000008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15122491.569564495</v>
      </c>
      <c r="D48" s="11">
        <v>1.03E-2</v>
      </c>
      <c r="E48" s="10">
        <f t="shared" si="2"/>
        <v>154173.67432100698</v>
      </c>
      <c r="F48" s="3"/>
      <c r="G48" s="29">
        <v>11.56</v>
      </c>
      <c r="H48" s="10"/>
      <c r="I48" s="10">
        <f t="shared" si="8"/>
        <v>4256.158936559058</v>
      </c>
      <c r="J48" s="10">
        <f t="shared" si="6"/>
        <v>64363727636.840942</v>
      </c>
      <c r="K48" s="11">
        <f t="shared" si="7"/>
        <v>0.12709068000000001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14968317.895243488</v>
      </c>
      <c r="D49" s="11">
        <v>9.5999999999999992E-3</v>
      </c>
      <c r="E49" s="10">
        <f t="shared" si="2"/>
        <v>142329.48870279081</v>
      </c>
      <c r="F49" s="3"/>
      <c r="G49" s="29">
        <v>7.2</v>
      </c>
      <c r="H49" s="10"/>
      <c r="I49" s="10">
        <f t="shared" si="8"/>
        <v>3815.129918034294</v>
      </c>
      <c r="J49" s="10">
        <f t="shared" si="6"/>
        <v>57106077424.791542</v>
      </c>
      <c r="K49" s="11">
        <f t="shared" si="7"/>
        <v>8.2291200000000009E-2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14825988.406540697</v>
      </c>
      <c r="D50" s="11">
        <v>9.4000000000000004E-3</v>
      </c>
      <c r="E50" s="10">
        <f t="shared" si="2"/>
        <v>138066.46623883769</v>
      </c>
      <c r="F50" s="3"/>
      <c r="G50" s="29">
        <v>5.67</v>
      </c>
      <c r="H50" s="10"/>
      <c r="I50" s="10">
        <f t="shared" si="8"/>
        <v>3558.8898489125872</v>
      </c>
      <c r="J50" s="10">
        <f t="shared" si="6"/>
        <v>52764059640.133392</v>
      </c>
      <c r="K50" s="11">
        <f t="shared" si="7"/>
        <v>6.6632979999999842E-2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14687921.94030186</v>
      </c>
      <c r="D51" s="11">
        <v>9.4999999999999998E-3</v>
      </c>
      <c r="E51" s="10">
        <f t="shared" si="2"/>
        <v>138222.14802661538</v>
      </c>
      <c r="F51" s="3"/>
      <c r="G51" s="29">
        <v>6.49</v>
      </c>
      <c r="H51" s="10"/>
      <c r="I51" s="10">
        <f t="shared" si="8"/>
        <v>3367.9283135351448</v>
      </c>
      <c r="J51" s="10">
        <f t="shared" si="6"/>
        <v>49467868169.736694</v>
      </c>
      <c r="K51" s="11">
        <f t="shared" si="7"/>
        <v>7.501654999999996E-2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14549699.792275244</v>
      </c>
      <c r="D52" s="11">
        <v>9.7000000000000003E-3</v>
      </c>
      <c r="E52" s="10">
        <f t="shared" si="2"/>
        <v>139776.25827975757</v>
      </c>
      <c r="F52" s="3"/>
      <c r="G52" s="29">
        <v>10.77</v>
      </c>
      <c r="H52" s="10"/>
      <c r="I52" s="10">
        <f t="shared" si="8"/>
        <v>3162.6709677295003</v>
      </c>
      <c r="J52" s="10">
        <f t="shared" si="6"/>
        <v>46015913122.208855</v>
      </c>
      <c r="K52" s="11">
        <f t="shared" si="7"/>
        <v>0.11844469000000002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14409923.533995487</v>
      </c>
      <c r="D53" s="11">
        <v>0.01</v>
      </c>
      <c r="E53" s="10">
        <f t="shared" si="2"/>
        <v>142672.5102375783</v>
      </c>
      <c r="F53" s="3"/>
      <c r="G53" s="29">
        <v>9.41</v>
      </c>
      <c r="H53" s="10"/>
      <c r="I53" s="10">
        <f t="shared" si="8"/>
        <v>2855.1692405249623</v>
      </c>
      <c r="J53" s="10">
        <f t="shared" si="6"/>
        <v>41142770432.580673</v>
      </c>
      <c r="K53" s="11">
        <f t="shared" si="7"/>
        <v>0.10504099999999994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14267251.023757908</v>
      </c>
      <c r="D54" s="11">
        <v>1.01E-2</v>
      </c>
      <c r="E54" s="10">
        <f t="shared" si="2"/>
        <v>142658.38564494066</v>
      </c>
      <c r="F54" s="3"/>
      <c r="G54" s="29">
        <v>11.84</v>
      </c>
      <c r="H54" s="10"/>
      <c r="I54" s="10">
        <f t="shared" si="8"/>
        <v>2609.6053747600422</v>
      </c>
      <c r="J54" s="10">
        <f t="shared" si="6"/>
        <v>37231894954.649353</v>
      </c>
      <c r="K54" s="11">
        <f t="shared" si="7"/>
        <v>0.1296958399999999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14124592.638112968</v>
      </c>
      <c r="D55" s="11">
        <v>1.0200000000000001E-2</v>
      </c>
      <c r="E55" s="10">
        <f t="shared" si="2"/>
        <v>142616.16007597744</v>
      </c>
      <c r="F55" s="3"/>
      <c r="G55" s="29">
        <v>0.36</v>
      </c>
      <c r="H55" s="10"/>
      <c r="I55" s="10">
        <f t="shared" si="8"/>
        <v>2333.338139091597</v>
      </c>
      <c r="J55" s="10">
        <f t="shared" si="6"/>
        <v>32957450701.641384</v>
      </c>
      <c r="K55" s="11">
        <f t="shared" si="7"/>
        <v>1.3836720000000247E-2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13981976.47803699</v>
      </c>
      <c r="D56" s="11">
        <v>1.03E-2</v>
      </c>
      <c r="E56" s="10">
        <f t="shared" si="2"/>
        <v>142546.13255842961</v>
      </c>
      <c r="F56" s="3"/>
      <c r="G56" s="29">
        <v>13.2</v>
      </c>
      <c r="H56" s="10"/>
      <c r="I56" s="10">
        <f t="shared" si="8"/>
        <v>2324.9682533794307</v>
      </c>
      <c r="J56" s="10">
        <f t="shared" si="6"/>
        <v>32507651430.933945</v>
      </c>
      <c r="K56" s="11">
        <f t="shared" si="7"/>
        <v>0.14365960000000033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13839430.345478561</v>
      </c>
      <c r="D57" s="11">
        <v>1.0699999999999999E-2</v>
      </c>
      <c r="E57" s="10">
        <f t="shared" si="2"/>
        <v>146514.20272743702</v>
      </c>
      <c r="F57" s="3"/>
      <c r="G57" s="30">
        <v>4.3600000000000003</v>
      </c>
      <c r="H57" s="10"/>
      <c r="I57" s="10">
        <f t="shared" si="8"/>
        <v>2053.8588810772353</v>
      </c>
      <c r="J57" s="10">
        <f t="shared" si="6"/>
        <v>28424236924.110931</v>
      </c>
      <c r="K57" s="11">
        <f t="shared" si="7"/>
        <v>5.4766520000000041E-2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13692916.142751124</v>
      </c>
      <c r="D58" s="11">
        <v>1.1299999999999999E-2</v>
      </c>
      <c r="E58" s="10">
        <f t="shared" si="2"/>
        <v>153001.04065370187</v>
      </c>
      <c r="F58" s="3"/>
      <c r="G58" s="30">
        <v>3.67</v>
      </c>
      <c r="H58" s="10"/>
      <c r="I58" s="10">
        <f t="shared" si="8"/>
        <v>1968.0518216531575</v>
      </c>
      <c r="J58" s="10">
        <f t="shared" si="6"/>
        <v>26948368558.485275</v>
      </c>
      <c r="K58" s="11">
        <f t="shared" si="7"/>
        <v>4.8414710000000083E-2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13539915.102097422</v>
      </c>
      <c r="D59" s="11">
        <v>1.2200000000000001E-2</v>
      </c>
      <c r="E59" s="10">
        <f t="shared" si="2"/>
        <v>163195.97337046824</v>
      </c>
      <c r="F59" s="3"/>
      <c r="G59" s="30">
        <v>4.63</v>
      </c>
      <c r="H59" s="10"/>
      <c r="I59" s="10">
        <f t="shared" si="8"/>
        <v>1898.3812304940268</v>
      </c>
      <c r="J59" s="10">
        <f t="shared" si="6"/>
        <v>25703920692.304359</v>
      </c>
      <c r="K59" s="11">
        <f t="shared" si="7"/>
        <v>5.9064859999999886E-2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13376719.128726954</v>
      </c>
      <c r="D60" s="11">
        <v>1.32E-2</v>
      </c>
      <c r="E60" s="10">
        <f t="shared" si="2"/>
        <v>174272.29816344008</v>
      </c>
      <c r="F60" s="3"/>
      <c r="G60" s="30">
        <v>6.52</v>
      </c>
      <c r="H60" s="10"/>
      <c r="I60" s="10">
        <f t="shared" si="8"/>
        <v>1814.375638434509</v>
      </c>
      <c r="J60" s="10">
        <f t="shared" si="6"/>
        <v>24270393309.343075</v>
      </c>
      <c r="K60" s="11">
        <f t="shared" si="7"/>
        <v>7.9260639999999993E-2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13202446.830563514</v>
      </c>
      <c r="D61" s="11">
        <v>1.43E-2</v>
      </c>
      <c r="E61" s="10">
        <f t="shared" si="2"/>
        <v>186133.28371986374</v>
      </c>
      <c r="F61" s="3"/>
      <c r="G61" s="30">
        <v>8.52</v>
      </c>
      <c r="H61" s="10"/>
      <c r="I61" s="10">
        <f t="shared" si="8"/>
        <v>1703.3192249666815</v>
      </c>
      <c r="J61" s="10">
        <f t="shared" si="6"/>
        <v>22487981503.099266</v>
      </c>
      <c r="K61" s="11">
        <f t="shared" si="7"/>
        <v>0.1007183599999999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13016313.54684365</v>
      </c>
      <c r="D62" s="11">
        <v>1.5299999999999999E-2</v>
      </c>
      <c r="E62" s="10">
        <f t="shared" si="2"/>
        <v>196148.52483670786</v>
      </c>
      <c r="F62" s="3"/>
      <c r="G62" s="30">
        <v>7.57</v>
      </c>
      <c r="H62" s="10"/>
      <c r="I62" s="10">
        <f t="shared" si="8"/>
        <v>1569.5901446430903</v>
      </c>
      <c r="J62" s="10">
        <f t="shared" si="6"/>
        <v>20430277462.71014</v>
      </c>
      <c r="K62" s="11">
        <f t="shared" si="7"/>
        <v>9.215821000000024E-2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12820165.022006942</v>
      </c>
      <c r="D63" s="11">
        <v>1.61E-2</v>
      </c>
      <c r="E63" s="10">
        <f t="shared" si="2"/>
        <v>203134.19629397802</v>
      </c>
      <c r="F63" s="3"/>
      <c r="G63" s="30">
        <v>3.12</v>
      </c>
      <c r="H63" s="10"/>
      <c r="I63" s="10">
        <f t="shared" si="8"/>
        <v>1459.1337218955937</v>
      </c>
      <c r="J63" s="10">
        <f t="shared" si="6"/>
        <v>18706335103.876694</v>
      </c>
      <c r="K63" s="11">
        <f t="shared" si="7"/>
        <v>4.7802319999999732E-2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12617030.825712964</v>
      </c>
      <c r="D64" s="11">
        <v>1.67E-2</v>
      </c>
      <c r="E64" s="10">
        <f t="shared" si="2"/>
        <v>207243.44918796606</v>
      </c>
      <c r="F64" s="3"/>
      <c r="G64" s="30">
        <v>13.72</v>
      </c>
      <c r="H64" s="10"/>
      <c r="I64" s="10">
        <f t="shared" si="8"/>
        <v>1414.9861538940979</v>
      </c>
      <c r="J64" s="10">
        <f t="shared" si="6"/>
        <v>17852923921.638863</v>
      </c>
      <c r="K64" s="11">
        <f t="shared" si="7"/>
        <v>0.15619124000000006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12409787.376524998</v>
      </c>
      <c r="D65" s="11">
        <v>1.7100000000000001E-2</v>
      </c>
      <c r="E65" s="10">
        <f t="shared" si="2"/>
        <v>208639.62652499788</v>
      </c>
      <c r="F65" s="3"/>
      <c r="G65" s="30">
        <v>0.67</v>
      </c>
      <c r="H65" s="10"/>
      <c r="I65" s="10">
        <f t="shared" si="8"/>
        <v>1244.2720312118342</v>
      </c>
      <c r="J65" s="10">
        <f t="shared" si="6"/>
        <v>15441151345.895739</v>
      </c>
      <c r="K65" s="11">
        <f t="shared" si="7"/>
        <v>2.3914569999999635E-2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12201147.75</v>
      </c>
      <c r="D66" s="11">
        <v>1.7500000000000002E-2</v>
      </c>
      <c r="E66" s="10">
        <f t="shared" si="2"/>
        <v>209847.75</v>
      </c>
      <c r="F66" s="23">
        <f>SUM(F2)</f>
        <v>27844193</v>
      </c>
      <c r="G66" s="30">
        <v>8.84</v>
      </c>
      <c r="H66" s="10"/>
      <c r="I66" s="10">
        <f t="shared" si="8"/>
        <v>1235.9908922338675</v>
      </c>
      <c r="J66" s="10">
        <f t="shared" ref="J66:J67" si="9">IF(I66="","",I66*C66)</f>
        <v>15080507493.799746</v>
      </c>
      <c r="K66" s="11">
        <f t="shared" ref="K66" si="10">IFERROR(J66/J67-1,"")</f>
        <v>0.10744700000000007</v>
      </c>
    </row>
    <row r="67" spans="1:11" ht="22.5" customHeight="1">
      <c r="A67" s="3">
        <f t="shared" si="0"/>
        <v>1950</v>
      </c>
      <c r="B67" s="3">
        <v>1700</v>
      </c>
      <c r="C67" s="10">
        <v>11991300</v>
      </c>
      <c r="D67" s="11">
        <v>1.7999999999999999E-2</v>
      </c>
      <c r="E67" s="3" t="s">
        <v>72</v>
      </c>
      <c r="F67" s="10">
        <f>SUM(C2)</f>
        <v>27844494.037598766</v>
      </c>
      <c r="G67" s="30">
        <v>1.33</v>
      </c>
      <c r="H67" s="10"/>
      <c r="I67" s="10">
        <f t="shared" ref="I67" si="11">IF(H67&lt;&gt;"",H67,I66/(1+IF(G66="",0,G66)/100))</f>
        <v>1135.6035393548948</v>
      </c>
      <c r="J67" s="10">
        <f t="shared" si="9"/>
        <v>13617362721.466351</v>
      </c>
      <c r="K67" s="11"/>
    </row>
  </sheetData>
  <dataValidations count="1">
    <dataValidation type="custom" allowBlank="1" showDropDown="1" sqref="D2:D67" xr:uid="{00000000-0002-0000-9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M67"/>
  <sheetViews>
    <sheetView topLeftCell="A34" workbookViewId="0">
      <selection activeCell="N55" sqref="N5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5164.85416955047</v>
      </c>
      <c r="D2" s="11">
        <v>-1E-3</v>
      </c>
      <c r="E2" s="10">
        <f t="shared" ref="E2:E66" si="2">SUM(C2-C3)</f>
        <v>-5.1700241937442115</v>
      </c>
      <c r="F2" s="14">
        <v>5165</v>
      </c>
      <c r="G2" s="26">
        <v>4.32</v>
      </c>
      <c r="H2" s="10"/>
      <c r="I2" s="10">
        <f>IF(H2&lt;&gt;"",H2,74600)</f>
        <v>9325</v>
      </c>
      <c r="J2" s="10">
        <f t="shared" ref="J2:J33" si="3">IF(I2="","",I2*C2)</f>
        <v>48162265.131058134</v>
      </c>
      <c r="K2" s="11">
        <f t="shared" ref="K2:K33" si="4">IFERROR(J2/J3-1,"")</f>
        <v>4.2156800000000105E-2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5170.0241937442142</v>
      </c>
      <c r="D3" s="11">
        <v>-1E-3</v>
      </c>
      <c r="E3" s="10">
        <f t="shared" si="2"/>
        <v>-5.1751993931375182</v>
      </c>
      <c r="F3" s="3"/>
      <c r="G3" s="26">
        <v>9.5</v>
      </c>
      <c r="H3" s="10"/>
      <c r="I3" s="10">
        <f t="shared" ref="I3:I34" si="5">IF(H3&lt;&gt;"",H3,I2/(1+IF(G2="",0,G2)/100))</f>
        <v>8938.8420245398775</v>
      </c>
      <c r="J3" s="10">
        <f t="shared" si="3"/>
        <v>46214029.530928679</v>
      </c>
      <c r="K3" s="11">
        <f t="shared" si="4"/>
        <v>9.3905000000000127E-2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5175.1993931373518</v>
      </c>
      <c r="D4" s="11">
        <v>-6.9999999999999999E-4</v>
      </c>
      <c r="E4" s="10">
        <f t="shared" si="2"/>
        <v>-3.6251771992356225</v>
      </c>
      <c r="F4" s="3"/>
      <c r="G4" s="26">
        <v>5.0999999999999996</v>
      </c>
      <c r="H4" s="10"/>
      <c r="I4" s="10">
        <f t="shared" si="5"/>
        <v>8163.3260498081072</v>
      </c>
      <c r="J4" s="10">
        <f t="shared" si="3"/>
        <v>42246840.018949248</v>
      </c>
      <c r="K4" s="11">
        <f t="shared" si="4"/>
        <v>5.0264299999999817E-2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5178.8245703365874</v>
      </c>
      <c r="D5" s="11">
        <v>-4.0000000000000002E-4</v>
      </c>
      <c r="E5" s="10">
        <f t="shared" si="2"/>
        <v>-2.0723587716429392</v>
      </c>
      <c r="F5" s="3"/>
      <c r="G5" s="26">
        <v>5.65</v>
      </c>
      <c r="H5" s="10"/>
      <c r="I5" s="10">
        <f t="shared" si="5"/>
        <v>7767.1989056214152</v>
      </c>
      <c r="J5" s="10">
        <f t="shared" si="3"/>
        <v>40224960.535123639</v>
      </c>
      <c r="K5" s="11">
        <f t="shared" si="4"/>
        <v>5.6077399999999944E-2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5180.8969291082303</v>
      </c>
      <c r="D6" s="11">
        <v>1E-4</v>
      </c>
      <c r="E6" s="10">
        <f t="shared" si="2"/>
        <v>0.51803788912184245</v>
      </c>
      <c r="F6" s="3"/>
      <c r="G6" s="26">
        <v>5.89</v>
      </c>
      <c r="H6" s="10"/>
      <c r="I6" s="10">
        <f t="shared" si="5"/>
        <v>7351.8210180988317</v>
      </c>
      <c r="J6" s="10">
        <f t="shared" si="3"/>
        <v>38089026.936021581</v>
      </c>
      <c r="K6" s="11">
        <f t="shared" si="4"/>
        <v>5.9005890000000116E-2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5180.3788912191085</v>
      </c>
      <c r="D7" s="11">
        <v>8.9999999999999998E-4</v>
      </c>
      <c r="E7" s="10">
        <f t="shared" si="2"/>
        <v>4.6581486682953255</v>
      </c>
      <c r="F7" s="3"/>
      <c r="G7" s="26">
        <v>2.66</v>
      </c>
      <c r="H7" s="10"/>
      <c r="I7" s="10">
        <f t="shared" si="5"/>
        <v>6942.8850865037602</v>
      </c>
      <c r="J7" s="10">
        <f t="shared" si="3"/>
        <v>35966775.346284032</v>
      </c>
      <c r="K7" s="11">
        <f t="shared" si="4"/>
        <v>2.7523939999999802E-2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5175.7207425508132</v>
      </c>
      <c r="D8" s="11">
        <v>1.8E-3</v>
      </c>
      <c r="E8" s="10">
        <f t="shared" si="2"/>
        <v>9.299558131953745</v>
      </c>
      <c r="F8" s="3"/>
      <c r="G8" s="26">
        <v>4.71</v>
      </c>
      <c r="H8" s="10"/>
      <c r="I8" s="10">
        <f t="shared" si="5"/>
        <v>6762.9895640987343</v>
      </c>
      <c r="J8" s="10">
        <f t="shared" si="3"/>
        <v>35003345.3685605</v>
      </c>
      <c r="K8" s="11">
        <f t="shared" si="4"/>
        <v>4.8984779999999839E-2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5166.4211844188594</v>
      </c>
      <c r="D9" s="11">
        <v>2.7000000000000001E-3</v>
      </c>
      <c r="E9" s="10">
        <f t="shared" si="2"/>
        <v>13.911775404339096</v>
      </c>
      <c r="F9" s="3"/>
      <c r="G9" s="26">
        <v>5.77</v>
      </c>
      <c r="H9" s="10"/>
      <c r="I9" s="10">
        <f t="shared" si="5"/>
        <v>6458.7809799434008</v>
      </c>
      <c r="J9" s="10">
        <f t="shared" si="3"/>
        <v>33368782.880301185</v>
      </c>
      <c r="K9" s="11">
        <f t="shared" si="4"/>
        <v>6.0555789999999998E-2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5152.5094090145203</v>
      </c>
      <c r="D10" s="11">
        <v>3.3999999999999998E-3</v>
      </c>
      <c r="E10" s="10">
        <f t="shared" si="2"/>
        <v>17.459170809896023</v>
      </c>
      <c r="F10" s="3"/>
      <c r="G10" s="26">
        <v>3.07</v>
      </c>
      <c r="H10" s="10"/>
      <c r="I10" s="10">
        <f t="shared" si="5"/>
        <v>6106.4394251143049</v>
      </c>
      <c r="J10" s="10">
        <f t="shared" si="3"/>
        <v>31463486.593478676</v>
      </c>
      <c r="K10" s="11">
        <f t="shared" si="4"/>
        <v>3.4204380000000034E-2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5135.0502382046243</v>
      </c>
      <c r="D11" s="11">
        <v>4.0000000000000001E-3</v>
      </c>
      <c r="E11" s="10">
        <f t="shared" si="2"/>
        <v>20.458367482887297</v>
      </c>
      <c r="F11" s="3"/>
      <c r="G11" s="26">
        <v>-1.32</v>
      </c>
      <c r="H11" s="10"/>
      <c r="I11" s="10">
        <f t="shared" si="5"/>
        <v>5924.5555691416566</v>
      </c>
      <c r="J11" s="10">
        <f t="shared" si="3"/>
        <v>30422890.486577399</v>
      </c>
      <c r="K11" s="11">
        <f t="shared" si="4"/>
        <v>-9.25279999999995E-3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5114.591870721737</v>
      </c>
      <c r="D12" s="11">
        <v>4.1999999999999997E-3</v>
      </c>
      <c r="E12" s="10">
        <f t="shared" si="2"/>
        <v>21.39144180146468</v>
      </c>
      <c r="F12" s="3"/>
      <c r="G12" s="26">
        <v>13.48</v>
      </c>
      <c r="H12" s="10"/>
      <c r="I12" s="10">
        <f t="shared" si="5"/>
        <v>6003.8058057779253</v>
      </c>
      <c r="J12" s="10">
        <f t="shared" si="3"/>
        <v>30707016.367623746</v>
      </c>
      <c r="K12" s="11">
        <f t="shared" si="4"/>
        <v>0.13956615999999999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5093.2004289202723</v>
      </c>
      <c r="D13" s="11">
        <v>4.3E-3</v>
      </c>
      <c r="E13" s="10">
        <f t="shared" si="2"/>
        <v>21.806991779704731</v>
      </c>
      <c r="F13" s="3"/>
      <c r="G13" s="26">
        <v>9.0500000000000007</v>
      </c>
      <c r="H13" s="10"/>
      <c r="I13" s="10">
        <f t="shared" si="5"/>
        <v>5290.6290146086758</v>
      </c>
      <c r="J13" s="10">
        <f t="shared" si="3"/>
        <v>26946233.966462944</v>
      </c>
      <c r="K13" s="11">
        <f t="shared" si="4"/>
        <v>9.5189149999999945E-2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5071.3934371405676</v>
      </c>
      <c r="D14" s="11">
        <v>4.3E-3</v>
      </c>
      <c r="E14" s="10">
        <f t="shared" si="2"/>
        <v>21.713623199944777</v>
      </c>
      <c r="F14" s="3"/>
      <c r="G14" s="26">
        <v>8.34</v>
      </c>
      <c r="H14" s="10"/>
      <c r="I14" s="10">
        <f t="shared" si="5"/>
        <v>4851.5625993660487</v>
      </c>
      <c r="J14" s="10">
        <f t="shared" si="3"/>
        <v>24604182.726301614</v>
      </c>
      <c r="K14" s="11">
        <f t="shared" si="4"/>
        <v>8.8058620000000198E-2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5049.6798139406228</v>
      </c>
      <c r="D15" s="11">
        <v>4.3E-3</v>
      </c>
      <c r="E15" s="10">
        <f t="shared" si="2"/>
        <v>21.620654386084425</v>
      </c>
      <c r="F15" s="3"/>
      <c r="G15" s="26">
        <v>8.8699999999999992</v>
      </c>
      <c r="H15" s="10"/>
      <c r="I15" s="10">
        <f t="shared" si="5"/>
        <v>4478.0899015747173</v>
      </c>
      <c r="J15" s="10">
        <f t="shared" si="3"/>
        <v>22612920.180993199</v>
      </c>
      <c r="K15" s="11">
        <f t="shared" si="4"/>
        <v>9.3381409999999887E-2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5028.0591595545384</v>
      </c>
      <c r="D16" s="11">
        <v>4.5999999999999999E-3</v>
      </c>
      <c r="E16" s="10">
        <f t="shared" si="2"/>
        <v>23.023165572318248</v>
      </c>
      <c r="F16" s="3"/>
      <c r="G16" s="26">
        <v>7.71</v>
      </c>
      <c r="H16" s="10"/>
      <c r="I16" s="10">
        <f t="shared" si="5"/>
        <v>4113.2450643654975</v>
      </c>
      <c r="J16" s="10">
        <f t="shared" si="3"/>
        <v>20681639.521375436</v>
      </c>
      <c r="K16" s="11">
        <f t="shared" si="4"/>
        <v>8.2054659999999835E-2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5005.0359939822201</v>
      </c>
      <c r="D17" s="11">
        <v>5.3E-3</v>
      </c>
      <c r="E17" s="10">
        <f t="shared" si="2"/>
        <v>26.386840513385323</v>
      </c>
      <c r="F17" s="3"/>
      <c r="G17" s="26">
        <v>2.1800000000000002</v>
      </c>
      <c r="H17" s="10"/>
      <c r="I17" s="10">
        <f t="shared" si="5"/>
        <v>3818.814468819513</v>
      </c>
      <c r="J17" s="10">
        <f t="shared" si="3"/>
        <v>19113303.870781757</v>
      </c>
      <c r="K17" s="11">
        <f t="shared" si="4"/>
        <v>2.721554000000026E-2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4978.6491534688348</v>
      </c>
      <c r="D18" s="11">
        <v>6.1000000000000004E-3</v>
      </c>
      <c r="E18" s="10">
        <f t="shared" si="2"/>
        <v>30.185627508359175</v>
      </c>
      <c r="F18" s="3"/>
      <c r="G18" s="26">
        <v>2.7</v>
      </c>
      <c r="H18" s="10"/>
      <c r="I18" s="10">
        <f t="shared" si="5"/>
        <v>3737.3404470733144</v>
      </c>
      <c r="J18" s="10">
        <f t="shared" si="3"/>
        <v>18606906.853046395</v>
      </c>
      <c r="K18" s="11">
        <f t="shared" si="4"/>
        <v>3.3264699999999925E-2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4948.4635259604756</v>
      </c>
      <c r="D19" s="11">
        <v>7.1000000000000004E-3</v>
      </c>
      <c r="E19" s="10">
        <f t="shared" si="2"/>
        <v>34.88639761127979</v>
      </c>
      <c r="F19" s="3"/>
      <c r="G19" s="26">
        <v>4.1399999999999997</v>
      </c>
      <c r="H19" s="10"/>
      <c r="I19" s="10">
        <f t="shared" si="5"/>
        <v>3639.0851480752822</v>
      </c>
      <c r="J19" s="10">
        <f t="shared" si="3"/>
        <v>18007880.123115011</v>
      </c>
      <c r="K19" s="11">
        <f t="shared" si="4"/>
        <v>4.8793940000000369E-2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4913.5771283491958</v>
      </c>
      <c r="D20" s="11">
        <v>7.9000000000000008E-3</v>
      </c>
      <c r="E20" s="10">
        <f t="shared" si="2"/>
        <v>38.51300656211788</v>
      </c>
      <c r="F20" s="3"/>
      <c r="G20" s="26">
        <v>9.9</v>
      </c>
      <c r="H20" s="10"/>
      <c r="I20" s="10">
        <f t="shared" si="5"/>
        <v>3494.4163127283291</v>
      </c>
      <c r="J20" s="10">
        <f t="shared" si="3"/>
        <v>17170084.071152247</v>
      </c>
      <c r="K20" s="11">
        <f t="shared" si="4"/>
        <v>0.10768209999999989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4875.064121787078</v>
      </c>
      <c r="D21" s="11">
        <v>8.6999999999999994E-3</v>
      </c>
      <c r="E21" s="10">
        <f t="shared" si="2"/>
        <v>42.047246812280719</v>
      </c>
      <c r="F21" s="3"/>
      <c r="G21" s="26">
        <v>-11.95</v>
      </c>
      <c r="H21" s="10"/>
      <c r="I21" s="10">
        <f t="shared" si="5"/>
        <v>3179.6326776417918</v>
      </c>
      <c r="J21" s="10">
        <f t="shared" si="3"/>
        <v>15500913.187233277</v>
      </c>
      <c r="K21" s="11">
        <f t="shared" si="4"/>
        <v>-0.11183965000000007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4833.0168749747972</v>
      </c>
      <c r="D22" s="11">
        <v>9.2999999999999992E-3</v>
      </c>
      <c r="E22" s="10">
        <f t="shared" si="2"/>
        <v>44.532900958352911</v>
      </c>
      <c r="F22" s="3"/>
      <c r="G22" s="26">
        <v>-5.43</v>
      </c>
      <c r="H22" s="10"/>
      <c r="I22" s="10">
        <f t="shared" si="5"/>
        <v>3611.1671523472933</v>
      </c>
      <c r="J22" s="10">
        <f t="shared" si="3"/>
        <v>17452831.785649154</v>
      </c>
      <c r="K22" s="11">
        <f t="shared" si="4"/>
        <v>-4.5504989999999967E-2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4788.4839740164443</v>
      </c>
      <c r="D23" s="11">
        <v>9.7000000000000003E-3</v>
      </c>
      <c r="E23" s="10">
        <f t="shared" si="2"/>
        <v>46.00207442602732</v>
      </c>
      <c r="F23" s="3"/>
      <c r="G23" s="26">
        <v>-5.31</v>
      </c>
      <c r="H23" s="10"/>
      <c r="I23" s="10">
        <f t="shared" si="5"/>
        <v>3818.512374270163</v>
      </c>
      <c r="J23" s="10">
        <f t="shared" si="3"/>
        <v>18284885.308776159</v>
      </c>
      <c r="K23" s="11">
        <f t="shared" si="4"/>
        <v>-4.3915069999999945E-2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4742.481899590417</v>
      </c>
      <c r="D24" s="11">
        <v>0.01</v>
      </c>
      <c r="E24" s="10">
        <f t="shared" si="2"/>
        <v>46.955266332578503</v>
      </c>
      <c r="F24" s="3"/>
      <c r="G24" s="26">
        <v>1.88</v>
      </c>
      <c r="H24" s="10"/>
      <c r="I24" s="10">
        <f t="shared" si="5"/>
        <v>4032.6458699653217</v>
      </c>
      <c r="J24" s="10">
        <f t="shared" si="3"/>
        <v>19124750.045768589</v>
      </c>
      <c r="K24" s="11">
        <f t="shared" si="4"/>
        <v>2.8988000000000014E-2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4695.5266332578385</v>
      </c>
      <c r="D25" s="11">
        <v>1.04E-2</v>
      </c>
      <c r="E25" s="10">
        <f t="shared" si="2"/>
        <v>48.330836288480896</v>
      </c>
      <c r="F25" s="3"/>
      <c r="G25" s="26">
        <v>3.04</v>
      </c>
      <c r="H25" s="10"/>
      <c r="I25" s="10">
        <f t="shared" si="5"/>
        <v>3958.2311248187298</v>
      </c>
      <c r="J25" s="10">
        <f t="shared" si="3"/>
        <v>18585979.667176478</v>
      </c>
      <c r="K25" s="11">
        <f t="shared" si="4"/>
        <v>4.1116159999999846E-2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4647.1957969693576</v>
      </c>
      <c r="D26" s="11">
        <v>1.11E-2</v>
      </c>
      <c r="E26" s="10">
        <f t="shared" si="2"/>
        <v>51.017578228029379</v>
      </c>
      <c r="F26" s="3"/>
      <c r="G26" s="26">
        <v>15.81</v>
      </c>
      <c r="H26" s="10"/>
      <c r="I26" s="10">
        <f t="shared" si="5"/>
        <v>3841.4510139933327</v>
      </c>
      <c r="J26" s="10">
        <f t="shared" si="3"/>
        <v>17851975.006493494</v>
      </c>
      <c r="K26" s="11">
        <f t="shared" si="4"/>
        <v>0.17095491000000029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4596.1782187413282</v>
      </c>
      <c r="D27" s="11">
        <v>1.21E-2</v>
      </c>
      <c r="E27" s="10">
        <f t="shared" si="2"/>
        <v>54.948875058561498</v>
      </c>
      <c r="F27" s="3"/>
      <c r="G27" s="26">
        <v>-0.74</v>
      </c>
      <c r="H27" s="10"/>
      <c r="I27" s="10">
        <f t="shared" si="5"/>
        <v>3317.0287660766189</v>
      </c>
      <c r="J27" s="10">
        <f t="shared" si="3"/>
        <v>15245655.36557978</v>
      </c>
      <c r="K27" s="11">
        <f t="shared" si="4"/>
        <v>4.6104600000000939E-3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4541.2293436827667</v>
      </c>
      <c r="D28" s="11">
        <v>1.34E-2</v>
      </c>
      <c r="E28" s="10">
        <f t="shared" si="2"/>
        <v>60.047832253157139</v>
      </c>
      <c r="F28" s="3"/>
      <c r="G28" s="26">
        <v>4.71</v>
      </c>
      <c r="H28" s="10"/>
      <c r="I28" s="10">
        <f t="shared" si="5"/>
        <v>3341.7577736012681</v>
      </c>
      <c r="J28" s="10">
        <f t="shared" si="3"/>
        <v>15175688.460958071</v>
      </c>
      <c r="K28" s="11">
        <f t="shared" si="4"/>
        <v>6.1131140000000084E-2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4481.1815114296096</v>
      </c>
      <c r="D29" s="11">
        <v>1.49E-2</v>
      </c>
      <c r="E29" s="10">
        <f t="shared" si="2"/>
        <v>65.789343305055809</v>
      </c>
      <c r="F29" s="3"/>
      <c r="G29" s="26">
        <v>6.65</v>
      </c>
      <c r="H29" s="10"/>
      <c r="I29" s="10">
        <f t="shared" si="5"/>
        <v>3191.4409068868954</v>
      </c>
      <c r="J29" s="10">
        <f t="shared" si="3"/>
        <v>14301425.986761702</v>
      </c>
      <c r="K29" s="11">
        <f t="shared" si="4"/>
        <v>8.2390850000000126E-2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4415.3921681245538</v>
      </c>
      <c r="D30" s="11">
        <v>1.6400000000000001E-2</v>
      </c>
      <c r="E30" s="10">
        <f t="shared" si="2"/>
        <v>71.244029473870796</v>
      </c>
      <c r="F30" s="3"/>
      <c r="G30" s="26">
        <v>4.12</v>
      </c>
      <c r="H30" s="10"/>
      <c r="I30" s="10">
        <f t="shared" si="5"/>
        <v>2992.4434194907599</v>
      </c>
      <c r="J30" s="10">
        <f t="shared" si="3"/>
        <v>13212811.237975359</v>
      </c>
      <c r="K30" s="11">
        <f t="shared" si="4"/>
        <v>5.8275679999999719E-2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4344.148138650683</v>
      </c>
      <c r="D31" s="11">
        <v>1.7600000000000001E-2</v>
      </c>
      <c r="E31" s="10">
        <f t="shared" si="2"/>
        <v>75.134637618172746</v>
      </c>
      <c r="F31" s="3"/>
      <c r="G31" s="26">
        <v>6.37</v>
      </c>
      <c r="H31" s="10"/>
      <c r="I31" s="10">
        <f t="shared" si="5"/>
        <v>2874.0332496069536</v>
      </c>
      <c r="J31" s="10">
        <f t="shared" si="3"/>
        <v>12485226.191700222</v>
      </c>
      <c r="K31" s="11">
        <f t="shared" si="4"/>
        <v>8.2421120000000458E-2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4269.0135010325102</v>
      </c>
      <c r="D32" s="11">
        <v>1.8499999999999999E-2</v>
      </c>
      <c r="E32" s="10">
        <f t="shared" si="2"/>
        <v>77.542218722730468</v>
      </c>
      <c r="F32" s="3"/>
      <c r="G32" s="26">
        <v>0.73</v>
      </c>
      <c r="H32" s="10"/>
      <c r="I32" s="10">
        <f t="shared" si="5"/>
        <v>2701.9208889789916</v>
      </c>
      <c r="J32" s="10">
        <f t="shared" si="3"/>
        <v>11534536.753773076</v>
      </c>
      <c r="K32" s="11">
        <f t="shared" si="4"/>
        <v>2.5935049999999737E-2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4191.4712823097798</v>
      </c>
      <c r="D33" s="11">
        <v>1.8800000000000001E-2</v>
      </c>
      <c r="E33" s="10">
        <f t="shared" si="2"/>
        <v>77.345563513372326</v>
      </c>
      <c r="F33" s="3"/>
      <c r="G33" s="26">
        <v>5.59</v>
      </c>
      <c r="H33" s="10"/>
      <c r="I33" s="10">
        <f t="shared" si="5"/>
        <v>2682.3398083778334</v>
      </c>
      <c r="J33" s="10">
        <f t="shared" si="3"/>
        <v>11242950.276212007</v>
      </c>
      <c r="K33" s="11">
        <f t="shared" si="4"/>
        <v>7.5750920000000166E-2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4114.1257187964075</v>
      </c>
      <c r="D34" s="11">
        <v>1.8700000000000001E-2</v>
      </c>
      <c r="E34" s="10">
        <f t="shared" si="2"/>
        <v>75.521891569149375</v>
      </c>
      <c r="F34" s="3"/>
      <c r="G34" s="26">
        <v>3.05</v>
      </c>
      <c r="H34" s="10"/>
      <c r="I34" s="10">
        <f t="shared" si="5"/>
        <v>2540.33507754317</v>
      </c>
      <c r="J34" s="10">
        <f t="shared" ref="J34:J65" si="6">IF(I34="","",I34*C34)</f>
        <v>10451257.876881022</v>
      </c>
      <c r="K34" s="11">
        <f t="shared" ref="K34:K65" si="7">IFERROR(J34/J35-1,"")</f>
        <v>6.3013449999999915E-2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4038.6038272272581</v>
      </c>
      <c r="D35" s="11">
        <v>1.84E-2</v>
      </c>
      <c r="E35" s="10">
        <f t="shared" si="2"/>
        <v>72.967704655323359</v>
      </c>
      <c r="F35" s="3"/>
      <c r="G35" s="26">
        <v>-7.76</v>
      </c>
      <c r="H35" s="10"/>
      <c r="I35" s="10">
        <f t="shared" ref="I35:I66" si="8">IF(H35&lt;&gt;"",H35,I34/(1+IF(G34="",0,G34)/100))</f>
        <v>2434.4370652066791</v>
      </c>
      <c r="J35" s="10">
        <f t="shared" si="6"/>
        <v>9831726.8486875892</v>
      </c>
      <c r="K35" s="11">
        <f t="shared" si="7"/>
        <v>-3.3131039999999889E-2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3965.6361225719347</v>
      </c>
      <c r="D36" s="11">
        <v>1.7899999999999999E-2</v>
      </c>
      <c r="E36" s="10">
        <f t="shared" si="2"/>
        <v>69.73660142846802</v>
      </c>
      <c r="F36" s="3"/>
      <c r="G36" s="26">
        <v>7.86</v>
      </c>
      <c r="H36" s="10"/>
      <c r="I36" s="10">
        <f t="shared" si="8"/>
        <v>2564.1848169440477</v>
      </c>
      <c r="J36" s="10">
        <f t="shared" si="6"/>
        <v>10168623.93502382</v>
      </c>
      <c r="K36" s="11">
        <f t="shared" si="7"/>
        <v>0.14676613999999999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3895.8995211434667</v>
      </c>
      <c r="D37" s="11">
        <v>1.7399999999999999E-2</v>
      </c>
      <c r="E37" s="10">
        <f t="shared" si="2"/>
        <v>66.629301816293264</v>
      </c>
      <c r="F37" s="3"/>
      <c r="G37" s="26">
        <v>-10.59</v>
      </c>
      <c r="H37" s="10"/>
      <c r="I37" s="10">
        <f t="shared" si="8"/>
        <v>2276.0383605042143</v>
      </c>
      <c r="J37" s="10">
        <f t="shared" si="6"/>
        <v>8867216.7587925289</v>
      </c>
      <c r="K37" s="11">
        <f t="shared" si="7"/>
        <v>-3.6420459999999877E-2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3829.2702193271734</v>
      </c>
      <c r="D38" s="11">
        <v>1.6899999999999998E-2</v>
      </c>
      <c r="E38" s="10">
        <f t="shared" si="2"/>
        <v>63.639164821151553</v>
      </c>
      <c r="F38" s="3"/>
      <c r="G38" s="26">
        <v>3.54</v>
      </c>
      <c r="H38" s="10"/>
      <c r="I38" s="10">
        <f t="shared" si="8"/>
        <v>2403.1658330738192</v>
      </c>
      <c r="J38" s="10">
        <f t="shared" si="6"/>
        <v>9202371.3566941526</v>
      </c>
      <c r="K38" s="11">
        <f t="shared" si="7"/>
        <v>9.0523559999999836E-2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3765.6310545060219</v>
      </c>
      <c r="D39" s="11">
        <v>1.67E-2</v>
      </c>
      <c r="E39" s="10">
        <f t="shared" si="2"/>
        <v>61.853091974279778</v>
      </c>
      <c r="F39" s="3"/>
      <c r="G39" s="26">
        <v>7.03</v>
      </c>
      <c r="H39" s="10"/>
      <c r="I39" s="10">
        <f t="shared" si="8"/>
        <v>2240.9230073422409</v>
      </c>
      <c r="J39" s="10">
        <f t="shared" si="6"/>
        <v>8438489.2672049683</v>
      </c>
      <c r="K39" s="11">
        <f t="shared" si="7"/>
        <v>8.8174009999999914E-2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3703.7779625317421</v>
      </c>
      <c r="D40" s="11">
        <v>1.67E-2</v>
      </c>
      <c r="E40" s="10">
        <f t="shared" si="2"/>
        <v>60.83711220053101</v>
      </c>
      <c r="F40" s="3"/>
      <c r="G40" s="26">
        <v>6.94</v>
      </c>
      <c r="H40" s="10"/>
      <c r="I40" s="10">
        <f t="shared" si="8"/>
        <v>2093.73353951438</v>
      </c>
      <c r="J40" s="10">
        <f t="shared" si="6"/>
        <v>7754724.1430669436</v>
      </c>
      <c r="K40" s="11">
        <f t="shared" si="7"/>
        <v>8.7258979999999875E-2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3642.9408503312111</v>
      </c>
      <c r="D41" s="11">
        <v>1.72E-2</v>
      </c>
      <c r="E41" s="10">
        <f t="shared" si="2"/>
        <v>61.599078475911483</v>
      </c>
      <c r="F41" s="3"/>
      <c r="G41" s="26">
        <v>4.51</v>
      </c>
      <c r="H41" s="10"/>
      <c r="I41" s="10">
        <f t="shared" si="8"/>
        <v>1957.8581817041147</v>
      </c>
      <c r="J41" s="10">
        <f t="shared" si="6"/>
        <v>7132361.5492851064</v>
      </c>
      <c r="K41" s="11">
        <f t="shared" si="7"/>
        <v>6.3075720000000057E-2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3581.3417718552996</v>
      </c>
      <c r="D42" s="11">
        <v>1.7999999999999999E-2</v>
      </c>
      <c r="E42" s="10">
        <f t="shared" si="2"/>
        <v>63.324314237127055</v>
      </c>
      <c r="F42" s="3"/>
      <c r="G42" s="26">
        <v>-8.6300000000000008</v>
      </c>
      <c r="H42" s="10"/>
      <c r="I42" s="10">
        <f t="shared" si="8"/>
        <v>1873.3692294556645</v>
      </c>
      <c r="J42" s="10">
        <f t="shared" si="6"/>
        <v>6709175.4755579466</v>
      </c>
      <c r="K42" s="11">
        <f t="shared" si="7"/>
        <v>-6.9853400000000176E-2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3518.0174576181726</v>
      </c>
      <c r="D43" s="11">
        <v>1.9099999999999999E-2</v>
      </c>
      <c r="E43" s="10">
        <f t="shared" si="2"/>
        <v>65.93477915857784</v>
      </c>
      <c r="F43" s="3"/>
      <c r="G43" s="26">
        <v>3.9</v>
      </c>
      <c r="H43" s="10"/>
      <c r="I43" s="10">
        <f t="shared" si="8"/>
        <v>2050.311075249715</v>
      </c>
      <c r="J43" s="10">
        <f t="shared" si="6"/>
        <v>7213030.1562763844</v>
      </c>
      <c r="K43" s="11">
        <f t="shared" si="7"/>
        <v>5.8844899999999756E-2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3452.0826784595947</v>
      </c>
      <c r="D44" s="11">
        <v>2.0400000000000001E-2</v>
      </c>
      <c r="E44" s="10">
        <f t="shared" si="2"/>
        <v>69.014589024476209</v>
      </c>
      <c r="F44" s="3"/>
      <c r="G44" s="26">
        <v>4.6500000000000004</v>
      </c>
      <c r="H44" s="10"/>
      <c r="I44" s="10">
        <f t="shared" si="8"/>
        <v>1973.3504092875025</v>
      </c>
      <c r="J44" s="10">
        <f t="shared" si="6"/>
        <v>6812168.7664325396</v>
      </c>
      <c r="K44" s="11">
        <f t="shared" si="7"/>
        <v>6.7848600000000037E-2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3383.0680894351185</v>
      </c>
      <c r="D45" s="11">
        <v>2.1499999999999998E-2</v>
      </c>
      <c r="E45" s="10">
        <f t="shared" si="2"/>
        <v>71.205055235296641</v>
      </c>
      <c r="F45" s="3"/>
      <c r="G45" s="26">
        <v>-0.39</v>
      </c>
      <c r="H45" s="10"/>
      <c r="I45" s="10">
        <f t="shared" si="8"/>
        <v>1885.6668985069302</v>
      </c>
      <c r="J45" s="10">
        <f t="shared" si="6"/>
        <v>6379339.5116428863</v>
      </c>
      <c r="K45" s="11">
        <f t="shared" si="7"/>
        <v>1.7516150000000286E-2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3311.8630341998219</v>
      </c>
      <c r="D46" s="11">
        <v>2.24E-2</v>
      </c>
      <c r="E46" s="10">
        <f t="shared" si="2"/>
        <v>72.56037946603692</v>
      </c>
      <c r="F46" s="3"/>
      <c r="G46" s="26">
        <v>8.81</v>
      </c>
      <c r="H46" s="10"/>
      <c r="I46" s="10">
        <f t="shared" si="8"/>
        <v>1893.0497926984542</v>
      </c>
      <c r="J46" s="10">
        <f t="shared" si="6"/>
        <v>6269521.6303376462</v>
      </c>
      <c r="K46" s="11">
        <f t="shared" si="7"/>
        <v>0.11247344000000026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3239.3026547337849</v>
      </c>
      <c r="D47" s="11">
        <v>2.3E-2</v>
      </c>
      <c r="E47" s="10">
        <f t="shared" si="2"/>
        <v>72.828896440739754</v>
      </c>
      <c r="F47" s="3"/>
      <c r="G47" s="26">
        <v>6.22</v>
      </c>
      <c r="H47" s="10"/>
      <c r="I47" s="10">
        <f t="shared" si="8"/>
        <v>1739.7755653877898</v>
      </c>
      <c r="J47" s="10">
        <f t="shared" si="6"/>
        <v>5635659.6076016389</v>
      </c>
      <c r="K47" s="11">
        <f t="shared" si="7"/>
        <v>8.6630599999999891E-2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3166.4737582930452</v>
      </c>
      <c r="D48" s="11">
        <v>2.3099999999999999E-2</v>
      </c>
      <c r="E48" s="10">
        <f t="shared" si="2"/>
        <v>71.494031684653692</v>
      </c>
      <c r="F48" s="3"/>
      <c r="G48" s="26">
        <v>9.9</v>
      </c>
      <c r="H48" s="10"/>
      <c r="I48" s="10">
        <f t="shared" si="8"/>
        <v>1637.898291647326</v>
      </c>
      <c r="J48" s="10">
        <f t="shared" si="6"/>
        <v>5186361.9592542667</v>
      </c>
      <c r="K48" s="11">
        <f t="shared" si="7"/>
        <v>0.12438689999999997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3094.9797266083915</v>
      </c>
      <c r="D49" s="11">
        <v>2.29E-2</v>
      </c>
      <c r="E49" s="10">
        <f t="shared" si="2"/>
        <v>69.288332915565661</v>
      </c>
      <c r="F49" s="3"/>
      <c r="G49" s="26">
        <v>6.32</v>
      </c>
      <c r="H49" s="10"/>
      <c r="I49" s="10">
        <f t="shared" si="8"/>
        <v>1490.3533136008425</v>
      </c>
      <c r="J49" s="10">
        <f t="shared" si="6"/>
        <v>4612613.2910782462</v>
      </c>
      <c r="K49" s="11">
        <f t="shared" si="7"/>
        <v>8.7547279999999894E-2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3025.6913936928258</v>
      </c>
      <c r="D50" s="11">
        <v>2.2499999999999999E-2</v>
      </c>
      <c r="E50" s="10">
        <f t="shared" si="2"/>
        <v>66.580006218179278</v>
      </c>
      <c r="F50" s="3"/>
      <c r="G50" s="26">
        <v>6.8</v>
      </c>
      <c r="H50" s="10"/>
      <c r="I50" s="10">
        <f t="shared" si="8"/>
        <v>1401.7619578638476</v>
      </c>
      <c r="J50" s="10">
        <f t="shared" si="6"/>
        <v>4241299.0919146491</v>
      </c>
      <c r="K50" s="11">
        <f t="shared" si="7"/>
        <v>9.2029999999999834E-2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2959.1113874746466</v>
      </c>
      <c r="D51" s="11">
        <v>2.18E-2</v>
      </c>
      <c r="E51" s="10">
        <f t="shared" si="2"/>
        <v>63.132343165930251</v>
      </c>
      <c r="F51" s="3"/>
      <c r="G51" s="26">
        <v>-1.73</v>
      </c>
      <c r="H51" s="10"/>
      <c r="I51" s="10">
        <f t="shared" si="8"/>
        <v>1312.51119650173</v>
      </c>
      <c r="J51" s="10">
        <f t="shared" si="6"/>
        <v>3883866.8277562428</v>
      </c>
      <c r="K51" s="11">
        <f t="shared" si="7"/>
        <v>4.1228600000002835E-3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2895.9790443087163</v>
      </c>
      <c r="D52" s="11">
        <v>2.1000000000000001E-2</v>
      </c>
      <c r="E52" s="10">
        <f t="shared" si="2"/>
        <v>59.56470120517406</v>
      </c>
      <c r="F52" s="3"/>
      <c r="G52" s="26">
        <v>-0.04</v>
      </c>
      <c r="H52" s="10"/>
      <c r="I52" s="10">
        <f t="shared" si="8"/>
        <v>1335.6173771260098</v>
      </c>
      <c r="J52" s="10">
        <f t="shared" si="6"/>
        <v>3867919.9353714962</v>
      </c>
      <c r="K52" s="11">
        <f t="shared" si="7"/>
        <v>2.0591599999999932E-2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2836.4143431035423</v>
      </c>
      <c r="D53" s="11">
        <v>2.01E-2</v>
      </c>
      <c r="E53" s="10">
        <f t="shared" si="2"/>
        <v>55.888568078013122</v>
      </c>
      <c r="F53" s="3"/>
      <c r="G53" s="26">
        <v>13.62</v>
      </c>
      <c r="H53" s="10"/>
      <c r="I53" s="10">
        <f t="shared" si="8"/>
        <v>1336.1518378611543</v>
      </c>
      <c r="J53" s="10">
        <f t="shared" si="6"/>
        <v>3789880.2374735367</v>
      </c>
      <c r="K53" s="11">
        <f t="shared" si="7"/>
        <v>0.15903762000000032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2780.5257750255291</v>
      </c>
      <c r="D54" s="11">
        <v>1.9199999999999998E-2</v>
      </c>
      <c r="E54" s="10">
        <f t="shared" si="2"/>
        <v>52.380391366258209</v>
      </c>
      <c r="F54" s="3"/>
      <c r="G54" s="26">
        <v>11.63</v>
      </c>
      <c r="H54" s="10"/>
      <c r="I54" s="10">
        <f t="shared" si="8"/>
        <v>1175.982958863892</v>
      </c>
      <c r="J54" s="10">
        <f t="shared" si="6"/>
        <v>3269850.9281118382</v>
      </c>
      <c r="K54" s="11">
        <f t="shared" si="7"/>
        <v>0.1377329599999999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2728.1453836592709</v>
      </c>
      <c r="D55" s="11">
        <v>1.84E-2</v>
      </c>
      <c r="E55" s="10">
        <f t="shared" si="2"/>
        <v>49.290922092822711</v>
      </c>
      <c r="F55" s="3"/>
      <c r="G55" s="26">
        <v>-1.53</v>
      </c>
      <c r="H55" s="10"/>
      <c r="I55" s="10">
        <f t="shared" si="8"/>
        <v>1053.4649815138332</v>
      </c>
      <c r="J55" s="10">
        <f t="shared" si="6"/>
        <v>2874005.6261636633</v>
      </c>
      <c r="K55" s="11">
        <f t="shared" si="7"/>
        <v>2.8184800000001786E-3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2678.8544615664482</v>
      </c>
      <c r="D56" s="11">
        <v>1.77E-2</v>
      </c>
      <c r="E56" s="10">
        <f t="shared" si="2"/>
        <v>46.591062169329234</v>
      </c>
      <c r="F56" s="3"/>
      <c r="G56" s="26">
        <v>-1.46</v>
      </c>
      <c r="H56" s="10"/>
      <c r="I56" s="10">
        <f t="shared" si="8"/>
        <v>1069.833433039335</v>
      </c>
      <c r="J56" s="10">
        <f t="shared" si="6"/>
        <v>2865928.0652303724</v>
      </c>
      <c r="K56" s="11">
        <f t="shared" si="7"/>
        <v>2.8415800000001212E-3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2632.263399397119</v>
      </c>
      <c r="D57" s="11">
        <v>1.7100000000000001E-2</v>
      </c>
      <c r="E57" s="10">
        <f t="shared" si="2"/>
        <v>44.254944577416609</v>
      </c>
      <c r="F57" s="3"/>
      <c r="G57" s="26">
        <v>5.84</v>
      </c>
      <c r="H57" s="10"/>
      <c r="I57" s="10">
        <f t="shared" si="8"/>
        <v>1085.6844256538816</v>
      </c>
      <c r="J57" s="10">
        <f t="shared" si="6"/>
        <v>2857807.376944195</v>
      </c>
      <c r="K57" s="11">
        <f t="shared" si="7"/>
        <v>7.649863999999984E-2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2588.0084548197024</v>
      </c>
      <c r="D58" s="11">
        <v>1.67E-2</v>
      </c>
      <c r="E58" s="10">
        <f t="shared" si="2"/>
        <v>42.509827083199525</v>
      </c>
      <c r="F58" s="3"/>
      <c r="G58" s="26">
        <v>2.57</v>
      </c>
      <c r="H58" s="10"/>
      <c r="I58" s="10">
        <f t="shared" si="8"/>
        <v>1025.7789358029872</v>
      </c>
      <c r="J58" s="10">
        <f t="shared" si="6"/>
        <v>2654724.5586340874</v>
      </c>
      <c r="K58" s="11">
        <f t="shared" si="7"/>
        <v>4.2829189999999961E-2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2545.4986277365028</v>
      </c>
      <c r="D59" s="11">
        <v>1.66E-2</v>
      </c>
      <c r="E59" s="10">
        <f t="shared" si="2"/>
        <v>41.565293350802676</v>
      </c>
      <c r="F59" s="3"/>
      <c r="G59" s="26">
        <v>6.14</v>
      </c>
      <c r="H59" s="10"/>
      <c r="I59" s="10">
        <f t="shared" si="8"/>
        <v>1000.0769579828285</v>
      </c>
      <c r="J59" s="10">
        <f t="shared" si="6"/>
        <v>2545694.524176186</v>
      </c>
      <c r="K59" s="11">
        <f t="shared" si="7"/>
        <v>7.9019239999999824E-2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2503.9333343857002</v>
      </c>
      <c r="D60" s="11">
        <v>1.6799999999999999E-2</v>
      </c>
      <c r="E60" s="10">
        <f t="shared" si="2"/>
        <v>41.371046437529003</v>
      </c>
      <c r="F60" s="3"/>
      <c r="G60" s="26">
        <v>8.23</v>
      </c>
      <c r="H60" s="10"/>
      <c r="I60" s="10">
        <f t="shared" si="8"/>
        <v>942.22438099004012</v>
      </c>
      <c r="J60" s="10">
        <f t="shared" si="6"/>
        <v>2359267.0360318935</v>
      </c>
      <c r="K60" s="11">
        <f t="shared" si="7"/>
        <v>0.10048264000000007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2462.5622879481712</v>
      </c>
      <c r="D61" s="11">
        <v>1.7299999999999999E-2</v>
      </c>
      <c r="E61" s="10">
        <f t="shared" si="2"/>
        <v>41.87784093335631</v>
      </c>
      <c r="F61" s="3"/>
      <c r="G61" s="26">
        <v>3.71</v>
      </c>
      <c r="H61" s="10"/>
      <c r="I61" s="10">
        <f t="shared" si="8"/>
        <v>870.57597800059136</v>
      </c>
      <c r="J61" s="10">
        <f t="shared" si="6"/>
        <v>2143847.5722178528</v>
      </c>
      <c r="K61" s="11">
        <f t="shared" si="7"/>
        <v>5.5041829999999736E-2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2420.6844470148149</v>
      </c>
      <c r="D62" s="11">
        <v>1.7899999999999999E-2</v>
      </c>
      <c r="E62" s="10">
        <f t="shared" si="2"/>
        <v>42.568279400300071</v>
      </c>
      <c r="F62" s="3"/>
      <c r="G62" s="26">
        <v>5.64</v>
      </c>
      <c r="H62" s="10"/>
      <c r="I62" s="10">
        <f t="shared" si="8"/>
        <v>839.4330132104825</v>
      </c>
      <c r="J62" s="10">
        <f t="shared" si="6"/>
        <v>2032002.4393893967</v>
      </c>
      <c r="K62" s="11">
        <f t="shared" si="7"/>
        <v>7.530956000000022E-2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2378.1161676145148</v>
      </c>
      <c r="D63" s="11">
        <v>1.8499999999999999E-2</v>
      </c>
      <c r="E63" s="10">
        <f t="shared" si="2"/>
        <v>43.196022681264822</v>
      </c>
      <c r="F63" s="3"/>
      <c r="G63" s="26">
        <v>6.3</v>
      </c>
      <c r="H63" s="10"/>
      <c r="I63" s="10">
        <f t="shared" si="8"/>
        <v>794.61663499667031</v>
      </c>
      <c r="J63" s="10">
        <f t="shared" si="6"/>
        <v>1889690.6667410233</v>
      </c>
      <c r="K63" s="11">
        <f t="shared" si="7"/>
        <v>8.2665499999999836E-2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2334.92014493325</v>
      </c>
      <c r="D64" s="11">
        <v>1.9E-2</v>
      </c>
      <c r="E64" s="10">
        <f t="shared" si="2"/>
        <v>43.536293183249654</v>
      </c>
      <c r="F64" s="3"/>
      <c r="G64" s="26">
        <v>10.84</v>
      </c>
      <c r="H64" s="10"/>
      <c r="I64" s="10">
        <f t="shared" si="8"/>
        <v>747.52270460646321</v>
      </c>
      <c r="J64" s="10">
        <f t="shared" si="6"/>
        <v>1745405.821780618</v>
      </c>
      <c r="K64" s="11">
        <f t="shared" si="7"/>
        <v>0.1294595999999999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2291.3838517500003</v>
      </c>
      <c r="D65" s="11">
        <v>1.9300000000000001E-2</v>
      </c>
      <c r="E65" s="10">
        <f t="shared" si="2"/>
        <v>43.386351750000358</v>
      </c>
      <c r="F65" s="3"/>
      <c r="G65" s="26">
        <v>8.27</v>
      </c>
      <c r="H65" s="10"/>
      <c r="I65" s="10">
        <f t="shared" si="8"/>
        <v>674.41600920828512</v>
      </c>
      <c r="J65" s="10">
        <f t="shared" si="6"/>
        <v>1545345.952861544</v>
      </c>
      <c r="K65" s="11">
        <f t="shared" si="7"/>
        <v>0.10359611000000024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2247.9974999999999</v>
      </c>
      <c r="D66" s="11">
        <v>1.95E-2</v>
      </c>
      <c r="E66" s="10">
        <f t="shared" si="2"/>
        <v>42.997499999999945</v>
      </c>
      <c r="F66" s="23">
        <f>SUM(F2)</f>
        <v>5165</v>
      </c>
      <c r="G66" s="26">
        <v>4.3600000000000003</v>
      </c>
      <c r="H66" s="10"/>
      <c r="I66" s="10">
        <f t="shared" si="8"/>
        <v>622.90201275356526</v>
      </c>
      <c r="J66" s="10">
        <f t="shared" ref="J66:J67" si="9">IF(I66="","",I66*C66)</f>
        <v>1400282.1674149828</v>
      </c>
      <c r="K66" s="11">
        <f t="shared" ref="K66" si="10">IFERROR(J66/J67-1,"")</f>
        <v>6.3950200000000068E-2</v>
      </c>
    </row>
    <row r="67" spans="1:11" ht="22.5" customHeight="1">
      <c r="A67" s="3">
        <f t="shared" si="0"/>
        <v>1950</v>
      </c>
      <c r="B67" s="3">
        <v>1700</v>
      </c>
      <c r="C67" s="10">
        <v>2205</v>
      </c>
      <c r="D67" s="11">
        <v>1.9599999999999999E-2</v>
      </c>
      <c r="E67" s="3" t="s">
        <v>72</v>
      </c>
      <c r="F67" s="10">
        <f>SUM(C2)</f>
        <v>5164.85416955047</v>
      </c>
      <c r="G67" s="26">
        <v>2.2000000000000002</v>
      </c>
      <c r="H67" s="10"/>
      <c r="I67" s="10">
        <f t="shared" ref="I67" si="11">IF(H67&lt;&gt;"",H67,I66/(1+IF(G66="",0,G66)/100))</f>
        <v>596.87812644074859</v>
      </c>
      <c r="J67" s="10">
        <f t="shared" si="9"/>
        <v>1316116.2688018507</v>
      </c>
      <c r="K67" s="11"/>
    </row>
  </sheetData>
  <dataValidations count="1">
    <dataValidation type="custom" allowBlank="1" showDropDown="1" sqref="D2:D67" xr:uid="{00000000-0002-0000-9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M67"/>
  <sheetViews>
    <sheetView topLeftCell="A20" workbookViewId="0">
      <selection activeCell="M46" sqref="M4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30764064.853330579</v>
      </c>
      <c r="D2" s="11">
        <v>0.01</v>
      </c>
      <c r="E2" s="10">
        <f t="shared" ref="E2:E66" si="2">SUM(C2-C3)</f>
        <v>304594.70151812583</v>
      </c>
      <c r="F2" s="14">
        <v>30764253</v>
      </c>
      <c r="G2" s="29">
        <v>4.3899999999999997</v>
      </c>
      <c r="H2" s="10"/>
      <c r="I2" s="10">
        <f>IF(H2&lt;&gt;"",H2,13272)</f>
        <v>1659</v>
      </c>
      <c r="J2" s="10">
        <f t="shared" ref="J2:J33" si="3">IF(I2="","",I2*C2)</f>
        <v>51037583591.67543</v>
      </c>
      <c r="K2" s="11">
        <f t="shared" ref="K2:K33" si="4">IFERROR(J2/J3-1,"")</f>
        <v>5.4339000000000137E-2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30459470.151812453</v>
      </c>
      <c r="D3" s="11">
        <v>1.7299999999999999E-2</v>
      </c>
      <c r="E3" s="10">
        <f t="shared" si="2"/>
        <v>517987.64732759073</v>
      </c>
      <c r="F3" s="3"/>
      <c r="G3" s="29">
        <v>6.64</v>
      </c>
      <c r="H3" s="10"/>
      <c r="I3" s="10">
        <f t="shared" ref="I3:I34" si="5">IF(H3&lt;&gt;"",H3,I2/(1+IF(G2="",0,G2)/100))</f>
        <v>1589.232685123096</v>
      </c>
      <c r="J3" s="10">
        <f t="shared" si="3"/>
        <v>48407185536.791702</v>
      </c>
      <c r="K3" s="11">
        <f t="shared" si="4"/>
        <v>8.48487200000001E-2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29941482.504484862</v>
      </c>
      <c r="D4" s="11">
        <v>1.37E-2</v>
      </c>
      <c r="E4" s="10">
        <f t="shared" si="2"/>
        <v>404654.54307136685</v>
      </c>
      <c r="F4" s="3"/>
      <c r="G4" s="29">
        <v>5.32</v>
      </c>
      <c r="H4" s="10"/>
      <c r="I4" s="10">
        <f t="shared" si="5"/>
        <v>1490.2782118558664</v>
      </c>
      <c r="J4" s="10">
        <f t="shared" si="3"/>
        <v>44621139007.097412</v>
      </c>
      <c r="K4" s="11">
        <f t="shared" si="4"/>
        <v>6.7628840000000023E-2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29536827.961413495</v>
      </c>
      <c r="D5" s="11">
        <v>1.1599999999999999E-2</v>
      </c>
      <c r="E5" s="10">
        <f t="shared" si="2"/>
        <v>338698.30402569845</v>
      </c>
      <c r="F5" s="3"/>
      <c r="G5" s="29">
        <v>10.55</v>
      </c>
      <c r="H5" s="10"/>
      <c r="I5" s="10">
        <f t="shared" si="5"/>
        <v>1415.0002011544498</v>
      </c>
      <c r="J5" s="10">
        <f t="shared" si="3"/>
        <v>41794617506.864471</v>
      </c>
      <c r="K5" s="11">
        <f t="shared" si="4"/>
        <v>0.11832379999999976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29198129.657387797</v>
      </c>
      <c r="D6" s="11">
        <v>1.55E-2</v>
      </c>
      <c r="E6" s="10">
        <f t="shared" si="2"/>
        <v>445663.22963024303</v>
      </c>
      <c r="F6" s="3"/>
      <c r="G6" s="29">
        <v>2.36</v>
      </c>
      <c r="H6" s="10"/>
      <c r="I6" s="10">
        <f t="shared" si="5"/>
        <v>1279.9639992351424</v>
      </c>
      <c r="J6" s="10">
        <f t="shared" si="3"/>
        <v>37372554806.456306</v>
      </c>
      <c r="K6" s="11">
        <f t="shared" si="4"/>
        <v>3.9465800000000106E-2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28752466.427757554</v>
      </c>
      <c r="D7" s="11">
        <v>1.9099999999999999E-2</v>
      </c>
      <c r="E7" s="10">
        <f t="shared" si="2"/>
        <v>538879.51012674719</v>
      </c>
      <c r="F7" s="3"/>
      <c r="G7" s="29">
        <v>8.58</v>
      </c>
      <c r="H7" s="10"/>
      <c r="I7" s="10">
        <f t="shared" si="5"/>
        <v>1250.4533013238984</v>
      </c>
      <c r="J7" s="10">
        <f t="shared" si="3"/>
        <v>35953616565.793991</v>
      </c>
      <c r="K7" s="11">
        <f t="shared" si="4"/>
        <v>0.10653878000000017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28213586.917630807</v>
      </c>
      <c r="D8" s="11">
        <v>2.3400000000000001E-2</v>
      </c>
      <c r="E8" s="10">
        <f t="shared" si="2"/>
        <v>645102.53456377238</v>
      </c>
      <c r="F8" s="3"/>
      <c r="G8" s="29">
        <v>1.96</v>
      </c>
      <c r="H8" s="10"/>
      <c r="I8" s="10">
        <f t="shared" si="5"/>
        <v>1151.6423847153235</v>
      </c>
      <c r="J8" s="10">
        <f t="shared" si="3"/>
        <v>32491962519.193394</v>
      </c>
      <c r="K8" s="11">
        <f t="shared" si="4"/>
        <v>4.3458640000000104E-2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27568484.383067034</v>
      </c>
      <c r="D9" s="11">
        <v>3.85E-2</v>
      </c>
      <c r="E9" s="10">
        <f t="shared" si="2"/>
        <v>1022038.1788618974</v>
      </c>
      <c r="F9" s="3"/>
      <c r="G9" s="29">
        <v>7.73</v>
      </c>
      <c r="H9" s="10"/>
      <c r="I9" s="10">
        <f t="shared" si="5"/>
        <v>1129.5041042716</v>
      </c>
      <c r="J9" s="10">
        <f t="shared" si="3"/>
        <v>31138716259.221725</v>
      </c>
      <c r="K9" s="11">
        <f t="shared" si="4"/>
        <v>0.11877604999999991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26546446.204205137</v>
      </c>
      <c r="D10" s="11">
        <v>4.2099999999999999E-2</v>
      </c>
      <c r="E10" s="10">
        <f t="shared" si="2"/>
        <v>1072455.028497301</v>
      </c>
      <c r="F10" s="3"/>
      <c r="G10" s="29">
        <v>3.14</v>
      </c>
      <c r="H10" s="10"/>
      <c r="I10" s="10">
        <f t="shared" si="5"/>
        <v>1048.4582792830224</v>
      </c>
      <c r="J10" s="10">
        <f t="shared" si="3"/>
        <v>27832841308.34024</v>
      </c>
      <c r="K10" s="11">
        <f t="shared" si="4"/>
        <v>7.4821940000000309E-2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25473991.175707836</v>
      </c>
      <c r="D11" s="11">
        <v>4.53E-2</v>
      </c>
      <c r="E11" s="10">
        <f t="shared" si="2"/>
        <v>1103962.3077198528</v>
      </c>
      <c r="F11" s="3"/>
      <c r="G11" s="29">
        <v>5.93</v>
      </c>
      <c r="H11" s="10"/>
      <c r="I11" s="10">
        <f t="shared" si="5"/>
        <v>1016.538956062655</v>
      </c>
      <c r="J11" s="10">
        <f t="shared" si="3"/>
        <v>25895304396.503326</v>
      </c>
      <c r="K11" s="11">
        <f t="shared" si="4"/>
        <v>0.10728628999999978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24370028.867987983</v>
      </c>
      <c r="D12" s="11">
        <v>4.8300000000000003E-2</v>
      </c>
      <c r="E12" s="10">
        <f t="shared" si="2"/>
        <v>1122839.2581549361</v>
      </c>
      <c r="F12" s="3"/>
      <c r="G12" s="29">
        <v>7.33</v>
      </c>
      <c r="H12" s="10"/>
      <c r="I12" s="10">
        <f t="shared" si="5"/>
        <v>959.63273488403195</v>
      </c>
      <c r="J12" s="10">
        <f t="shared" si="3"/>
        <v>23386277451.790115</v>
      </c>
      <c r="K12" s="11">
        <f t="shared" si="4"/>
        <v>0.12514038999999988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23247189.609833047</v>
      </c>
      <c r="D13" s="11">
        <v>5.0900000000000001E-2</v>
      </c>
      <c r="E13" s="10">
        <f t="shared" si="2"/>
        <v>1125970.0743557923</v>
      </c>
      <c r="F13" s="3"/>
      <c r="G13" s="29">
        <v>0.36</v>
      </c>
      <c r="H13" s="10"/>
      <c r="I13" s="10">
        <f t="shared" si="5"/>
        <v>894.09553236190447</v>
      </c>
      <c r="J13" s="10">
        <f t="shared" si="3"/>
        <v>20785208370.121811</v>
      </c>
      <c r="K13" s="11">
        <f t="shared" si="4"/>
        <v>5.4683239999999911E-2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22121219.535477255</v>
      </c>
      <c r="D14" s="11">
        <v>5.2999999999999999E-2</v>
      </c>
      <c r="E14" s="10">
        <f t="shared" si="2"/>
        <v>1113413.7088131942</v>
      </c>
      <c r="F14" s="3"/>
      <c r="G14" s="29">
        <v>2.17</v>
      </c>
      <c r="H14" s="10"/>
      <c r="I14" s="10">
        <f t="shared" si="5"/>
        <v>890.88833435821482</v>
      </c>
      <c r="J14" s="10">
        <f t="shared" si="3"/>
        <v>19707536425.933735</v>
      </c>
      <c r="K14" s="11">
        <f t="shared" si="4"/>
        <v>7.5850100000000031E-2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21007805.82666406</v>
      </c>
      <c r="D15" s="11">
        <v>5.45E-2</v>
      </c>
      <c r="E15" s="10">
        <f t="shared" si="2"/>
        <v>1085751.9369873777</v>
      </c>
      <c r="F15" s="3"/>
      <c r="G15" s="29">
        <v>4.92</v>
      </c>
      <c r="H15" s="10"/>
      <c r="I15" s="10">
        <f t="shared" si="5"/>
        <v>871.9666578821716</v>
      </c>
      <c r="J15" s="10">
        <f t="shared" si="3"/>
        <v>18318106236.113873</v>
      </c>
      <c r="K15" s="11">
        <f t="shared" si="4"/>
        <v>0.10638139999999985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19922053.889676683</v>
      </c>
      <c r="D16" s="11">
        <v>5.5199999999999999E-2</v>
      </c>
      <c r="E16" s="10">
        <f t="shared" si="2"/>
        <v>1042169.6121210679</v>
      </c>
      <c r="F16" s="3"/>
      <c r="G16" s="29">
        <v>7.27</v>
      </c>
      <c r="H16" s="10"/>
      <c r="I16" s="10">
        <f t="shared" si="5"/>
        <v>831.07763808823074</v>
      </c>
      <c r="J16" s="10">
        <f t="shared" si="3"/>
        <v>16556773492.498947</v>
      </c>
      <c r="K16" s="11">
        <f t="shared" si="4"/>
        <v>0.1319130399999997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18879884.277555615</v>
      </c>
      <c r="D17" s="11">
        <v>5.4800000000000001E-2</v>
      </c>
      <c r="E17" s="10">
        <f t="shared" si="2"/>
        <v>980866.1911358051</v>
      </c>
      <c r="F17" s="3"/>
      <c r="G17" s="29">
        <v>-1.21</v>
      </c>
      <c r="H17" s="10"/>
      <c r="I17" s="10">
        <f t="shared" si="5"/>
        <v>774.753088550602</v>
      </c>
      <c r="J17" s="10">
        <f t="shared" si="3"/>
        <v>14627248655.514164</v>
      </c>
      <c r="K17" s="11">
        <f t="shared" si="4"/>
        <v>4.2036920000000144E-2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17899018.08641981</v>
      </c>
      <c r="D18" s="11">
        <v>5.33E-2</v>
      </c>
      <c r="E18" s="10">
        <f t="shared" si="2"/>
        <v>905741.63486772403</v>
      </c>
      <c r="F18" s="3"/>
      <c r="G18" s="29">
        <v>-0.22</v>
      </c>
      <c r="H18" s="10"/>
      <c r="I18" s="10">
        <f t="shared" si="5"/>
        <v>784.24242185504806</v>
      </c>
      <c r="J18" s="10">
        <f t="shared" si="3"/>
        <v>14037169292.921179</v>
      </c>
      <c r="K18" s="11">
        <f t="shared" si="4"/>
        <v>5.0982739999999804E-2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16993276.451552086</v>
      </c>
      <c r="D19" s="11">
        <v>5.0999999999999997E-2</v>
      </c>
      <c r="E19" s="10">
        <f t="shared" si="2"/>
        <v>824602.37776323035</v>
      </c>
      <c r="F19" s="3"/>
      <c r="G19" s="29">
        <v>9.9700000000000006</v>
      </c>
      <c r="H19" s="10"/>
      <c r="I19" s="10">
        <f t="shared" si="5"/>
        <v>785.97155928547613</v>
      </c>
      <c r="J19" s="10">
        <f t="shared" si="3"/>
        <v>13356231989.995556</v>
      </c>
      <c r="K19" s="11">
        <f t="shared" si="4"/>
        <v>0.15578469999999989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16168674.073788855</v>
      </c>
      <c r="D20" s="11">
        <v>4.8099999999999997E-2</v>
      </c>
      <c r="E20" s="10">
        <f t="shared" si="2"/>
        <v>742021.9663669914</v>
      </c>
      <c r="F20" s="3"/>
      <c r="G20" s="29">
        <v>1.53</v>
      </c>
      <c r="H20" s="10"/>
      <c r="I20" s="10">
        <f t="shared" si="5"/>
        <v>714.71452149265815</v>
      </c>
      <c r="J20" s="10">
        <f t="shared" si="3"/>
        <v>11555986153.818748</v>
      </c>
      <c r="K20" s="11">
        <f t="shared" si="4"/>
        <v>6.4135929999999952E-2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15426652.107421864</v>
      </c>
      <c r="D21" s="11">
        <v>4.48E-2</v>
      </c>
      <c r="E21" s="10">
        <f t="shared" si="2"/>
        <v>661479.72282972746</v>
      </c>
      <c r="F21" s="3"/>
      <c r="G21" s="29">
        <v>0.1</v>
      </c>
      <c r="H21" s="10"/>
      <c r="I21" s="10">
        <f t="shared" si="5"/>
        <v>703.94417560588795</v>
      </c>
      <c r="J21" s="10">
        <f t="shared" si="3"/>
        <v>10859501900.117918</v>
      </c>
      <c r="K21" s="11">
        <f t="shared" si="4"/>
        <v>4.5844800000000019E-2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14765172.384592136</v>
      </c>
      <c r="D22" s="11">
        <v>4.1200000000000001E-2</v>
      </c>
      <c r="E22" s="10">
        <f t="shared" si="2"/>
        <v>584253.84387744404</v>
      </c>
      <c r="F22" s="3"/>
      <c r="G22" s="29">
        <v>2.46</v>
      </c>
      <c r="H22" s="10"/>
      <c r="I22" s="10">
        <f t="shared" si="5"/>
        <v>703.24093467121679</v>
      </c>
      <c r="J22" s="10">
        <f t="shared" si="3"/>
        <v>10383473628.322212</v>
      </c>
      <c r="K22" s="11">
        <f t="shared" si="4"/>
        <v>6.6813519999999738E-2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14180918.540714692</v>
      </c>
      <c r="D23" s="11">
        <v>3.7600000000000001E-2</v>
      </c>
      <c r="E23" s="10">
        <f t="shared" si="2"/>
        <v>513880.62560801208</v>
      </c>
      <c r="F23" s="3"/>
      <c r="G23" s="29">
        <v>1.85</v>
      </c>
      <c r="H23" s="10"/>
      <c r="I23" s="10">
        <f t="shared" si="5"/>
        <v>686.35656321610077</v>
      </c>
      <c r="J23" s="10">
        <f t="shared" si="3"/>
        <v>9733166512.8524189</v>
      </c>
      <c r="K23" s="11">
        <f t="shared" si="4"/>
        <v>5.6795599999999835E-2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13667037.91510668</v>
      </c>
      <c r="D24" s="11">
        <v>3.44E-2</v>
      </c>
      <c r="E24" s="10">
        <f t="shared" si="2"/>
        <v>454510.9283446148</v>
      </c>
      <c r="F24" s="3"/>
      <c r="G24" s="29">
        <v>0.32</v>
      </c>
      <c r="H24" s="10"/>
      <c r="I24" s="10">
        <f t="shared" si="5"/>
        <v>673.88960551409014</v>
      </c>
      <c r="J24" s="10">
        <f t="shared" si="3"/>
        <v>9210074789.1573544</v>
      </c>
      <c r="K24" s="11">
        <f t="shared" si="4"/>
        <v>3.771008000000009E-2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13212526.986762065</v>
      </c>
      <c r="D25" s="11">
        <v>3.2099999999999997E-2</v>
      </c>
      <c r="E25" s="10">
        <f t="shared" si="2"/>
        <v>410931.22398513928</v>
      </c>
      <c r="F25" s="3"/>
      <c r="G25" s="29">
        <v>2</v>
      </c>
      <c r="H25" s="10"/>
      <c r="I25" s="10">
        <f t="shared" si="5"/>
        <v>671.74003739442787</v>
      </c>
      <c r="J25" s="10">
        <f t="shared" si="3"/>
        <v>8875383372.1624374</v>
      </c>
      <c r="K25" s="11">
        <f t="shared" si="4"/>
        <v>5.2742000000000067E-2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12801595.762776926</v>
      </c>
      <c r="D26" s="11">
        <v>3.1099999999999999E-2</v>
      </c>
      <c r="E26" s="10">
        <f t="shared" si="2"/>
        <v>386121.25712575018</v>
      </c>
      <c r="F26" s="3"/>
      <c r="G26" s="29">
        <v>-0.44</v>
      </c>
      <c r="H26" s="10"/>
      <c r="I26" s="10">
        <f t="shared" si="5"/>
        <v>658.56866411218414</v>
      </c>
      <c r="J26" s="10">
        <f t="shared" si="3"/>
        <v>8430729819.9961967</v>
      </c>
      <c r="K26" s="11">
        <f t="shared" si="4"/>
        <v>2.6563159999999808E-2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12415474.505651176</v>
      </c>
      <c r="D27" s="11">
        <v>3.1399999999999997E-2</v>
      </c>
      <c r="E27" s="10">
        <f t="shared" si="2"/>
        <v>377977.40883987583</v>
      </c>
      <c r="F27" s="3"/>
      <c r="G27" s="29">
        <v>-1.31</v>
      </c>
      <c r="H27" s="10"/>
      <c r="I27" s="10">
        <f t="shared" si="5"/>
        <v>661.47917247105681</v>
      </c>
      <c r="J27" s="10">
        <f t="shared" si="3"/>
        <v>8212577801.833643</v>
      </c>
      <c r="K27" s="11">
        <f t="shared" si="4"/>
        <v>1.7888660000000112E-2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12037497.0968113</v>
      </c>
      <c r="D28" s="11">
        <v>3.2899999999999999E-2</v>
      </c>
      <c r="E28" s="10">
        <f t="shared" si="2"/>
        <v>383419.16398982517</v>
      </c>
      <c r="F28" s="3"/>
      <c r="G28" s="29">
        <v>0.96</v>
      </c>
      <c r="H28" s="10"/>
      <c r="I28" s="10">
        <f t="shared" si="5"/>
        <v>670.25957287572885</v>
      </c>
      <c r="J28" s="10">
        <f t="shared" si="3"/>
        <v>8068247662.6015682</v>
      </c>
      <c r="K28" s="11">
        <f t="shared" si="4"/>
        <v>4.2815840000000049E-2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11654077.932821475</v>
      </c>
      <c r="D29" s="11">
        <v>3.5099999999999999E-2</v>
      </c>
      <c r="E29" s="10">
        <f t="shared" si="2"/>
        <v>395187.06930927746</v>
      </c>
      <c r="F29" s="3"/>
      <c r="G29" s="29">
        <v>6.87</v>
      </c>
      <c r="H29" s="10"/>
      <c r="I29" s="10">
        <f t="shared" si="5"/>
        <v>663.88626473427973</v>
      </c>
      <c r="J29" s="10">
        <f t="shared" si="3"/>
        <v>7736982267.7430449</v>
      </c>
      <c r="K29" s="11">
        <f t="shared" si="4"/>
        <v>0.10621137000000003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11258890.863512198</v>
      </c>
      <c r="D30" s="11">
        <v>3.73E-2</v>
      </c>
      <c r="E30" s="10">
        <f t="shared" si="2"/>
        <v>404855.51837366819</v>
      </c>
      <c r="F30" s="3"/>
      <c r="G30" s="29">
        <v>0.09</v>
      </c>
      <c r="H30" s="10"/>
      <c r="I30" s="10">
        <f t="shared" si="5"/>
        <v>621.20919316391848</v>
      </c>
      <c r="J30" s="10">
        <f t="shared" si="3"/>
        <v>6994126509.2430258</v>
      </c>
      <c r="K30" s="11">
        <f t="shared" si="4"/>
        <v>3.823357000000005E-2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10854035.345138529</v>
      </c>
      <c r="D31" s="11">
        <v>3.9100000000000003E-2</v>
      </c>
      <c r="E31" s="10">
        <f t="shared" si="2"/>
        <v>408423.42603687383</v>
      </c>
      <c r="F31" s="3"/>
      <c r="G31" s="29">
        <v>6.35</v>
      </c>
      <c r="H31" s="10"/>
      <c r="I31" s="10">
        <f t="shared" si="5"/>
        <v>620.6506076170632</v>
      </c>
      <c r="J31" s="10">
        <f t="shared" si="3"/>
        <v>6736563632.0573082</v>
      </c>
      <c r="K31" s="11">
        <f t="shared" si="4"/>
        <v>0.10508284999999984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10445611.919101655</v>
      </c>
      <c r="D32" s="11">
        <v>4.0300000000000002E-2</v>
      </c>
      <c r="E32" s="10">
        <f t="shared" si="2"/>
        <v>404650.73569143191</v>
      </c>
      <c r="F32" s="3"/>
      <c r="G32" s="29">
        <v>7.72</v>
      </c>
      <c r="H32" s="10"/>
      <c r="I32" s="10">
        <f t="shared" si="5"/>
        <v>583.59248483033684</v>
      </c>
      <c r="J32" s="10">
        <f t="shared" si="3"/>
        <v>6095980615.4419184</v>
      </c>
      <c r="K32" s="11">
        <f t="shared" si="4"/>
        <v>0.12061115999999994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10040961.183410224</v>
      </c>
      <c r="D33" s="11">
        <v>4.0800000000000003E-2</v>
      </c>
      <c r="E33" s="10">
        <f t="shared" si="2"/>
        <v>393611.85269325227</v>
      </c>
      <c r="F33" s="3"/>
      <c r="G33" s="29">
        <v>6.82</v>
      </c>
      <c r="H33" s="10"/>
      <c r="I33" s="10">
        <f t="shared" si="5"/>
        <v>541.76799557216566</v>
      </c>
      <c r="J33" s="10">
        <f t="shared" si="3"/>
        <v>5439871413.9540777</v>
      </c>
      <c r="K33" s="11">
        <f t="shared" si="4"/>
        <v>0.1117825600000002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9647349.3307169713</v>
      </c>
      <c r="D34" s="11">
        <v>4.0800000000000003E-2</v>
      </c>
      <c r="E34" s="10">
        <f t="shared" si="2"/>
        <v>378182.02603117935</v>
      </c>
      <c r="F34" s="3"/>
      <c r="G34" s="29">
        <v>2.56</v>
      </c>
      <c r="H34" s="10"/>
      <c r="I34" s="10">
        <f t="shared" si="5"/>
        <v>507.1784268602936</v>
      </c>
      <c r="J34" s="10">
        <f t="shared" ref="J34:J65" si="6">IF(I34="","",I34*C34)</f>
        <v>4892927456.9247398</v>
      </c>
      <c r="K34" s="11">
        <f t="shared" ref="K34:K65" si="7">IFERROR(J34/J35-1,"")</f>
        <v>8.097487999999986E-2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9269167.304685792</v>
      </c>
      <c r="D35" s="11">
        <v>4.0500000000000001E-2</v>
      </c>
      <c r="E35" s="10">
        <f t="shared" si="2"/>
        <v>360789.30883207545</v>
      </c>
      <c r="F35" s="3"/>
      <c r="G35" s="29">
        <v>-0.53</v>
      </c>
      <c r="H35" s="10"/>
      <c r="I35" s="10">
        <f t="shared" ref="I35:I66" si="8">IF(H35&lt;&gt;"",H35,I34/(1+IF(G34="",0,G34)/100))</f>
        <v>488.32893015626189</v>
      </c>
      <c r="J35" s="10">
        <f t="shared" si="6"/>
        <v>4526402553.3366146</v>
      </c>
      <c r="K35" s="11">
        <f t="shared" si="7"/>
        <v>6.3078850000000131E-2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8908377.9958537165</v>
      </c>
      <c r="D36" s="11">
        <v>3.9800000000000002E-2</v>
      </c>
      <c r="E36" s="10">
        <f t="shared" si="2"/>
        <v>340982.34683110006</v>
      </c>
      <c r="F36" s="3"/>
      <c r="G36" s="29">
        <v>-4.98</v>
      </c>
      <c r="H36" s="10"/>
      <c r="I36" s="10">
        <f t="shared" si="8"/>
        <v>477.9572576649328</v>
      </c>
      <c r="J36" s="10">
        <f t="shared" si="6"/>
        <v>4257823917.1408725</v>
      </c>
      <c r="K36" s="11">
        <f t="shared" si="7"/>
        <v>3.7928359999999994E-2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8567395.6490226164</v>
      </c>
      <c r="D37" s="11">
        <v>3.8800000000000001E-2</v>
      </c>
      <c r="E37" s="10">
        <f t="shared" si="2"/>
        <v>319998.99035625439</v>
      </c>
      <c r="F37" s="3"/>
      <c r="G37" s="29">
        <v>-7.76</v>
      </c>
      <c r="H37" s="10"/>
      <c r="I37" s="10">
        <f t="shared" si="8"/>
        <v>478.81913210271767</v>
      </c>
      <c r="J37" s="10">
        <f t="shared" si="6"/>
        <v>4102232949.045609</v>
      </c>
      <c r="K37" s="11">
        <f t="shared" si="7"/>
        <v>1.3245520000000122E-2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8247396.6586663621</v>
      </c>
      <c r="D38" s="11">
        <v>3.7699999999999997E-2</v>
      </c>
      <c r="E38" s="10">
        <f t="shared" si="2"/>
        <v>299630.77385730203</v>
      </c>
      <c r="F38" s="3"/>
      <c r="G38" s="29">
        <v>-21.85</v>
      </c>
      <c r="H38" s="10"/>
      <c r="I38" s="10">
        <f t="shared" si="8"/>
        <v>490.89515286315117</v>
      </c>
      <c r="J38" s="10">
        <f t="shared" si="6"/>
        <v>4048607043.4790659</v>
      </c>
      <c r="K38" s="11">
        <f t="shared" si="7"/>
        <v>-0.15064254999999993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7947765.88480906</v>
      </c>
      <c r="D39" s="11">
        <v>3.6499999999999998E-2</v>
      </c>
      <c r="E39" s="10">
        <f t="shared" si="2"/>
        <v>279877.9110424798</v>
      </c>
      <c r="F39" s="3"/>
      <c r="G39" s="29">
        <v>13.47</v>
      </c>
      <c r="H39" s="10"/>
      <c r="I39" s="10">
        <f t="shared" si="8"/>
        <v>599.7497286049495</v>
      </c>
      <c r="J39" s="10">
        <f t="shared" si="6"/>
        <v>4766670432.4299097</v>
      </c>
      <c r="K39" s="11">
        <f t="shared" si="7"/>
        <v>0.17611654999999993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7667887.9737665802</v>
      </c>
      <c r="D40" s="11">
        <v>3.5400000000000001E-2</v>
      </c>
      <c r="E40" s="10">
        <f t="shared" si="2"/>
        <v>262162.67555663269</v>
      </c>
      <c r="F40" s="3"/>
      <c r="G40" s="29">
        <v>17.760000000000002</v>
      </c>
      <c r="H40" s="10"/>
      <c r="I40" s="10">
        <f t="shared" si="8"/>
        <v>528.5535635894505</v>
      </c>
      <c r="J40" s="10">
        <f t="shared" si="6"/>
        <v>4052889513.739017</v>
      </c>
      <c r="K40" s="11">
        <f t="shared" si="7"/>
        <v>0.21928704000000021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7405725.2982099475</v>
      </c>
      <c r="D41" s="11">
        <v>3.4299999999999997E-2</v>
      </c>
      <c r="E41" s="10">
        <f t="shared" si="2"/>
        <v>245592.55315537192</v>
      </c>
      <c r="F41" s="3"/>
      <c r="G41" s="29">
        <v>10.68</v>
      </c>
      <c r="H41" s="10"/>
      <c r="I41" s="10">
        <f t="shared" si="8"/>
        <v>448.8396429937589</v>
      </c>
      <c r="J41" s="10">
        <f t="shared" si="6"/>
        <v>3323983098.9584017</v>
      </c>
      <c r="K41" s="11">
        <f t="shared" si="7"/>
        <v>0.14476324000000007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7160132.7450545756</v>
      </c>
      <c r="D42" s="11">
        <v>3.3500000000000002E-2</v>
      </c>
      <c r="E42" s="10">
        <f t="shared" si="2"/>
        <v>232089.45037187077</v>
      </c>
      <c r="F42" s="3"/>
      <c r="G42" s="29">
        <v>-2.79</v>
      </c>
      <c r="H42" s="10"/>
      <c r="I42" s="10">
        <f>IF(H42&lt;&gt;"",H42,I41/(1+IF(G41="",0,G41)/100))</f>
        <v>405.52913172547784</v>
      </c>
      <c r="J42" s="10">
        <f t="shared" si="6"/>
        <v>2903642415.1411443</v>
      </c>
      <c r="K42" s="11">
        <f t="shared" si="7"/>
        <v>4.6653500000000125E-3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6928043.2946827048</v>
      </c>
      <c r="D43" s="11">
        <v>3.3000000000000002E-2</v>
      </c>
      <c r="E43" s="10">
        <f t="shared" si="2"/>
        <v>221321.80902664922</v>
      </c>
      <c r="F43" s="3"/>
      <c r="G43" s="29">
        <v>8.7799999999999994</v>
      </c>
      <c r="H43" s="10"/>
      <c r="I43" s="10">
        <f t="shared" si="8"/>
        <v>417.16812233872838</v>
      </c>
      <c r="J43" s="10">
        <f t="shared" si="6"/>
        <v>2890158812.7242017</v>
      </c>
      <c r="K43" s="11">
        <f t="shared" si="7"/>
        <v>0.12369740000000018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6706721.4856560556</v>
      </c>
      <c r="D44" s="11">
        <v>3.27E-2</v>
      </c>
      <c r="E44" s="10">
        <f t="shared" si="2"/>
        <v>212365.44260768127</v>
      </c>
      <c r="F44" s="3"/>
      <c r="G44" s="29">
        <v>7.05</v>
      </c>
      <c r="H44" s="10"/>
      <c r="I44" s="10">
        <f t="shared" si="8"/>
        <v>383.49707881846695</v>
      </c>
      <c r="J44" s="10">
        <f t="shared" si="6"/>
        <v>2572008098.1981459</v>
      </c>
      <c r="K44" s="11">
        <f t="shared" si="7"/>
        <v>0.10550535000000005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6494356.0430483744</v>
      </c>
      <c r="D45" s="11">
        <v>3.27E-2</v>
      </c>
      <c r="E45" s="10">
        <f t="shared" si="2"/>
        <v>205640.98248056695</v>
      </c>
      <c r="F45" s="3"/>
      <c r="G45" s="29">
        <v>5.17</v>
      </c>
      <c r="H45" s="10"/>
      <c r="I45" s="10">
        <f t="shared" si="8"/>
        <v>358.24108250207092</v>
      </c>
      <c r="J45" s="10">
        <f t="shared" si="6"/>
        <v>2326545139.0155153</v>
      </c>
      <c r="K45" s="11">
        <f t="shared" si="7"/>
        <v>8.6090589999999967E-2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6288715.0605678074</v>
      </c>
      <c r="D46" s="11">
        <v>3.2899999999999999E-2</v>
      </c>
      <c r="E46" s="10">
        <f t="shared" si="2"/>
        <v>200308.57342693396</v>
      </c>
      <c r="F46" s="3"/>
      <c r="G46" s="29">
        <v>5.68</v>
      </c>
      <c r="H46" s="10"/>
      <c r="I46" s="10">
        <f t="shared" si="8"/>
        <v>340.63048635739364</v>
      </c>
      <c r="J46" s="10">
        <f t="shared" si="6"/>
        <v>2142128069.6442785</v>
      </c>
      <c r="K46" s="11">
        <f t="shared" si="7"/>
        <v>9.1568719999999937E-2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6088406.4871408734</v>
      </c>
      <c r="D47" s="11">
        <v>3.3399999999999999E-2</v>
      </c>
      <c r="E47" s="10">
        <f t="shared" si="2"/>
        <v>196780.31417699438</v>
      </c>
      <c r="F47" s="3"/>
      <c r="G47" s="29">
        <v>3.06</v>
      </c>
      <c r="H47" s="10"/>
      <c r="I47" s="10">
        <f t="shared" si="8"/>
        <v>322.32256468337778</v>
      </c>
      <c r="J47" s="10">
        <f t="shared" si="6"/>
        <v>1962430793.7701612</v>
      </c>
      <c r="K47" s="11">
        <f t="shared" si="7"/>
        <v>6.5022040000000114E-2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5891626.1729638791</v>
      </c>
      <c r="D48" s="11">
        <v>3.4000000000000002E-2</v>
      </c>
      <c r="E48" s="10">
        <f t="shared" si="2"/>
        <v>193728.52019417007</v>
      </c>
      <c r="F48" s="3"/>
      <c r="G48" s="29">
        <v>-5.49</v>
      </c>
      <c r="H48" s="10"/>
      <c r="I48" s="10">
        <f t="shared" si="8"/>
        <v>312.75234298794663</v>
      </c>
      <c r="J48" s="10">
        <f t="shared" si="6"/>
        <v>1842619889.6035626</v>
      </c>
      <c r="K48" s="11">
        <f t="shared" si="7"/>
        <v>-2.276659999999997E-2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5697897.652769709</v>
      </c>
      <c r="D49" s="11">
        <v>3.4500000000000003E-2</v>
      </c>
      <c r="E49" s="10">
        <f t="shared" si="2"/>
        <v>190021.71969120856</v>
      </c>
      <c r="F49" s="3"/>
      <c r="G49" s="29">
        <v>0.38</v>
      </c>
      <c r="H49" s="10"/>
      <c r="I49" s="10">
        <f t="shared" si="8"/>
        <v>330.91984233197189</v>
      </c>
      <c r="J49" s="10">
        <f t="shared" si="6"/>
        <v>1885547392.8782649</v>
      </c>
      <c r="K49" s="11">
        <f t="shared" si="7"/>
        <v>3.8431100000000162E-2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5507875.9330785004</v>
      </c>
      <c r="D50" s="11">
        <v>3.4799999999999998E-2</v>
      </c>
      <c r="E50" s="10">
        <f t="shared" si="2"/>
        <v>185228.14309154544</v>
      </c>
      <c r="F50" s="3"/>
      <c r="G50" s="29">
        <v>0.12</v>
      </c>
      <c r="H50" s="10"/>
      <c r="I50" s="10">
        <f t="shared" si="8"/>
        <v>329.66710732414015</v>
      </c>
      <c r="J50" s="10">
        <f t="shared" si="6"/>
        <v>1815765526.3582385</v>
      </c>
      <c r="K50" s="11">
        <f t="shared" si="7"/>
        <v>3.6041759999999812E-2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5322647.789986955</v>
      </c>
      <c r="D51" s="11">
        <v>3.4799999999999998E-2</v>
      </c>
      <c r="E51" s="10">
        <f t="shared" si="2"/>
        <v>178998.9786350457</v>
      </c>
      <c r="F51" s="3"/>
      <c r="G51" s="29">
        <v>-0.38</v>
      </c>
      <c r="H51" s="10"/>
      <c r="I51" s="10">
        <f t="shared" si="8"/>
        <v>329.27198094700373</v>
      </c>
      <c r="J51" s="10">
        <f t="shared" si="6"/>
        <v>1752598781.6921961</v>
      </c>
      <c r="K51" s="11">
        <f t="shared" si="7"/>
        <v>3.08677599999998E-2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5143648.8113519093</v>
      </c>
      <c r="D52" s="11">
        <v>3.4500000000000003E-2</v>
      </c>
      <c r="E52" s="10">
        <f t="shared" si="2"/>
        <v>171537.8288947707</v>
      </c>
      <c r="F52" s="3"/>
      <c r="G52" s="29">
        <v>6.92</v>
      </c>
      <c r="H52" s="10"/>
      <c r="I52" s="10">
        <f t="shared" si="8"/>
        <v>330.52798729873894</v>
      </c>
      <c r="J52" s="10">
        <f t="shared" si="6"/>
        <v>1700119888.9876976</v>
      </c>
      <c r="K52" s="11">
        <f t="shared" si="7"/>
        <v>0.10608739999999983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4972110.9824571386</v>
      </c>
      <c r="D53" s="11">
        <v>3.39E-2</v>
      </c>
      <c r="E53" s="10">
        <f t="shared" si="2"/>
        <v>163027.91595444176</v>
      </c>
      <c r="F53" s="3"/>
      <c r="G53" s="29">
        <v>0.13</v>
      </c>
      <c r="H53" s="10"/>
      <c r="I53" s="10">
        <f t="shared" si="8"/>
        <v>309.13579058991672</v>
      </c>
      <c r="J53" s="10">
        <f t="shared" si="6"/>
        <v>1537057459.4626951</v>
      </c>
      <c r="K53" s="11">
        <f t="shared" si="7"/>
        <v>3.5244070000000072E-2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4809083.0665026968</v>
      </c>
      <c r="D54" s="11">
        <v>3.3099999999999997E-2</v>
      </c>
      <c r="E54" s="10">
        <f t="shared" si="2"/>
        <v>154080.58222944383</v>
      </c>
      <c r="F54" s="3"/>
      <c r="G54" s="29">
        <v>9.43</v>
      </c>
      <c r="H54" s="10"/>
      <c r="I54" s="10">
        <f t="shared" si="8"/>
        <v>308.73443582334636</v>
      </c>
      <c r="J54" s="10">
        <f t="shared" si="6"/>
        <v>1484729547.3643186</v>
      </c>
      <c r="K54" s="11">
        <f t="shared" si="7"/>
        <v>0.13052132999999988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4655002.484273253</v>
      </c>
      <c r="D55" s="11">
        <v>3.2399999999999998E-2</v>
      </c>
      <c r="E55" s="10">
        <f t="shared" si="2"/>
        <v>146088.80326467752</v>
      </c>
      <c r="F55" s="3"/>
      <c r="G55" s="29">
        <v>10.28</v>
      </c>
      <c r="H55" s="10"/>
      <c r="I55" s="10">
        <f t="shared" si="8"/>
        <v>282.12961329009079</v>
      </c>
      <c r="J55" s="10">
        <f t="shared" si="6"/>
        <v>1313314050.7524247</v>
      </c>
      <c r="K55" s="11">
        <f t="shared" si="7"/>
        <v>0.13853071999999989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4508913.6810085755</v>
      </c>
      <c r="D56" s="11">
        <v>3.1800000000000002E-2</v>
      </c>
      <c r="E56" s="10">
        <f t="shared" si="2"/>
        <v>138964.3875325378</v>
      </c>
      <c r="F56" s="3"/>
      <c r="G56" s="29">
        <v>4.55</v>
      </c>
      <c r="H56" s="10"/>
      <c r="I56" s="10">
        <f t="shared" si="8"/>
        <v>255.83026232325969</v>
      </c>
      <c r="J56" s="10">
        <f t="shared" si="6"/>
        <v>1153516569.8053584</v>
      </c>
      <c r="K56" s="11">
        <f t="shared" si="7"/>
        <v>7.8746900000000064E-2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4369949.2934760377</v>
      </c>
      <c r="D57" s="11">
        <v>3.1600000000000003E-2</v>
      </c>
      <c r="E57" s="10">
        <f t="shared" si="2"/>
        <v>133860.40875711851</v>
      </c>
      <c r="F57" s="3"/>
      <c r="G57" s="30">
        <v>6.48</v>
      </c>
      <c r="H57" s="10"/>
      <c r="I57" s="10">
        <f t="shared" si="8"/>
        <v>244.69656845840237</v>
      </c>
      <c r="J57" s="10">
        <f t="shared" si="6"/>
        <v>1069311596.4508063</v>
      </c>
      <c r="K57" s="11">
        <f t="shared" si="7"/>
        <v>9.8447680000000037E-2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4236088.8847189192</v>
      </c>
      <c r="D58" s="11">
        <v>3.1699999999999999E-2</v>
      </c>
      <c r="E58" s="10">
        <f t="shared" si="2"/>
        <v>130158.00876765558</v>
      </c>
      <c r="F58" s="3"/>
      <c r="G58" s="30">
        <v>3.64</v>
      </c>
      <c r="H58" s="10"/>
      <c r="I58" s="10">
        <f t="shared" si="8"/>
        <v>229.80519201577985</v>
      </c>
      <c r="J58" s="10">
        <f t="shared" si="6"/>
        <v>973475219.54874194</v>
      </c>
      <c r="K58" s="11">
        <f t="shared" si="7"/>
        <v>6.925387999999999E-2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4105930.8759512636</v>
      </c>
      <c r="D59" s="11">
        <v>3.2199999999999999E-2</v>
      </c>
      <c r="E59" s="10">
        <f t="shared" si="2"/>
        <v>128086.58613217482</v>
      </c>
      <c r="F59" s="3"/>
      <c r="G59" s="30">
        <v>3.82</v>
      </c>
      <c r="H59" s="10"/>
      <c r="I59" s="10">
        <f t="shared" si="8"/>
        <v>221.73407180218049</v>
      </c>
      <c r="J59" s="10">
        <f t="shared" si="6"/>
        <v>910424771.66296732</v>
      </c>
      <c r="K59" s="11">
        <f t="shared" si="7"/>
        <v>7.1630040000000061E-2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3977844.2898190888</v>
      </c>
      <c r="D60" s="11">
        <v>3.3099999999999997E-2</v>
      </c>
      <c r="E60" s="10">
        <f t="shared" si="2"/>
        <v>127448.11343820672</v>
      </c>
      <c r="F60" s="3"/>
      <c r="G60" s="30">
        <v>3.62</v>
      </c>
      <c r="H60" s="10"/>
      <c r="I60" s="10">
        <f t="shared" si="8"/>
        <v>213.57548815467203</v>
      </c>
      <c r="J60" s="10">
        <f t="shared" si="6"/>
        <v>849570036.00138652</v>
      </c>
      <c r="K60" s="11">
        <f t="shared" si="7"/>
        <v>7.0498219999999723E-2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3850396.176380882</v>
      </c>
      <c r="D61" s="11">
        <v>3.4200000000000001E-2</v>
      </c>
      <c r="E61" s="10">
        <f t="shared" si="2"/>
        <v>127328.9008240439</v>
      </c>
      <c r="F61" s="3"/>
      <c r="G61" s="30">
        <v>3.8</v>
      </c>
      <c r="H61" s="10"/>
      <c r="I61" s="10">
        <f t="shared" si="8"/>
        <v>206.1141557176916</v>
      </c>
      <c r="J61" s="10">
        <f t="shared" si="6"/>
        <v>793621157.07337344</v>
      </c>
      <c r="K61" s="11">
        <f t="shared" si="7"/>
        <v>7.3499600000000109E-2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3723067.2755568381</v>
      </c>
      <c r="D62" s="11">
        <v>3.5000000000000003E-2</v>
      </c>
      <c r="E62" s="10">
        <f t="shared" si="2"/>
        <v>125900.82574346755</v>
      </c>
      <c r="F62" s="3"/>
      <c r="G62" s="30">
        <v>3.61</v>
      </c>
      <c r="H62" s="10"/>
      <c r="I62" s="10">
        <f t="shared" si="8"/>
        <v>198.56855078775683</v>
      </c>
      <c r="J62" s="10">
        <f t="shared" si="6"/>
        <v>739284073.39264345</v>
      </c>
      <c r="K62" s="11">
        <f t="shared" si="7"/>
        <v>7.2363500000000025E-2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3597166.4498133706</v>
      </c>
      <c r="D63" s="11">
        <v>3.5400000000000001E-2</v>
      </c>
      <c r="E63" s="10">
        <f t="shared" si="2"/>
        <v>122985.98833628884</v>
      </c>
      <c r="F63" s="3"/>
      <c r="G63" s="30">
        <v>3.8</v>
      </c>
      <c r="H63" s="10"/>
      <c r="I63" s="10">
        <f t="shared" si="8"/>
        <v>191.64998628294259</v>
      </c>
      <c r="J63" s="10">
        <f t="shared" si="6"/>
        <v>689396900.76419377</v>
      </c>
      <c r="K63" s="11">
        <f t="shared" si="7"/>
        <v>7.4745200000000178E-2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3474180.4614770818</v>
      </c>
      <c r="D64" s="11">
        <v>3.5099999999999999E-2</v>
      </c>
      <c r="E64" s="10">
        <f t="shared" si="2"/>
        <v>117808.65056308126</v>
      </c>
      <c r="F64" s="3"/>
      <c r="G64" s="30">
        <v>3.59</v>
      </c>
      <c r="H64" s="10"/>
      <c r="I64" s="10">
        <f t="shared" si="8"/>
        <v>184.63389815312388</v>
      </c>
      <c r="J64" s="10">
        <f t="shared" si="6"/>
        <v>641451481.48993242</v>
      </c>
      <c r="K64" s="11">
        <f t="shared" si="7"/>
        <v>7.226009000000011E-2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3356371.8109140005</v>
      </c>
      <c r="D65" s="11">
        <v>3.3799999999999997E-2</v>
      </c>
      <c r="E65" s="10">
        <f t="shared" si="2"/>
        <v>109736.28091400024</v>
      </c>
      <c r="F65" s="3"/>
      <c r="G65" s="30">
        <v>3.59</v>
      </c>
      <c r="H65" s="10"/>
      <c r="I65" s="10">
        <f t="shared" si="8"/>
        <v>178.2352525853112</v>
      </c>
      <c r="J65" s="10">
        <f t="shared" si="6"/>
        <v>598223777.4884752</v>
      </c>
      <c r="K65" s="11">
        <f t="shared" si="7"/>
        <v>7.0913420000000116E-2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3246635.5300000003</v>
      </c>
      <c r="D66" s="11">
        <v>3.1300000000000001E-2</v>
      </c>
      <c r="E66" s="10">
        <f t="shared" si="2"/>
        <v>98535.530000000261</v>
      </c>
      <c r="F66" s="23">
        <f>SUM(F2)</f>
        <v>30764253</v>
      </c>
      <c r="G66" s="30">
        <v>3.79</v>
      </c>
      <c r="H66" s="10"/>
      <c r="I66" s="10">
        <f t="shared" si="8"/>
        <v>172.05835754929163</v>
      </c>
      <c r="J66" s="10">
        <f t="shared" ref="J66:J67" si="9">IF(I66="","",I66*C66)</f>
        <v>558610776.85297394</v>
      </c>
      <c r="K66" s="11">
        <f t="shared" ref="K66" si="10">IFERROR(J66/J67-1,"")</f>
        <v>7.0386269999999973E-2</v>
      </c>
    </row>
    <row r="67" spans="1:11" ht="22.5" customHeight="1">
      <c r="A67" s="3">
        <f t="shared" si="0"/>
        <v>1950</v>
      </c>
      <c r="B67" s="3">
        <v>1700</v>
      </c>
      <c r="C67" s="10">
        <v>3148100</v>
      </c>
      <c r="D67" s="11">
        <v>2.7400000000000001E-2</v>
      </c>
      <c r="E67" s="3" t="s">
        <v>72</v>
      </c>
      <c r="F67" s="10">
        <f>SUM(C2)</f>
        <v>30764064.853330579</v>
      </c>
      <c r="G67" s="30">
        <v>3.61</v>
      </c>
      <c r="H67" s="10"/>
      <c r="I67" s="10">
        <f t="shared" ref="I67" si="11">IF(H67&lt;&gt;"",H67,I66/(1+IF(G66="",0,G66)/100))</f>
        <v>165.77546733721132</v>
      </c>
      <c r="J67" s="10">
        <f t="shared" si="9"/>
        <v>521877748.72427499</v>
      </c>
      <c r="K67" s="11"/>
    </row>
  </sheetData>
  <dataValidations count="1">
    <dataValidation type="custom" allowBlank="1" showDropDown="1" sqref="D2:D67" xr:uid="{00000000-0002-0000-9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M67"/>
  <sheetViews>
    <sheetView workbookViewId="0">
      <selection activeCell="I58" sqref="I5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85678302.344146222</v>
      </c>
      <c r="D2" s="11">
        <v>-4.1999999999999997E-3</v>
      </c>
      <c r="E2" s="10">
        <f t="shared" ref="E2:E66" si="2">SUM(C2-C3)</f>
        <v>-361366.60960575938</v>
      </c>
      <c r="F2" s="14">
        <v>85678806</v>
      </c>
      <c r="G2" s="29">
        <v>5.81</v>
      </c>
      <c r="H2" s="10"/>
      <c r="I2" s="10">
        <f>IF(H2&lt;&gt;"",H2,89840)</f>
        <v>11230</v>
      </c>
      <c r="J2" s="10">
        <f t="shared" ref="J2:J17" si="3">IF(I2="","",I2*C2)</f>
        <v>962167335324.76208</v>
      </c>
      <c r="K2" s="11">
        <f t="shared" ref="K2:K18" si="4">IFERROR(J2/J3-1,"")</f>
        <v>5.3655980000000048E-2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86039668.953751981</v>
      </c>
      <c r="D3" s="11">
        <v>-8.0000000000000004E-4</v>
      </c>
      <c r="E3" s="10">
        <f t="shared" si="2"/>
        <v>-68886.844638720155</v>
      </c>
      <c r="F3" s="3"/>
      <c r="G3" s="29">
        <v>4.5999999999999996</v>
      </c>
      <c r="H3" s="10"/>
      <c r="I3" s="10">
        <f t="shared" ref="I3:I17" si="5">IF(H3&lt;&gt;"",H3,I2/(1+IF(G2="",0,G2)/100))</f>
        <v>10613.363576221529</v>
      </c>
      <c r="J3" s="10">
        <f t="shared" si="3"/>
        <v>913170288583.90955</v>
      </c>
      <c r="K3" s="11">
        <f t="shared" si="4"/>
        <v>4.5163199999999959E-2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86108555.798390701</v>
      </c>
      <c r="D4" s="11">
        <v>1.6000000000000001E-3</v>
      </c>
      <c r="E4" s="10">
        <f t="shared" si="2"/>
        <v>137553.6035118103</v>
      </c>
      <c r="F4" s="3"/>
      <c r="G4" s="29">
        <v>8.49</v>
      </c>
      <c r="H4" s="10"/>
      <c r="I4" s="10">
        <f t="shared" si="5"/>
        <v>10146.619097726127</v>
      </c>
      <c r="J4" s="10">
        <f t="shared" si="3"/>
        <v>873710716741.56689</v>
      </c>
      <c r="K4" s="11">
        <f t="shared" si="4"/>
        <v>8.663584000000002E-2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85971002.194878891</v>
      </c>
      <c r="D5" s="11">
        <v>3.0000000000000001E-3</v>
      </c>
      <c r="E5" s="10">
        <f t="shared" si="2"/>
        <v>257141.58183911443</v>
      </c>
      <c r="F5" s="3"/>
      <c r="G5" s="29">
        <v>4.8099999999999996</v>
      </c>
      <c r="H5" s="10"/>
      <c r="I5" s="10">
        <f t="shared" si="5"/>
        <v>9352.5846600849181</v>
      </c>
      <c r="J5" s="10">
        <f t="shared" si="3"/>
        <v>804051076339.95117</v>
      </c>
      <c r="K5" s="11">
        <f t="shared" si="4"/>
        <v>5.124430000000002E-2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85713860.613039777</v>
      </c>
      <c r="D6" s="11">
        <v>3.3999999999999998E-3</v>
      </c>
      <c r="E6" s="10">
        <f t="shared" si="2"/>
        <v>290439.63133779168</v>
      </c>
      <c r="F6" s="3"/>
      <c r="G6" s="31">
        <v>2.2000000000000002</v>
      </c>
      <c r="H6" s="10"/>
      <c r="I6" s="10">
        <f t="shared" si="5"/>
        <v>8923.3705372435052</v>
      </c>
      <c r="J6" s="10">
        <f t="shared" si="3"/>
        <v>764856538427.79565</v>
      </c>
      <c r="K6" s="11">
        <f t="shared" si="4"/>
        <v>2.547480000000002E-2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85423420.981701985</v>
      </c>
      <c r="D7" s="11">
        <v>3.2000000000000002E-3</v>
      </c>
      <c r="E7" s="10">
        <f t="shared" si="2"/>
        <v>272483.00153653324</v>
      </c>
      <c r="F7" s="3"/>
      <c r="G7" s="29">
        <v>8.5399999999999991</v>
      </c>
      <c r="H7" s="10"/>
      <c r="I7" s="10">
        <f t="shared" si="5"/>
        <v>8731.2823260699661</v>
      </c>
      <c r="J7" s="10">
        <f t="shared" si="3"/>
        <v>745856005849.96887</v>
      </c>
      <c r="K7" s="11">
        <f t="shared" si="4"/>
        <v>8.8873280000000054E-2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85150937.980165452</v>
      </c>
      <c r="D8" s="11">
        <v>2.8E-3</v>
      </c>
      <c r="E8" s="10">
        <f t="shared" si="2"/>
        <v>237756.90700484812</v>
      </c>
      <c r="F8" s="3"/>
      <c r="G8" s="29">
        <v>3.2</v>
      </c>
      <c r="H8" s="10"/>
      <c r="I8" s="10">
        <f t="shared" si="5"/>
        <v>8044.2991764049812</v>
      </c>
      <c r="J8" s="10">
        <f t="shared" si="3"/>
        <v>684979620263.95654</v>
      </c>
      <c r="K8" s="11">
        <f t="shared" si="4"/>
        <v>3.4889600000000076E-2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84913181.073160604</v>
      </c>
      <c r="D9" s="11">
        <v>2.8E-3</v>
      </c>
      <c r="E9" s="10">
        <f t="shared" si="2"/>
        <v>237093.04647471011</v>
      </c>
      <c r="F9" s="3"/>
      <c r="G9" s="29">
        <v>0.92</v>
      </c>
      <c r="H9" s="10"/>
      <c r="I9" s="10">
        <f t="shared" si="5"/>
        <v>7794.8635430280819</v>
      </c>
      <c r="J9" s="10">
        <f t="shared" si="3"/>
        <v>661886659469.72168</v>
      </c>
      <c r="K9" s="11">
        <f t="shared" si="4"/>
        <v>1.2025759999999774E-2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84676088.026685894</v>
      </c>
      <c r="D10" s="11">
        <v>3.3E-3</v>
      </c>
      <c r="E10" s="10">
        <f t="shared" si="2"/>
        <v>278512.00088514388</v>
      </c>
      <c r="F10" s="3"/>
      <c r="G10" s="29">
        <v>5.1100000000000003</v>
      </c>
      <c r="H10" s="10"/>
      <c r="I10" s="10">
        <f t="shared" si="5"/>
        <v>7723.8045412485944</v>
      </c>
      <c r="J10" s="10">
        <f t="shared" si="3"/>
        <v>654021553235.68225</v>
      </c>
      <c r="K10" s="11">
        <f t="shared" si="4"/>
        <v>5.4568629999999896E-2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84397576.02580075</v>
      </c>
      <c r="D11" s="11">
        <v>4.4000000000000003E-3</v>
      </c>
      <c r="E11" s="10">
        <f t="shared" si="2"/>
        <v>369722.55527032912</v>
      </c>
      <c r="F11" s="3"/>
      <c r="G11" s="29">
        <v>7.07</v>
      </c>
      <c r="H11" s="10"/>
      <c r="I11" s="10">
        <f t="shared" si="5"/>
        <v>7348.3060995610267</v>
      </c>
      <c r="J11" s="10">
        <f t="shared" si="3"/>
        <v>620179222698.55713</v>
      </c>
      <c r="K11" s="11">
        <f t="shared" si="4"/>
        <v>7.5411079999999853E-2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84027853.470530421</v>
      </c>
      <c r="D12" s="11">
        <v>4.3E-3</v>
      </c>
      <c r="E12" s="10">
        <f t="shared" si="2"/>
        <v>359772.74711070955</v>
      </c>
      <c r="F12" s="3"/>
      <c r="G12" s="29">
        <v>3.2</v>
      </c>
      <c r="H12" s="10"/>
      <c r="I12" s="10">
        <f t="shared" si="5"/>
        <v>6863.0859246857444</v>
      </c>
      <c r="J12" s="10">
        <f t="shared" si="3"/>
        <v>576690378435.15356</v>
      </c>
      <c r="K12" s="11">
        <f t="shared" si="4"/>
        <v>3.6437600000000181E-2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83668080.723419711</v>
      </c>
      <c r="D13" s="11">
        <v>5.4999999999999997E-3</v>
      </c>
      <c r="E13" s="10">
        <f t="shared" si="2"/>
        <v>457657.32867112756</v>
      </c>
      <c r="F13" s="3"/>
      <c r="G13" s="29">
        <v>4.2</v>
      </c>
      <c r="H13" s="10"/>
      <c r="I13" s="10">
        <f t="shared" si="5"/>
        <v>6650.2770588040157</v>
      </c>
      <c r="J13" s="10">
        <f t="shared" si="3"/>
        <v>556415917789.12061</v>
      </c>
      <c r="K13" s="11">
        <f t="shared" si="4"/>
        <v>4.7731000000000412E-2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83210423.394748583</v>
      </c>
      <c r="D14" s="11">
        <v>6.4999999999999997E-3</v>
      </c>
      <c r="E14" s="10">
        <f t="shared" si="2"/>
        <v>537374.815763399</v>
      </c>
      <c r="F14" s="3"/>
      <c r="G14" s="29">
        <v>5.8</v>
      </c>
      <c r="H14" s="10"/>
      <c r="I14" s="10">
        <f t="shared" si="5"/>
        <v>6382.2236648790931</v>
      </c>
      <c r="J14" s="10">
        <f t="shared" si="3"/>
        <v>531067533354.5733</v>
      </c>
      <c r="K14" s="11">
        <f t="shared" si="4"/>
        <v>6.4877000000000073E-2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82673048.578985184</v>
      </c>
      <c r="D15" s="11">
        <v>7.7999999999999996E-3</v>
      </c>
      <c r="E15" s="10">
        <f t="shared" si="2"/>
        <v>639858.87965478003</v>
      </c>
      <c r="F15" s="3"/>
      <c r="G15" s="29">
        <v>2.44</v>
      </c>
      <c r="H15" s="10"/>
      <c r="I15" s="10">
        <f t="shared" si="5"/>
        <v>6032.3475093375164</v>
      </c>
      <c r="J15" s="10">
        <f t="shared" si="3"/>
        <v>498712558684.78076</v>
      </c>
      <c r="K15" s="11">
        <f t="shared" si="4"/>
        <v>3.2390319999999972E-2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82033189.699330404</v>
      </c>
      <c r="D16" s="11">
        <v>8.3999999999999995E-3</v>
      </c>
      <c r="E16" s="10">
        <f t="shared" si="2"/>
        <v>683338.74799124897</v>
      </c>
      <c r="F16" s="3"/>
      <c r="G16" s="29">
        <v>3.92</v>
      </c>
      <c r="H16" s="10"/>
      <c r="I16" s="10">
        <f t="shared" si="5"/>
        <v>5888.6641051713359</v>
      </c>
      <c r="J16" s="10">
        <f t="shared" si="3"/>
        <v>483065899615.1579</v>
      </c>
      <c r="K16" s="11">
        <f t="shared" si="4"/>
        <v>4.7929279999999963E-2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81349850.951339155</v>
      </c>
      <c r="D17" s="11">
        <v>9.6999999999999986E-3</v>
      </c>
      <c r="E17" s="10">
        <f t="shared" si="2"/>
        <v>781512.87929879129</v>
      </c>
      <c r="F17" s="3"/>
      <c r="G17" s="29">
        <v>1.2</v>
      </c>
      <c r="I17" s="10">
        <f t="shared" si="5"/>
        <v>5666.5358979708781</v>
      </c>
      <c r="J17" s="10">
        <f t="shared" si="3"/>
        <v>460971850710.34369</v>
      </c>
      <c r="K17" s="11">
        <f t="shared" si="4"/>
        <v>2.1816400000000069E-2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80568338.072040364</v>
      </c>
      <c r="D18" s="11">
        <v>9.6999999999999986E-3</v>
      </c>
      <c r="E18" s="10">
        <f t="shared" si="2"/>
        <v>774005.03050291538</v>
      </c>
      <c r="F18" s="3"/>
      <c r="G18" s="29">
        <v>-3.05</v>
      </c>
      <c r="H18" s="10"/>
      <c r="I18" s="10">
        <f t="shared" ref="I18:I49" si="6">IF(H18&lt;&gt;"",H18,I17/(1+IF(G17="",0,G17)/100))</f>
        <v>5599.3437726984957</v>
      </c>
      <c r="J18" s="10">
        <f t="shared" ref="J18:J49" si="7">IF(I18="","",I18*C18)</f>
        <v>451129822060.34631</v>
      </c>
      <c r="K18" s="11">
        <f t="shared" si="4"/>
        <v>-2.1095850000000027E-2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79794333.041537449</v>
      </c>
      <c r="D19" s="11">
        <v>9.5999999999999992E-3</v>
      </c>
      <c r="E19" s="10">
        <f t="shared" si="2"/>
        <v>758741.67709861696</v>
      </c>
      <c r="F19" s="3"/>
      <c r="G19" s="29">
        <v>-5.46</v>
      </c>
      <c r="H19" s="10"/>
      <c r="I19" s="10">
        <f t="shared" si="6"/>
        <v>5775.4964133042758</v>
      </c>
      <c r="J19" s="10">
        <f t="shared" si="7"/>
        <v>460851884283.40643</v>
      </c>
      <c r="K19" s="11">
        <f t="shared" ref="K19:K49" si="8">IFERROR(J19/J20-1,"")</f>
        <v>-4.5524159999999925E-2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79035591.364438832</v>
      </c>
      <c r="D20" s="11">
        <v>9.4999999999999998E-3</v>
      </c>
      <c r="E20" s="10">
        <f t="shared" si="2"/>
        <v>743772.28128992021</v>
      </c>
      <c r="F20" s="3"/>
      <c r="G20" s="29">
        <v>-3.05</v>
      </c>
      <c r="H20" s="10"/>
      <c r="I20" s="10">
        <f t="shared" si="6"/>
        <v>6109.0505746819081</v>
      </c>
      <c r="J20" s="10">
        <f t="shared" si="7"/>
        <v>482832424845.24951</v>
      </c>
      <c r="K20" s="11">
        <f t="shared" si="8"/>
        <v>-2.1289749999999996E-2</v>
      </c>
      <c r="L20" t="s">
        <v>144</v>
      </c>
      <c r="M20" t="s">
        <v>115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78291819.083148912</v>
      </c>
      <c r="D21" s="11">
        <v>9.3999999999999986E-3</v>
      </c>
      <c r="E21" s="10">
        <f t="shared" si="2"/>
        <v>729089.65660947561</v>
      </c>
      <c r="F21" s="3"/>
      <c r="G21" s="29">
        <v>7.16</v>
      </c>
      <c r="H21" s="10"/>
      <c r="I21" s="10">
        <f t="shared" si="6"/>
        <v>6301.2383441793791</v>
      </c>
      <c r="J21" s="10">
        <f t="shared" si="7"/>
        <v>493335412442.29279</v>
      </c>
      <c r="K21" s="11">
        <f t="shared" si="8"/>
        <v>8.1673040000000308E-2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77562729.426539436</v>
      </c>
      <c r="D22" s="11">
        <v>9.2999999999999992E-3</v>
      </c>
      <c r="E22" s="10">
        <f t="shared" si="2"/>
        <v>714686.79645974934</v>
      </c>
      <c r="F22" s="3"/>
      <c r="G22" s="29">
        <v>7.88</v>
      </c>
      <c r="H22" s="10"/>
      <c r="I22" s="10">
        <f t="shared" si="6"/>
        <v>5880.2149535081917</v>
      </c>
      <c r="J22" s="10">
        <f t="shared" si="7"/>
        <v>456085521408.84705</v>
      </c>
      <c r="K22" s="11">
        <f t="shared" si="8"/>
        <v>8.8832840000000024E-2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76848042.630079687</v>
      </c>
      <c r="D23" s="11">
        <v>9.1999999999999998E-3</v>
      </c>
      <c r="E23" s="10">
        <f t="shared" si="2"/>
        <v>700556.86900192499</v>
      </c>
      <c r="F23" s="3"/>
      <c r="G23" s="29">
        <v>4.2</v>
      </c>
      <c r="H23" s="10"/>
      <c r="I23" s="10">
        <f t="shared" si="6"/>
        <v>5450.6998085912046</v>
      </c>
      <c r="J23" s="10">
        <f t="shared" si="7"/>
        <v>418875611254.38409</v>
      </c>
      <c r="K23" s="11">
        <f t="shared" si="8"/>
        <v>5.1586400000000365E-2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76147485.761077762</v>
      </c>
      <c r="D24" s="11">
        <v>8.7999999999999988E-3</v>
      </c>
      <c r="E24" s="10">
        <f t="shared" si="2"/>
        <v>664252.45311011374</v>
      </c>
      <c r="F24" s="3"/>
      <c r="G24" s="29">
        <v>7.65</v>
      </c>
      <c r="H24" s="10"/>
      <c r="I24" s="10">
        <f t="shared" si="6"/>
        <v>5230.9978969205413</v>
      </c>
      <c r="J24" s="10">
        <f t="shared" si="7"/>
        <v>398327337871.98462</v>
      </c>
      <c r="K24" s="11">
        <f t="shared" si="8"/>
        <v>8.5973200000000194E-2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75483233.307967648</v>
      </c>
      <c r="D25" s="11">
        <v>8.199999999999999E-3</v>
      </c>
      <c r="E25" s="10">
        <f t="shared" si="2"/>
        <v>613928.30105666816</v>
      </c>
      <c r="F25" s="3"/>
      <c r="G25" s="29">
        <v>5.04</v>
      </c>
      <c r="H25" s="10"/>
      <c r="I25" s="10">
        <f t="shared" si="6"/>
        <v>4859.2641866423974</v>
      </c>
      <c r="J25" s="10">
        <f t="shared" si="7"/>
        <v>366792972305.3797</v>
      </c>
      <c r="K25" s="11">
        <f t="shared" si="8"/>
        <v>5.9013279999999835E-2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74869305.00691098</v>
      </c>
      <c r="D26" s="11">
        <v>7.3999999999999986E-3</v>
      </c>
      <c r="E26" s="10">
        <f t="shared" si="2"/>
        <v>549963.12988996506</v>
      </c>
      <c r="F26" s="3"/>
      <c r="G26" s="29">
        <v>0.3</v>
      </c>
      <c r="H26" s="10"/>
      <c r="I26" s="10">
        <f t="shared" si="6"/>
        <v>4626.10832696344</v>
      </c>
      <c r="J26" s="10">
        <f t="shared" si="7"/>
        <v>346353515326.43646</v>
      </c>
      <c r="K26" s="11">
        <f t="shared" si="8"/>
        <v>1.0422200000000048E-2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74319341.877021015</v>
      </c>
      <c r="D27" s="11">
        <v>8.5000000000000006E-3</v>
      </c>
      <c r="E27" s="10">
        <f t="shared" si="2"/>
        <v>626390.09018807113</v>
      </c>
      <c r="F27" s="3"/>
      <c r="G27" s="29">
        <v>0.72</v>
      </c>
      <c r="H27" s="10"/>
      <c r="I27" s="10">
        <f>IF(H27&lt;&gt;"",H27,I26/(1+IF(G26="",0,G26)/100))</f>
        <v>4612.2715124261622</v>
      </c>
      <c r="J27" s="10">
        <f t="shared" si="7"/>
        <v>342780983361.64471</v>
      </c>
      <c r="K27" s="11">
        <f t="shared" si="8"/>
        <v>1.5761200000000031E-2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73692951.786832944</v>
      </c>
      <c r="D28" s="11">
        <v>8.8999999999999999E-3</v>
      </c>
      <c r="E28" s="10">
        <f t="shared" si="2"/>
        <v>650081.54515096545</v>
      </c>
      <c r="F28" s="3"/>
      <c r="G28" s="29">
        <v>5.3</v>
      </c>
      <c r="H28" s="10"/>
      <c r="I28" s="10">
        <f>IF(H28&lt;&gt;"",H28,I27/(1+IF(G27="",0,G27)/100))</f>
        <v>4579.3005484771265</v>
      </c>
      <c r="J28" s="10">
        <f t="shared" si="7"/>
        <v>337462174536.34253</v>
      </c>
      <c r="K28" s="11">
        <f t="shared" si="8"/>
        <v>6.2371699999999919E-2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73042870.241681978</v>
      </c>
      <c r="D29" s="11">
        <v>8.3999999999999995E-3</v>
      </c>
      <c r="E29" s="10">
        <f t="shared" si="2"/>
        <v>608449.1372769922</v>
      </c>
      <c r="F29" s="3"/>
      <c r="G29" s="29">
        <v>2.3199999999999998</v>
      </c>
      <c r="H29" s="10"/>
      <c r="I29" s="10">
        <f t="shared" si="6"/>
        <v>4348.8134363505478</v>
      </c>
      <c r="J29" s="10">
        <f t="shared" si="7"/>
        <v>317649815536.63617</v>
      </c>
      <c r="K29" s="11">
        <f t="shared" si="8"/>
        <v>3.1794880000000081E-2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72434421.104404986</v>
      </c>
      <c r="D30" s="11">
        <v>7.0000000000000001E-3</v>
      </c>
      <c r="E30" s="10">
        <f t="shared" si="2"/>
        <v>503516.33339704573</v>
      </c>
      <c r="F30" s="3"/>
      <c r="G30" s="29">
        <v>9.49</v>
      </c>
      <c r="H30" s="10"/>
      <c r="I30" s="10">
        <f t="shared" si="6"/>
        <v>4250.208596902411</v>
      </c>
      <c r="J30" s="10">
        <f t="shared" si="7"/>
        <v>307861399289.59149</v>
      </c>
      <c r="K30" s="11">
        <f t="shared" si="8"/>
        <v>0.10256429999999983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71930904.77100794</v>
      </c>
      <c r="D31" s="11">
        <v>5.7999999999999996E-3</v>
      </c>
      <c r="E31" s="10">
        <f t="shared" si="2"/>
        <v>414793.44568686187</v>
      </c>
      <c r="F31" s="3"/>
      <c r="G31" s="29">
        <v>7.01</v>
      </c>
      <c r="H31" s="10"/>
      <c r="I31" s="10">
        <f t="shared" si="6"/>
        <v>3881.8235427001655</v>
      </c>
      <c r="J31" s="10">
        <f t="shared" si="7"/>
        <v>279223079587.82227</v>
      </c>
      <c r="K31" s="11">
        <f t="shared" si="8"/>
        <v>7.6306580000000013E-2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71516111.325321078</v>
      </c>
      <c r="D32" s="11">
        <v>5.1000000000000004E-3</v>
      </c>
      <c r="E32" s="10">
        <f t="shared" si="2"/>
        <v>362881.47225067019</v>
      </c>
      <c r="F32" s="3"/>
      <c r="G32" s="29">
        <v>4.24</v>
      </c>
      <c r="H32" s="10"/>
      <c r="I32" s="10">
        <f t="shared" si="6"/>
        <v>3627.5334479956691</v>
      </c>
      <c r="J32" s="10">
        <f t="shared" si="7"/>
        <v>259427085903.18408</v>
      </c>
      <c r="K32" s="11">
        <f t="shared" si="8"/>
        <v>4.7716240000000187E-2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71153229.853070408</v>
      </c>
      <c r="D33" s="11">
        <v>4.8999999999999998E-3</v>
      </c>
      <c r="E33" s="10">
        <f t="shared" si="2"/>
        <v>346950.76751919091</v>
      </c>
      <c r="F33" s="3"/>
      <c r="G33" s="29">
        <v>6.71</v>
      </c>
      <c r="H33" s="10"/>
      <c r="I33" s="10">
        <f t="shared" si="6"/>
        <v>3479.9822026052084</v>
      </c>
      <c r="J33" s="10">
        <f t="shared" si="7"/>
        <v>247611973546.56262</v>
      </c>
      <c r="K33" s="11">
        <f t="shared" si="8"/>
        <v>7.232878999999981E-2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70806279.085551217</v>
      </c>
      <c r="D34" s="11">
        <v>5.0000000000000001E-3</v>
      </c>
      <c r="E34" s="10">
        <f t="shared" si="2"/>
        <v>352270.04520173371</v>
      </c>
      <c r="F34" s="3"/>
      <c r="G34" s="29">
        <v>3.67</v>
      </c>
      <c r="H34" s="10"/>
      <c r="I34" s="10">
        <f t="shared" si="6"/>
        <v>3261.158469314224</v>
      </c>
      <c r="J34" s="10">
        <f t="shared" si="7"/>
        <v>230910496720.47195</v>
      </c>
      <c r="K34" s="11">
        <f t="shared" si="8"/>
        <v>5.4948499999999845E-2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70454009.040349483</v>
      </c>
      <c r="D35" s="11">
        <v>5.1999999999999998E-3</v>
      </c>
      <c r="E35" s="10">
        <f t="shared" si="2"/>
        <v>364465.6257558912</v>
      </c>
      <c r="F35" s="3"/>
      <c r="G35" s="29">
        <v>0.86</v>
      </c>
      <c r="H35" s="10"/>
      <c r="I35" s="10">
        <f t="shared" si="6"/>
        <v>3106.7528525428443</v>
      </c>
      <c r="J35" s="10">
        <f t="shared" si="7"/>
        <v>218883193559.18509</v>
      </c>
      <c r="K35" s="11">
        <f t="shared" si="8"/>
        <v>4.0985120000000208E-2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70089543.414593592</v>
      </c>
      <c r="D36" s="11">
        <v>5.1999999999999998E-3</v>
      </c>
      <c r="E36" s="10">
        <f t="shared" si="2"/>
        <v>362580.20867080986</v>
      </c>
      <c r="F36" s="3"/>
      <c r="G36" s="29">
        <v>0.06</v>
      </c>
      <c r="H36" s="10"/>
      <c r="I36" s="10">
        <f t="shared" si="6"/>
        <v>2999.9544732935919</v>
      </c>
      <c r="J36" s="10">
        <f t="shared" si="7"/>
        <v>210265439297.71545</v>
      </c>
      <c r="K36" s="11">
        <f t="shared" si="8"/>
        <v>5.4052720000000054E-2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69726963.205922782</v>
      </c>
      <c r="D37" s="11">
        <v>5.1000000000000004E-3</v>
      </c>
      <c r="E37" s="10">
        <f t="shared" si="2"/>
        <v>353803.11645628512</v>
      </c>
      <c r="F37" s="3"/>
      <c r="G37" s="29">
        <v>-7.75</v>
      </c>
      <c r="H37" s="10"/>
      <c r="I37" s="10">
        <f t="shared" si="6"/>
        <v>2860.9140504421057</v>
      </c>
      <c r="J37" s="10">
        <f t="shared" si="7"/>
        <v>199482848730.48422</v>
      </c>
      <c r="K37" s="11">
        <f t="shared" si="8"/>
        <v>-1.9524949999999763E-2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69373160.089466497</v>
      </c>
      <c r="D38" s="11">
        <v>4.7999999999999996E-3</v>
      </c>
      <c r="E38" s="10">
        <f t="shared" si="2"/>
        <v>331400.44628725946</v>
      </c>
      <c r="F38" s="3"/>
      <c r="G38" s="29">
        <v>-4.32</v>
      </c>
      <c r="H38" s="10"/>
      <c r="I38" s="10">
        <f t="shared" si="6"/>
        <v>2932.76683797243</v>
      </c>
      <c r="J38" s="10">
        <f t="shared" si="7"/>
        <v>203455303355.73984</v>
      </c>
      <c r="K38" s="11">
        <f t="shared" si="8"/>
        <v>-1.4297600000000577E-3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69041759.643179238</v>
      </c>
      <c r="D39" s="11">
        <v>4.5999999999999999E-3</v>
      </c>
      <c r="E39" s="10">
        <f t="shared" si="2"/>
        <v>316137.86020168662</v>
      </c>
      <c r="F39" s="3"/>
      <c r="G39" s="29">
        <v>1.5</v>
      </c>
      <c r="H39" s="10"/>
      <c r="I39" s="10">
        <f t="shared" si="6"/>
        <v>2951.0634312461561</v>
      </c>
      <c r="J39" s="10">
        <f t="shared" si="7"/>
        <v>203746612111.87292</v>
      </c>
      <c r="K39" s="11">
        <f t="shared" si="8"/>
        <v>1.9668999999999714E-2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68725621.782977551</v>
      </c>
      <c r="D40" s="11">
        <v>4.7000000000000002E-3</v>
      </c>
      <c r="E40" s="10">
        <f t="shared" si="2"/>
        <v>321499.37531600893</v>
      </c>
      <c r="F40" s="3"/>
      <c r="G40" s="29">
        <v>3.41</v>
      </c>
      <c r="H40" s="10"/>
      <c r="I40" s="10">
        <f t="shared" si="6"/>
        <v>2907.4516564001542</v>
      </c>
      <c r="J40" s="10">
        <f t="shared" si="7"/>
        <v>199816422890.04861</v>
      </c>
      <c r="K40" s="11">
        <f t="shared" si="8"/>
        <v>3.8960270000000241E-2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68404122.407661542</v>
      </c>
      <c r="D41" s="11">
        <v>5.3E-3</v>
      </c>
      <c r="E41" s="10">
        <f t="shared" si="2"/>
        <v>360630.50707311928</v>
      </c>
      <c r="F41" s="3"/>
      <c r="G41" s="29">
        <v>10.46</v>
      </c>
      <c r="H41" s="10"/>
      <c r="I41" s="10">
        <f t="shared" si="6"/>
        <v>2811.5768846341302</v>
      </c>
      <c r="J41" s="10">
        <f t="shared" si="7"/>
        <v>192323449375.06473</v>
      </c>
      <c r="K41" s="11">
        <f t="shared" si="8"/>
        <v>0.11045438000000019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68043491.900588423</v>
      </c>
      <c r="D42" s="11">
        <v>6.4000000000000003E-3</v>
      </c>
      <c r="E42" s="10">
        <f t="shared" si="2"/>
        <v>432709.01049658656</v>
      </c>
      <c r="F42" s="3"/>
      <c r="G42" s="29">
        <v>-7.42</v>
      </c>
      <c r="H42" s="10"/>
      <c r="I42" s="10">
        <f t="shared" si="6"/>
        <v>2545.3348584411824</v>
      </c>
      <c r="J42" s="10">
        <f t="shared" si="7"/>
        <v>173193471824.62796</v>
      </c>
      <c r="K42" s="11">
        <f t="shared" si="8"/>
        <v>-6.8274880000000038E-2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67610782.890091836</v>
      </c>
      <c r="D43" s="11">
        <v>7.7999999999999996E-3</v>
      </c>
      <c r="E43" s="10">
        <f t="shared" si="2"/>
        <v>523282.50301916897</v>
      </c>
      <c r="F43" s="3"/>
      <c r="G43" s="29">
        <v>5.59</v>
      </c>
      <c r="H43" s="10"/>
      <c r="I43" s="10">
        <f t="shared" si="6"/>
        <v>2749.3355567521953</v>
      </c>
      <c r="J43" s="10">
        <f t="shared" si="7"/>
        <v>185884729419.58243</v>
      </c>
      <c r="K43" s="11">
        <f t="shared" si="8"/>
        <v>6.4136020000000071E-2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67087500.387072667</v>
      </c>
      <c r="D44" s="11">
        <v>9.2999999999999992E-3</v>
      </c>
      <c r="E44" s="10">
        <f t="shared" si="2"/>
        <v>618164.82076665014</v>
      </c>
      <c r="F44" s="3"/>
      <c r="G44" s="29">
        <v>3.26</v>
      </c>
      <c r="H44" s="10"/>
      <c r="I44" s="10">
        <f t="shared" si="6"/>
        <v>2603.7840295029787</v>
      </c>
      <c r="J44" s="10">
        <f t="shared" si="7"/>
        <v>174681362087.1347</v>
      </c>
      <c r="K44" s="11">
        <f t="shared" si="8"/>
        <v>4.2203179999999785E-2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66469335.566306017</v>
      </c>
      <c r="D45" s="11">
        <v>1.0699999999999999E-2</v>
      </c>
      <c r="E45" s="10">
        <f t="shared" si="2"/>
        <v>703692.38207130879</v>
      </c>
      <c r="F45" s="3"/>
      <c r="G45" s="29">
        <v>7.43</v>
      </c>
      <c r="H45" s="10"/>
      <c r="I45" s="10">
        <f t="shared" si="6"/>
        <v>2521.5805050387166</v>
      </c>
      <c r="J45" s="10">
        <f t="shared" si="7"/>
        <v>167607780746.87387</v>
      </c>
      <c r="K45" s="11">
        <f t="shared" si="8"/>
        <v>8.5795010000000005E-2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65765643.184234709</v>
      </c>
      <c r="D46" s="11">
        <v>1.18E-2</v>
      </c>
      <c r="E46" s="10">
        <f t="shared" si="2"/>
        <v>766984.17629370838</v>
      </c>
      <c r="F46" s="3"/>
      <c r="G46" s="29">
        <v>5.57</v>
      </c>
      <c r="H46" s="10"/>
      <c r="I46" s="10">
        <f t="shared" si="6"/>
        <v>2347.1846830854665</v>
      </c>
      <c r="J46" s="10">
        <f t="shared" si="7"/>
        <v>154364110355.2998</v>
      </c>
      <c r="K46" s="11">
        <f t="shared" si="8"/>
        <v>6.8157259999999775E-2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64998659.007941</v>
      </c>
      <c r="D47" s="11">
        <v>1.2699999999999999E-2</v>
      </c>
      <c r="E47" s="10">
        <f t="shared" si="2"/>
        <v>815130.8081374988</v>
      </c>
      <c r="F47" s="3"/>
      <c r="G47" s="29">
        <v>3.23</v>
      </c>
      <c r="H47" s="10"/>
      <c r="I47" s="10">
        <f t="shared" si="6"/>
        <v>2223.3444000051782</v>
      </c>
      <c r="J47" s="10">
        <f t="shared" si="7"/>
        <v>144514404513.15176</v>
      </c>
      <c r="K47" s="11">
        <f t="shared" si="8"/>
        <v>4.5410210000000006E-2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64183528.199803501</v>
      </c>
      <c r="D48" s="11">
        <v>1.34E-2</v>
      </c>
      <c r="E48" s="10">
        <f t="shared" si="2"/>
        <v>848686.87376886606</v>
      </c>
      <c r="F48" s="3"/>
      <c r="G48" s="29">
        <v>4.08</v>
      </c>
      <c r="H48" s="10"/>
      <c r="I48" s="10">
        <f t="shared" si="6"/>
        <v>2153.7773902985355</v>
      </c>
      <c r="J48" s="10">
        <f t="shared" si="7"/>
        <v>138237031866.32526</v>
      </c>
      <c r="K48" s="11">
        <f t="shared" si="8"/>
        <v>5.4746720000000249E-2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63334841.326034635</v>
      </c>
      <c r="D49" s="11">
        <v>1.4200000000000001E-2</v>
      </c>
      <c r="E49" s="10">
        <f t="shared" si="2"/>
        <v>886762.71625881642</v>
      </c>
      <c r="F49" s="3"/>
      <c r="G49" s="29">
        <v>6.78</v>
      </c>
      <c r="H49" s="10"/>
      <c r="I49" s="10">
        <f t="shared" si="6"/>
        <v>2069.3479922161177</v>
      </c>
      <c r="J49" s="10">
        <f t="shared" si="7"/>
        <v>131061826735.35617</v>
      </c>
      <c r="K49" s="11">
        <f t="shared" si="8"/>
        <v>8.2962760000000024E-2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62448078.609775819</v>
      </c>
      <c r="D50" s="11">
        <v>1.52E-2</v>
      </c>
      <c r="E50" s="10">
        <f t="shared" si="2"/>
        <v>934998.81291233003</v>
      </c>
      <c r="F50" s="3"/>
      <c r="G50" s="29">
        <v>4.7300000000000004</v>
      </c>
      <c r="H50" s="10"/>
      <c r="I50" s="10">
        <f t="shared" ref="I50:I67" si="9">IF(H50&lt;&gt;"",H50,I49/(1+IF(G49="",0,G49)/100))</f>
        <v>1937.9546658701233</v>
      </c>
      <c r="J50" s="10">
        <f t="shared" ref="J50:J67" si="10">IF(I50="","",I50*C50)</f>
        <v>121021545316.4393</v>
      </c>
      <c r="K50" s="11">
        <f t="shared" ref="K50:K66" si="11">IFERROR(J50/J51-1,"")</f>
        <v>6.3218959999999935E-2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61513079.796863489</v>
      </c>
      <c r="D51" s="11">
        <v>1.6400000000000001E-2</v>
      </c>
      <c r="E51" s="10">
        <f t="shared" si="2"/>
        <v>992536.90345194936</v>
      </c>
      <c r="F51" s="3"/>
      <c r="G51" s="29">
        <v>11.21</v>
      </c>
      <c r="H51" s="10"/>
      <c r="I51" s="10">
        <f t="shared" si="9"/>
        <v>1850.4293572711961</v>
      </c>
      <c r="J51" s="10">
        <f t="shared" si="10"/>
        <v>113825608712.28191</v>
      </c>
      <c r="K51" s="11">
        <f t="shared" si="11"/>
        <v>0.13033844000000006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60520542.893411539</v>
      </c>
      <c r="D52" s="11">
        <v>1.7899999999999999E-2</v>
      </c>
      <c r="E52" s="10">
        <f t="shared" si="2"/>
        <v>1064267.3325396106</v>
      </c>
      <c r="F52" s="3"/>
      <c r="G52" s="29">
        <v>2.82</v>
      </c>
      <c r="H52" s="10"/>
      <c r="I52" s="10">
        <f t="shared" si="9"/>
        <v>1663.9055456084848</v>
      </c>
      <c r="J52" s="10">
        <f t="shared" si="10"/>
        <v>100700466943.58363</v>
      </c>
      <c r="K52" s="11">
        <f t="shared" si="11"/>
        <v>4.6604780000000012E-2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59456275.560871929</v>
      </c>
      <c r="D53" s="11">
        <v>1.95E-2</v>
      </c>
      <c r="E53" s="10">
        <f t="shared" si="2"/>
        <v>1137221.5531505719</v>
      </c>
      <c r="F53" s="3"/>
      <c r="G53" s="29">
        <v>5.46</v>
      </c>
      <c r="H53" s="10"/>
      <c r="I53" s="10">
        <f t="shared" si="9"/>
        <v>1618.2703225136013</v>
      </c>
      <c r="J53" s="10">
        <f t="shared" si="10"/>
        <v>96216326227.349762</v>
      </c>
      <c r="K53" s="11">
        <f t="shared" si="11"/>
        <v>7.5164699999999973E-2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58319054.007721357</v>
      </c>
      <c r="D54" s="11">
        <v>2.0899999999999998E-2</v>
      </c>
      <c r="E54" s="10">
        <f t="shared" si="2"/>
        <v>1193915.3969648108</v>
      </c>
      <c r="F54" s="3"/>
      <c r="G54" s="29">
        <v>9.07</v>
      </c>
      <c r="H54" s="10"/>
      <c r="I54" s="10">
        <f t="shared" si="9"/>
        <v>1534.4873151086681</v>
      </c>
      <c r="J54" s="10">
        <f t="shared" si="10"/>
        <v>89489848603.985748</v>
      </c>
      <c r="K54" s="11">
        <f t="shared" si="11"/>
        <v>0.11349562999999985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57125138.610756546</v>
      </c>
      <c r="D55" s="11">
        <v>2.2100000000000002E-2</v>
      </c>
      <c r="E55" s="10">
        <f t="shared" si="2"/>
        <v>1235168.3429192081</v>
      </c>
      <c r="F55" s="3"/>
      <c r="G55" s="29">
        <v>5.57</v>
      </c>
      <c r="H55" s="10"/>
      <c r="I55" s="10">
        <f t="shared" si="9"/>
        <v>1406.883024762692</v>
      </c>
      <c r="J55" s="10">
        <f t="shared" si="10"/>
        <v>80368387798.689209</v>
      </c>
      <c r="K55" s="11">
        <f t="shared" si="11"/>
        <v>7.9030970000000256E-2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55889970.267837338</v>
      </c>
      <c r="D56" s="11">
        <v>2.2599999999999999E-2</v>
      </c>
      <c r="E56" s="10">
        <f t="shared" si="2"/>
        <v>1235197.8564963043</v>
      </c>
      <c r="F56" s="3"/>
      <c r="G56" s="29">
        <v>1.1599999999999999</v>
      </c>
      <c r="H56" s="10"/>
      <c r="I56" s="10">
        <f t="shared" si="9"/>
        <v>1332.6541865707036</v>
      </c>
      <c r="J56" s="10">
        <f t="shared" si="10"/>
        <v>74482002864.745575</v>
      </c>
      <c r="K56" s="11">
        <f t="shared" si="11"/>
        <v>3.4462159999999908E-2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54654772.411341034</v>
      </c>
      <c r="D57" s="11">
        <v>2.2200000000000001E-2</v>
      </c>
      <c r="E57" s="10">
        <f t="shared" si="2"/>
        <v>1186984.8831263632</v>
      </c>
      <c r="F57" s="3"/>
      <c r="G57" s="30">
        <v>3.52</v>
      </c>
      <c r="H57" s="10"/>
      <c r="I57" s="10">
        <f t="shared" si="9"/>
        <v>1317.3726636721071</v>
      </c>
      <c r="J57" s="10">
        <f t="shared" si="10"/>
        <v>72000703113.921127</v>
      </c>
      <c r="K57" s="11">
        <f t="shared" si="11"/>
        <v>5.8181439999999807E-2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53467787.528214671</v>
      </c>
      <c r="D58" s="11">
        <v>2.0799999999999999E-2</v>
      </c>
      <c r="E58" s="10">
        <f t="shared" si="2"/>
        <v>1089469.0248695761</v>
      </c>
      <c r="F58" s="3"/>
      <c r="G58" s="30">
        <v>5.19</v>
      </c>
      <c r="H58" s="10"/>
      <c r="I58" s="10">
        <f t="shared" si="9"/>
        <v>1272.5779208579088</v>
      </c>
      <c r="J58" s="10">
        <f t="shared" si="10"/>
        <v>68041925885.527855</v>
      </c>
      <c r="K58" s="11">
        <f t="shared" si="11"/>
        <v>7.3779519999999987E-2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52378318.503345095</v>
      </c>
      <c r="D59" s="11">
        <v>1.84E-2</v>
      </c>
      <c r="E59" s="10">
        <f t="shared" si="2"/>
        <v>946348.25261346251</v>
      </c>
      <c r="F59" s="3"/>
      <c r="G59" s="30">
        <v>5.13</v>
      </c>
      <c r="H59" s="10"/>
      <c r="I59" s="10">
        <f t="shared" si="9"/>
        <v>1209.7898287459918</v>
      </c>
      <c r="J59" s="10">
        <f t="shared" si="10"/>
        <v>63366756972.164879</v>
      </c>
      <c r="K59" s="11">
        <f t="shared" si="11"/>
        <v>7.0643919999999971E-2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51431970.250731632</v>
      </c>
      <c r="D60" s="11">
        <v>1.4999999999999999E-2</v>
      </c>
      <c r="E60" s="10">
        <f t="shared" si="2"/>
        <v>760078.37808962166</v>
      </c>
      <c r="F60" s="3"/>
      <c r="G60" s="30">
        <v>8.5</v>
      </c>
      <c r="H60" s="10"/>
      <c r="I60" s="10">
        <f t="shared" si="9"/>
        <v>1150.7560437039779</v>
      </c>
      <c r="J60" s="10">
        <f t="shared" si="10"/>
        <v>59185650605.632622</v>
      </c>
      <c r="K60" s="11">
        <f t="shared" si="11"/>
        <v>0.10127499999999978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50671891.87264201</v>
      </c>
      <c r="D61" s="11">
        <v>1.11E-2</v>
      </c>
      <c r="E61" s="10">
        <f t="shared" si="2"/>
        <v>556283.25564863533</v>
      </c>
      <c r="F61" s="3"/>
      <c r="G61" s="30">
        <v>3.9</v>
      </c>
      <c r="H61" s="10"/>
      <c r="I61" s="10">
        <f t="shared" si="9"/>
        <v>1060.6046485750949</v>
      </c>
      <c r="J61" s="10">
        <f t="shared" si="10"/>
        <v>53742844072.218689</v>
      </c>
      <c r="K61" s="11">
        <f t="shared" si="11"/>
        <v>5.0532900000000103E-2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50115608.616993375</v>
      </c>
      <c r="D62" s="11">
        <v>7.4000000000000003E-3</v>
      </c>
      <c r="E62" s="10">
        <f t="shared" si="2"/>
        <v>368131.33190962672</v>
      </c>
      <c r="F62" s="3"/>
      <c r="G62" s="30">
        <v>8.6199999999999992</v>
      </c>
      <c r="H62" s="10"/>
      <c r="I62" s="10">
        <f t="shared" si="9"/>
        <v>1020.7936944899856</v>
      </c>
      <c r="J62" s="10">
        <f t="shared" si="10"/>
        <v>51157697271.754822</v>
      </c>
      <c r="K62" s="11">
        <f t="shared" si="11"/>
        <v>9.4237880000000107E-2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49747477.285083748</v>
      </c>
      <c r="D63" s="11">
        <v>4.5999999999999999E-3</v>
      </c>
      <c r="E63" s="10">
        <f t="shared" si="2"/>
        <v>227790.55894025415</v>
      </c>
      <c r="F63" s="3"/>
      <c r="G63" s="30">
        <v>-2.3199999999999998</v>
      </c>
      <c r="H63" s="10"/>
      <c r="I63" s="10">
        <f t="shared" si="9"/>
        <v>939.7842887957886</v>
      </c>
      <c r="J63" s="10">
        <f t="shared" si="10"/>
        <v>46751897559.747078</v>
      </c>
      <c r="K63" s="11">
        <f t="shared" si="11"/>
        <v>-1.8706720000000177E-2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49519686.726143494</v>
      </c>
      <c r="D64" s="11">
        <v>3.0999999999999999E-3</v>
      </c>
      <c r="E64" s="10">
        <f t="shared" si="2"/>
        <v>153036.61534348875</v>
      </c>
      <c r="F64" s="3"/>
      <c r="G64" s="30">
        <v>11.75</v>
      </c>
      <c r="H64" s="10"/>
      <c r="I64" s="10">
        <f t="shared" si="9"/>
        <v>962.10512775981636</v>
      </c>
      <c r="J64" s="10">
        <f t="shared" si="10"/>
        <v>47643144524.282372</v>
      </c>
      <c r="K64" s="11">
        <f t="shared" si="11"/>
        <v>0.12096425000000011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49366650.110800005</v>
      </c>
      <c r="D65" s="11">
        <v>3.3E-3</v>
      </c>
      <c r="E65" s="10">
        <f t="shared" si="2"/>
        <v>162374.1108000055</v>
      </c>
      <c r="F65" s="3"/>
      <c r="G65" s="30">
        <v>12.57</v>
      </c>
      <c r="H65" s="10"/>
      <c r="I65" s="10">
        <f t="shared" si="9"/>
        <v>860.94418591482452</v>
      </c>
      <c r="J65" s="10">
        <f t="shared" si="10"/>
        <v>42501930390.984695</v>
      </c>
      <c r="K65" s="11">
        <f t="shared" si="11"/>
        <v>0.1294148100000001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49204276</v>
      </c>
      <c r="D66" s="11">
        <v>5.4000000000000003E-3</v>
      </c>
      <c r="E66" s="10">
        <f t="shared" si="2"/>
        <v>264276</v>
      </c>
      <c r="F66" s="23">
        <f>SUM(F2)</f>
        <v>85678806</v>
      </c>
      <c r="G66" s="30">
        <v>13.45</v>
      </c>
      <c r="H66" s="10"/>
      <c r="I66" s="10">
        <f t="shared" si="9"/>
        <v>764.80784037916374</v>
      </c>
      <c r="J66" s="10">
        <f t="shared" si="10"/>
        <v>37631816064.980316</v>
      </c>
      <c r="K66" s="11">
        <f t="shared" si="11"/>
        <v>0.14062630000000009</v>
      </c>
    </row>
    <row r="67" spans="1:11" ht="22.5" customHeight="1">
      <c r="A67" s="3">
        <f t="shared" si="0"/>
        <v>1950</v>
      </c>
      <c r="B67" s="3">
        <v>1700</v>
      </c>
      <c r="C67" s="10">
        <v>48940000</v>
      </c>
      <c r="D67" s="11">
        <v>9.1000000000000004E-3</v>
      </c>
      <c r="E67" s="3" t="s">
        <v>72</v>
      </c>
      <c r="F67" s="10">
        <f>SUM(C2)</f>
        <v>85678302.344146222</v>
      </c>
      <c r="G67" s="30">
        <v>9.36</v>
      </c>
      <c r="H67" s="10"/>
      <c r="I67" s="10">
        <f t="shared" si="9"/>
        <v>674.13648336638494</v>
      </c>
      <c r="J67" s="10">
        <f t="shared" si="10"/>
        <v>32992239495.950878</v>
      </c>
      <c r="K67" s="11"/>
    </row>
  </sheetData>
  <dataValidations count="1">
    <dataValidation type="custom" allowBlank="1" showDropDown="1" sqref="D2:D67" xr:uid="{00000000-0002-0000-9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M67"/>
  <sheetViews>
    <sheetView topLeftCell="A9" workbookViewId="0">
      <selection activeCell="L67" sqref="L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12306964.024369083</v>
      </c>
      <c r="D2" s="11">
        <v>1.4999999999999999E-2</v>
      </c>
      <c r="E2" s="10">
        <f t="shared" ref="E2:E66" si="2">SUM(C2-C3)</f>
        <v>181876.31563106924</v>
      </c>
      <c r="F2" s="14">
        <v>12307247</v>
      </c>
      <c r="G2" s="29">
        <v>7.39</v>
      </c>
      <c r="H2" s="10"/>
      <c r="I2" s="10">
        <f>IF(H2&lt;&gt;"",H2,48256)</f>
        <v>6032</v>
      </c>
      <c r="J2" s="10">
        <f t="shared" ref="J2:J33" si="3">IF(I2="","",I2*C2)</f>
        <v>74235606994.994308</v>
      </c>
      <c r="K2" s="11">
        <f t="shared" ref="K2:K33" si="4">IFERROR(J2/J3-1,"")</f>
        <v>9.0008499999999936E-2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12125087.708738014</v>
      </c>
      <c r="D3" s="11">
        <v>1.47E-2</v>
      </c>
      <c r="E3" s="10">
        <f t="shared" si="2"/>
        <v>175656.63675810397</v>
      </c>
      <c r="F3" s="3"/>
      <c r="G3" s="29">
        <v>7.7</v>
      </c>
      <c r="H3" s="10"/>
      <c r="I3" s="10">
        <f t="shared" ref="I3:I34" si="5">IF(H3&lt;&gt;"",H3,I2/(1+IF(G2="",0,G2)/100))</f>
        <v>5616.9103268460749</v>
      </c>
      <c r="J3" s="10">
        <f t="shared" si="3"/>
        <v>68105530365.124962</v>
      </c>
      <c r="K3" s="11">
        <f t="shared" si="4"/>
        <v>9.2831899999999967E-2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11949431.07197991</v>
      </c>
      <c r="D4" s="11">
        <v>1.46E-2</v>
      </c>
      <c r="E4" s="10">
        <f t="shared" si="2"/>
        <v>171951.20604268275</v>
      </c>
      <c r="F4" s="3"/>
      <c r="G4" s="29">
        <v>6.57</v>
      </c>
      <c r="H4" s="10"/>
      <c r="I4" s="10">
        <f t="shared" si="5"/>
        <v>5215.3299227911557</v>
      </c>
      <c r="J4" s="10">
        <f t="shared" si="3"/>
        <v>62320225430.027222</v>
      </c>
      <c r="K4" s="11">
        <f t="shared" si="4"/>
        <v>8.1259219999999965E-2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11777479.865937227</v>
      </c>
      <c r="D5" s="11">
        <v>1.4500000000000001E-2</v>
      </c>
      <c r="E5" s="10">
        <f t="shared" si="2"/>
        <v>168332.63485075347</v>
      </c>
      <c r="F5" s="3"/>
      <c r="G5" s="29">
        <v>7.99</v>
      </c>
      <c r="H5" s="10"/>
      <c r="I5" s="10">
        <f t="shared" si="5"/>
        <v>4893.8068150428408</v>
      </c>
      <c r="J5" s="10">
        <f t="shared" si="3"/>
        <v>57636711231.953445</v>
      </c>
      <c r="K5" s="11">
        <f t="shared" si="4"/>
        <v>9.555855000000002E-2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11609147.231086474</v>
      </c>
      <c r="D6" s="11">
        <v>1.47E-2</v>
      </c>
      <c r="E6" s="10">
        <f t="shared" si="2"/>
        <v>168182.18616041169</v>
      </c>
      <c r="F6" s="3"/>
      <c r="G6" s="29">
        <v>7.13</v>
      </c>
      <c r="H6" s="10"/>
      <c r="I6" s="10">
        <f t="shared" si="5"/>
        <v>4531.7222104295215</v>
      </c>
      <c r="J6" s="10">
        <f t="shared" si="3"/>
        <v>52609430351.260956</v>
      </c>
      <c r="K6" s="11">
        <f t="shared" si="4"/>
        <v>8.7048110000000012E-2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11440965.044926062</v>
      </c>
      <c r="D7" s="11">
        <v>1.52E-2</v>
      </c>
      <c r="E7" s="10">
        <f t="shared" si="2"/>
        <v>171298.92502253503</v>
      </c>
      <c r="F7" s="3"/>
      <c r="G7" s="29">
        <v>6.68</v>
      </c>
      <c r="H7" s="10"/>
      <c r="I7" s="10">
        <f t="shared" si="5"/>
        <v>4230.1150102021111</v>
      </c>
      <c r="J7" s="10">
        <f t="shared" si="3"/>
        <v>48396597967.739403</v>
      </c>
      <c r="K7" s="11">
        <f t="shared" si="4"/>
        <v>8.3015360000000094E-2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11269666.119903527</v>
      </c>
      <c r="D8" s="11">
        <v>1.5900000000000001E-2</v>
      </c>
      <c r="E8" s="10">
        <f t="shared" si="2"/>
        <v>176383.19845109433</v>
      </c>
      <c r="F8" s="3"/>
      <c r="G8" s="29">
        <v>5.93</v>
      </c>
      <c r="H8" s="10"/>
      <c r="I8" s="10">
        <f t="shared" si="5"/>
        <v>3965.237167418552</v>
      </c>
      <c r="J8" s="10">
        <f t="shared" si="3"/>
        <v>44686898963.039085</v>
      </c>
      <c r="K8" s="11">
        <f t="shared" si="4"/>
        <v>7.6142869999999974E-2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11093282.921452433</v>
      </c>
      <c r="D9" s="11">
        <v>1.7000000000000001E-2</v>
      </c>
      <c r="E9" s="10">
        <f t="shared" si="2"/>
        <v>185433.44116488658</v>
      </c>
      <c r="F9" s="3"/>
      <c r="G9" s="29">
        <v>6.88</v>
      </c>
      <c r="H9" s="10"/>
      <c r="I9" s="10">
        <f t="shared" si="5"/>
        <v>3743.2617458874279</v>
      </c>
      <c r="J9" s="10">
        <f t="shared" si="3"/>
        <v>41525061596.179222</v>
      </c>
      <c r="K9" s="11">
        <f t="shared" si="4"/>
        <v>8.6969599999999758E-2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10907849.480287546</v>
      </c>
      <c r="D10" s="11">
        <v>1.84E-2</v>
      </c>
      <c r="E10" s="10">
        <f t="shared" si="2"/>
        <v>197078.19170982949</v>
      </c>
      <c r="F10" s="3"/>
      <c r="G10" s="29">
        <v>7.65</v>
      </c>
      <c r="H10" s="10"/>
      <c r="I10" s="10">
        <f t="shared" si="5"/>
        <v>3502.3032802090456</v>
      </c>
      <c r="J10" s="10">
        <f t="shared" si="3"/>
        <v>38202597014.837608</v>
      </c>
      <c r="K10" s="11">
        <f t="shared" si="4"/>
        <v>9.6307599999999827E-2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10710771.288577717</v>
      </c>
      <c r="D11" s="11">
        <v>2.01E-2</v>
      </c>
      <c r="E11" s="10">
        <f t="shared" si="2"/>
        <v>211044.50828390568</v>
      </c>
      <c r="F11" s="3"/>
      <c r="G11" s="29">
        <v>9.91</v>
      </c>
      <c r="H11" s="10"/>
      <c r="I11" s="10">
        <f t="shared" si="5"/>
        <v>3253.4168882573576</v>
      </c>
      <c r="J11" s="10">
        <f t="shared" si="3"/>
        <v>34846604196.520767</v>
      </c>
      <c r="K11" s="11">
        <f t="shared" si="4"/>
        <v>0.12119191000000029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10499726.780293811</v>
      </c>
      <c r="D12" s="11">
        <v>2.1899999999999999E-2</v>
      </c>
      <c r="E12" s="10">
        <f t="shared" si="2"/>
        <v>225016.16252904944</v>
      </c>
      <c r="F12" s="3"/>
      <c r="G12" s="29">
        <v>6.31</v>
      </c>
      <c r="H12" s="10"/>
      <c r="I12" s="10">
        <f t="shared" si="5"/>
        <v>2960.0735949935015</v>
      </c>
      <c r="J12" s="10">
        <f t="shared" si="3"/>
        <v>31079963996.993843</v>
      </c>
      <c r="K12" s="11">
        <f t="shared" si="4"/>
        <v>8.6381889999999961E-2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10274710.617764762</v>
      </c>
      <c r="D13" s="11">
        <v>2.3599999999999999E-2</v>
      </c>
      <c r="E13" s="10">
        <f t="shared" si="2"/>
        <v>236892.50740450248</v>
      </c>
      <c r="F13" s="3"/>
      <c r="G13" s="29">
        <v>8.1999999999999993</v>
      </c>
      <c r="H13" s="10"/>
      <c r="I13" s="10">
        <f t="shared" si="5"/>
        <v>2784.3792634686311</v>
      </c>
      <c r="J13" s="10">
        <f t="shared" si="3"/>
        <v>28608691182.245171</v>
      </c>
      <c r="K13" s="11">
        <f t="shared" si="4"/>
        <v>0.10753520000000028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10037818.110360259</v>
      </c>
      <c r="D14" s="11">
        <v>2.5100000000000001E-2</v>
      </c>
      <c r="E14" s="10">
        <f t="shared" si="2"/>
        <v>245780.15273635834</v>
      </c>
      <c r="F14" s="3"/>
      <c r="G14" s="29">
        <v>7.22</v>
      </c>
      <c r="H14" s="10"/>
      <c r="I14" s="10">
        <f t="shared" si="5"/>
        <v>2573.363459767681</v>
      </c>
      <c r="J14" s="10">
        <f t="shared" si="3"/>
        <v>25830954340.995361</v>
      </c>
      <c r="K14" s="11">
        <f t="shared" si="4"/>
        <v>9.9112219999999862E-2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9792037.9576239008</v>
      </c>
      <c r="D15" s="11">
        <v>2.64E-2</v>
      </c>
      <c r="E15" s="10">
        <f t="shared" si="2"/>
        <v>251860.68012594618</v>
      </c>
      <c r="F15" s="3"/>
      <c r="G15" s="29">
        <v>9.67</v>
      </c>
      <c r="H15" s="10"/>
      <c r="I15" s="10">
        <f t="shared" si="5"/>
        <v>2400.077839738557</v>
      </c>
      <c r="J15" s="10">
        <f t="shared" si="3"/>
        <v>23501653307.971924</v>
      </c>
      <c r="K15" s="11">
        <f t="shared" si="4"/>
        <v>0.12565288000000008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9540177.2774979547</v>
      </c>
      <c r="D16" s="11">
        <v>2.75E-2</v>
      </c>
      <c r="E16" s="10">
        <f t="shared" si="2"/>
        <v>255333.21180651523</v>
      </c>
      <c r="F16" s="3"/>
      <c r="G16" s="29">
        <v>12.85</v>
      </c>
      <c r="H16" s="10"/>
      <c r="I16" s="10">
        <f t="shared" si="5"/>
        <v>2188.454308141294</v>
      </c>
      <c r="J16" s="10">
        <f t="shared" si="3"/>
        <v>20878242063.372078</v>
      </c>
      <c r="K16" s="11">
        <f t="shared" si="4"/>
        <v>0.15953375000000003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9284844.0656914394</v>
      </c>
      <c r="D17" s="11">
        <v>2.8500000000000001E-2</v>
      </c>
      <c r="E17" s="10">
        <f t="shared" si="2"/>
        <v>257285.42136335</v>
      </c>
      <c r="F17" s="3"/>
      <c r="G17" s="29">
        <v>0.77</v>
      </c>
      <c r="H17" s="10"/>
      <c r="I17" s="10">
        <f t="shared" si="5"/>
        <v>1939.2594666737207</v>
      </c>
      <c r="J17" s="10">
        <f t="shared" si="3"/>
        <v>18005721750.981441</v>
      </c>
      <c r="K17" s="11">
        <f t="shared" si="4"/>
        <v>3.6419449999999909E-2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9027558.6443280894</v>
      </c>
      <c r="D18" s="11">
        <v>2.93E-2</v>
      </c>
      <c r="E18" s="10">
        <f t="shared" si="2"/>
        <v>256978.01251220703</v>
      </c>
      <c r="F18" s="3"/>
      <c r="G18" s="29">
        <v>11.82</v>
      </c>
      <c r="H18" s="10"/>
      <c r="I18" s="10">
        <f t="shared" si="5"/>
        <v>1924.4412689031662</v>
      </c>
      <c r="J18" s="10">
        <f t="shared" si="3"/>
        <v>17373006412.588497</v>
      </c>
      <c r="K18" s="11">
        <f t="shared" si="4"/>
        <v>0.15096326000000038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8770580.6318158824</v>
      </c>
      <c r="D19" s="11">
        <v>0.03</v>
      </c>
      <c r="E19" s="10">
        <f t="shared" si="2"/>
        <v>255453.80481017195</v>
      </c>
      <c r="F19" s="3"/>
      <c r="G19" s="29">
        <v>10.37</v>
      </c>
      <c r="H19" s="10"/>
      <c r="I19" s="10">
        <f t="shared" si="5"/>
        <v>1721.0170532133484</v>
      </c>
      <c r="J19" s="10">
        <f t="shared" si="3"/>
        <v>15094318833.937838</v>
      </c>
      <c r="K19" s="11">
        <f t="shared" si="4"/>
        <v>0.13681100000000002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8515126.8270057105</v>
      </c>
      <c r="D20" s="11">
        <v>3.0700000000000002E-2</v>
      </c>
      <c r="E20" s="10">
        <f t="shared" si="2"/>
        <v>253628.0135724023</v>
      </c>
      <c r="F20" s="3"/>
      <c r="G20" s="29">
        <v>11.81</v>
      </c>
      <c r="H20" s="10"/>
      <c r="I20" s="10">
        <f t="shared" si="5"/>
        <v>1559.3159855154015</v>
      </c>
      <c r="J20" s="10">
        <f t="shared" si="3"/>
        <v>13277773380.041042</v>
      </c>
      <c r="K20" s="11">
        <f t="shared" si="4"/>
        <v>0.15242566999999996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8261498.8134333082</v>
      </c>
      <c r="D21" s="11">
        <v>3.1300000000000001E-2</v>
      </c>
      <c r="E21" s="10">
        <f t="shared" si="2"/>
        <v>250736.84947199002</v>
      </c>
      <c r="F21" s="3"/>
      <c r="G21" s="29">
        <v>10.7</v>
      </c>
      <c r="H21" s="10"/>
      <c r="I21" s="10">
        <f t="shared" si="5"/>
        <v>1394.6122757493974</v>
      </c>
      <c r="J21" s="10">
        <f t="shared" si="3"/>
        <v>11521587661.303173</v>
      </c>
      <c r="K21" s="11">
        <f t="shared" si="4"/>
        <v>0.14164910000000019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8010761.9639613181</v>
      </c>
      <c r="D22" s="11">
        <v>3.2099999999999997E-2</v>
      </c>
      <c r="E22" s="10">
        <f t="shared" si="2"/>
        <v>249147.81420711055</v>
      </c>
      <c r="F22" s="3"/>
      <c r="G22" s="29">
        <v>2.12</v>
      </c>
      <c r="H22" s="10"/>
      <c r="I22" s="10">
        <f t="shared" si="5"/>
        <v>1259.8123538838279</v>
      </c>
      <c r="J22" s="10">
        <f t="shared" si="3"/>
        <v>10092056886.221144</v>
      </c>
      <c r="K22" s="11">
        <f t="shared" si="4"/>
        <v>5.3980520000000087E-2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7761614.1497542076</v>
      </c>
      <c r="D23" s="11">
        <v>3.2899999999999999E-2</v>
      </c>
      <c r="E23" s="10">
        <f t="shared" si="2"/>
        <v>247223.45389380679</v>
      </c>
      <c r="F23" s="3"/>
      <c r="G23" s="29">
        <v>6.44</v>
      </c>
      <c r="H23" s="10"/>
      <c r="I23" s="10">
        <f t="shared" si="5"/>
        <v>1233.6587875869836</v>
      </c>
      <c r="J23" s="10">
        <f t="shared" si="3"/>
        <v>9575183501.7037525</v>
      </c>
      <c r="K23" s="11">
        <f t="shared" si="4"/>
        <v>9.941876000000005E-2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7514390.6958604008</v>
      </c>
      <c r="D24" s="11">
        <v>3.3700000000000001E-2</v>
      </c>
      <c r="E24" s="10">
        <f t="shared" si="2"/>
        <v>244979.16847295687</v>
      </c>
      <c r="F24" s="3"/>
      <c r="G24" s="29">
        <v>10.94</v>
      </c>
      <c r="H24" s="10"/>
      <c r="I24" s="10">
        <f t="shared" si="5"/>
        <v>1159.0180266694697</v>
      </c>
      <c r="J24" s="10">
        <f t="shared" si="3"/>
        <v>8709314275.9395447</v>
      </c>
      <c r="K24" s="11">
        <f t="shared" si="4"/>
        <v>0.14678677999999978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7269411.5273874439</v>
      </c>
      <c r="D25" s="11">
        <v>3.4599999999999999E-2</v>
      </c>
      <c r="E25" s="10">
        <f t="shared" si="2"/>
        <v>243110.03174908645</v>
      </c>
      <c r="F25" s="3"/>
      <c r="G25" s="29">
        <v>1</v>
      </c>
      <c r="H25" s="10"/>
      <c r="I25" s="10">
        <f t="shared" si="5"/>
        <v>1044.7251006575354</v>
      </c>
      <c r="J25" s="10">
        <f t="shared" si="3"/>
        <v>7594536689.6708956</v>
      </c>
      <c r="K25" s="11">
        <f t="shared" si="4"/>
        <v>4.494599999999993E-2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7026301.4956383575</v>
      </c>
      <c r="D26" s="11">
        <v>3.5400000000000001E-2</v>
      </c>
      <c r="E26" s="10">
        <f t="shared" si="2"/>
        <v>240227.03587560263</v>
      </c>
      <c r="F26" s="3"/>
      <c r="G26" s="29">
        <v>4.93</v>
      </c>
      <c r="H26" s="10"/>
      <c r="I26" s="10">
        <f t="shared" si="5"/>
        <v>1034.3812877797382</v>
      </c>
      <c r="J26" s="10">
        <f t="shared" si="3"/>
        <v>7267874789.387104</v>
      </c>
      <c r="K26" s="11">
        <f t="shared" si="4"/>
        <v>8.64452200000001E-2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6786074.4597627549</v>
      </c>
      <c r="D27" s="11">
        <v>3.6200000000000003E-2</v>
      </c>
      <c r="E27" s="10">
        <f t="shared" si="2"/>
        <v>237073.82304903679</v>
      </c>
      <c r="F27" s="3"/>
      <c r="G27" s="29">
        <v>-7.58</v>
      </c>
      <c r="H27" s="10"/>
      <c r="I27" s="10">
        <f t="shared" si="5"/>
        <v>985.78222413012315</v>
      </c>
      <c r="J27" s="10">
        <f t="shared" si="3"/>
        <v>6689591574.0575523</v>
      </c>
      <c r="K27" s="11">
        <f t="shared" si="4"/>
        <v>-4.2343960000000069E-2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6549000.6367137181</v>
      </c>
      <c r="D28" s="11">
        <v>3.6799999999999999E-2</v>
      </c>
      <c r="E28" s="10">
        <f t="shared" si="2"/>
        <v>232449.09667348024</v>
      </c>
      <c r="F28" s="3"/>
      <c r="G28" s="29">
        <v>6.5</v>
      </c>
      <c r="H28" s="10"/>
      <c r="I28" s="10">
        <f t="shared" si="5"/>
        <v>1066.6330059836866</v>
      </c>
      <c r="J28" s="10">
        <f t="shared" si="3"/>
        <v>6985380235.3270311</v>
      </c>
      <c r="K28" s="11">
        <f t="shared" si="4"/>
        <v>0.10419199999999984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6316551.5400402378</v>
      </c>
      <c r="D29" s="11">
        <v>3.73E-2</v>
      </c>
      <c r="E29" s="10">
        <f t="shared" si="2"/>
        <v>227135.22842331231</v>
      </c>
      <c r="F29" s="3"/>
      <c r="G29" s="29">
        <v>8.1999999999999993</v>
      </c>
      <c r="H29" s="10"/>
      <c r="I29" s="10">
        <f t="shared" si="5"/>
        <v>1001.5333389518185</v>
      </c>
      <c r="J29" s="10">
        <f t="shared" si="3"/>
        <v>6326236954.5577507</v>
      </c>
      <c r="K29" s="11">
        <f t="shared" si="4"/>
        <v>0.1223586000000001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6089416.3116169255</v>
      </c>
      <c r="D30" s="11">
        <v>3.7699999999999997E-2</v>
      </c>
      <c r="E30" s="10">
        <f t="shared" si="2"/>
        <v>221230.60127971321</v>
      </c>
      <c r="F30" s="3"/>
      <c r="G30" s="29">
        <v>14.7</v>
      </c>
      <c r="H30" s="10"/>
      <c r="I30" s="10">
        <f t="shared" si="5"/>
        <v>925.6315517114773</v>
      </c>
      <c r="J30" s="10">
        <f t="shared" si="3"/>
        <v>5636555869.539156</v>
      </c>
      <c r="K30" s="11">
        <f t="shared" si="4"/>
        <v>0.19024190000000019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5868185.7103372123</v>
      </c>
      <c r="D31" s="11">
        <v>3.7999999999999999E-2</v>
      </c>
      <c r="E31" s="10">
        <f t="shared" si="2"/>
        <v>214827.60789288487</v>
      </c>
      <c r="F31" s="3"/>
      <c r="G31" s="29">
        <v>-2.2999999999999998</v>
      </c>
      <c r="H31" s="10"/>
      <c r="I31" s="10">
        <f t="shared" si="5"/>
        <v>807.00222468306652</v>
      </c>
      <c r="J31" s="10">
        <f t="shared" si="3"/>
        <v>4735638923.0955114</v>
      </c>
      <c r="K31" s="11">
        <f t="shared" si="4"/>
        <v>1.4126000000000083E-2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5653358.1024443274</v>
      </c>
      <c r="D32" s="11">
        <v>3.8199999999999998E-2</v>
      </c>
      <c r="E32" s="10">
        <f t="shared" si="2"/>
        <v>208012.21297762822</v>
      </c>
      <c r="F32" s="3"/>
      <c r="G32" s="29">
        <v>1</v>
      </c>
      <c r="H32" s="10"/>
      <c r="I32" s="10">
        <f t="shared" si="5"/>
        <v>826.00022997243252</v>
      </c>
      <c r="J32" s="10">
        <f t="shared" si="3"/>
        <v>4669675092.7355289</v>
      </c>
      <c r="K32" s="11">
        <f t="shared" si="4"/>
        <v>4.8582000000000125E-2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5445345.8894666992</v>
      </c>
      <c r="D33" s="11">
        <v>3.8399999999999997E-2</v>
      </c>
      <c r="E33" s="10">
        <f t="shared" si="2"/>
        <v>201368.72318520956</v>
      </c>
      <c r="F33" s="3"/>
      <c r="G33" s="29">
        <v>-6.5</v>
      </c>
      <c r="H33" s="10"/>
      <c r="I33" s="10">
        <f t="shared" si="5"/>
        <v>817.82200987369561</v>
      </c>
      <c r="J33" s="10">
        <f t="shared" si="3"/>
        <v>4453323719.7811222</v>
      </c>
      <c r="K33" s="11">
        <f t="shared" si="4"/>
        <v>-2.9096000000000011E-2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5243977.1662814897</v>
      </c>
      <c r="D34" s="11">
        <v>3.85E-2</v>
      </c>
      <c r="E34" s="10">
        <f t="shared" si="2"/>
        <v>194408.39759445097</v>
      </c>
      <c r="F34" s="3"/>
      <c r="G34" s="29">
        <v>-17</v>
      </c>
      <c r="H34" s="10"/>
      <c r="I34" s="10">
        <f t="shared" si="5"/>
        <v>874.67594638897924</v>
      </c>
      <c r="J34" s="10">
        <f t="shared" ref="J34:J65" si="6">IF(I34="","",I34*C34)</f>
        <v>4586780690.7594595</v>
      </c>
      <c r="K34" s="11">
        <f t="shared" ref="K34:K65" si="7">IFERROR(J34/J35-1,"")</f>
        <v>-0.12454449999999995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5049568.7686870387</v>
      </c>
      <c r="D35" s="11">
        <v>3.8600000000000002E-2</v>
      </c>
      <c r="E35" s="10">
        <f t="shared" si="2"/>
        <v>187669.31876691617</v>
      </c>
      <c r="F35" s="3"/>
      <c r="G35" s="29">
        <v>-9.6</v>
      </c>
      <c r="H35" s="10"/>
      <c r="I35" s="10">
        <f t="shared" ref="I35:I66" si="8">IF(H35&lt;&gt;"",H35,I34/(1+IF(G34="",0,G34)/100))</f>
        <v>1037.5752626203787</v>
      </c>
      <c r="J35" s="10">
        <f t="shared" si="6"/>
        <v>5239307641.2901163</v>
      </c>
      <c r="K35" s="11">
        <f t="shared" si="7"/>
        <v>-3.3063399999999965E-2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4861899.4499201225</v>
      </c>
      <c r="D36" s="11">
        <v>3.8600000000000002E-2</v>
      </c>
      <c r="E36" s="10">
        <f t="shared" si="2"/>
        <v>180694.51065560989</v>
      </c>
      <c r="F36" s="3"/>
      <c r="G36" s="29">
        <v>-3.8</v>
      </c>
      <c r="H36" s="10"/>
      <c r="I36" s="10">
        <f t="shared" si="8"/>
        <v>1114.4739662947138</v>
      </c>
      <c r="J36" s="10">
        <f t="shared" si="6"/>
        <v>5418460363.678566</v>
      </c>
      <c r="K36" s="11">
        <f t="shared" si="7"/>
        <v>4.8985999999999974E-2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4681204.9392645126</v>
      </c>
      <c r="D37" s="11">
        <v>3.85E-2</v>
      </c>
      <c r="E37" s="10">
        <f t="shared" si="2"/>
        <v>173544.91108491458</v>
      </c>
      <c r="F37" s="3"/>
      <c r="G37" s="29">
        <v>-4.05</v>
      </c>
      <c r="H37" s="10"/>
      <c r="I37" s="10">
        <f t="shared" si="8"/>
        <v>1103.4395705888255</v>
      </c>
      <c r="J37" s="10">
        <f t="shared" si="6"/>
        <v>5165426768.0203228</v>
      </c>
      <c r="K37" s="11">
        <f t="shared" si="7"/>
        <v>5.1481249999999923E-2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4507660.028179598</v>
      </c>
      <c r="D38" s="11">
        <v>3.8399999999999997E-2</v>
      </c>
      <c r="E38" s="10">
        <f t="shared" si="2"/>
        <v>166693.12893114053</v>
      </c>
      <c r="F38" s="3"/>
      <c r="G38" s="29">
        <v>-3.07</v>
      </c>
      <c r="H38" s="10"/>
      <c r="I38" s="10">
        <f t="shared" si="8"/>
        <v>1089.8168598408154</v>
      </c>
      <c r="J38" s="10">
        <f t="shared" si="6"/>
        <v>4912523897.1406507</v>
      </c>
      <c r="K38" s="11">
        <f t="shared" si="7"/>
        <v>4.4941919999999858E-2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4340966.8992484575</v>
      </c>
      <c r="D39" s="11">
        <v>3.7999999999999999E-2</v>
      </c>
      <c r="E39" s="10">
        <f t="shared" si="2"/>
        <v>158917.86336362408</v>
      </c>
      <c r="F39" s="3"/>
      <c r="G39" s="29">
        <v>7</v>
      </c>
      <c r="H39" s="10"/>
      <c r="I39" s="10">
        <f t="shared" si="8"/>
        <v>1082.9939976555852</v>
      </c>
      <c r="J39" s="10">
        <f t="shared" si="6"/>
        <v>4701241095.9076567</v>
      </c>
      <c r="K39" s="11">
        <f t="shared" si="7"/>
        <v>0.1106600000000002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4182049.0358848334</v>
      </c>
      <c r="D40" s="11">
        <v>3.7499999999999999E-2</v>
      </c>
      <c r="E40" s="10">
        <f t="shared" si="2"/>
        <v>151158.39888740378</v>
      </c>
      <c r="F40" s="3"/>
      <c r="G40" s="29">
        <v>4.7300000000000004</v>
      </c>
      <c r="H40" s="10"/>
      <c r="I40" s="10">
        <f t="shared" si="8"/>
        <v>1012.143923042603</v>
      </c>
      <c r="J40" s="10">
        <f t="shared" si="6"/>
        <v>4232835517.5370107</v>
      </c>
      <c r="K40" s="11">
        <f t="shared" si="7"/>
        <v>8.6573749999999894E-2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4030890.6369974297</v>
      </c>
      <c r="D41" s="11">
        <v>3.6799999999999999E-2</v>
      </c>
      <c r="E41" s="10">
        <f t="shared" si="2"/>
        <v>143071.73557243962</v>
      </c>
      <c r="F41" s="3"/>
      <c r="G41" s="29">
        <v>2.95</v>
      </c>
      <c r="H41" s="10"/>
      <c r="I41" s="10">
        <f t="shared" si="8"/>
        <v>966.43170346854106</v>
      </c>
      <c r="J41" s="10">
        <f t="shared" si="6"/>
        <v>3895580504.8088183</v>
      </c>
      <c r="K41" s="11">
        <f t="shared" si="7"/>
        <v>6.7385600000000156E-2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3887818.90142499</v>
      </c>
      <c r="D42" s="11">
        <v>3.5799999999999998E-2</v>
      </c>
      <c r="E42" s="10">
        <f t="shared" si="2"/>
        <v>134373.35071540345</v>
      </c>
      <c r="F42" s="3"/>
      <c r="G42" s="29">
        <v>-8.15</v>
      </c>
      <c r="H42" s="10"/>
      <c r="I42" s="10">
        <f t="shared" si="8"/>
        <v>938.73890574894699</v>
      </c>
      <c r="J42" s="10">
        <f t="shared" si="6"/>
        <v>3649646861.2737684</v>
      </c>
      <c r="K42" s="11">
        <f t="shared" si="7"/>
        <v>-4.8617699999999875E-2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3753445.5507095866</v>
      </c>
      <c r="D43" s="11">
        <v>3.4799999999999998E-2</v>
      </c>
      <c r="E43" s="10">
        <f t="shared" si="2"/>
        <v>126227.19865161693</v>
      </c>
      <c r="F43" s="3"/>
      <c r="G43" s="29">
        <v>3.07</v>
      </c>
      <c r="H43" s="10"/>
      <c r="I43" s="10">
        <f t="shared" si="8"/>
        <v>1022.0347367979825</v>
      </c>
      <c r="J43" s="10">
        <f t="shared" si="6"/>
        <v>3836151735.5050311</v>
      </c>
      <c r="K43" s="11">
        <f t="shared" si="7"/>
        <v>6.6568359999999771E-2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3627218.3520579697</v>
      </c>
      <c r="D44" s="11">
        <v>3.3700000000000001E-2</v>
      </c>
      <c r="E44" s="10">
        <f t="shared" si="2"/>
        <v>118252.16065043397</v>
      </c>
      <c r="F44" s="3"/>
      <c r="G44" s="29">
        <v>3.34</v>
      </c>
      <c r="H44" s="10"/>
      <c r="I44" s="10">
        <f t="shared" si="8"/>
        <v>991.59283671095625</v>
      </c>
      <c r="J44" s="10">
        <f t="shared" si="6"/>
        <v>3596723735.0872021</v>
      </c>
      <c r="K44" s="11">
        <f t="shared" si="7"/>
        <v>6.822558000000023E-2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3508966.1914075357</v>
      </c>
      <c r="D45" s="11">
        <v>3.2599999999999997E-2</v>
      </c>
      <c r="E45" s="10">
        <f t="shared" si="2"/>
        <v>110780.84237835137</v>
      </c>
      <c r="F45" s="3"/>
      <c r="G45" s="29">
        <v>3.9</v>
      </c>
      <c r="H45" s="10"/>
      <c r="I45" s="10">
        <f t="shared" si="8"/>
        <v>959.54406494189675</v>
      </c>
      <c r="J45" s="10">
        <f t="shared" si="6"/>
        <v>3367007683.0468726</v>
      </c>
      <c r="K45" s="11">
        <f t="shared" si="7"/>
        <v>7.287139999999992E-2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3398185.3490291843</v>
      </c>
      <c r="D46" s="11">
        <v>3.1600000000000003E-2</v>
      </c>
      <c r="E46" s="10">
        <f t="shared" si="2"/>
        <v>104093.30848131282</v>
      </c>
      <c r="F46" s="3"/>
      <c r="G46" s="29">
        <v>2.2400000000000002</v>
      </c>
      <c r="H46" s="10"/>
      <c r="I46" s="10">
        <f t="shared" si="8"/>
        <v>923.52653026169082</v>
      </c>
      <c r="J46" s="10">
        <f t="shared" si="6"/>
        <v>3138314324.5750356</v>
      </c>
      <c r="K46" s="11">
        <f t="shared" si="7"/>
        <v>5.4707840000000063E-2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3294092.0405478715</v>
      </c>
      <c r="D47" s="11">
        <v>3.0700000000000002E-2</v>
      </c>
      <c r="E47" s="10">
        <f t="shared" si="2"/>
        <v>98116.45061106002</v>
      </c>
      <c r="F47" s="3"/>
      <c r="G47" s="29">
        <v>6.38</v>
      </c>
      <c r="H47" s="10"/>
      <c r="I47" s="10">
        <f t="shared" si="8"/>
        <v>903.29277216519063</v>
      </c>
      <c r="J47" s="10">
        <f t="shared" si="6"/>
        <v>2975529531.0737762</v>
      </c>
      <c r="K47" s="11">
        <f t="shared" si="7"/>
        <v>9.6458659999999918E-2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3195975.5899368115</v>
      </c>
      <c r="D48" s="11">
        <v>2.9899999999999999E-2</v>
      </c>
      <c r="E48" s="10">
        <f t="shared" si="2"/>
        <v>92785.387065842282</v>
      </c>
      <c r="F48" s="3"/>
      <c r="G48" s="29">
        <v>-0.15</v>
      </c>
      <c r="H48" s="10"/>
      <c r="I48" s="10">
        <f t="shared" si="8"/>
        <v>849.11898116675184</v>
      </c>
      <c r="J48" s="10">
        <f t="shared" si="6"/>
        <v>2713763536.7609539</v>
      </c>
      <c r="K48" s="11">
        <f t="shared" si="7"/>
        <v>2.8355150000000107E-2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3103190.2028709692</v>
      </c>
      <c r="D49" s="11">
        <v>2.9399999999999999E-2</v>
      </c>
      <c r="E49" s="10">
        <f t="shared" si="2"/>
        <v>88628.125086853281</v>
      </c>
      <c r="F49" s="3"/>
      <c r="G49" s="29">
        <v>14.19</v>
      </c>
      <c r="H49" s="10"/>
      <c r="I49" s="10">
        <f t="shared" si="8"/>
        <v>850.39457302629125</v>
      </c>
      <c r="J49" s="10">
        <f t="shared" si="6"/>
        <v>2638936107.589828</v>
      </c>
      <c r="K49" s="11">
        <f t="shared" si="7"/>
        <v>0.17547186000000004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3014562.0777841159</v>
      </c>
      <c r="D50" s="11">
        <v>2.9100000000000001E-2</v>
      </c>
      <c r="E50" s="10">
        <f t="shared" si="2"/>
        <v>85243.179927623831</v>
      </c>
      <c r="F50" s="3"/>
      <c r="G50" s="29">
        <v>6.42</v>
      </c>
      <c r="H50" s="10"/>
      <c r="I50" s="10">
        <f t="shared" si="8"/>
        <v>744.71895352157924</v>
      </c>
      <c r="J50" s="10">
        <f t="shared" si="6"/>
        <v>2245001515.8932242</v>
      </c>
      <c r="K50" s="11">
        <f t="shared" si="7"/>
        <v>9.5168220000000137E-2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2929318.8978564921</v>
      </c>
      <c r="D51" s="11">
        <v>2.8799999999999999E-2</v>
      </c>
      <c r="E51" s="10">
        <f t="shared" si="2"/>
        <v>82002.706316355616</v>
      </c>
      <c r="F51" s="3"/>
      <c r="G51" s="29">
        <v>2.2200000000000002</v>
      </c>
      <c r="H51" s="10"/>
      <c r="I51" s="10">
        <f t="shared" si="8"/>
        <v>699.79228859385375</v>
      </c>
      <c r="J51" s="10">
        <f t="shared" si="6"/>
        <v>2049914775.5522199</v>
      </c>
      <c r="K51" s="11">
        <f t="shared" si="7"/>
        <v>5.1639359999999801E-2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2847316.1915401365</v>
      </c>
      <c r="D52" s="11">
        <v>2.86E-2</v>
      </c>
      <c r="E52" s="10">
        <f t="shared" si="2"/>
        <v>79169.009408951737</v>
      </c>
      <c r="F52" s="3"/>
      <c r="G52" s="29">
        <v>3.3</v>
      </c>
      <c r="H52" s="10"/>
      <c r="I52" s="10">
        <f t="shared" si="8"/>
        <v>684.59429523953611</v>
      </c>
      <c r="J52" s="10">
        <f t="shared" si="6"/>
        <v>1949256421.4715397</v>
      </c>
      <c r="K52" s="11">
        <f t="shared" si="7"/>
        <v>6.2543799999999816E-2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2768147.1821311847</v>
      </c>
      <c r="D53" s="11">
        <v>2.8400000000000002E-2</v>
      </c>
      <c r="E53" s="10">
        <f t="shared" si="2"/>
        <v>76444.360144423787</v>
      </c>
      <c r="F53" s="3"/>
      <c r="G53" s="29">
        <v>1.35</v>
      </c>
      <c r="H53" s="10"/>
      <c r="I53" s="10">
        <f t="shared" si="8"/>
        <v>662.72439035773107</v>
      </c>
      <c r="J53" s="10">
        <f t="shared" si="6"/>
        <v>1834518653.6983604</v>
      </c>
      <c r="K53" s="11">
        <f t="shared" si="7"/>
        <v>4.228339999999986E-2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2691702.8219867609</v>
      </c>
      <c r="D54" s="11">
        <v>2.8199999999999999E-2</v>
      </c>
      <c r="E54" s="10">
        <f t="shared" si="2"/>
        <v>73824.177766997367</v>
      </c>
      <c r="F54" s="3"/>
      <c r="G54" s="29">
        <v>6.24</v>
      </c>
      <c r="H54" s="10"/>
      <c r="I54" s="10">
        <f t="shared" si="8"/>
        <v>653.896783776745</v>
      </c>
      <c r="J54" s="10">
        <f t="shared" si="6"/>
        <v>1760095818.1799314</v>
      </c>
      <c r="K54" s="11">
        <f t="shared" si="7"/>
        <v>9.2359680000000166E-2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2617878.6442197636</v>
      </c>
      <c r="D55" s="11">
        <v>2.8000000000000001E-2</v>
      </c>
      <c r="E55" s="10">
        <f t="shared" si="2"/>
        <v>71304.087585752364</v>
      </c>
      <c r="F55" s="3"/>
      <c r="G55" s="29">
        <v>1.34</v>
      </c>
      <c r="H55" s="10"/>
      <c r="I55" s="10">
        <f t="shared" si="8"/>
        <v>615.49019557299039</v>
      </c>
      <c r="J55" s="10">
        <f t="shared" si="6"/>
        <v>1611278638.7171772</v>
      </c>
      <c r="K55" s="11">
        <f t="shared" si="7"/>
        <v>4.1775200000000012E-2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2546574.5566340112</v>
      </c>
      <c r="D56" s="11">
        <v>2.7699999999999999E-2</v>
      </c>
      <c r="E56" s="10">
        <f t="shared" si="2"/>
        <v>68638.819907329045</v>
      </c>
      <c r="F56" s="3"/>
      <c r="G56" s="29">
        <v>6.97</v>
      </c>
      <c r="H56" s="10"/>
      <c r="I56" s="10">
        <f t="shared" si="8"/>
        <v>607.35168302051545</v>
      </c>
      <c r="J56" s="10">
        <f t="shared" si="6"/>
        <v>1546666342.9088898</v>
      </c>
      <c r="K56" s="11">
        <f t="shared" si="7"/>
        <v>9.9330690000000166E-2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2477935.7367266822</v>
      </c>
      <c r="D57" s="11">
        <v>2.7199999999999998E-2</v>
      </c>
      <c r="E57" s="10">
        <f t="shared" si="2"/>
        <v>65615.120754444506</v>
      </c>
      <c r="F57" s="3"/>
      <c r="G57" s="29">
        <v>3.3</v>
      </c>
      <c r="H57" s="10"/>
      <c r="I57" s="10">
        <f t="shared" si="8"/>
        <v>567.77758532346957</v>
      </c>
      <c r="J57" s="10">
        <f t="shared" si="6"/>
        <v>1406916369.1854081</v>
      </c>
      <c r="K57" s="11">
        <f t="shared" si="7"/>
        <v>6.1097599999999641E-2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2412320.6159722377</v>
      </c>
      <c r="D58" s="11">
        <v>2.6599999999999999E-2</v>
      </c>
      <c r="E58" s="10">
        <f t="shared" si="2"/>
        <v>62505.092913365923</v>
      </c>
      <c r="F58" s="3"/>
      <c r="G58" s="29">
        <v>9.5299999999999994</v>
      </c>
      <c r="H58" s="10"/>
      <c r="I58" s="10">
        <f t="shared" si="8"/>
        <v>549.63948240413322</v>
      </c>
      <c r="J58" s="10">
        <f t="shared" si="6"/>
        <v>1325906654.7558005</v>
      </c>
      <c r="K58" s="11">
        <f t="shared" si="7"/>
        <v>0.12443497999999975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2349815.5230588717</v>
      </c>
      <c r="D59" s="11">
        <v>2.5700000000000001E-2</v>
      </c>
      <c r="E59" s="10">
        <f t="shared" si="2"/>
        <v>58877.117034818511</v>
      </c>
      <c r="F59" s="3"/>
      <c r="G59" s="29">
        <v>11.7</v>
      </c>
      <c r="H59" s="10"/>
      <c r="I59" s="10">
        <f t="shared" si="8"/>
        <v>501.81638126918034</v>
      </c>
      <c r="J59" s="10">
        <f t="shared" si="6"/>
        <v>1179175922.4315493</v>
      </c>
      <c r="K59" s="11">
        <f t="shared" si="7"/>
        <v>0.14570690000000019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2290938.4060240532</v>
      </c>
      <c r="D60" s="11">
        <v>2.4500000000000001E-2</v>
      </c>
      <c r="E60" s="10">
        <f t="shared" si="2"/>
        <v>54785.740309994202</v>
      </c>
      <c r="F60" s="3"/>
      <c r="G60" s="29">
        <v>10.87</v>
      </c>
      <c r="H60" s="10"/>
      <c r="I60" s="10">
        <f t="shared" si="8"/>
        <v>449.2536985400003</v>
      </c>
      <c r="J60" s="10">
        <f t="shared" si="6"/>
        <v>1029212552.0336388</v>
      </c>
      <c r="K60" s="11">
        <f t="shared" si="7"/>
        <v>0.13586314999999982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2236152.665714059</v>
      </c>
      <c r="D61" s="11">
        <v>2.3099999999999999E-2</v>
      </c>
      <c r="E61" s="10">
        <f t="shared" si="2"/>
        <v>50488.834501021076</v>
      </c>
      <c r="F61" s="3"/>
      <c r="G61" s="30">
        <v>0.47</v>
      </c>
      <c r="H61" s="10"/>
      <c r="I61" s="10">
        <f t="shared" si="8"/>
        <v>405.20762924145424</v>
      </c>
      <c r="J61" s="10">
        <f t="shared" si="6"/>
        <v>906106120.29595196</v>
      </c>
      <c r="K61" s="11">
        <f t="shared" si="7"/>
        <v>2.790856999999991E-2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2185663.8312130379</v>
      </c>
      <c r="D62" s="11">
        <v>2.1600000000000001E-2</v>
      </c>
      <c r="E62" s="10">
        <f t="shared" si="2"/>
        <v>46212.15618069889</v>
      </c>
      <c r="F62" s="3"/>
      <c r="G62" s="30">
        <v>6.16</v>
      </c>
      <c r="H62" s="10"/>
      <c r="I62" s="10">
        <f t="shared" si="8"/>
        <v>403.3120625474811</v>
      </c>
      <c r="J62" s="10">
        <f t="shared" si="6"/>
        <v>881504587.80195999</v>
      </c>
      <c r="K62" s="11">
        <f t="shared" si="7"/>
        <v>8.4530560000000365E-2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2139451.6750323391</v>
      </c>
      <c r="D63" s="11">
        <v>0.02</v>
      </c>
      <c r="E63" s="10">
        <f t="shared" si="2"/>
        <v>41950.032843771391</v>
      </c>
      <c r="F63" s="3"/>
      <c r="G63" s="30">
        <v>2.4</v>
      </c>
      <c r="H63" s="10"/>
      <c r="I63" s="10">
        <f t="shared" si="8"/>
        <v>379.90962937780807</v>
      </c>
      <c r="J63" s="10">
        <f t="shared" si="6"/>
        <v>812798292.93326664</v>
      </c>
      <c r="K63" s="11">
        <f t="shared" si="7"/>
        <v>4.4480000000000075E-2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2097501.6421885677</v>
      </c>
      <c r="D64" s="11">
        <v>1.83E-2</v>
      </c>
      <c r="E64" s="10">
        <f t="shared" si="2"/>
        <v>37694.471228567883</v>
      </c>
      <c r="F64" s="3"/>
      <c r="G64" s="30">
        <v>3.43</v>
      </c>
      <c r="H64" s="10"/>
      <c r="I64" s="10">
        <f t="shared" si="8"/>
        <v>371.0054974392657</v>
      </c>
      <c r="J64" s="10">
        <f t="shared" si="6"/>
        <v>778184640.13984621</v>
      </c>
      <c r="K64" s="11">
        <f t="shared" si="7"/>
        <v>5.3227689999999717E-2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2059807.1709599998</v>
      </c>
      <c r="D65" s="11">
        <v>1.6400000000000001E-2</v>
      </c>
      <c r="E65" s="10">
        <f t="shared" si="2"/>
        <v>33235.770959999878</v>
      </c>
      <c r="F65" s="3"/>
      <c r="G65" s="30">
        <v>3.62</v>
      </c>
      <c r="H65" s="10"/>
      <c r="I65" s="10">
        <f t="shared" si="8"/>
        <v>358.70201821450809</v>
      </c>
      <c r="J65" s="10">
        <f t="shared" si="6"/>
        <v>738856989.35606825</v>
      </c>
      <c r="K65" s="11">
        <f t="shared" si="7"/>
        <v>5.319367999999991E-2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2026571.4</v>
      </c>
      <c r="D66" s="11">
        <v>1.43E-2</v>
      </c>
      <c r="E66" s="10">
        <f t="shared" si="2"/>
        <v>28571.399999999907</v>
      </c>
      <c r="F66" s="23">
        <f>SUM(F2)</f>
        <v>12307247</v>
      </c>
      <c r="G66" s="30">
        <v>3.49</v>
      </c>
      <c r="H66" s="10"/>
      <c r="I66" s="10">
        <f t="shared" si="8"/>
        <v>346.17064100994799</v>
      </c>
      <c r="J66" s="10">
        <f t="shared" ref="J66:J67" si="9">IF(I66="","",I66*C66)</f>
        <v>701539520.59042764</v>
      </c>
      <c r="K66" s="11">
        <f t="shared" ref="K66" si="10">IFERROR(J66/J67-1,"")</f>
        <v>4.9699069999999734E-2</v>
      </c>
    </row>
    <row r="67" spans="1:11" ht="22.5" customHeight="1">
      <c r="A67" s="3">
        <f t="shared" si="0"/>
        <v>1950</v>
      </c>
      <c r="B67" s="3">
        <v>1700</v>
      </c>
      <c r="C67" s="10">
        <v>1998000</v>
      </c>
      <c r="D67" s="11">
        <v>1.2E-2</v>
      </c>
      <c r="E67" s="3" t="s">
        <v>72</v>
      </c>
      <c r="F67" s="10">
        <f>SUM(C2)</f>
        <v>12306964.024369083</v>
      </c>
      <c r="G67" s="30">
        <v>3.43</v>
      </c>
      <c r="H67" s="10"/>
      <c r="I67" s="10">
        <f t="shared" ref="I67" si="11">IF(H67&lt;&gt;"",H67,I66/(1+IF(G66="",0,G66)/100))</f>
        <v>334.49670597154125</v>
      </c>
      <c r="J67" s="10">
        <f t="shared" si="9"/>
        <v>668324418.53113937</v>
      </c>
      <c r="K67" s="11"/>
    </row>
  </sheetData>
  <dataValidations count="1">
    <dataValidation type="custom" allowBlank="1" showDropDown="1" sqref="D2:D67" xr:uid="{00000000-0002-0000-9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M67"/>
  <sheetViews>
    <sheetView workbookViewId="0">
      <selection activeCell="L21" sqref="L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7437452.3362264652</v>
      </c>
      <c r="D2" s="11">
        <v>1.0999999999999999E-2</v>
      </c>
      <c r="E2" s="10">
        <f t="shared" ref="E2:E66" si="2">SUM(C2-C3)</f>
        <v>80921.835507903248</v>
      </c>
      <c r="F2" s="14">
        <v>7437017</v>
      </c>
      <c r="G2" s="26">
        <v>6.02</v>
      </c>
      <c r="H2" s="10"/>
      <c r="I2" s="10">
        <f>IF(H2&lt;&gt;"",H2,8480)</f>
        <v>1060</v>
      </c>
      <c r="J2" s="10">
        <f t="shared" ref="J2:J33" si="3">IF(I2="","",I2*C2)</f>
        <v>7883699476.400053</v>
      </c>
      <c r="K2" s="11">
        <f t="shared" ref="K2:K33" si="4">IFERROR(J2/J3-1,"")</f>
        <v>7.1862199999999765E-2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7356530.5007185619</v>
      </c>
      <c r="D3" s="11">
        <v>1.14E-2</v>
      </c>
      <c r="E3" s="10">
        <f t="shared" si="2"/>
        <v>82919.169179545715</v>
      </c>
      <c r="F3" s="3"/>
      <c r="G3" s="26">
        <v>6.7</v>
      </c>
      <c r="H3" s="10"/>
      <c r="I3" s="10">
        <f t="shared" ref="I3:I34" si="5">IF(H3&lt;&gt;"",H3,I2/(1+IF(G2="",0,G2)/100))</f>
        <v>999.81135634785892</v>
      </c>
      <c r="J3" s="10">
        <f t="shared" si="3"/>
        <v>7355142737.9378195</v>
      </c>
      <c r="K3" s="11">
        <f t="shared" si="4"/>
        <v>7.9163800000000117E-2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7273611.3315390162</v>
      </c>
      <c r="D4" s="11">
        <v>1.1900000000000001E-2</v>
      </c>
      <c r="E4" s="10">
        <f t="shared" si="2"/>
        <v>85538.071791001596</v>
      </c>
      <c r="F4" s="3"/>
      <c r="G4" s="26">
        <v>7.4</v>
      </c>
      <c r="H4" s="10"/>
      <c r="I4" s="10">
        <f t="shared" si="5"/>
        <v>937.0303245996804</v>
      </c>
      <c r="J4" s="10">
        <f t="shared" si="3"/>
        <v>6815594387.0039177</v>
      </c>
      <c r="K4" s="11">
        <f t="shared" si="4"/>
        <v>8.6780599999999986E-2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7188073.2597480146</v>
      </c>
      <c r="D5" s="11">
        <v>1.2500000000000001E-2</v>
      </c>
      <c r="E5" s="10">
        <f t="shared" si="2"/>
        <v>88741.645182074048</v>
      </c>
      <c r="F5" s="3"/>
      <c r="G5" s="26">
        <v>7.5</v>
      </c>
      <c r="H5" s="10"/>
      <c r="I5" s="10">
        <f t="shared" si="5"/>
        <v>872.46771377996311</v>
      </c>
      <c r="J5" s="10">
        <f t="shared" si="3"/>
        <v>6271361843.4152374</v>
      </c>
      <c r="K5" s="11">
        <f t="shared" si="4"/>
        <v>8.8437499999999947E-2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7099331.6145659406</v>
      </c>
      <c r="D6" s="11">
        <v>1.3299999999999999E-2</v>
      </c>
      <c r="E6" s="10">
        <f t="shared" si="2"/>
        <v>93181.792631725781</v>
      </c>
      <c r="F6" s="3"/>
      <c r="G6" s="26">
        <v>7.4</v>
      </c>
      <c r="H6" s="10"/>
      <c r="I6" s="10">
        <f t="shared" si="5"/>
        <v>811.59787328368668</v>
      </c>
      <c r="J6" s="10">
        <f t="shared" si="3"/>
        <v>5761802440.1173592</v>
      </c>
      <c r="K6" s="11">
        <f t="shared" si="4"/>
        <v>8.8284200000000146E-2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7006149.8219342148</v>
      </c>
      <c r="D7" s="11">
        <v>1.41E-2</v>
      </c>
      <c r="E7" s="10">
        <f t="shared" si="2"/>
        <v>97413.186558793299</v>
      </c>
      <c r="F7" s="3"/>
      <c r="G7" s="26">
        <v>6.5</v>
      </c>
      <c r="H7" s="10"/>
      <c r="I7" s="10">
        <f t="shared" si="5"/>
        <v>755.67772186563002</v>
      </c>
      <c r="J7" s="10">
        <f t="shared" si="3"/>
        <v>5294391336.4885368</v>
      </c>
      <c r="K7" s="11">
        <f t="shared" si="4"/>
        <v>8.0016500000000157E-2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6908736.6353754215</v>
      </c>
      <c r="D8" s="11">
        <v>1.49E-2</v>
      </c>
      <c r="E8" s="10">
        <f t="shared" si="2"/>
        <v>101428.88547353726</v>
      </c>
      <c r="F8" s="3"/>
      <c r="G8" s="26">
        <v>3.9</v>
      </c>
      <c r="H8" s="10"/>
      <c r="I8" s="10">
        <f t="shared" si="5"/>
        <v>709.55654635270423</v>
      </c>
      <c r="J8" s="10">
        <f t="shared" si="3"/>
        <v>4902139306.6573858</v>
      </c>
      <c r="K8" s="11">
        <f t="shared" si="4"/>
        <v>5.4481099999999838E-2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6807307.7499018842</v>
      </c>
      <c r="D9" s="11">
        <v>1.55E-2</v>
      </c>
      <c r="E9" s="10">
        <f t="shared" si="2"/>
        <v>103902.77707875893</v>
      </c>
      <c r="F9" s="3"/>
      <c r="G9" s="26">
        <v>7.9</v>
      </c>
      <c r="H9" s="10"/>
      <c r="I9" s="10">
        <f t="shared" si="5"/>
        <v>682.9225662682428</v>
      </c>
      <c r="J9" s="10">
        <f t="shared" si="3"/>
        <v>4648864077.9406919</v>
      </c>
      <c r="K9" s="11">
        <f t="shared" si="4"/>
        <v>9.572449999999999E-2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6703404.9728231253</v>
      </c>
      <c r="D10" s="11">
        <v>1.5800000000000002E-2</v>
      </c>
      <c r="E10" s="10">
        <f t="shared" si="2"/>
        <v>104266.38961469382</v>
      </c>
      <c r="F10" s="3"/>
      <c r="G10" s="26">
        <v>7.8</v>
      </c>
      <c r="H10" s="10"/>
      <c r="I10" s="10">
        <f t="shared" si="5"/>
        <v>632.92174816333909</v>
      </c>
      <c r="J10" s="10">
        <f t="shared" si="3"/>
        <v>4242730794.0460329</v>
      </c>
      <c r="K10" s="11">
        <f t="shared" si="4"/>
        <v>9.5032400000000239E-2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6599138.5832084315</v>
      </c>
      <c r="D11" s="11">
        <v>1.5800000000000002E-2</v>
      </c>
      <c r="E11" s="10">
        <f t="shared" si="2"/>
        <v>102644.60485793836</v>
      </c>
      <c r="F11" s="3"/>
      <c r="G11" s="26">
        <v>7</v>
      </c>
      <c r="H11" s="10"/>
      <c r="I11" s="10">
        <f t="shared" si="5"/>
        <v>587.12592594001762</v>
      </c>
      <c r="J11" s="10">
        <f t="shared" si="3"/>
        <v>3874525351.0727463</v>
      </c>
      <c r="K11" s="11">
        <f t="shared" si="4"/>
        <v>8.690600000000015E-2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6496493.9783504931</v>
      </c>
      <c r="D12" s="11">
        <v>1.5699999999999999E-2</v>
      </c>
      <c r="E12" s="10">
        <f t="shared" si="2"/>
        <v>100418.38678753842</v>
      </c>
      <c r="F12" s="3"/>
      <c r="G12" s="26">
        <v>6.7</v>
      </c>
      <c r="H12" s="10"/>
      <c r="I12" s="10">
        <f t="shared" si="5"/>
        <v>548.71581863553047</v>
      </c>
      <c r="J12" s="10">
        <f t="shared" si="3"/>
        <v>3564729011.5913849</v>
      </c>
      <c r="K12" s="11">
        <f t="shared" si="4"/>
        <v>8.375189999999999E-2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6396075.5915629547</v>
      </c>
      <c r="D13" s="11">
        <v>1.5599999999999999E-2</v>
      </c>
      <c r="E13" s="10">
        <f t="shared" si="2"/>
        <v>98246.13945291657</v>
      </c>
      <c r="F13" s="3"/>
      <c r="G13" s="26">
        <v>10.3</v>
      </c>
      <c r="H13" s="10"/>
      <c r="I13" s="10">
        <f t="shared" si="5"/>
        <v>514.2603736040586</v>
      </c>
      <c r="J13" s="10">
        <f t="shared" si="3"/>
        <v>3289248223.3169651</v>
      </c>
      <c r="K13" s="11">
        <f t="shared" si="4"/>
        <v>0.12020679999999984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6297829.4521100381</v>
      </c>
      <c r="D14" s="11">
        <v>1.5800000000000002E-2</v>
      </c>
      <c r="E14" s="10">
        <f t="shared" si="2"/>
        <v>97957.969426401891</v>
      </c>
      <c r="F14" s="3"/>
      <c r="G14" s="26">
        <v>11</v>
      </c>
      <c r="H14" s="10"/>
      <c r="I14" s="10">
        <f t="shared" si="5"/>
        <v>466.23787271446838</v>
      </c>
      <c r="J14" s="10">
        <f t="shared" si="3"/>
        <v>2936286606.4703102</v>
      </c>
      <c r="K14" s="11">
        <f t="shared" si="4"/>
        <v>0.12753800000000037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6199871.4826836362</v>
      </c>
      <c r="D15" s="11">
        <v>1.6299999999999999E-2</v>
      </c>
      <c r="E15" s="10">
        <f t="shared" si="2"/>
        <v>99437.080751493573</v>
      </c>
      <c r="F15" s="3"/>
      <c r="G15" s="26">
        <v>10.8</v>
      </c>
      <c r="H15" s="10"/>
      <c r="I15" s="10">
        <f t="shared" si="5"/>
        <v>420.03411956258407</v>
      </c>
      <c r="J15" s="10">
        <f t="shared" si="3"/>
        <v>2604157559.6301937</v>
      </c>
      <c r="K15" s="11">
        <f t="shared" si="4"/>
        <v>0.12606040000000007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6100434.4019321427</v>
      </c>
      <c r="D16" s="11">
        <v>1.72E-2</v>
      </c>
      <c r="E16" s="10">
        <f t="shared" si="2"/>
        <v>103153.23605311941</v>
      </c>
      <c r="F16" s="3"/>
      <c r="G16" s="26">
        <v>9.58</v>
      </c>
      <c r="H16" s="10"/>
      <c r="I16" s="10">
        <f t="shared" si="5"/>
        <v>379.09216567020218</v>
      </c>
      <c r="J16" s="10">
        <f t="shared" si="3"/>
        <v>2312626888.9574604</v>
      </c>
      <c r="K16" s="11">
        <f t="shared" si="4"/>
        <v>0.11464776000000021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5997281.1658790233</v>
      </c>
      <c r="D17" s="11">
        <v>1.84E-2</v>
      </c>
      <c r="E17" s="10">
        <f t="shared" si="2"/>
        <v>108356.21902216598</v>
      </c>
      <c r="F17" s="3"/>
      <c r="G17" s="26">
        <v>8.32</v>
      </c>
      <c r="H17" s="10"/>
      <c r="I17" s="10">
        <f t="shared" si="5"/>
        <v>345.95014206077946</v>
      </c>
      <c r="J17" s="10">
        <f t="shared" si="3"/>
        <v>2074760271.314285</v>
      </c>
      <c r="K17" s="11">
        <f t="shared" si="4"/>
        <v>0.10313087999999992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5888924.9468568573</v>
      </c>
      <c r="D18" s="11">
        <v>1.9800000000000002E-2</v>
      </c>
      <c r="E18" s="10">
        <f t="shared" si="2"/>
        <v>114336.84442808945</v>
      </c>
      <c r="F18" s="3"/>
      <c r="G18" s="29">
        <v>7.82</v>
      </c>
      <c r="H18" s="10"/>
      <c r="I18" s="10">
        <f t="shared" si="5"/>
        <v>319.37790072080821</v>
      </c>
      <c r="J18" s="10">
        <f t="shared" si="3"/>
        <v>1880792487.0295401</v>
      </c>
      <c r="K18" s="11">
        <f t="shared" si="4"/>
        <v>9.9548360000000224E-2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5774588.1024287678</v>
      </c>
      <c r="D19" s="11">
        <v>2.12E-2</v>
      </c>
      <c r="E19" s="10">
        <f t="shared" si="2"/>
        <v>119879.81567909382</v>
      </c>
      <c r="F19" s="3"/>
      <c r="G19" s="29">
        <v>7.6</v>
      </c>
      <c r="H19" s="10"/>
      <c r="I19" s="10">
        <f t="shared" si="5"/>
        <v>296.21396839251361</v>
      </c>
      <c r="J19" s="10">
        <f t="shared" si="3"/>
        <v>1710513657.6526201</v>
      </c>
      <c r="K19" s="11">
        <f t="shared" si="4"/>
        <v>9.8811200000000321E-2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5654708.286749674</v>
      </c>
      <c r="D20" s="11">
        <v>2.2599999999999999E-2</v>
      </c>
      <c r="E20" s="10">
        <f t="shared" si="2"/>
        <v>124972.03919474129</v>
      </c>
      <c r="F20" s="3"/>
      <c r="G20" s="29">
        <v>8.6199999999999992</v>
      </c>
      <c r="H20" s="10"/>
      <c r="I20" s="10">
        <f t="shared" si="5"/>
        <v>275.2917921863509</v>
      </c>
      <c r="J20" s="10">
        <f t="shared" si="3"/>
        <v>1556694778.5503275</v>
      </c>
      <c r="K20" s="11">
        <f t="shared" si="4"/>
        <v>0.11074812000000001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5529736.2475549327</v>
      </c>
      <c r="D21" s="11">
        <v>2.3699999999999999E-2</v>
      </c>
      <c r="E21" s="10">
        <f t="shared" si="2"/>
        <v>128020.65943836328</v>
      </c>
      <c r="F21" s="3"/>
      <c r="G21" s="29">
        <v>7.11</v>
      </c>
      <c r="H21" s="10"/>
      <c r="I21" s="10">
        <f t="shared" si="5"/>
        <v>253.4448464245543</v>
      </c>
      <c r="J21" s="10">
        <f t="shared" si="3"/>
        <v>1401483154.0298512</v>
      </c>
      <c r="K21" s="11">
        <f t="shared" si="4"/>
        <v>9.6485070000000173E-2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5401715.5881165694</v>
      </c>
      <c r="D22" s="11">
        <v>2.4500000000000001E-2</v>
      </c>
      <c r="E22" s="10">
        <f t="shared" si="2"/>
        <v>129177.19073582813</v>
      </c>
      <c r="F22" s="3"/>
      <c r="G22" s="29">
        <v>6.36</v>
      </c>
      <c r="H22" s="10"/>
      <c r="I22" s="10">
        <f t="shared" si="5"/>
        <v>236.62108712963712</v>
      </c>
      <c r="J22" s="10">
        <f t="shared" si="3"/>
        <v>1278159814.8252497</v>
      </c>
      <c r="K22" s="11">
        <f t="shared" si="4"/>
        <v>8.965819999999991E-2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5272538.3973807413</v>
      </c>
      <c r="D23" s="11">
        <v>2.5100000000000001E-2</v>
      </c>
      <c r="E23" s="10">
        <f t="shared" si="2"/>
        <v>129100.29633621685</v>
      </c>
      <c r="F23" s="3"/>
      <c r="G23" s="29">
        <v>6.07</v>
      </c>
      <c r="H23" s="10"/>
      <c r="I23" s="10">
        <f t="shared" si="5"/>
        <v>222.47187582703751</v>
      </c>
      <c r="J23" s="10">
        <f t="shared" si="3"/>
        <v>1172991507.6353757</v>
      </c>
      <c r="K23" s="11">
        <f t="shared" si="4"/>
        <v>8.7323569999999906E-2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5143438.1010445245</v>
      </c>
      <c r="D24" s="11">
        <v>2.5399999999999999E-2</v>
      </c>
      <c r="E24" s="10">
        <f t="shared" si="2"/>
        <v>127407.18526090402</v>
      </c>
      <c r="F24" s="3"/>
      <c r="G24" s="29">
        <v>5.92</v>
      </c>
      <c r="H24" s="10"/>
      <c r="I24" s="10">
        <f t="shared" si="5"/>
        <v>209.74062018199069</v>
      </c>
      <c r="J24" s="10">
        <f t="shared" si="3"/>
        <v>1078787897.180759</v>
      </c>
      <c r="K24" s="11">
        <f t="shared" si="4"/>
        <v>8.6103679999999905E-2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5016030.9157836204</v>
      </c>
      <c r="D25" s="11">
        <v>2.58E-2</v>
      </c>
      <c r="E25" s="10">
        <f t="shared" si="2"/>
        <v>126158.70308755897</v>
      </c>
      <c r="F25" s="3"/>
      <c r="G25" s="29">
        <v>5.75</v>
      </c>
      <c r="H25" s="10"/>
      <c r="I25" s="10">
        <f t="shared" si="5"/>
        <v>198.0179571204595</v>
      </c>
      <c r="J25" s="10">
        <f t="shared" si="3"/>
        <v>993264194.79654014</v>
      </c>
      <c r="K25" s="11">
        <f t="shared" si="4"/>
        <v>8.4783500000000345E-2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4889872.2126960615</v>
      </c>
      <c r="D26" s="11">
        <v>2.64E-2</v>
      </c>
      <c r="E26" s="10">
        <f t="shared" si="2"/>
        <v>125772.23929771595</v>
      </c>
      <c r="F26" s="3"/>
      <c r="G26" s="26">
        <v>-7.1</v>
      </c>
      <c r="H26" s="10"/>
      <c r="I26" s="10">
        <f t="shared" si="5"/>
        <v>187.25102328175836</v>
      </c>
      <c r="J26" s="10">
        <f t="shared" si="3"/>
        <v>915633575.54437351</v>
      </c>
      <c r="K26" s="11">
        <f t="shared" si="4"/>
        <v>-4.6474399999999916E-2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4764099.9733983455</v>
      </c>
      <c r="D27" s="11">
        <v>2.7300000000000001E-2</v>
      </c>
      <c r="E27" s="10">
        <f t="shared" si="2"/>
        <v>126603.64963864069</v>
      </c>
      <c r="F27" s="3"/>
      <c r="G27" s="26">
        <v>-0.6</v>
      </c>
      <c r="H27" s="10"/>
      <c r="I27" s="10">
        <f t="shared" si="5"/>
        <v>201.56191957132222</v>
      </c>
      <c r="J27" s="10">
        <f t="shared" si="3"/>
        <v>960261135.66785562</v>
      </c>
      <c r="K27" s="11">
        <f t="shared" si="4"/>
        <v>2.113620000000016E-2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4637496.3237597048</v>
      </c>
      <c r="D28" s="11">
        <v>2.8400000000000002E-2</v>
      </c>
      <c r="E28" s="10">
        <f t="shared" si="2"/>
        <v>128067.77090118174</v>
      </c>
      <c r="F28" s="3"/>
      <c r="G28" s="26">
        <v>6.5</v>
      </c>
      <c r="H28" s="10"/>
      <c r="I28" s="10">
        <f t="shared" si="5"/>
        <v>202.77859111803039</v>
      </c>
      <c r="J28" s="10">
        <f t="shared" si="3"/>
        <v>940384970.84703827</v>
      </c>
      <c r="K28" s="11">
        <f t="shared" si="4"/>
        <v>9.5245999999999942E-2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4509428.5528585231</v>
      </c>
      <c r="D29" s="11">
        <v>2.9700000000000001E-2</v>
      </c>
      <c r="E29" s="10">
        <f t="shared" si="2"/>
        <v>130067.03702039272</v>
      </c>
      <c r="F29" s="3"/>
      <c r="G29" s="26">
        <v>13.9</v>
      </c>
      <c r="H29" s="10"/>
      <c r="I29" s="10">
        <f t="shared" si="5"/>
        <v>190.40243297467643</v>
      </c>
      <c r="J29" s="10">
        <f t="shared" si="3"/>
        <v>858606167.78973711</v>
      </c>
      <c r="K29" s="11">
        <f t="shared" si="4"/>
        <v>0.17282830000000016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4379361.5158381304</v>
      </c>
      <c r="D30" s="11">
        <v>3.09E-2</v>
      </c>
      <c r="E30" s="10">
        <f t="shared" si="2"/>
        <v>131266.14690018259</v>
      </c>
      <c r="F30" s="3"/>
      <c r="G30" s="26">
        <v>-1.2</v>
      </c>
      <c r="H30" s="10"/>
      <c r="I30" s="10">
        <f t="shared" si="5"/>
        <v>167.1663151665289</v>
      </c>
      <c r="J30" s="10">
        <f t="shared" si="3"/>
        <v>732081727.38476467</v>
      </c>
      <c r="K30" s="11">
        <f t="shared" si="4"/>
        <v>1.8529199999999912E-2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4248095.3689379478</v>
      </c>
      <c r="D31" s="11">
        <v>3.1899999999999998E-2</v>
      </c>
      <c r="E31" s="10">
        <f t="shared" si="2"/>
        <v>131324.97554910462</v>
      </c>
      <c r="F31" s="3"/>
      <c r="G31" s="26">
        <v>3.5</v>
      </c>
      <c r="H31" s="10"/>
      <c r="I31" s="10">
        <f t="shared" si="5"/>
        <v>169.1966752697661</v>
      </c>
      <c r="J31" s="10">
        <f t="shared" si="3"/>
        <v>718763612.65319121</v>
      </c>
      <c r="K31" s="11">
        <f t="shared" si="4"/>
        <v>6.8016499999999924E-2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4116770.3933888432</v>
      </c>
      <c r="D32" s="11">
        <v>3.2599999999999997E-2</v>
      </c>
      <c r="E32" s="10">
        <f t="shared" si="2"/>
        <v>129969.70252225082</v>
      </c>
      <c r="F32" s="3"/>
      <c r="G32" s="26">
        <v>1.45</v>
      </c>
      <c r="H32" s="10"/>
      <c r="I32" s="10">
        <f t="shared" si="5"/>
        <v>163.47504856982235</v>
      </c>
      <c r="J32" s="10">
        <f t="shared" si="3"/>
        <v>672989240.01004779</v>
      </c>
      <c r="K32" s="11">
        <f t="shared" si="4"/>
        <v>4.7572700000000134E-2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3986800.6908665923</v>
      </c>
      <c r="D33" s="11">
        <v>3.2800000000000003E-2</v>
      </c>
      <c r="E33" s="10">
        <f t="shared" si="2"/>
        <v>126614.11953952769</v>
      </c>
      <c r="F33" s="3"/>
      <c r="G33" s="26">
        <v>2.72</v>
      </c>
      <c r="H33" s="10"/>
      <c r="I33" s="10">
        <f t="shared" si="5"/>
        <v>161.138539743541</v>
      </c>
      <c r="J33" s="10">
        <f t="shared" si="3"/>
        <v>642427241.57478309</v>
      </c>
      <c r="K33" s="11">
        <f t="shared" si="4"/>
        <v>6.0892160000000084E-2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3860186.5713270647</v>
      </c>
      <c r="D34" s="11">
        <v>3.27E-2</v>
      </c>
      <c r="E34" s="10">
        <f t="shared" si="2"/>
        <v>122231.1425219276</v>
      </c>
      <c r="F34" s="3"/>
      <c r="G34" s="26">
        <v>4.3</v>
      </c>
      <c r="H34" s="10"/>
      <c r="I34" s="10">
        <f t="shared" si="5"/>
        <v>156.87163137026965</v>
      </c>
      <c r="J34" s="10">
        <f t="shared" ref="J34:J65" si="6">IF(I34="","",I34*C34)</f>
        <v>605553764.83768439</v>
      </c>
      <c r="K34" s="11">
        <f t="shared" ref="K34:K65" si="7">IFERROR(J34/J35-1,"")</f>
        <v>9.0531199999999812E-2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3737955.4288051371</v>
      </c>
      <c r="D35" s="11">
        <v>3.2300000000000002E-2</v>
      </c>
      <c r="E35" s="10">
        <f t="shared" si="2"/>
        <v>116958.2101621679</v>
      </c>
      <c r="F35" s="3"/>
      <c r="G35" s="26">
        <v>10.05</v>
      </c>
      <c r="H35" s="10"/>
      <c r="I35" s="10">
        <f t="shared" ref="I35:I66" si="8">IF(H35&lt;&gt;"",H35,I34/(1+IF(G34="",0,G34)/100))</f>
        <v>148.55268122184626</v>
      </c>
      <c r="J35" s="10">
        <f t="shared" si="6"/>
        <v>555283301.23675919</v>
      </c>
      <c r="K35" s="11">
        <f t="shared" si="7"/>
        <v>0.16391825000000004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3620997.2186429692</v>
      </c>
      <c r="D36" s="11">
        <v>3.1899999999999998E-2</v>
      </c>
      <c r="E36" s="10">
        <f t="shared" si="2"/>
        <v>111938.95849860553</v>
      </c>
      <c r="F36" s="3"/>
      <c r="G36" s="26">
        <v>-4.37</v>
      </c>
      <c r="H36" s="10"/>
      <c r="I36" s="10">
        <f t="shared" si="8"/>
        <v>131.75404099498559</v>
      </c>
      <c r="J36" s="10">
        <f t="shared" si="6"/>
        <v>477081015.98781455</v>
      </c>
      <c r="K36" s="11">
        <f t="shared" si="7"/>
        <v>3.6337169999999919E-2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3509058.2601443636</v>
      </c>
      <c r="D37" s="11">
        <v>3.1600000000000003E-2</v>
      </c>
      <c r="E37" s="10">
        <f t="shared" si="2"/>
        <v>107489.57058992051</v>
      </c>
      <c r="F37" s="3"/>
      <c r="G37" s="26">
        <v>9.06</v>
      </c>
      <c r="H37" s="10"/>
      <c r="I37" s="10">
        <f t="shared" si="8"/>
        <v>131.18992432040784</v>
      </c>
      <c r="J37" s="10">
        <f t="shared" si="6"/>
        <v>460353087.58424109</v>
      </c>
      <c r="K37" s="11">
        <f t="shared" si="7"/>
        <v>0.17973776000000008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3401568.6895544431</v>
      </c>
      <c r="D38" s="11">
        <v>3.1600000000000003E-2</v>
      </c>
      <c r="E38" s="10">
        <f t="shared" si="2"/>
        <v>104196.94706273824</v>
      </c>
      <c r="F38" s="3"/>
      <c r="G38" s="26">
        <v>17.69</v>
      </c>
      <c r="H38" s="10"/>
      <c r="I38" s="10">
        <f t="shared" si="8"/>
        <v>114.71661797867073</v>
      </c>
      <c r="J38" s="10">
        <f t="shared" si="6"/>
        <v>390216455.88782465</v>
      </c>
      <c r="K38" s="11">
        <f t="shared" si="7"/>
        <v>0.25225924000000011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3297371.7424917049</v>
      </c>
      <c r="D39" s="11">
        <v>3.2000000000000001E-2</v>
      </c>
      <c r="E39" s="10">
        <f t="shared" si="2"/>
        <v>102244.0850385027</v>
      </c>
      <c r="F39" s="3"/>
      <c r="G39" s="26">
        <v>3.92</v>
      </c>
      <c r="H39" s="10"/>
      <c r="I39" s="10">
        <f t="shared" si="8"/>
        <v>94.502527373482764</v>
      </c>
      <c r="J39" s="10">
        <f t="shared" si="6"/>
        <v>311609963.35537088</v>
      </c>
      <c r="K39" s="11">
        <f t="shared" si="7"/>
        <v>7.2454399999999808E-2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3195127.6574532022</v>
      </c>
      <c r="D40" s="11">
        <v>3.2899999999999999E-2</v>
      </c>
      <c r="E40" s="10">
        <f t="shared" si="2"/>
        <v>101771.42020545062</v>
      </c>
      <c r="F40" s="3"/>
      <c r="G40" s="26">
        <v>13.83</v>
      </c>
      <c r="H40" s="10"/>
      <c r="I40" s="10">
        <f t="shared" si="8"/>
        <v>90.93776691058774</v>
      </c>
      <c r="J40" s="10">
        <f t="shared" si="6"/>
        <v>290557774.16305155</v>
      </c>
      <c r="K40" s="11">
        <f t="shared" si="7"/>
        <v>0.17575007000000009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3093356.2372477516</v>
      </c>
      <c r="D41" s="11">
        <v>3.4099999999999998E-2</v>
      </c>
      <c r="E41" s="10">
        <f t="shared" si="2"/>
        <v>102005.07464476209</v>
      </c>
      <c r="F41" s="3"/>
      <c r="G41" s="26">
        <v>5.36</v>
      </c>
      <c r="H41" s="10"/>
      <c r="I41" s="10">
        <f t="shared" si="8"/>
        <v>79.889103848359596</v>
      </c>
      <c r="J41" s="10">
        <f t="shared" si="6"/>
        <v>247125457.6774565</v>
      </c>
      <c r="K41" s="11">
        <f t="shared" si="7"/>
        <v>8.9527760000000178E-2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2991351.1626029895</v>
      </c>
      <c r="D42" s="11">
        <v>3.56E-2</v>
      </c>
      <c r="E42" s="10">
        <f t="shared" si="2"/>
        <v>102831.30686429748</v>
      </c>
      <c r="F42" s="3"/>
      <c r="G42" s="26">
        <v>-11.23</v>
      </c>
      <c r="H42" s="10"/>
      <c r="I42" s="10">
        <f t="shared" si="8"/>
        <v>75.824889757364829</v>
      </c>
      <c r="J42" s="10">
        <f t="shared" si="6"/>
        <v>226818872.12993678</v>
      </c>
      <c r="K42" s="11">
        <f t="shared" si="7"/>
        <v>-8.0697880000000111E-2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2888519.855738692</v>
      </c>
      <c r="D43" s="11">
        <v>3.73E-2</v>
      </c>
      <c r="E43" s="10">
        <f t="shared" si="2"/>
        <v>103867.5316871237</v>
      </c>
      <c r="F43" s="3"/>
      <c r="G43" s="26">
        <v>1.41</v>
      </c>
      <c r="H43" s="10"/>
      <c r="I43" s="10">
        <f>IF(H43&lt;&gt;"",H43,I42/(1+IF(G42="",0,G42)/100))</f>
        <v>85.417246544288432</v>
      </c>
      <c r="J43" s="10">
        <f t="shared" si="6"/>
        <v>246729412.66570431</v>
      </c>
      <c r="K43" s="11">
        <f t="shared" si="7"/>
        <v>5.192593000000012E-2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2784652.3240515683</v>
      </c>
      <c r="D44" s="11">
        <v>3.8800000000000001E-2</v>
      </c>
      <c r="E44" s="10">
        <f t="shared" si="2"/>
        <v>104008.96243088227</v>
      </c>
      <c r="F44" s="3"/>
      <c r="G44" s="26">
        <v>8.83</v>
      </c>
      <c r="H44" s="10"/>
      <c r="I44" s="10">
        <f t="shared" si="8"/>
        <v>84.229609056590505</v>
      </c>
      <c r="J44" s="10">
        <f t="shared" si="6"/>
        <v>234550176.61338976</v>
      </c>
      <c r="K44" s="11">
        <f t="shared" si="7"/>
        <v>0.1305260399999999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2680643.361620686</v>
      </c>
      <c r="D45" s="11">
        <v>4.0099999999999997E-2</v>
      </c>
      <c r="E45" s="10">
        <f t="shared" si="2"/>
        <v>103349.48447359819</v>
      </c>
      <c r="F45" s="3"/>
      <c r="G45" s="26">
        <v>28.6</v>
      </c>
      <c r="H45" s="10"/>
      <c r="I45" s="10">
        <f t="shared" si="8"/>
        <v>77.395579395929886</v>
      </c>
      <c r="J45" s="10">
        <f t="shared" si="6"/>
        <v>207469946.12648618</v>
      </c>
      <c r="K45" s="11">
        <f t="shared" si="7"/>
        <v>0.33756859999999977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2577293.8771470878</v>
      </c>
      <c r="D46" s="11">
        <v>4.1000000000000002E-2</v>
      </c>
      <c r="E46" s="10">
        <f t="shared" si="2"/>
        <v>101507.25164556224</v>
      </c>
      <c r="F46" s="3"/>
      <c r="G46" s="26">
        <v>-9.43</v>
      </c>
      <c r="H46" s="10"/>
      <c r="I46" s="10">
        <f t="shared" si="8"/>
        <v>60.183187710676428</v>
      </c>
      <c r="J46" s="10">
        <f t="shared" si="6"/>
        <v>155109761.19392022</v>
      </c>
      <c r="K46" s="11">
        <f t="shared" si="7"/>
        <v>-5.7166300000000114E-2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2475786.6255015256</v>
      </c>
      <c r="D47" s="11">
        <v>4.1200000000000001E-2</v>
      </c>
      <c r="E47" s="10">
        <f t="shared" si="2"/>
        <v>97966.201470094733</v>
      </c>
      <c r="F47" s="3"/>
      <c r="G47" s="26">
        <v>3.72</v>
      </c>
      <c r="H47" s="10"/>
      <c r="I47" s="10">
        <f t="shared" si="8"/>
        <v>66.449362604257956</v>
      </c>
      <c r="J47" s="10">
        <f t="shared" si="6"/>
        <v>164514443.20872307</v>
      </c>
      <c r="K47" s="11">
        <f t="shared" si="7"/>
        <v>7.9932639999999777E-2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2377820.4240314309</v>
      </c>
      <c r="D48" s="11">
        <v>4.07E-2</v>
      </c>
      <c r="E48" s="10">
        <f t="shared" si="2"/>
        <v>92992.496644642204</v>
      </c>
      <c r="F48" s="3"/>
      <c r="G48" s="26">
        <v>-0.16</v>
      </c>
      <c r="H48" s="10"/>
      <c r="I48" s="10">
        <f t="shared" si="8"/>
        <v>64.066103552119131</v>
      </c>
      <c r="J48" s="10">
        <f t="shared" si="6"/>
        <v>152337689.51434147</v>
      </c>
      <c r="K48" s="11">
        <f t="shared" si="7"/>
        <v>3.9034879999999994E-2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2284827.9273867887</v>
      </c>
      <c r="D49" s="11">
        <v>3.9399999999999998E-2</v>
      </c>
      <c r="E49" s="10">
        <f t="shared" si="2"/>
        <v>86609.794438175391</v>
      </c>
      <c r="F49" s="3"/>
      <c r="G49" s="26">
        <v>4.7</v>
      </c>
      <c r="H49" s="10"/>
      <c r="I49" s="10">
        <f t="shared" si="8"/>
        <v>64.168773589862909</v>
      </c>
      <c r="J49" s="10">
        <f t="shared" si="6"/>
        <v>146614605.96427858</v>
      </c>
      <c r="K49" s="11">
        <f t="shared" si="7"/>
        <v>8.825179999999988E-2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2198218.1329486133</v>
      </c>
      <c r="D50" s="11">
        <v>3.73E-2</v>
      </c>
      <c r="E50" s="10">
        <f t="shared" si="2"/>
        <v>79045.152182573453</v>
      </c>
      <c r="F50" s="3"/>
      <c r="G50" s="26">
        <v>6.1</v>
      </c>
      <c r="H50" s="10"/>
      <c r="I50" s="10">
        <f t="shared" si="8"/>
        <v>61.28822692441539</v>
      </c>
      <c r="J50" s="10">
        <f t="shared" si="6"/>
        <v>134724891.76151934</v>
      </c>
      <c r="K50" s="11">
        <f t="shared" si="7"/>
        <v>0.10057530000000003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2119172.9807660398</v>
      </c>
      <c r="D51" s="11">
        <v>3.4700000000000002E-2</v>
      </c>
      <c r="E51" s="10">
        <f t="shared" si="2"/>
        <v>71069.201152586844</v>
      </c>
      <c r="F51" s="3"/>
      <c r="G51" s="26">
        <v>9.6</v>
      </c>
      <c r="H51" s="10"/>
      <c r="I51" s="10">
        <f t="shared" si="8"/>
        <v>57.764587110664841</v>
      </c>
      <c r="J51" s="10">
        <f t="shared" si="6"/>
        <v>122413152.25002718</v>
      </c>
      <c r="K51" s="11">
        <f t="shared" si="7"/>
        <v>0.13403120000000013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2048103.779613453</v>
      </c>
      <c r="D52" s="11">
        <v>3.1800000000000002E-2</v>
      </c>
      <c r="E52" s="10">
        <f t="shared" si="2"/>
        <v>63122.407629102468</v>
      </c>
      <c r="F52" s="3"/>
      <c r="G52" s="26">
        <v>5.78</v>
      </c>
      <c r="H52" s="10"/>
      <c r="I52" s="10">
        <f t="shared" si="8"/>
        <v>52.704915246956965</v>
      </c>
      <c r="J52" s="10">
        <f t="shared" si="6"/>
        <v>107945136.12149927</v>
      </c>
      <c r="K52" s="11">
        <f t="shared" si="7"/>
        <v>9.1438040000000331E-2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1984981.3719843505</v>
      </c>
      <c r="D53" s="11">
        <v>2.9000000000000001E-2</v>
      </c>
      <c r="E53" s="10">
        <f t="shared" si="2"/>
        <v>55942.137791589834</v>
      </c>
      <c r="F53" s="3"/>
      <c r="G53" s="26">
        <v>8.59</v>
      </c>
      <c r="H53" s="10"/>
      <c r="I53" s="10">
        <f t="shared" si="8"/>
        <v>49.825028594211531</v>
      </c>
      <c r="J53" s="10">
        <f t="shared" si="6"/>
        <v>98901753.618097499</v>
      </c>
      <c r="K53" s="11">
        <f t="shared" si="7"/>
        <v>0.11739109999999986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1929039.2341927607</v>
      </c>
      <c r="D54" s="11">
        <v>2.6800000000000001E-2</v>
      </c>
      <c r="E54" s="10">
        <f t="shared" si="2"/>
        <v>50348.900931404205</v>
      </c>
      <c r="F54" s="3"/>
      <c r="G54" s="26">
        <v>7.43</v>
      </c>
      <c r="H54" s="10"/>
      <c r="I54" s="10">
        <f t="shared" si="8"/>
        <v>45.883625190359638</v>
      </c>
      <c r="J54" s="10">
        <f t="shared" si="6"/>
        <v>88511313.199199021</v>
      </c>
      <c r="K54" s="11">
        <f t="shared" si="7"/>
        <v>0.10309124000000014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1878690.3332613565</v>
      </c>
      <c r="D55" s="11">
        <v>2.5700000000000001E-2</v>
      </c>
      <c r="E55" s="10">
        <f t="shared" si="2"/>
        <v>47072.576352556236</v>
      </c>
      <c r="F55" s="3"/>
      <c r="G55" s="26">
        <v>3.79</v>
      </c>
      <c r="H55" s="10"/>
      <c r="I55" s="10">
        <f t="shared" si="8"/>
        <v>42.710253365316611</v>
      </c>
      <c r="J55" s="10">
        <f t="shared" si="6"/>
        <v>80239340.128563628</v>
      </c>
      <c r="K55" s="11">
        <f t="shared" si="7"/>
        <v>6.4574029999999949E-2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1831617.7569088002</v>
      </c>
      <c r="D56" s="11">
        <v>2.5899999999999999E-2</v>
      </c>
      <c r="E56" s="10">
        <f t="shared" si="2"/>
        <v>46241.25149033824</v>
      </c>
      <c r="F56" s="3"/>
      <c r="G56" s="26">
        <v>-1</v>
      </c>
      <c r="H56" s="10"/>
      <c r="I56" s="10">
        <f t="shared" si="8"/>
        <v>41.150643959260634</v>
      </c>
      <c r="J56" s="10">
        <f t="shared" si="6"/>
        <v>75372250.184013635</v>
      </c>
      <c r="K56" s="11">
        <f t="shared" si="7"/>
        <v>1.5641000000000016E-2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1785376.505418462</v>
      </c>
      <c r="D57" s="11">
        <v>2.7199999999999998E-2</v>
      </c>
      <c r="E57" s="10">
        <f t="shared" si="2"/>
        <v>47276.324909834424</v>
      </c>
      <c r="F57" s="3"/>
      <c r="G57" s="26">
        <v>11.29</v>
      </c>
      <c r="H57" s="10"/>
      <c r="I57" s="10">
        <f t="shared" si="8"/>
        <v>41.566307029556199</v>
      </c>
      <c r="J57" s="10">
        <f t="shared" si="6"/>
        <v>74211507.987579897</v>
      </c>
      <c r="K57" s="11">
        <f t="shared" si="7"/>
        <v>0.14317087999999978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1738100.1805086276</v>
      </c>
      <c r="D58" s="11">
        <v>2.93E-2</v>
      </c>
      <c r="E58" s="10">
        <f t="shared" si="2"/>
        <v>49476.668890413828</v>
      </c>
      <c r="F58" s="3"/>
      <c r="G58" s="26">
        <v>21.92</v>
      </c>
      <c r="H58" s="10"/>
      <c r="I58" s="10">
        <f t="shared" si="8"/>
        <v>37.349543561466618</v>
      </c>
      <c r="J58" s="10">
        <f t="shared" si="6"/>
        <v>64917248.406099975</v>
      </c>
      <c r="K58" s="11">
        <f t="shared" si="7"/>
        <v>0.25492256000000024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1688623.5116182137</v>
      </c>
      <c r="D59" s="11">
        <v>3.1600000000000003E-2</v>
      </c>
      <c r="E59" s="10">
        <f t="shared" si="2"/>
        <v>51725.962550538592</v>
      </c>
      <c r="F59" s="3"/>
      <c r="G59" s="26">
        <v>14.02</v>
      </c>
      <c r="H59" s="10"/>
      <c r="I59" s="10">
        <f t="shared" si="8"/>
        <v>30.634468144247553</v>
      </c>
      <c r="J59" s="10">
        <f t="shared" si="6"/>
        <v>51730083.174295604</v>
      </c>
      <c r="K59" s="11">
        <f t="shared" si="7"/>
        <v>0.17623032000000016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1636897.5490676751</v>
      </c>
      <c r="D60" s="11">
        <v>3.3700000000000001E-2</v>
      </c>
      <c r="E60" s="10">
        <f t="shared" si="2"/>
        <v>53365.04537446145</v>
      </c>
      <c r="F60" s="3"/>
      <c r="G60" s="26">
        <v>-12.49</v>
      </c>
      <c r="H60" s="10"/>
      <c r="I60" s="10">
        <f t="shared" si="8"/>
        <v>26.867626858662998</v>
      </c>
      <c r="J60" s="10">
        <f t="shared" si="6"/>
        <v>43979552.554210298</v>
      </c>
      <c r="K60" s="11">
        <f t="shared" si="7"/>
        <v>-9.5409129999999953E-2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1583532.5036932137</v>
      </c>
      <c r="D61" s="11">
        <v>3.5099999999999999E-2</v>
      </c>
      <c r="E61" s="10">
        <f t="shared" si="2"/>
        <v>53697.21850993298</v>
      </c>
      <c r="F61" s="3"/>
      <c r="G61" s="26">
        <v>-9.31</v>
      </c>
      <c r="H61" s="10"/>
      <c r="I61" s="10">
        <f t="shared" si="8"/>
        <v>30.702350426994627</v>
      </c>
      <c r="J61" s="10">
        <f t="shared" si="6"/>
        <v>48618169.840925209</v>
      </c>
      <c r="K61" s="11">
        <f t="shared" si="7"/>
        <v>-6.1267810000000145E-2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1529835.2851832807</v>
      </c>
      <c r="D62" s="11">
        <v>3.5700000000000003E-2</v>
      </c>
      <c r="E62" s="10">
        <f t="shared" si="2"/>
        <v>52732.567037794041</v>
      </c>
      <c r="F62" s="3"/>
      <c r="G62" s="26">
        <v>-8.56</v>
      </c>
      <c r="H62" s="10"/>
      <c r="I62" s="10">
        <f t="shared" si="8"/>
        <v>33.854174029104229</v>
      </c>
      <c r="J62" s="10">
        <f t="shared" si="6"/>
        <v>51791309.980459087</v>
      </c>
      <c r="K62" s="11">
        <f t="shared" si="7"/>
        <v>-5.2955919999999823E-2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1477102.7181454867</v>
      </c>
      <c r="D63" s="11">
        <v>3.5499999999999997E-2</v>
      </c>
      <c r="E63" s="10">
        <f t="shared" si="2"/>
        <v>50639.446155639598</v>
      </c>
      <c r="F63" s="3"/>
      <c r="G63" s="26">
        <v>8.2799999999999994</v>
      </c>
      <c r="H63" s="10"/>
      <c r="I63" s="10">
        <f t="shared" si="8"/>
        <v>37.02337492246744</v>
      </c>
      <c r="J63" s="10">
        <f t="shared" si="6"/>
        <v>54687327.732896104</v>
      </c>
      <c r="K63" s="11">
        <f t="shared" si="7"/>
        <v>0.12123940000000011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1426463.2719898471</v>
      </c>
      <c r="D64" s="11">
        <v>3.4700000000000002E-2</v>
      </c>
      <c r="E64" s="10">
        <f t="shared" si="2"/>
        <v>47838.286979846889</v>
      </c>
      <c r="F64" s="3"/>
      <c r="G64" s="26">
        <v>14.33</v>
      </c>
      <c r="H64" s="10"/>
      <c r="I64" s="10">
        <f t="shared" si="8"/>
        <v>34.192256116057848</v>
      </c>
      <c r="J64" s="10">
        <f t="shared" si="6"/>
        <v>48773997.536026739</v>
      </c>
      <c r="K64" s="11">
        <f t="shared" si="7"/>
        <v>0.18297250999999992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1378624.9850100002</v>
      </c>
      <c r="D65" s="11">
        <v>3.3500000000000002E-2</v>
      </c>
      <c r="E65" s="10">
        <f t="shared" si="2"/>
        <v>44686.925010000123</v>
      </c>
      <c r="F65" s="3"/>
      <c r="G65" s="26">
        <v>14.67</v>
      </c>
      <c r="H65" s="10"/>
      <c r="I65" s="10">
        <f t="shared" si="8"/>
        <v>29.906635280379472</v>
      </c>
      <c r="J65" s="10">
        <f t="shared" si="6"/>
        <v>41230034.615112692</v>
      </c>
      <c r="K65" s="11">
        <f t="shared" si="7"/>
        <v>0.18511445000000015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1333938.06</v>
      </c>
      <c r="D66" s="11">
        <v>3.2300000000000002E-2</v>
      </c>
      <c r="E66" s="10">
        <f t="shared" si="2"/>
        <v>41738.060000000056</v>
      </c>
      <c r="F66" s="23">
        <f>SUM(F2)</f>
        <v>7437017</v>
      </c>
      <c r="G66" s="26">
        <v>1.21</v>
      </c>
      <c r="H66" s="10"/>
      <c r="I66" s="10">
        <f t="shared" si="8"/>
        <v>26.080609819812917</v>
      </c>
      <c r="J66" s="10">
        <f t="shared" ref="J66:J67" si="9">IF(I66="","",I66*C66)</f>
        <v>34789918.066658191</v>
      </c>
      <c r="K66" s="11">
        <f t="shared" ref="K66" si="10">IFERROR(J66/J67-1,"")</f>
        <v>4.4790829999999948E-2</v>
      </c>
    </row>
    <row r="67" spans="1:11" ht="22.5" customHeight="1">
      <c r="A67" s="3">
        <f t="shared" si="0"/>
        <v>1950</v>
      </c>
      <c r="B67" s="3">
        <v>1700</v>
      </c>
      <c r="C67" s="10">
        <v>1292200</v>
      </c>
      <c r="D67" s="11">
        <v>3.1099999999999999E-2</v>
      </c>
      <c r="E67" s="3" t="s">
        <v>72</v>
      </c>
      <c r="F67" s="10">
        <f>SUM(C2)</f>
        <v>7437452.3362264652</v>
      </c>
      <c r="G67" s="26">
        <v>7.12</v>
      </c>
      <c r="H67" s="10"/>
      <c r="I67" s="10">
        <f t="shared" ref="I67" si="11">IF(H67&lt;&gt;"",H67,I66/(1+IF(G66="",0,G66)/100))</f>
        <v>25.768807252062956</v>
      </c>
      <c r="J67" s="10">
        <f t="shared" si="9"/>
        <v>33298452.731115751</v>
      </c>
      <c r="K67" s="11"/>
    </row>
  </sheetData>
  <dataValidations count="1">
    <dataValidation type="custom" allowBlank="1" showDropDown="1" sqref="D2:D67" xr:uid="{00000000-0002-0000-9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M67"/>
  <sheetViews>
    <sheetView topLeftCell="A30" workbookViewId="0">
      <selection activeCell="G38" sqref="G3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93832696.520897821</v>
      </c>
      <c r="D2" s="11">
        <v>8.8999999999999999E-3</v>
      </c>
      <c r="E2" s="10">
        <f t="shared" ref="E2:E66" si="2">SUM(C2-C3)</f>
        <v>827744.07675288618</v>
      </c>
      <c r="F2" s="14">
        <v>93832500</v>
      </c>
      <c r="G2" s="29">
        <v>0.32</v>
      </c>
      <c r="H2" s="10"/>
      <c r="I2" s="10">
        <f>IF(H2&lt;&gt;"",H2,81584)</f>
        <v>10198</v>
      </c>
      <c r="J2" s="10">
        <f t="shared" ref="J2:J33" si="3">IF(I2="","",I2*C2)</f>
        <v>956905839120.11597</v>
      </c>
      <c r="K2" s="11">
        <f t="shared" ref="K2:K33" si="4">IFERROR(J2/J3-1,"")</f>
        <v>1.2128480000000108E-2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93004952.444144934</v>
      </c>
      <c r="D3" s="11">
        <v>9.9000000000000008E-3</v>
      </c>
      <c r="E3" s="10">
        <f t="shared" si="2"/>
        <v>911722.97177645564</v>
      </c>
      <c r="F3" s="3"/>
      <c r="G3" s="29">
        <v>0.5</v>
      </c>
      <c r="H3" s="10"/>
      <c r="I3" s="10">
        <f t="shared" ref="I3:I34" si="5">IF(H3&lt;&gt;"",H3,I2/(1+IF(G2="",0,G2)/100))</f>
        <v>10165.470494417861</v>
      </c>
      <c r="J3" s="10">
        <f t="shared" si="3"/>
        <v>945439099905.69165</v>
      </c>
      <c r="K3" s="11">
        <f t="shared" si="4"/>
        <v>1.4949499999999949E-2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92093229.472368479</v>
      </c>
      <c r="D4" s="11">
        <v>1.11E-2</v>
      </c>
      <c r="E4" s="10">
        <f t="shared" si="2"/>
        <v>1011012.6072033495</v>
      </c>
      <c r="F4" s="3"/>
      <c r="G4" s="29">
        <v>3</v>
      </c>
      <c r="H4" s="10"/>
      <c r="I4" s="10">
        <f t="shared" si="5"/>
        <v>10114.896014346132</v>
      </c>
      <c r="J4" s="10">
        <f t="shared" si="3"/>
        <v>931513439738.32361</v>
      </c>
      <c r="K4" s="11">
        <f t="shared" si="4"/>
        <v>4.1433000000000053E-2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91082216.865165129</v>
      </c>
      <c r="D5" s="11">
        <v>1.23E-2</v>
      </c>
      <c r="E5" s="10">
        <f t="shared" si="2"/>
        <v>1106698.8713242412</v>
      </c>
      <c r="F5" s="3"/>
      <c r="G5" s="29">
        <v>1.92</v>
      </c>
      <c r="H5" s="10"/>
      <c r="I5" s="10">
        <f t="shared" si="5"/>
        <v>9820.2873925690601</v>
      </c>
      <c r="J5" s="10">
        <f t="shared" si="3"/>
        <v>894453545968.22217</v>
      </c>
      <c r="K5" s="11">
        <f t="shared" si="4"/>
        <v>3.1736159999999902E-2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89975517.993840888</v>
      </c>
      <c r="D6" s="11">
        <v>1.3599999999999999E-2</v>
      </c>
      <c r="E6" s="10">
        <f t="shared" si="2"/>
        <v>1207248.465584293</v>
      </c>
      <c r="F6" s="3"/>
      <c r="G6" s="29">
        <v>3.97</v>
      </c>
      <c r="H6" s="10"/>
      <c r="I6" s="10">
        <f t="shared" si="5"/>
        <v>9635.2898278738812</v>
      </c>
      <c r="J6" s="10">
        <f t="shared" si="3"/>
        <v>866940193283.73853</v>
      </c>
      <c r="K6" s="11">
        <f t="shared" si="4"/>
        <v>5.3839920000000152E-2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88768269.528256595</v>
      </c>
      <c r="D7" s="11">
        <v>1.47E-2</v>
      </c>
      <c r="E7" s="10">
        <f t="shared" si="2"/>
        <v>1285989.51617755</v>
      </c>
      <c r="F7" s="3"/>
      <c r="G7" s="29">
        <v>7.53</v>
      </c>
      <c r="H7" s="10"/>
      <c r="I7" s="10">
        <f t="shared" si="5"/>
        <v>9267.3750388322405</v>
      </c>
      <c r="J7" s="10">
        <f t="shared" si="3"/>
        <v>822648845266.4978</v>
      </c>
      <c r="K7" s="11">
        <f t="shared" si="4"/>
        <v>9.1106909999999708E-2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87482280.012079045</v>
      </c>
      <c r="D8" s="11">
        <v>1.5800000000000002E-2</v>
      </c>
      <c r="E8" s="10">
        <f t="shared" si="2"/>
        <v>1360720.6381087303</v>
      </c>
      <c r="F8" s="3"/>
      <c r="G8" s="29">
        <v>-0.13</v>
      </c>
      <c r="H8" s="10"/>
      <c r="I8" s="10">
        <f t="shared" si="5"/>
        <v>8618.4088522572692</v>
      </c>
      <c r="J8" s="10">
        <f t="shared" si="3"/>
        <v>753958056471.75122</v>
      </c>
      <c r="K8" s="11">
        <f t="shared" si="4"/>
        <v>1.447946E-2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86121559.373970315</v>
      </c>
      <c r="D9" s="11">
        <v>1.67E-2</v>
      </c>
      <c r="E9" s="10">
        <f t="shared" si="2"/>
        <v>1414606.1193521172</v>
      </c>
      <c r="F9" s="3"/>
      <c r="G9" s="29">
        <v>5.09</v>
      </c>
      <c r="H9" s="10"/>
      <c r="I9" s="10">
        <f t="shared" si="5"/>
        <v>8629.6273678354555</v>
      </c>
      <c r="J9" s="10">
        <f t="shared" si="3"/>
        <v>743196965734.2804</v>
      </c>
      <c r="K9" s="11">
        <f t="shared" si="4"/>
        <v>6.8450030000000162E-2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84706953.254618198</v>
      </c>
      <c r="D10" s="11">
        <v>1.7399999999999999E-2</v>
      </c>
      <c r="E10" s="10">
        <f t="shared" si="2"/>
        <v>1448693.7159724385</v>
      </c>
      <c r="F10" s="3"/>
      <c r="G10" s="29">
        <v>6.07</v>
      </c>
      <c r="H10" s="10"/>
      <c r="I10" s="10">
        <f t="shared" si="5"/>
        <v>8211.654170554244</v>
      </c>
      <c r="J10" s="10">
        <f t="shared" si="3"/>
        <v>695584205968.22888</v>
      </c>
      <c r="K10" s="11">
        <f t="shared" si="4"/>
        <v>7.915618000000002E-2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83258259.538645759</v>
      </c>
      <c r="D11" s="11">
        <v>1.7999999999999999E-2</v>
      </c>
      <c r="E11" s="10">
        <f t="shared" si="2"/>
        <v>1472149.9721961021</v>
      </c>
      <c r="F11" s="3"/>
      <c r="G11" s="29">
        <v>3.96</v>
      </c>
      <c r="H11" s="10"/>
      <c r="I11" s="10">
        <f t="shared" si="5"/>
        <v>7741.7310931971761</v>
      </c>
      <c r="J11" s="10">
        <f t="shared" si="3"/>
        <v>644563056635.81421</v>
      </c>
      <c r="K11" s="11">
        <f t="shared" si="4"/>
        <v>5.8312800000000165E-2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81786109.566449657</v>
      </c>
      <c r="D12" s="11">
        <v>1.83E-2</v>
      </c>
      <c r="E12" s="10">
        <f t="shared" si="2"/>
        <v>1469788.672361806</v>
      </c>
      <c r="F12" s="3"/>
      <c r="G12" s="29">
        <v>3.2</v>
      </c>
      <c r="H12" s="10"/>
      <c r="I12" s="10">
        <f t="shared" si="5"/>
        <v>7446.8363728329887</v>
      </c>
      <c r="J12" s="10">
        <f t="shared" si="3"/>
        <v>609047775511.94141</v>
      </c>
      <c r="K12" s="11">
        <f t="shared" si="4"/>
        <v>5.0885600000000197E-2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80316320.894087851</v>
      </c>
      <c r="D13" s="11">
        <v>1.8599999999999998E-2</v>
      </c>
      <c r="E13" s="10">
        <f t="shared" si="2"/>
        <v>1466604.7208227217</v>
      </c>
      <c r="F13" s="3"/>
      <c r="G13" s="29">
        <v>5.76</v>
      </c>
      <c r="H13" s="10"/>
      <c r="I13" s="10">
        <f t="shared" si="5"/>
        <v>7215.9267178614227</v>
      </c>
      <c r="J13" s="10">
        <f t="shared" si="3"/>
        <v>579556685819.9801</v>
      </c>
      <c r="K13" s="11">
        <f t="shared" si="4"/>
        <v>7.72713599999999E-2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78849716.173265129</v>
      </c>
      <c r="D14" s="11">
        <v>1.8800000000000001E-2</v>
      </c>
      <c r="E14" s="10">
        <f t="shared" si="2"/>
        <v>1455020.2827418298</v>
      </c>
      <c r="F14" s="3"/>
      <c r="G14" s="29">
        <v>1.1399999999999999</v>
      </c>
      <c r="H14" s="10"/>
      <c r="I14" s="10">
        <f t="shared" si="5"/>
        <v>6822.9261704438559</v>
      </c>
      <c r="J14" s="10">
        <f t="shared" si="3"/>
        <v>537985792010.64081</v>
      </c>
      <c r="K14" s="11">
        <f t="shared" si="4"/>
        <v>3.0414319999999995E-2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77394695.8905233</v>
      </c>
      <c r="D15" s="11">
        <v>1.9099999999999999E-2</v>
      </c>
      <c r="E15" s="10">
        <f t="shared" si="2"/>
        <v>1450533.5016278923</v>
      </c>
      <c r="F15" s="3"/>
      <c r="G15" s="29">
        <v>3.05</v>
      </c>
      <c r="H15" s="10"/>
      <c r="I15" s="10">
        <f t="shared" si="5"/>
        <v>6746.0215250581923</v>
      </c>
      <c r="J15" s="10">
        <f t="shared" si="3"/>
        <v>522106284402.80298</v>
      </c>
      <c r="K15" s="11">
        <f t="shared" si="4"/>
        <v>5.0182549999999715E-2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75944162.388895407</v>
      </c>
      <c r="D16" s="11">
        <v>1.95E-2</v>
      </c>
      <c r="E16" s="10">
        <f t="shared" si="2"/>
        <v>1452585.7445644587</v>
      </c>
      <c r="F16" s="3"/>
      <c r="G16" s="29">
        <v>1.39</v>
      </c>
      <c r="H16" s="10"/>
      <c r="I16" s="10">
        <f t="shared" si="5"/>
        <v>6546.3576177177993</v>
      </c>
      <c r="J16" s="10">
        <f t="shared" si="3"/>
        <v>497157645975.74304</v>
      </c>
      <c r="K16" s="11">
        <f t="shared" si="4"/>
        <v>3.3671050000000147E-2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74491576.644330949</v>
      </c>
      <c r="D17" s="11">
        <v>2.01E-2</v>
      </c>
      <c r="E17" s="10">
        <f t="shared" si="2"/>
        <v>1467778.3458004594</v>
      </c>
      <c r="F17" s="3"/>
      <c r="G17" s="29">
        <v>4.3899999999999997</v>
      </c>
      <c r="H17" s="10"/>
      <c r="I17" s="10">
        <f t="shared" si="5"/>
        <v>6456.6107285903927</v>
      </c>
      <c r="J17" s="10">
        <f t="shared" si="3"/>
        <v>480963112951.4007</v>
      </c>
      <c r="K17" s="11">
        <f t="shared" si="4"/>
        <v>6.4882389999999956E-2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73023798.298530489</v>
      </c>
      <c r="D18" s="11">
        <v>2.1000000000000001E-2</v>
      </c>
      <c r="E18" s="10">
        <f t="shared" si="2"/>
        <v>1501958.6329766214</v>
      </c>
      <c r="F18" s="3"/>
      <c r="G18" s="29">
        <v>0.47</v>
      </c>
      <c r="H18" s="10"/>
      <c r="I18" s="10">
        <f t="shared" si="5"/>
        <v>6185.0854761858345</v>
      </c>
      <c r="J18" s="10">
        <f t="shared" si="3"/>
        <v>451658434272.16479</v>
      </c>
      <c r="K18" s="11">
        <f t="shared" si="4"/>
        <v>2.579869999999973E-2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71521839.665553868</v>
      </c>
      <c r="D19" s="11">
        <v>2.2100000000000002E-2</v>
      </c>
      <c r="E19" s="10">
        <f t="shared" si="2"/>
        <v>1546455.9794626236</v>
      </c>
      <c r="F19" s="3"/>
      <c r="G19" s="29">
        <v>0.34</v>
      </c>
      <c r="H19" s="10"/>
      <c r="I19" s="10">
        <f t="shared" si="5"/>
        <v>6156.1515638358069</v>
      </c>
      <c r="J19" s="10">
        <f t="shared" si="3"/>
        <v>440299285105.51331</v>
      </c>
      <c r="K19" s="11">
        <f t="shared" si="4"/>
        <v>2.5575140000000163E-2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69975383.686091244</v>
      </c>
      <c r="D20" s="11">
        <v>2.3400000000000001E-2</v>
      </c>
      <c r="E20" s="10">
        <f t="shared" si="2"/>
        <v>1599984.3445911109</v>
      </c>
      <c r="F20" s="3"/>
      <c r="G20" s="29">
        <v>3.39</v>
      </c>
      <c r="H20" s="10"/>
      <c r="I20" s="10">
        <f t="shared" si="5"/>
        <v>6135.2915724893428</v>
      </c>
      <c r="J20" s="10">
        <f t="shared" si="3"/>
        <v>429319381810.98383</v>
      </c>
      <c r="K20" s="11">
        <f t="shared" si="4"/>
        <v>5.8093259999999924E-2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68375399.341500133</v>
      </c>
      <c r="D21" s="11">
        <v>2.47E-2</v>
      </c>
      <c r="E21" s="10">
        <f t="shared" si="2"/>
        <v>1648162.743959263</v>
      </c>
      <c r="F21" s="3"/>
      <c r="G21" s="29">
        <v>2.21</v>
      </c>
      <c r="H21" s="10"/>
      <c r="I21" s="10">
        <f t="shared" si="5"/>
        <v>5934.1247436786371</v>
      </c>
      <c r="J21" s="10">
        <f t="shared" si="3"/>
        <v>405748149091.30396</v>
      </c>
      <c r="K21" s="11">
        <f t="shared" si="4"/>
        <v>4.7345870000000012E-2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66727236.59754087</v>
      </c>
      <c r="D22" s="11">
        <v>2.6100000000000002E-2</v>
      </c>
      <c r="E22" s="10">
        <f t="shared" si="2"/>
        <v>1697281.8197016045</v>
      </c>
      <c r="F22" s="3"/>
      <c r="G22" s="29">
        <v>4.22</v>
      </c>
      <c r="H22" s="10"/>
      <c r="I22" s="10">
        <f t="shared" si="5"/>
        <v>5805.8162055362855</v>
      </c>
      <c r="J22" s="10">
        <f t="shared" si="3"/>
        <v>387406071588.65668</v>
      </c>
      <c r="K22" s="11">
        <f t="shared" si="4"/>
        <v>6.9401419999999936E-2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65029954.777839266</v>
      </c>
      <c r="D23" s="11">
        <v>2.7199999999999998E-2</v>
      </c>
      <c r="E23" s="10">
        <f t="shared" si="2"/>
        <v>1721976.9956748635</v>
      </c>
      <c r="F23" s="3"/>
      <c r="G23" s="29">
        <v>5.85</v>
      </c>
      <c r="H23" s="10"/>
      <c r="I23" s="10">
        <f t="shared" si="5"/>
        <v>5570.731342867286</v>
      </c>
      <c r="J23" s="10">
        <f t="shared" si="3"/>
        <v>362264407306.15143</v>
      </c>
      <c r="K23" s="11">
        <f t="shared" si="4"/>
        <v>8.7291199999999902E-2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63307977.782164402</v>
      </c>
      <c r="D24" s="11">
        <v>2.81E-2</v>
      </c>
      <c r="E24" s="10">
        <f t="shared" si="2"/>
        <v>1730331.8506748602</v>
      </c>
      <c r="F24" s="3"/>
      <c r="G24" s="29">
        <v>4.92</v>
      </c>
      <c r="H24" s="10"/>
      <c r="I24" s="10">
        <f t="shared" si="5"/>
        <v>5262.8543626521359</v>
      </c>
      <c r="J24" s="10">
        <f t="shared" si="3"/>
        <v>333180667061.5484</v>
      </c>
      <c r="K24" s="11">
        <f t="shared" si="4"/>
        <v>7.8682520000000089E-2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61577645.931489542</v>
      </c>
      <c r="D25" s="11">
        <v>2.8799999999999999E-2</v>
      </c>
      <c r="E25" s="10">
        <f t="shared" si="2"/>
        <v>1723791.021410279</v>
      </c>
      <c r="F25" s="3"/>
      <c r="G25" s="29">
        <v>-0.54</v>
      </c>
      <c r="H25" s="10"/>
      <c r="I25" s="10">
        <f t="shared" si="5"/>
        <v>5016.0640132025701</v>
      </c>
      <c r="J25" s="10">
        <f t="shared" si="3"/>
        <v>308877413774.67432</v>
      </c>
      <c r="K25" s="11">
        <f t="shared" si="4"/>
        <v>2.3244480000000012E-2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59853854.910079263</v>
      </c>
      <c r="D26" s="11">
        <v>2.9100000000000001E-2</v>
      </c>
      <c r="E26" s="10">
        <f t="shared" si="2"/>
        <v>1692495.5571696609</v>
      </c>
      <c r="F26" s="3"/>
      <c r="G26" s="29">
        <v>1.03</v>
      </c>
      <c r="H26" s="10"/>
      <c r="I26" s="10">
        <f t="shared" si="5"/>
        <v>5043.2978214383365</v>
      </c>
      <c r="J26" s="10">
        <f t="shared" si="3"/>
        <v>301860816072.68903</v>
      </c>
      <c r="K26" s="11">
        <f t="shared" si="4"/>
        <v>3.9699729999999711E-2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58161359.352909602</v>
      </c>
      <c r="D27" s="11">
        <v>2.9100000000000001E-2</v>
      </c>
      <c r="E27" s="10">
        <f t="shared" si="2"/>
        <v>1644636.6312016919</v>
      </c>
      <c r="F27" s="3"/>
      <c r="G27" s="29">
        <v>-4.3499999999999996</v>
      </c>
      <c r="H27" s="10"/>
      <c r="I27" s="10">
        <f t="shared" si="5"/>
        <v>4991.8814425797655</v>
      </c>
      <c r="J27" s="10">
        <f t="shared" si="3"/>
        <v>290334610429.0025</v>
      </c>
      <c r="K27" s="11">
        <f t="shared" si="4"/>
        <v>-1.5665850000000203E-2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56516722.72170791</v>
      </c>
      <c r="D28" s="11">
        <v>2.8899999999999999E-2</v>
      </c>
      <c r="E28" s="10">
        <f t="shared" si="2"/>
        <v>1587455.8136430681</v>
      </c>
      <c r="F28" s="3"/>
      <c r="G28" s="29">
        <v>3.16</v>
      </c>
      <c r="H28" s="10"/>
      <c r="I28" s="10">
        <f t="shared" si="5"/>
        <v>5218.9037559642084</v>
      </c>
      <c r="J28" s="10">
        <f t="shared" si="3"/>
        <v>294955336487.10913</v>
      </c>
      <c r="K28" s="11">
        <f t="shared" si="4"/>
        <v>6.1413239999999814E-2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54929266.908064842</v>
      </c>
      <c r="D29" s="11">
        <v>2.8400000000000002E-2</v>
      </c>
      <c r="E29" s="10">
        <f t="shared" si="2"/>
        <v>1516910.910335511</v>
      </c>
      <c r="F29" s="3"/>
      <c r="G29" s="29">
        <v>9.4</v>
      </c>
      <c r="H29" s="10"/>
      <c r="I29" s="10">
        <f t="shared" si="5"/>
        <v>5059.0381504112138</v>
      </c>
      <c r="J29" s="10">
        <f t="shared" si="3"/>
        <v>277889256862.02026</v>
      </c>
      <c r="K29" s="11">
        <f t="shared" si="4"/>
        <v>0.12506960000000023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53412355.997729331</v>
      </c>
      <c r="D30" s="11">
        <v>2.7799999999999998E-2</v>
      </c>
      <c r="E30" s="10">
        <f t="shared" si="2"/>
        <v>1444700.8141047657</v>
      </c>
      <c r="F30" s="3"/>
      <c r="G30" s="29">
        <v>3.53</v>
      </c>
      <c r="H30" s="10"/>
      <c r="I30" s="10">
        <f t="shared" si="5"/>
        <v>4624.3493148182934</v>
      </c>
      <c r="J30" s="10">
        <f t="shared" si="3"/>
        <v>246997391860.93039</v>
      </c>
      <c r="K30" s="11">
        <f t="shared" si="4"/>
        <v>6.4081339999999765E-2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51967655.183624566</v>
      </c>
      <c r="D31" s="11">
        <v>2.7E-2</v>
      </c>
      <c r="E31" s="10">
        <f t="shared" si="2"/>
        <v>1366238.257018365</v>
      </c>
      <c r="F31" s="3"/>
      <c r="G31" s="29">
        <v>7.49</v>
      </c>
      <c r="H31" s="10"/>
      <c r="I31" s="10">
        <f t="shared" si="5"/>
        <v>4466.6756638832167</v>
      </c>
      <c r="J31" s="10">
        <f t="shared" si="3"/>
        <v>232122660717.77036</v>
      </c>
      <c r="K31" s="11">
        <f t="shared" si="4"/>
        <v>0.10392230000000002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50601416.926606201</v>
      </c>
      <c r="D32" s="11">
        <v>2.5999999999999999E-2</v>
      </c>
      <c r="E32" s="10">
        <f t="shared" si="2"/>
        <v>1282297.1150991842</v>
      </c>
      <c r="F32" s="3"/>
      <c r="G32" s="29">
        <v>7.85</v>
      </c>
      <c r="H32" s="10"/>
      <c r="I32" s="10">
        <f t="shared" si="5"/>
        <v>4155.4336811640305</v>
      </c>
      <c r="J32" s="10">
        <f t="shared" si="3"/>
        <v>210270832211.44308</v>
      </c>
      <c r="K32" s="11">
        <f t="shared" si="4"/>
        <v>0.106541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49319119.811507016</v>
      </c>
      <c r="D33" s="11">
        <v>2.4899999999999999E-2</v>
      </c>
      <c r="E33" s="10">
        <f t="shared" si="2"/>
        <v>1198210.6384101063</v>
      </c>
      <c r="F33" s="3"/>
      <c r="G33" s="29">
        <v>5.4</v>
      </c>
      <c r="H33" s="10"/>
      <c r="I33" s="10">
        <f t="shared" si="5"/>
        <v>3852.9751332072606</v>
      </c>
      <c r="J33" s="10">
        <f t="shared" si="3"/>
        <v>190025342225.4061</v>
      </c>
      <c r="K33" s="11">
        <f t="shared" si="4"/>
        <v>8.0244599999999888E-2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48120909.17309691</v>
      </c>
      <c r="D34" s="11">
        <v>2.3900000000000001E-2</v>
      </c>
      <c r="E34" s="10">
        <f t="shared" si="2"/>
        <v>1123244.1930237487</v>
      </c>
      <c r="F34" s="3"/>
      <c r="G34" s="29">
        <v>-4.23</v>
      </c>
      <c r="H34" s="10"/>
      <c r="I34" s="10">
        <f t="shared" si="5"/>
        <v>3655.5741301776666</v>
      </c>
      <c r="J34" s="10">
        <f t="shared" ref="J34:J65" si="6">IF(I34="","",I34*C34)</f>
        <v>175909550693.80225</v>
      </c>
      <c r="K34" s="11">
        <f t="shared" ref="K34:K65" si="7">IFERROR(J34/J35-1,"")</f>
        <v>-6.1002699999999077E-3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46997664.980073161</v>
      </c>
      <c r="D35" s="11">
        <v>2.29E-2</v>
      </c>
      <c r="E35" s="10">
        <f t="shared" si="2"/>
        <v>1052152.2417085469</v>
      </c>
      <c r="F35" s="3"/>
      <c r="G35" s="29">
        <v>-1.87</v>
      </c>
      <c r="H35" s="10"/>
      <c r="I35" s="10">
        <f t="shared" ref="I35:I66" si="8">IF(H35&lt;&gt;"",H35,I34/(1+IF(G34="",0,G34)/100))</f>
        <v>3765.9154529490743</v>
      </c>
      <c r="J35" s="10">
        <f t="shared" si="6"/>
        <v>176989232800.98108</v>
      </c>
      <c r="K35" s="11">
        <f t="shared" si="7"/>
        <v>3.1390070000000048E-2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45945512.738364615</v>
      </c>
      <c r="D36" s="11">
        <v>2.2100000000000002E-2</v>
      </c>
      <c r="E36" s="10">
        <f t="shared" si="2"/>
        <v>993440.79005758464</v>
      </c>
      <c r="F36" s="3"/>
      <c r="G36" s="29">
        <v>-9.05</v>
      </c>
      <c r="H36" s="10"/>
      <c r="I36" s="10">
        <f t="shared" si="8"/>
        <v>3734.9156530289342</v>
      </c>
      <c r="J36" s="10">
        <f t="shared" si="6"/>
        <v>171602614712.95828</v>
      </c>
      <c r="K36" s="11">
        <f t="shared" si="7"/>
        <v>-2.1339250000000032E-2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44952071.94830703</v>
      </c>
      <c r="D37" s="11">
        <v>2.1299999999999999E-2</v>
      </c>
      <c r="E37" s="10">
        <f t="shared" si="2"/>
        <v>937510.16596391052</v>
      </c>
      <c r="F37" s="3"/>
      <c r="G37" s="29">
        <v>-5.51</v>
      </c>
      <c r="H37" s="10"/>
      <c r="I37" s="10">
        <f t="shared" si="8"/>
        <v>3900.6951989858321</v>
      </c>
      <c r="J37" s="10">
        <f t="shared" si="6"/>
        <v>175344331233.22693</v>
      </c>
      <c r="K37" s="11">
        <f t="shared" si="7"/>
        <v>1.9155270000000169E-2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44014561.782343119</v>
      </c>
      <c r="D38" s="11">
        <v>2.06E-2</v>
      </c>
      <c r="E38" s="10">
        <f t="shared" si="2"/>
        <v>888398.95425853878</v>
      </c>
      <c r="F38" s="3"/>
      <c r="G38" s="29">
        <v>-2.5</v>
      </c>
      <c r="H38" s="10"/>
      <c r="I38" s="10">
        <f t="shared" si="8"/>
        <v>3908.9038971698888</v>
      </c>
      <c r="J38" s="10">
        <f t="shared" si="6"/>
        <v>172048692083.22586</v>
      </c>
      <c r="K38" s="11">
        <f t="shared" si="7"/>
        <v>3.2847199999999743E-2</v>
      </c>
      <c r="L38" s="32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43126162.828084581</v>
      </c>
      <c r="D39" s="11">
        <v>2.01E-2</v>
      </c>
      <c r="E39" s="10">
        <f t="shared" si="2"/>
        <v>849755.7816336602</v>
      </c>
      <c r="F39" s="3"/>
      <c r="G39" s="29">
        <v>4.97</v>
      </c>
      <c r="H39" s="10"/>
      <c r="I39" s="10">
        <f t="shared" si="8"/>
        <v>3862.5532580730128</v>
      </c>
      <c r="J39" s="10">
        <f t="shared" si="6"/>
        <v>166577100739.80536</v>
      </c>
      <c r="K39" s="11">
        <f t="shared" si="7"/>
        <v>7.0798970000000017E-2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42276407.04645092</v>
      </c>
      <c r="D40" s="11">
        <v>1.9599999999999999E-2</v>
      </c>
      <c r="E40" s="10">
        <f t="shared" si="2"/>
        <v>812688.87613813579</v>
      </c>
      <c r="F40" s="3"/>
      <c r="G40" s="29">
        <v>4.93</v>
      </c>
      <c r="H40" s="10"/>
      <c r="I40" s="10">
        <f t="shared" si="8"/>
        <v>3679.6734858273912</v>
      </c>
      <c r="J40" s="10">
        <f t="shared" si="6"/>
        <v>155563374084.87173</v>
      </c>
      <c r="K40" s="11">
        <f t="shared" si="7"/>
        <v>6.9866279999999836E-2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41463718.170312785</v>
      </c>
      <c r="D41" s="11">
        <v>1.9099999999999999E-2</v>
      </c>
      <c r="E41" s="10">
        <f t="shared" si="2"/>
        <v>777114.13703559339</v>
      </c>
      <c r="F41" s="3"/>
      <c r="G41" s="29">
        <v>10.26</v>
      </c>
      <c r="H41" s="10"/>
      <c r="I41" s="10">
        <f t="shared" si="8"/>
        <v>3506.7887980819514</v>
      </c>
      <c r="J41" s="10">
        <f t="shared" si="6"/>
        <v>145404502406.47995</v>
      </c>
      <c r="K41" s="11">
        <f t="shared" si="7"/>
        <v>0.12365965999999995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40686604.033277191</v>
      </c>
      <c r="D42" s="11">
        <v>1.8499999999999999E-2</v>
      </c>
      <c r="E42" s="10">
        <f t="shared" si="2"/>
        <v>739030.11744293571</v>
      </c>
      <c r="F42" s="3"/>
      <c r="G42" s="29">
        <v>2.1</v>
      </c>
      <c r="H42" s="10"/>
      <c r="I42" s="10">
        <f t="shared" si="8"/>
        <v>3180.4723363703533</v>
      </c>
      <c r="J42" s="10">
        <f t="shared" si="6"/>
        <v>129402618588.69255</v>
      </c>
      <c r="K42" s="11">
        <f t="shared" si="7"/>
        <v>3.9888499999999993E-2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39947573.915834256</v>
      </c>
      <c r="D43" s="11">
        <v>1.7899999999999999E-2</v>
      </c>
      <c r="E43" s="10">
        <f t="shared" si="2"/>
        <v>702487.05481229722</v>
      </c>
      <c r="F43" s="3"/>
      <c r="G43" s="29">
        <v>8.15</v>
      </c>
      <c r="H43" s="10"/>
      <c r="I43" s="10">
        <f t="shared" si="8"/>
        <v>3115.0561570718451</v>
      </c>
      <c r="J43" s="10">
        <f t="shared" si="6"/>
        <v>124438936086.60213</v>
      </c>
      <c r="K43" s="11">
        <f t="shared" si="7"/>
        <v>0.10085884999999983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39245086.861021958</v>
      </c>
      <c r="D44" s="11">
        <v>1.72E-2</v>
      </c>
      <c r="E44" s="10">
        <f t="shared" si="2"/>
        <v>663601.54739439487</v>
      </c>
      <c r="F44" s="3"/>
      <c r="G44" s="29">
        <v>13.97</v>
      </c>
      <c r="H44" s="10"/>
      <c r="I44" s="10">
        <f t="shared" si="8"/>
        <v>2880.3108248468288</v>
      </c>
      <c r="J44" s="10">
        <f t="shared" si="6"/>
        <v>113038048507.85561</v>
      </c>
      <c r="K44" s="11">
        <f t="shared" si="7"/>
        <v>0.15930284000000006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38581485.313627563</v>
      </c>
      <c r="D45" s="11">
        <v>1.6400000000000001E-2</v>
      </c>
      <c r="E45" s="10">
        <f t="shared" si="2"/>
        <v>622526.91769331694</v>
      </c>
      <c r="F45" s="3"/>
      <c r="G45" s="29">
        <v>11.94</v>
      </c>
      <c r="H45" s="10"/>
      <c r="I45" s="10">
        <f t="shared" si="8"/>
        <v>2527.2535095611379</v>
      </c>
      <c r="J45" s="10">
        <f t="shared" si="6"/>
        <v>97505194162.946762</v>
      </c>
      <c r="K45" s="11">
        <f t="shared" si="7"/>
        <v>0.13775815999999996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37958958.395934246</v>
      </c>
      <c r="D46" s="11">
        <v>1.5599999999999999E-2</v>
      </c>
      <c r="E46" s="10">
        <f t="shared" si="2"/>
        <v>583063.95330502093</v>
      </c>
      <c r="F46" s="3"/>
      <c r="G46" s="29">
        <v>11.34</v>
      </c>
      <c r="H46" s="10"/>
      <c r="I46" s="10">
        <f t="shared" si="8"/>
        <v>2257.6858223701429</v>
      </c>
      <c r="J46" s="10">
        <f t="shared" si="6"/>
        <v>85699402202.438843</v>
      </c>
      <c r="K46" s="11">
        <f t="shared" si="7"/>
        <v>0.13076904000000011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37375894.442629226</v>
      </c>
      <c r="D47" s="11">
        <v>1.49E-2</v>
      </c>
      <c r="E47" s="10">
        <f t="shared" si="2"/>
        <v>548724.82726886868</v>
      </c>
      <c r="F47" s="3"/>
      <c r="G47" s="29">
        <v>10.4</v>
      </c>
      <c r="H47" s="10"/>
      <c r="I47" s="10">
        <f t="shared" si="8"/>
        <v>2027.7400955363239</v>
      </c>
      <c r="J47" s="10">
        <f t="shared" si="6"/>
        <v>75788599767.852539</v>
      </c>
      <c r="K47" s="11">
        <f t="shared" si="7"/>
        <v>0.12044959999999993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36827169.615360357</v>
      </c>
      <c r="D48" s="11">
        <v>1.4200000000000001E-2</v>
      </c>
      <c r="E48" s="10">
        <f t="shared" si="2"/>
        <v>515623.94846984744</v>
      </c>
      <c r="F48" s="3"/>
      <c r="G48" s="29">
        <v>9.5</v>
      </c>
      <c r="H48" s="10"/>
      <c r="I48" s="10">
        <f t="shared" si="8"/>
        <v>1836.7211010292788</v>
      </c>
      <c r="J48" s="10">
        <f t="shared" si="6"/>
        <v>67641239523.716675</v>
      </c>
      <c r="K48" s="11">
        <f t="shared" si="7"/>
        <v>0.11054900000000001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36311545.666890509</v>
      </c>
      <c r="D49" s="11">
        <v>1.35E-2</v>
      </c>
      <c r="E49" s="10">
        <f t="shared" si="2"/>
        <v>483676.23729947954</v>
      </c>
      <c r="F49" s="3"/>
      <c r="G49" s="29">
        <v>9.8000000000000007</v>
      </c>
      <c r="H49" s="10"/>
      <c r="I49" s="10">
        <f t="shared" si="8"/>
        <v>1677.3708685198894</v>
      </c>
      <c r="J49" s="10">
        <f t="shared" si="6"/>
        <v>60907928892.571762</v>
      </c>
      <c r="K49" s="11">
        <f t="shared" si="7"/>
        <v>0.11282300000000012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35827869.42959103</v>
      </c>
      <c r="D50" s="11">
        <v>1.29E-2</v>
      </c>
      <c r="E50" s="10">
        <f t="shared" si="2"/>
        <v>456293.33166326582</v>
      </c>
      <c r="F50" s="3"/>
      <c r="G50" s="29">
        <v>4.2</v>
      </c>
      <c r="H50" s="10"/>
      <c r="I50" s="10">
        <f t="shared" si="8"/>
        <v>1527.6601716938883</v>
      </c>
      <c r="J50" s="10">
        <f t="shared" si="6"/>
        <v>54732809164.235245</v>
      </c>
      <c r="K50" s="11">
        <f t="shared" si="7"/>
        <v>5.5441799999999875E-2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35371576.097927764</v>
      </c>
      <c r="D51" s="11">
        <v>1.24E-2</v>
      </c>
      <c r="E51" s="10">
        <f t="shared" si="2"/>
        <v>433235.42435233295</v>
      </c>
      <c r="F51" s="3"/>
      <c r="G51" s="29">
        <v>6.7</v>
      </c>
      <c r="H51" s="10"/>
      <c r="I51" s="10">
        <f t="shared" si="8"/>
        <v>1466.0846177484532</v>
      </c>
      <c r="J51" s="10">
        <f t="shared" si="6"/>
        <v>51857723622.69075</v>
      </c>
      <c r="K51" s="11">
        <f t="shared" si="7"/>
        <v>8.0230799999999824E-2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34938340.673575431</v>
      </c>
      <c r="D52" s="11">
        <v>1.2E-2</v>
      </c>
      <c r="E52" s="10">
        <f t="shared" si="2"/>
        <v>414288.62458784878</v>
      </c>
      <c r="F52" s="3"/>
      <c r="G52" s="29">
        <v>2.4</v>
      </c>
      <c r="H52" s="10"/>
      <c r="I52" s="10">
        <f t="shared" si="8"/>
        <v>1374.0249463434427</v>
      </c>
      <c r="J52" s="10">
        <f t="shared" si="6"/>
        <v>48006151669.338402</v>
      </c>
      <c r="K52" s="11">
        <f t="shared" si="7"/>
        <v>3.6287999999999876E-2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34524052.048987582</v>
      </c>
      <c r="D53" s="11">
        <v>1.1599999999999999E-2</v>
      </c>
      <c r="E53" s="10">
        <f t="shared" si="2"/>
        <v>395886.71784129739</v>
      </c>
      <c r="F53" s="3"/>
      <c r="G53" s="29">
        <v>3.4</v>
      </c>
      <c r="H53" s="10"/>
      <c r="I53" s="10">
        <f t="shared" si="8"/>
        <v>1341.8212366635182</v>
      </c>
      <c r="J53" s="10">
        <f t="shared" si="6"/>
        <v>46325106215.008186</v>
      </c>
      <c r="K53" s="11">
        <f t="shared" si="7"/>
        <v>4.5994400000000102E-2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34128165.331146285</v>
      </c>
      <c r="D54" s="11">
        <v>1.14E-2</v>
      </c>
      <c r="E54" s="10">
        <f t="shared" si="2"/>
        <v>384675.78087311983</v>
      </c>
      <c r="F54" s="3"/>
      <c r="G54" s="29">
        <v>9.4</v>
      </c>
      <c r="H54" s="10"/>
      <c r="I54" s="10">
        <f t="shared" si="8"/>
        <v>1297.6994551871549</v>
      </c>
      <c r="J54" s="10">
        <f t="shared" si="6"/>
        <v>44288101556.765678</v>
      </c>
      <c r="K54" s="11">
        <f t="shared" si="7"/>
        <v>0.10647160000000033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33743489.550273165</v>
      </c>
      <c r="D55" s="11">
        <v>1.11E-2</v>
      </c>
      <c r="E55" s="10">
        <f t="shared" si="2"/>
        <v>370440.84067652747</v>
      </c>
      <c r="F55" s="3"/>
      <c r="G55" s="29">
        <v>0.3</v>
      </c>
      <c r="H55" s="10"/>
      <c r="I55" s="10">
        <f t="shared" si="8"/>
        <v>1186.1969425842365</v>
      </c>
      <c r="J55" s="10">
        <f t="shared" si="6"/>
        <v>40026424136.657158</v>
      </c>
      <c r="K55" s="11">
        <f t="shared" si="7"/>
        <v>1.4133299999999904E-2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33373048.709596638</v>
      </c>
      <c r="D56" s="11">
        <v>1.09E-2</v>
      </c>
      <c r="E56" s="10">
        <f t="shared" si="2"/>
        <v>359843.93207498267</v>
      </c>
      <c r="F56" s="3"/>
      <c r="G56" s="29">
        <v>8.6</v>
      </c>
      <c r="H56" s="10"/>
      <c r="I56" s="10">
        <f t="shared" si="8"/>
        <v>1182.6489955974444</v>
      </c>
      <c r="J56" s="10">
        <f t="shared" si="6"/>
        <v>39468602536.429047</v>
      </c>
      <c r="K56" s="11">
        <f t="shared" si="7"/>
        <v>9.7837399999999963E-2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33013204.777521655</v>
      </c>
      <c r="D57" s="11">
        <v>1.0699999999999999E-2</v>
      </c>
      <c r="E57" s="10">
        <f t="shared" si="2"/>
        <v>349501.62374540418</v>
      </c>
      <c r="F57" s="3"/>
      <c r="G57" s="30">
        <v>9.3800000000000008</v>
      </c>
      <c r="H57" s="10"/>
      <c r="I57" s="10">
        <f t="shared" si="8"/>
        <v>1088.9953918945159</v>
      </c>
      <c r="J57" s="10">
        <f t="shared" si="6"/>
        <v>35951227874.391098</v>
      </c>
      <c r="K57" s="11">
        <f t="shared" si="7"/>
        <v>0.10550366000000011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32663703.153776251</v>
      </c>
      <c r="D58" s="11">
        <v>1.0500000000000001E-2</v>
      </c>
      <c r="E58" s="10">
        <f t="shared" si="2"/>
        <v>339405.12925744429</v>
      </c>
      <c r="F58" s="3"/>
      <c r="G58" s="30">
        <v>9.75</v>
      </c>
      <c r="H58" s="10"/>
      <c r="I58" s="10">
        <f t="shared" si="8"/>
        <v>995.60741625024298</v>
      </c>
      <c r="J58" s="10">
        <f t="shared" si="6"/>
        <v>32520225102.096085</v>
      </c>
      <c r="K58" s="11">
        <f t="shared" si="7"/>
        <v>0.10902374999999975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32324298.024518806</v>
      </c>
      <c r="D59" s="11">
        <v>1.03E-2</v>
      </c>
      <c r="E59" s="10">
        <f t="shared" si="2"/>
        <v>329545.9464045763</v>
      </c>
      <c r="F59" s="3"/>
      <c r="G59" s="30">
        <v>10.84</v>
      </c>
      <c r="H59" s="10"/>
      <c r="I59" s="10">
        <f t="shared" si="8"/>
        <v>907.1593769933877</v>
      </c>
      <c r="J59" s="10">
        <f t="shared" si="6"/>
        <v>29323290057.671074</v>
      </c>
      <c r="K59" s="11">
        <f t="shared" si="7"/>
        <v>0.11981652000000009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31994752.07811423</v>
      </c>
      <c r="D60" s="11">
        <v>1.01E-2</v>
      </c>
      <c r="E60" s="10">
        <f t="shared" si="2"/>
        <v>319915.84594491124</v>
      </c>
      <c r="F60" s="3"/>
      <c r="G60" s="30">
        <v>7.68</v>
      </c>
      <c r="H60" s="10"/>
      <c r="I60" s="10">
        <f t="shared" si="8"/>
        <v>818.44043395289395</v>
      </c>
      <c r="J60" s="10">
        <f t="shared" si="6"/>
        <v>26185798775.027065</v>
      </c>
      <c r="K60" s="11">
        <f t="shared" si="7"/>
        <v>8.7675680000000034E-2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31674836.232169319</v>
      </c>
      <c r="D61" s="11">
        <v>9.9000000000000008E-3</v>
      </c>
      <c r="E61" s="10">
        <f t="shared" si="2"/>
        <v>310506.86077678576</v>
      </c>
      <c r="F61" s="3"/>
      <c r="G61" s="30">
        <v>2.89</v>
      </c>
      <c r="H61" s="10"/>
      <c r="I61" s="10">
        <f t="shared" si="8"/>
        <v>760.06726778686289</v>
      </c>
      <c r="J61" s="10">
        <f t="shared" si="6"/>
        <v>24075006232.581264</v>
      </c>
      <c r="K61" s="11">
        <f t="shared" si="7"/>
        <v>3.908610999999973E-2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31364329.371392533</v>
      </c>
      <c r="D62" s="11">
        <v>9.7000000000000003E-3</v>
      </c>
      <c r="E62" s="10">
        <f t="shared" si="2"/>
        <v>301311.2755298689</v>
      </c>
      <c r="F62" s="3"/>
      <c r="G62" s="30">
        <v>8.83</v>
      </c>
      <c r="H62" s="10"/>
      <c r="I62" s="10">
        <f t="shared" si="8"/>
        <v>738.71830866640391</v>
      </c>
      <c r="J62" s="10">
        <f t="shared" si="6"/>
        <v>23169404345.691109</v>
      </c>
      <c r="K62" s="11">
        <f t="shared" si="7"/>
        <v>9.8856510000000064E-2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31063018.095862664</v>
      </c>
      <c r="D63" s="11">
        <v>9.4000000000000004E-3</v>
      </c>
      <c r="E63" s="10">
        <f t="shared" si="2"/>
        <v>289273.20200229064</v>
      </c>
      <c r="F63" s="3"/>
      <c r="G63" s="30">
        <v>7.77</v>
      </c>
      <c r="H63" s="10"/>
      <c r="I63" s="10">
        <f t="shared" si="8"/>
        <v>678.78186958228787</v>
      </c>
      <c r="J63" s="10">
        <f t="shared" si="6"/>
        <v>21085013497.9781</v>
      </c>
      <c r="K63" s="11">
        <f t="shared" si="7"/>
        <v>8.783038000000043E-2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30773744.893860374</v>
      </c>
      <c r="D64" s="11">
        <v>9.1999999999999998E-3</v>
      </c>
      <c r="E64" s="10">
        <f t="shared" si="2"/>
        <v>280537.50795037672</v>
      </c>
      <c r="F64" s="3"/>
      <c r="G64" s="30">
        <v>4.72</v>
      </c>
      <c r="H64" s="10"/>
      <c r="I64" s="10">
        <f t="shared" si="8"/>
        <v>629.84306354485273</v>
      </c>
      <c r="J64" s="10">
        <f t="shared" si="6"/>
        <v>19382629760.696785</v>
      </c>
      <c r="K64" s="11">
        <f t="shared" si="7"/>
        <v>5.6834239999999925E-2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30493207.385909997</v>
      </c>
      <c r="D65" s="11">
        <v>8.8999999999999999E-3</v>
      </c>
      <c r="E65" s="10">
        <f t="shared" si="2"/>
        <v>268995.48590999842</v>
      </c>
      <c r="F65" s="3"/>
      <c r="G65" s="30">
        <v>7.35</v>
      </c>
      <c r="H65" s="10"/>
      <c r="I65" s="10">
        <f t="shared" si="8"/>
        <v>601.45441514978302</v>
      </c>
      <c r="J65" s="10">
        <f t="shared" si="6"/>
        <v>18340274214.333542</v>
      </c>
      <c r="K65" s="11">
        <f t="shared" si="7"/>
        <v>8.3054149999999938E-2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30224211.899999999</v>
      </c>
      <c r="D66" s="11">
        <v>8.6E-3</v>
      </c>
      <c r="E66" s="10">
        <f t="shared" si="2"/>
        <v>257711.89999999851</v>
      </c>
      <c r="F66" s="23">
        <f>SUM(F2)</f>
        <v>93832500</v>
      </c>
      <c r="G66" s="30">
        <v>4.88</v>
      </c>
      <c r="H66" s="10"/>
      <c r="I66" s="10">
        <f t="shared" si="8"/>
        <v>560.27425724246211</v>
      </c>
      <c r="J66" s="10">
        <f t="shared" ref="J66:J67" si="9">IF(I66="","",I66*C66)</f>
        <v>16933847873.011284</v>
      </c>
      <c r="K66" s="11">
        <f t="shared" ref="K66" si="10">IFERROR(J66/J67-1,"")</f>
        <v>5.7819679999999929E-2</v>
      </c>
    </row>
    <row r="67" spans="1:11" ht="22.5" customHeight="1">
      <c r="A67" s="3">
        <f t="shared" si="0"/>
        <v>1950</v>
      </c>
      <c r="B67" s="3">
        <v>1700</v>
      </c>
      <c r="C67" s="10">
        <v>29966500</v>
      </c>
      <c r="D67" s="11">
        <v>8.3999999999999995E-3</v>
      </c>
      <c r="E67" s="3" t="s">
        <v>72</v>
      </c>
      <c r="F67" s="10">
        <f>SUM(C2)</f>
        <v>93832696.520897821</v>
      </c>
      <c r="G67" s="30">
        <v>6.8</v>
      </c>
      <c r="H67" s="10"/>
      <c r="I67" s="10">
        <f t="shared" ref="I67" si="11">IF(H67&lt;&gt;"",H67,I66/(1+IF(G66="",0,G66)/100))</f>
        <v>534.20505076512404</v>
      </c>
      <c r="J67" s="10">
        <f t="shared" si="9"/>
        <v>16008255653.75309</v>
      </c>
      <c r="K67" s="11"/>
    </row>
  </sheetData>
  <dataValidations count="1">
    <dataValidation type="custom" allowBlank="1" showDropDown="1" sqref="D2:D67" xr:uid="{00000000-0002-0000-9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M67"/>
  <sheetViews>
    <sheetView workbookViewId="0">
      <selection activeCell="A2" sqref="A2:A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33525928.242861282</v>
      </c>
      <c r="D2" s="11">
        <v>4.4000000000000003E-3</v>
      </c>
      <c r="E2" s="10">
        <f t="shared" ref="E2:E66" si="2">SUM(C2-C3)</f>
        <v>146867.86565968394</v>
      </c>
      <c r="F2" s="14">
        <v>33524353</v>
      </c>
      <c r="G2" s="29">
        <v>-1.42</v>
      </c>
      <c r="H2" s="10"/>
      <c r="I2" s="10">
        <f>IF(H2&lt;&gt;"",H2,13240)</f>
        <v>1655</v>
      </c>
      <c r="J2" s="10">
        <f t="shared" ref="J2:J33" si="3">IF(I2="","",I2*C2)</f>
        <v>55485411241.935425</v>
      </c>
      <c r="K2" s="11">
        <f t="shared" ref="K2:K33" si="4">IFERROR(J2/J3-1,"")</f>
        <v>-9.8624800000001178E-3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33379060.377201598</v>
      </c>
      <c r="D3" s="11">
        <v>5.5999999999999999E-3</v>
      </c>
      <c r="E3" s="10">
        <f t="shared" si="2"/>
        <v>185881.80003215</v>
      </c>
      <c r="F3" s="3"/>
      <c r="G3" s="29">
        <v>4.9800000000000004</v>
      </c>
      <c r="H3" s="10"/>
      <c r="I3" s="10">
        <f t="shared" ref="I3:I34" si="5">IF(H3&lt;&gt;"",H3,I2/(1+IF(G2="",0,G2)/100))</f>
        <v>1678.839521201055</v>
      </c>
      <c r="J3" s="10">
        <f t="shared" si="3"/>
        <v>56038085741.802238</v>
      </c>
      <c r="K3" s="11">
        <f t="shared" si="4"/>
        <v>5.5678880000000097E-2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33193178.577169448</v>
      </c>
      <c r="D4" s="11">
        <v>7.1999999999999998E-3</v>
      </c>
      <c r="E4" s="10">
        <f t="shared" si="2"/>
        <v>237282.45210050046</v>
      </c>
      <c r="F4" s="3"/>
      <c r="G4" s="29">
        <v>-1.52</v>
      </c>
      <c r="H4" s="10"/>
      <c r="I4" s="10">
        <f t="shared" si="5"/>
        <v>1599.1993915041483</v>
      </c>
      <c r="J4" s="10">
        <f t="shared" si="3"/>
        <v>53082510982.697914</v>
      </c>
      <c r="K4" s="11">
        <f t="shared" si="4"/>
        <v>-8.1094399999998013E-3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32955896.125068948</v>
      </c>
      <c r="D5" s="11">
        <v>8.9999999999999993E-3</v>
      </c>
      <c r="E5" s="10">
        <f t="shared" si="2"/>
        <v>293957.44809278101</v>
      </c>
      <c r="F5" s="3"/>
      <c r="G5" s="29">
        <v>-3.75</v>
      </c>
      <c r="H5" s="10"/>
      <c r="I5" s="10">
        <f t="shared" si="5"/>
        <v>1623.882404045642</v>
      </c>
      <c r="J5" s="10">
        <f t="shared" si="3"/>
        <v>53516499827.05542</v>
      </c>
      <c r="K5" s="11">
        <f t="shared" si="4"/>
        <v>-2.8837500000000182E-2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32661938.676976167</v>
      </c>
      <c r="D6" s="11">
        <v>1.09E-2</v>
      </c>
      <c r="E6" s="10">
        <f t="shared" si="2"/>
        <v>352176.40872394666</v>
      </c>
      <c r="F6" s="3"/>
      <c r="G6" s="29">
        <v>2.65</v>
      </c>
      <c r="H6" s="10"/>
      <c r="I6" s="10">
        <f t="shared" si="5"/>
        <v>1687.15054965781</v>
      </c>
      <c r="J6" s="10">
        <f t="shared" si="3"/>
        <v>55105607791.750023</v>
      </c>
      <c r="K6" s="11">
        <f t="shared" si="4"/>
        <v>3.7688849999999885E-2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32309762.26825222</v>
      </c>
      <c r="D7" s="11">
        <v>1.2699999999999999E-2</v>
      </c>
      <c r="E7" s="10">
        <f t="shared" si="2"/>
        <v>405188.09203791991</v>
      </c>
      <c r="F7" s="3"/>
      <c r="G7" s="29">
        <v>5.8</v>
      </c>
      <c r="H7" s="10"/>
      <c r="I7" s="10">
        <f t="shared" si="5"/>
        <v>1643.5952748736581</v>
      </c>
      <c r="J7" s="10">
        <f t="shared" si="3"/>
        <v>53104172596.390556</v>
      </c>
      <c r="K7" s="11">
        <f t="shared" si="4"/>
        <v>7.1436599999999961E-2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31904574.1762143</v>
      </c>
      <c r="D8" s="11">
        <v>1.44E-2</v>
      </c>
      <c r="E8" s="10">
        <f t="shared" si="2"/>
        <v>452904.04982007667</v>
      </c>
      <c r="F8" s="3"/>
      <c r="G8" s="29">
        <v>1.01</v>
      </c>
      <c r="H8" s="10"/>
      <c r="I8" s="10">
        <f t="shared" si="5"/>
        <v>1553.4926983682969</v>
      </c>
      <c r="J8" s="10">
        <f t="shared" si="3"/>
        <v>49563523027.298637</v>
      </c>
      <c r="K8" s="11">
        <f t="shared" si="4"/>
        <v>2.4645440000000018E-2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31451670.126394223</v>
      </c>
      <c r="D9" s="11">
        <v>1.6E-2</v>
      </c>
      <c r="E9" s="10">
        <f t="shared" si="2"/>
        <v>495301.8917542398</v>
      </c>
      <c r="F9" s="3"/>
      <c r="G9" s="29">
        <v>0.25</v>
      </c>
      <c r="H9" s="10"/>
      <c r="I9" s="10">
        <f t="shared" si="5"/>
        <v>1537.9593093439232</v>
      </c>
      <c r="J9" s="10">
        <f t="shared" si="3"/>
        <v>48371388865.302162</v>
      </c>
      <c r="K9" s="11">
        <f t="shared" si="4"/>
        <v>1.8539999999999779E-2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30956368.234639984</v>
      </c>
      <c r="D10" s="11">
        <v>1.7399999999999999E-2</v>
      </c>
      <c r="E10" s="10">
        <f t="shared" si="2"/>
        <v>529428.74708348513</v>
      </c>
      <c r="F10" s="3"/>
      <c r="G10" s="29">
        <v>8.16</v>
      </c>
      <c r="H10" s="10"/>
      <c r="I10" s="10">
        <f t="shared" si="5"/>
        <v>1534.1239993455595</v>
      </c>
      <c r="J10" s="10">
        <f t="shared" si="3"/>
        <v>47490907441.339729</v>
      </c>
      <c r="K10" s="11">
        <f t="shared" si="4"/>
        <v>0.10041983999999982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30426939.487556498</v>
      </c>
      <c r="D11" s="11">
        <v>1.89E-2</v>
      </c>
      <c r="E11" s="10">
        <f t="shared" si="2"/>
        <v>564401.95928434283</v>
      </c>
      <c r="F11" s="3"/>
      <c r="G11" s="29">
        <v>5</v>
      </c>
      <c r="H11" s="10"/>
      <c r="I11" s="10">
        <f t="shared" si="5"/>
        <v>1418.3838751345781</v>
      </c>
      <c r="J11" s="10">
        <f t="shared" si="3"/>
        <v>43157080338.845703</v>
      </c>
      <c r="K11" s="11">
        <f t="shared" si="4"/>
        <v>6.9845000000000157E-2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29862537.528272156</v>
      </c>
      <c r="D12" s="11">
        <v>2.0299999999999999E-2</v>
      </c>
      <c r="E12" s="10">
        <f t="shared" si="2"/>
        <v>594148.30130738392</v>
      </c>
      <c r="F12" s="3"/>
      <c r="G12" s="29">
        <v>3.19</v>
      </c>
      <c r="H12" s="10"/>
      <c r="I12" s="10">
        <f t="shared" si="5"/>
        <v>1350.8417858424552</v>
      </c>
      <c r="J12" s="10">
        <f t="shared" si="3"/>
        <v>40339563524.4785</v>
      </c>
      <c r="K12" s="11">
        <f t="shared" si="4"/>
        <v>5.2847569999999955E-2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29268389.226964772</v>
      </c>
      <c r="D13" s="11">
        <v>2.1700000000000001E-2</v>
      </c>
      <c r="E13" s="10">
        <f t="shared" si="2"/>
        <v>621634.57592751086</v>
      </c>
      <c r="F13" s="3"/>
      <c r="G13" s="29">
        <v>4.34</v>
      </c>
      <c r="H13" s="10"/>
      <c r="I13" s="10">
        <f t="shared" si="5"/>
        <v>1309.0820678771734</v>
      </c>
      <c r="J13" s="10">
        <f t="shared" si="3"/>
        <v>38314723492.669029</v>
      </c>
      <c r="K13" s="11">
        <f t="shared" si="4"/>
        <v>6.6041780000000161E-2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28646754.651037261</v>
      </c>
      <c r="D14" s="11">
        <v>2.3E-2</v>
      </c>
      <c r="E14" s="10">
        <f t="shared" si="2"/>
        <v>644061.93252576143</v>
      </c>
      <c r="F14" s="3"/>
      <c r="G14" s="29">
        <v>8.64</v>
      </c>
      <c r="H14" s="10"/>
      <c r="I14" s="10">
        <f t="shared" si="5"/>
        <v>1254.6310790465529</v>
      </c>
      <c r="J14" s="10">
        <f t="shared" si="3"/>
        <v>35941108699.012741</v>
      </c>
      <c r="K14" s="11">
        <f t="shared" si="4"/>
        <v>0.11138720000000002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28002692.718511499</v>
      </c>
      <c r="D15" s="11">
        <v>2.4500000000000001E-2</v>
      </c>
      <c r="E15" s="10">
        <f t="shared" si="2"/>
        <v>669659.31830505654</v>
      </c>
      <c r="F15" s="3"/>
      <c r="G15" s="29">
        <v>8.08</v>
      </c>
      <c r="H15" s="10"/>
      <c r="I15" s="10">
        <f t="shared" si="5"/>
        <v>1154.8518768837932</v>
      </c>
      <c r="J15" s="10">
        <f t="shared" si="3"/>
        <v>32338962243.773136</v>
      </c>
      <c r="K15" s="11">
        <f t="shared" si="4"/>
        <v>0.10727960000000003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27333033.400206443</v>
      </c>
      <c r="D16" s="11">
        <v>2.5999999999999999E-2</v>
      </c>
      <c r="E16" s="10">
        <f t="shared" si="2"/>
        <v>692649.96920601279</v>
      </c>
      <c r="F16" s="3"/>
      <c r="G16" s="29">
        <v>2.39</v>
      </c>
      <c r="H16" s="10"/>
      <c r="I16" s="10">
        <f t="shared" si="5"/>
        <v>1068.5158002255673</v>
      </c>
      <c r="J16" s="10">
        <f t="shared" si="3"/>
        <v>29205778056.213745</v>
      </c>
      <c r="K16" s="11">
        <f t="shared" si="4"/>
        <v>5.0521400000000272E-2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26640383.43100043</v>
      </c>
      <c r="D17" s="11">
        <v>2.7799999999999998E-2</v>
      </c>
      <c r="E17" s="10">
        <f t="shared" si="2"/>
        <v>720570.79138141125</v>
      </c>
      <c r="F17" s="3"/>
      <c r="G17" s="29">
        <v>5.85</v>
      </c>
      <c r="H17" s="10"/>
      <c r="I17" s="10">
        <f t="shared" si="5"/>
        <v>1043.5743727176161</v>
      </c>
      <c r="J17" s="10">
        <f t="shared" si="3"/>
        <v>27801221427.963047</v>
      </c>
      <c r="K17" s="11">
        <f t="shared" si="4"/>
        <v>8.7926299999999902E-2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25919812.639619019</v>
      </c>
      <c r="D18" s="11">
        <v>2.9700000000000001E-2</v>
      </c>
      <c r="E18" s="10">
        <f t="shared" si="2"/>
        <v>747614.29095531255</v>
      </c>
      <c r="F18" s="3"/>
      <c r="G18" s="29">
        <v>2</v>
      </c>
      <c r="H18" s="10"/>
      <c r="I18" s="10">
        <f t="shared" si="5"/>
        <v>985.89926567559394</v>
      </c>
      <c r="J18" s="10">
        <f t="shared" si="3"/>
        <v>25554324247.849369</v>
      </c>
      <c r="K18" s="11">
        <f t="shared" si="4"/>
        <v>5.0294000000000061E-2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25172198.348663706</v>
      </c>
      <c r="D19" s="11">
        <v>3.1699999999999999E-2</v>
      </c>
      <c r="E19" s="10">
        <f t="shared" si="2"/>
        <v>773440.61999868229</v>
      </c>
      <c r="F19" s="3"/>
      <c r="G19" s="29">
        <v>2.08</v>
      </c>
      <c r="H19" s="10"/>
      <c r="I19" s="10">
        <f t="shared" si="5"/>
        <v>966.5679075250921</v>
      </c>
      <c r="J19" s="10">
        <f t="shared" si="3"/>
        <v>24330639085.674458</v>
      </c>
      <c r="K19" s="11">
        <f t="shared" si="4"/>
        <v>5.3159359999999989E-2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24398757.728665024</v>
      </c>
      <c r="D20" s="11">
        <v>3.3700000000000001E-2</v>
      </c>
      <c r="E20" s="10">
        <f t="shared" si="2"/>
        <v>795432.07454388216</v>
      </c>
      <c r="F20" s="3"/>
      <c r="G20" s="29">
        <v>1.35</v>
      </c>
      <c r="H20" s="10"/>
      <c r="I20" s="10">
        <f t="shared" si="5"/>
        <v>946.87295016172823</v>
      </c>
      <c r="J20" s="10">
        <f t="shared" si="3"/>
        <v>23102523710.822319</v>
      </c>
      <c r="K20" s="11">
        <f t="shared" si="4"/>
        <v>4.7654949999999863E-2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23603325.654121142</v>
      </c>
      <c r="D21" s="11">
        <v>3.56E-2</v>
      </c>
      <c r="E21" s="10">
        <f t="shared" si="2"/>
        <v>811392.80927647278</v>
      </c>
      <c r="F21" s="3"/>
      <c r="G21" s="29">
        <v>6.35</v>
      </c>
      <c r="H21" s="10"/>
      <c r="I21" s="10">
        <f t="shared" si="5"/>
        <v>934.26043429869583</v>
      </c>
      <c r="J21" s="10">
        <f t="shared" si="3"/>
        <v>22051653276.512768</v>
      </c>
      <c r="K21" s="11">
        <f t="shared" si="4"/>
        <v>0.10136060000000002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22791932.844844669</v>
      </c>
      <c r="D22" s="11">
        <v>3.73E-2</v>
      </c>
      <c r="E22" s="10">
        <f t="shared" si="2"/>
        <v>819569.165248923</v>
      </c>
      <c r="F22" s="3"/>
      <c r="G22" s="29">
        <v>2.4</v>
      </c>
      <c r="H22" s="10"/>
      <c r="I22" s="10">
        <f t="shared" si="5"/>
        <v>878.47713615298164</v>
      </c>
      <c r="J22" s="10">
        <f t="shared" si="3"/>
        <v>20022191892.930225</v>
      </c>
      <c r="K22" s="11">
        <f t="shared" si="4"/>
        <v>6.2195200000000117E-2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21972363.679595746</v>
      </c>
      <c r="D23" s="11">
        <v>3.85E-2</v>
      </c>
      <c r="E23" s="10">
        <f t="shared" si="2"/>
        <v>814574.86920022592</v>
      </c>
      <c r="F23" s="3"/>
      <c r="G23" s="29">
        <v>-1.7</v>
      </c>
      <c r="H23" s="10"/>
      <c r="I23" s="10">
        <f t="shared" si="5"/>
        <v>857.88782827439616</v>
      </c>
      <c r="J23" s="10">
        <f t="shared" si="3"/>
        <v>18849823359.143616</v>
      </c>
      <c r="K23" s="11">
        <f t="shared" si="4"/>
        <v>2.084549999999985E-2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21157788.81039552</v>
      </c>
      <c r="D24" s="11">
        <v>3.9100000000000003E-2</v>
      </c>
      <c r="E24" s="10">
        <f t="shared" si="2"/>
        <v>796140.45085791871</v>
      </c>
      <c r="F24" s="3"/>
      <c r="G24" s="29">
        <v>-1.47</v>
      </c>
      <c r="H24" s="10"/>
      <c r="I24" s="10">
        <f t="shared" si="5"/>
        <v>872.72413863112536</v>
      </c>
      <c r="J24" s="10">
        <f t="shared" si="3"/>
        <v>18464913014.891693</v>
      </c>
      <c r="K24" s="11">
        <f t="shared" si="4"/>
        <v>2.382522999999992E-2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20361648.359537601</v>
      </c>
      <c r="D25" s="11">
        <v>3.8800000000000001E-2</v>
      </c>
      <c r="E25" s="10">
        <f t="shared" si="2"/>
        <v>760523.63915099949</v>
      </c>
      <c r="F25" s="3"/>
      <c r="G25" s="29">
        <v>3.3</v>
      </c>
      <c r="H25" s="10"/>
      <c r="I25" s="10">
        <f t="shared" si="5"/>
        <v>885.744584016163</v>
      </c>
      <c r="J25" s="10">
        <f t="shared" si="3"/>
        <v>18035219756.10202</v>
      </c>
      <c r="K25" s="11">
        <f t="shared" si="4"/>
        <v>7.3080399999999823E-2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19601124.720386602</v>
      </c>
      <c r="D26" s="11">
        <v>3.78E-2</v>
      </c>
      <c r="E26" s="10">
        <f t="shared" si="2"/>
        <v>713935.74333263934</v>
      </c>
      <c r="F26" s="3"/>
      <c r="G26" s="29">
        <v>12.72</v>
      </c>
      <c r="H26" s="10"/>
      <c r="I26" s="10">
        <f t="shared" si="5"/>
        <v>857.44877445901557</v>
      </c>
      <c r="J26" s="10">
        <f t="shared" si="3"/>
        <v>16806960369.513805</v>
      </c>
      <c r="K26" s="11">
        <f t="shared" si="4"/>
        <v>0.16980815999999987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18887188.977053963</v>
      </c>
      <c r="D27" s="11">
        <v>3.6200000000000003E-2</v>
      </c>
      <c r="E27" s="10">
        <f t="shared" si="2"/>
        <v>659830.38117096573</v>
      </c>
      <c r="F27" s="3"/>
      <c r="G27" s="29">
        <v>13.59</v>
      </c>
      <c r="H27" s="10"/>
      <c r="I27" s="10">
        <f t="shared" si="5"/>
        <v>760.68911857613159</v>
      </c>
      <c r="J27" s="10">
        <f t="shared" si="3"/>
        <v>14367279135.336008</v>
      </c>
      <c r="K27" s="11">
        <f t="shared" si="4"/>
        <v>0.17701958000000007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18227358.595882997</v>
      </c>
      <c r="D28" s="11">
        <v>3.44E-2</v>
      </c>
      <c r="E28" s="10">
        <f t="shared" si="2"/>
        <v>606168.92468906939</v>
      </c>
      <c r="F28" s="3"/>
      <c r="G28" s="29">
        <v>6.13</v>
      </c>
      <c r="H28" s="10"/>
      <c r="I28" s="10">
        <f t="shared" si="5"/>
        <v>669.67965364568329</v>
      </c>
      <c r="J28" s="10">
        <f t="shared" si="3"/>
        <v>12206491191.366594</v>
      </c>
      <c r="K28" s="11">
        <f t="shared" si="4"/>
        <v>9.7808719999999738E-2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17621189.671193928</v>
      </c>
      <c r="D29" s="11">
        <v>3.2599999999999997E-2</v>
      </c>
      <c r="E29" s="10">
        <f t="shared" si="2"/>
        <v>556314.91698713973</v>
      </c>
      <c r="F29" s="3"/>
      <c r="G29" s="29">
        <v>6.08</v>
      </c>
      <c r="H29" s="10"/>
      <c r="I29" s="10">
        <f t="shared" si="5"/>
        <v>630.99939097868969</v>
      </c>
      <c r="J29" s="10">
        <f t="shared" si="3"/>
        <v>11118959950.843346</v>
      </c>
      <c r="K29" s="11">
        <f t="shared" si="4"/>
        <v>9.5382079999999814E-2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17064874.754206788</v>
      </c>
      <c r="D30" s="11">
        <v>3.1199999999999999E-2</v>
      </c>
      <c r="E30" s="10">
        <f t="shared" si="2"/>
        <v>516315.06238484383</v>
      </c>
      <c r="F30" s="3"/>
      <c r="G30" s="29">
        <v>-0.17</v>
      </c>
      <c r="H30" s="10"/>
      <c r="I30" s="10">
        <f t="shared" si="5"/>
        <v>594.83351336603482</v>
      </c>
      <c r="J30" s="10">
        <f t="shared" si="3"/>
        <v>10150759405.196173</v>
      </c>
      <c r="K30" s="11">
        <f t="shared" si="4"/>
        <v>2.94469599999998E-2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16548559.691821944</v>
      </c>
      <c r="D31" s="11">
        <v>3.0700000000000002E-2</v>
      </c>
      <c r="E31" s="10">
        <f t="shared" si="2"/>
        <v>492908.49183946103</v>
      </c>
      <c r="F31" s="3"/>
      <c r="G31" s="29">
        <v>9.7799999999999994</v>
      </c>
      <c r="H31" s="10"/>
      <c r="I31" s="10">
        <f t="shared" si="5"/>
        <v>595.8464523350043</v>
      </c>
      <c r="J31" s="10">
        <f t="shared" si="3"/>
        <v>9860400583.6261578</v>
      </c>
      <c r="K31" s="11">
        <f t="shared" si="4"/>
        <v>0.1315024600000001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16055651.199982483</v>
      </c>
      <c r="D32" s="11">
        <v>3.1300000000000001E-2</v>
      </c>
      <c r="E32" s="10">
        <f t="shared" si="2"/>
        <v>487289.71449573711</v>
      </c>
      <c r="F32" s="3"/>
      <c r="G32" s="29">
        <v>1.87</v>
      </c>
      <c r="H32" s="10"/>
      <c r="I32" s="10">
        <f t="shared" si="5"/>
        <v>542.76412127437084</v>
      </c>
      <c r="J32" s="10">
        <f t="shared" si="3"/>
        <v>8714431415.0462894</v>
      </c>
      <c r="K32" s="11">
        <f t="shared" si="4"/>
        <v>5.0585309999999994E-2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15568361.485486746</v>
      </c>
      <c r="D33" s="11">
        <v>3.3000000000000002E-2</v>
      </c>
      <c r="E33" s="10">
        <f t="shared" si="2"/>
        <v>497343.5905334577</v>
      </c>
      <c r="F33" s="3"/>
      <c r="G33" s="29">
        <v>-7.14</v>
      </c>
      <c r="H33" s="10"/>
      <c r="I33" s="10">
        <f t="shared" si="5"/>
        <v>532.80074729986347</v>
      </c>
      <c r="J33" s="10">
        <f t="shared" si="3"/>
        <v>8294834633.7017508</v>
      </c>
      <c r="K33" s="11">
        <f t="shared" si="4"/>
        <v>-4.0756199999999909E-2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15071017.894953288</v>
      </c>
      <c r="D34" s="11">
        <v>3.5299999999999998E-2</v>
      </c>
      <c r="E34" s="10">
        <f t="shared" si="2"/>
        <v>513867.41204660386</v>
      </c>
      <c r="F34" s="3"/>
      <c r="G34" s="29">
        <v>9.79</v>
      </c>
      <c r="H34" s="10"/>
      <c r="I34" s="10">
        <f t="shared" si="5"/>
        <v>573.76776577629062</v>
      </c>
      <c r="J34" s="10">
        <f t="shared" ref="J34:J65" si="6">IF(I34="","",I34*C34)</f>
        <v>8647264265.561842</v>
      </c>
      <c r="K34" s="11">
        <f t="shared" ref="K34:K65" si="7">IFERROR(J34/J35-1,"")</f>
        <v>0.15011476999999984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14557150.482906684</v>
      </c>
      <c r="D35" s="11">
        <v>3.7400000000000003E-2</v>
      </c>
      <c r="E35" s="10">
        <f t="shared" si="2"/>
        <v>524809.55085860007</v>
      </c>
      <c r="F35" s="3"/>
      <c r="G35" s="29">
        <v>20.47</v>
      </c>
      <c r="H35" s="10"/>
      <c r="I35" s="10">
        <f t="shared" ref="I35:I66" si="8">IF(H35&lt;&gt;"",H35,I34/(1+IF(G34="",0,G34)/100))</f>
        <v>516.48912213186657</v>
      </c>
      <c r="J35" s="10">
        <f t="shared" si="6"/>
        <v>7518609873.6579504</v>
      </c>
      <c r="K35" s="11">
        <f t="shared" si="7"/>
        <v>0.27776558000000007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14032340.932048084</v>
      </c>
      <c r="D36" s="11">
        <v>3.8899999999999997E-2</v>
      </c>
      <c r="E36" s="10">
        <f t="shared" si="2"/>
        <v>525419.25330317579</v>
      </c>
      <c r="F36" s="3"/>
      <c r="G36" s="29">
        <v>-10.5</v>
      </c>
      <c r="H36" s="10"/>
      <c r="I36" s="10">
        <f t="shared" si="8"/>
        <v>419.33029319791063</v>
      </c>
      <c r="J36" s="10">
        <f t="shared" si="6"/>
        <v>5884185637.2887659</v>
      </c>
      <c r="K36" s="11">
        <f t="shared" si="7"/>
        <v>-2.0317300000000094E-2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13506921.678744908</v>
      </c>
      <c r="D37" s="11">
        <v>3.9300000000000002E-2</v>
      </c>
      <c r="E37" s="10">
        <f t="shared" si="2"/>
        <v>510749.56410533376</v>
      </c>
      <c r="F37" s="3"/>
      <c r="G37" s="29">
        <v>-7.9</v>
      </c>
      <c r="H37" s="10"/>
      <c r="I37" s="10">
        <f t="shared" si="8"/>
        <v>444.67687507731779</v>
      </c>
      <c r="J37" s="10">
        <f t="shared" si="6"/>
        <v>6006215724.0183649</v>
      </c>
      <c r="K37" s="11">
        <f t="shared" si="7"/>
        <v>1.2278199999999906E-2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12996172.114639575</v>
      </c>
      <c r="D38" s="11">
        <v>3.8600000000000002E-2</v>
      </c>
      <c r="E38" s="10">
        <f t="shared" si="2"/>
        <v>483008.12981425598</v>
      </c>
      <c r="F38" s="3"/>
      <c r="G38" s="29">
        <v>-8.7</v>
      </c>
      <c r="H38" s="10"/>
      <c r="I38" s="10">
        <f t="shared" si="8"/>
        <v>456.54709966870411</v>
      </c>
      <c r="J38" s="10">
        <f t="shared" si="6"/>
        <v>5933364685.7339869</v>
      </c>
      <c r="K38" s="11">
        <f t="shared" si="7"/>
        <v>-1.3330000000000175E-2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12513163.984825319</v>
      </c>
      <c r="D39" s="11">
        <v>3.7199999999999997E-2</v>
      </c>
      <c r="E39" s="10">
        <f t="shared" si="2"/>
        <v>448794.54322743975</v>
      </c>
      <c r="F39" s="3"/>
      <c r="G39" s="29">
        <v>-2.84</v>
      </c>
      <c r="H39" s="10"/>
      <c r="I39" s="10">
        <f t="shared" si="8"/>
        <v>480.57589438810959</v>
      </c>
      <c r="J39" s="10">
        <f t="shared" si="6"/>
        <v>6013524973.6325092</v>
      </c>
      <c r="K39" s="11">
        <f t="shared" si="7"/>
        <v>7.7435200000000037E-3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12064369.441597879</v>
      </c>
      <c r="D40" s="11">
        <v>3.5099999999999999E-2</v>
      </c>
      <c r="E40" s="10">
        <f t="shared" si="2"/>
        <v>409099.9588446375</v>
      </c>
      <c r="F40" s="3"/>
      <c r="G40" s="29">
        <v>-2.77</v>
      </c>
      <c r="H40" s="10"/>
      <c r="I40" s="10">
        <f t="shared" si="8"/>
        <v>494.62319307133549</v>
      </c>
      <c r="J40" s="10">
        <f t="shared" si="6"/>
        <v>5967316935.5953875</v>
      </c>
      <c r="K40" s="11">
        <f t="shared" si="7"/>
        <v>6.4277299999999649E-3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11655269.482753241</v>
      </c>
      <c r="D41" s="11">
        <v>3.27E-2</v>
      </c>
      <c r="E41" s="10">
        <f t="shared" si="2"/>
        <v>369059.08016464673</v>
      </c>
      <c r="F41" s="3"/>
      <c r="G41" s="29">
        <v>18.260000000000002</v>
      </c>
      <c r="H41" s="10"/>
      <c r="I41" s="10">
        <f t="shared" si="8"/>
        <v>508.71458713497424</v>
      </c>
      <c r="J41" s="10">
        <f t="shared" si="6"/>
        <v>5929205602.8656797</v>
      </c>
      <c r="K41" s="11">
        <f t="shared" si="7"/>
        <v>0.2212710200000001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11286210.402588595</v>
      </c>
      <c r="D42" s="11">
        <v>3.0300000000000001E-2</v>
      </c>
      <c r="E42" s="10">
        <f t="shared" si="2"/>
        <v>331915.14626655728</v>
      </c>
      <c r="F42" s="3"/>
      <c r="G42" s="29">
        <v>-0.33</v>
      </c>
      <c r="H42" s="10"/>
      <c r="I42" s="10">
        <f t="shared" si="8"/>
        <v>430.16623299084574</v>
      </c>
      <c r="J42" s="10">
        <f t="shared" si="6"/>
        <v>4854946613.6236324</v>
      </c>
      <c r="K42" s="11">
        <f t="shared" si="7"/>
        <v>2.6900010000000085E-2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10954295.256322037</v>
      </c>
      <c r="D43" s="11">
        <v>2.7900000000000001E-2</v>
      </c>
      <c r="E43" s="10">
        <f t="shared" si="2"/>
        <v>297329.34881932661</v>
      </c>
      <c r="F43" s="3"/>
      <c r="G43" s="29">
        <v>5.8</v>
      </c>
      <c r="H43" s="10"/>
      <c r="I43" s="10">
        <f t="shared" si="8"/>
        <v>431.59048158005993</v>
      </c>
      <c r="J43" s="10">
        <f t="shared" si="6"/>
        <v>4727769565.0461941</v>
      </c>
      <c r="K43" s="11">
        <f t="shared" si="7"/>
        <v>8.7518200000000101E-2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10656965.907502711</v>
      </c>
      <c r="D44" s="11">
        <v>2.5499999999999998E-2</v>
      </c>
      <c r="E44" s="10">
        <f t="shared" si="2"/>
        <v>264995.25172239915</v>
      </c>
      <c r="F44" s="3"/>
      <c r="G44" s="29">
        <v>7.44</v>
      </c>
      <c r="H44" s="10"/>
      <c r="I44" s="10">
        <f t="shared" si="8"/>
        <v>407.9305118904158</v>
      </c>
      <c r="J44" s="10">
        <f t="shared" si="6"/>
        <v>4347301557.8462906</v>
      </c>
      <c r="K44" s="11">
        <f t="shared" si="7"/>
        <v>0.10179720000000025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10391970.655780312</v>
      </c>
      <c r="D45" s="11">
        <v>2.3300000000000001E-2</v>
      </c>
      <c r="E45" s="10">
        <f t="shared" si="2"/>
        <v>236619.67778723873</v>
      </c>
      <c r="F45" s="3"/>
      <c r="G45" s="29">
        <v>14.5</v>
      </c>
      <c r="H45" s="10"/>
      <c r="I45" s="10">
        <f t="shared" si="8"/>
        <v>379.68215924275484</v>
      </c>
      <c r="J45" s="10">
        <f t="shared" si="6"/>
        <v>3945645857.3740158</v>
      </c>
      <c r="K45" s="11">
        <f t="shared" si="7"/>
        <v>0.17167850000000007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10155350.977993073</v>
      </c>
      <c r="D46" s="11">
        <v>2.1299999999999999E-2</v>
      </c>
      <c r="E46" s="10">
        <f t="shared" si="2"/>
        <v>211797.68513781764</v>
      </c>
      <c r="F46" s="3"/>
      <c r="G46" s="29">
        <v>13.7</v>
      </c>
      <c r="H46" s="10"/>
      <c r="I46" s="10">
        <f t="shared" si="8"/>
        <v>331.60013907664177</v>
      </c>
      <c r="J46" s="10">
        <f t="shared" si="6"/>
        <v>3367515796.674613</v>
      </c>
      <c r="K46" s="11">
        <f t="shared" si="7"/>
        <v>0.16121810000000014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9943553.2928552553</v>
      </c>
      <c r="D47" s="11">
        <v>1.95E-2</v>
      </c>
      <c r="E47" s="10">
        <f t="shared" si="2"/>
        <v>190190.57303646766</v>
      </c>
      <c r="F47" s="3"/>
      <c r="G47" s="29">
        <v>10.93</v>
      </c>
      <c r="H47" s="10"/>
      <c r="I47" s="10">
        <f t="shared" si="8"/>
        <v>291.64480129871748</v>
      </c>
      <c r="J47" s="10">
        <f t="shared" si="6"/>
        <v>2899985624.2979789</v>
      </c>
      <c r="K47" s="11">
        <f t="shared" si="7"/>
        <v>0.13093135000000022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9753362.7198187876</v>
      </c>
      <c r="D48" s="11">
        <v>1.7899999999999999E-2</v>
      </c>
      <c r="E48" s="10">
        <f t="shared" si="2"/>
        <v>171515.07288020104</v>
      </c>
      <c r="F48" s="3"/>
      <c r="G48" s="29">
        <v>15.52</v>
      </c>
      <c r="H48" s="10"/>
      <c r="I48" s="10">
        <f t="shared" si="8"/>
        <v>262.90886261490806</v>
      </c>
      <c r="J48" s="10">
        <f t="shared" si="6"/>
        <v>2564245499.3382034</v>
      </c>
      <c r="K48" s="11">
        <f t="shared" si="7"/>
        <v>0.17587807999999994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9581847.6469385866</v>
      </c>
      <c r="D49" s="11">
        <v>1.6500000000000001E-2</v>
      </c>
      <c r="E49" s="10">
        <f t="shared" si="2"/>
        <v>155534.17233102396</v>
      </c>
      <c r="F49" s="3"/>
      <c r="G49" s="29">
        <v>14.4</v>
      </c>
      <c r="H49" s="10"/>
      <c r="I49" s="10">
        <f t="shared" si="8"/>
        <v>227.5873118203844</v>
      </c>
      <c r="J49" s="10">
        <f t="shared" si="6"/>
        <v>2180706948.2392287</v>
      </c>
      <c r="K49" s="11">
        <f t="shared" si="7"/>
        <v>0.16287600000000002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9426313.4746075626</v>
      </c>
      <c r="D50" s="11">
        <v>1.52E-2</v>
      </c>
      <c r="E50" s="10">
        <f t="shared" si="2"/>
        <v>141134.71711390465</v>
      </c>
      <c r="F50" s="3"/>
      <c r="G50" s="29">
        <v>11.25</v>
      </c>
      <c r="H50" s="10"/>
      <c r="I50" s="10">
        <f t="shared" si="8"/>
        <v>198.93995788495138</v>
      </c>
      <c r="J50" s="10">
        <f t="shared" si="6"/>
        <v>1875270405.6487782</v>
      </c>
      <c r="K50" s="11">
        <f t="shared" si="7"/>
        <v>0.12941000000000003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9285178.757493658</v>
      </c>
      <c r="D51" s="11">
        <v>1.41E-2</v>
      </c>
      <c r="E51" s="10">
        <f t="shared" si="2"/>
        <v>129100.70060217008</v>
      </c>
      <c r="F51" s="3"/>
      <c r="G51" s="29">
        <v>11.5</v>
      </c>
      <c r="H51" s="10"/>
      <c r="I51" s="10">
        <f t="shared" si="8"/>
        <v>178.82243405388888</v>
      </c>
      <c r="J51" s="10">
        <f t="shared" si="6"/>
        <v>1660398266.0404797</v>
      </c>
      <c r="K51" s="11">
        <f t="shared" si="7"/>
        <v>0.13072150000000016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9156078.0568914879</v>
      </c>
      <c r="D52" s="11">
        <v>1.3100000000000001E-2</v>
      </c>
      <c r="E52" s="10">
        <f t="shared" si="2"/>
        <v>118393.66552687809</v>
      </c>
      <c r="F52" s="3"/>
      <c r="G52" s="29">
        <v>17.04</v>
      </c>
      <c r="H52" s="10"/>
      <c r="I52" s="10">
        <f t="shared" si="8"/>
        <v>160.37886462232186</v>
      </c>
      <c r="J52" s="10">
        <f t="shared" si="6"/>
        <v>1468441403.1576116</v>
      </c>
      <c r="K52" s="11">
        <f t="shared" si="7"/>
        <v>0.1857322400000001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9037684.3913646098</v>
      </c>
      <c r="D53" s="11">
        <v>1.23E-2</v>
      </c>
      <c r="E53" s="10">
        <f t="shared" si="2"/>
        <v>109812.82032380253</v>
      </c>
      <c r="F53" s="3"/>
      <c r="G53" s="29">
        <v>8.48</v>
      </c>
      <c r="H53" s="10"/>
      <c r="I53" s="10">
        <f t="shared" si="8"/>
        <v>137.02910511134814</v>
      </c>
      <c r="J53" s="10">
        <f t="shared" si="6"/>
        <v>1238425804.4274917</v>
      </c>
      <c r="K53" s="11">
        <f t="shared" si="7"/>
        <v>9.814304000000007E-2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8927871.5710408073</v>
      </c>
      <c r="D54" s="11">
        <v>1.18E-2</v>
      </c>
      <c r="E54" s="10">
        <f t="shared" si="2"/>
        <v>104120.26540648565</v>
      </c>
      <c r="F54" s="3"/>
      <c r="G54" s="29">
        <v>7.04</v>
      </c>
      <c r="H54" s="10"/>
      <c r="I54" s="10">
        <f t="shared" si="8"/>
        <v>126.31739040500382</v>
      </c>
      <c r="J54" s="10">
        <f t="shared" si="6"/>
        <v>1127745438.7248964</v>
      </c>
      <c r="K54" s="11">
        <f t="shared" si="7"/>
        <v>8.3030720000000002E-2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8823751.3056343216</v>
      </c>
      <c r="D55" s="11">
        <v>1.1599999999999999E-2</v>
      </c>
      <c r="E55" s="10">
        <f t="shared" si="2"/>
        <v>101181.8061935138</v>
      </c>
      <c r="F55" s="3"/>
      <c r="G55" s="29">
        <v>7.91</v>
      </c>
      <c r="H55" s="10"/>
      <c r="I55" s="10">
        <f t="shared" si="8"/>
        <v>118.00952018404692</v>
      </c>
      <c r="J55" s="10">
        <f t="shared" si="6"/>
        <v>1041286657.8012638</v>
      </c>
      <c r="K55" s="11">
        <f t="shared" si="7"/>
        <v>9.1617559999999987E-2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8722569.4994408078</v>
      </c>
      <c r="D56" s="11">
        <v>1.17E-2</v>
      </c>
      <c r="E56" s="10">
        <f t="shared" si="2"/>
        <v>100873.83922453038</v>
      </c>
      <c r="F56" s="3"/>
      <c r="G56" s="29">
        <v>10.39</v>
      </c>
      <c r="H56" s="10"/>
      <c r="I56" s="10">
        <f t="shared" si="8"/>
        <v>109.35920691691867</v>
      </c>
      <c r="J56" s="10">
        <f t="shared" si="6"/>
        <v>953893282.73655093</v>
      </c>
      <c r="K56" s="11">
        <f t="shared" si="7"/>
        <v>0.11681563000000006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8621695.6602162775</v>
      </c>
      <c r="D57" s="11">
        <v>1.2E-2</v>
      </c>
      <c r="E57" s="10">
        <f t="shared" si="2"/>
        <v>102233.54537805915</v>
      </c>
      <c r="F57" s="3"/>
      <c r="G57" s="30">
        <v>9.67</v>
      </c>
      <c r="H57" s="10"/>
      <c r="I57" s="10">
        <f t="shared" si="8"/>
        <v>99.066226032175607</v>
      </c>
      <c r="J57" s="10">
        <f t="shared" si="6"/>
        <v>854118851.05561328</v>
      </c>
      <c r="K57" s="11">
        <f t="shared" si="7"/>
        <v>0.1098604000000003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8519462.1148382183</v>
      </c>
      <c r="D58" s="11">
        <v>1.23E-2</v>
      </c>
      <c r="E58" s="10">
        <f t="shared" si="2"/>
        <v>103516.13554530218</v>
      </c>
      <c r="F58" s="3"/>
      <c r="G58" s="30">
        <v>8.6</v>
      </c>
      <c r="H58" s="10"/>
      <c r="I58" s="10">
        <f t="shared" si="8"/>
        <v>90.331199081039117</v>
      </c>
      <c r="J58" s="10">
        <f t="shared" si="6"/>
        <v>769573228.35882163</v>
      </c>
      <c r="K58" s="11">
        <f t="shared" si="7"/>
        <v>9.9357799999999941E-2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8415945.9792929161</v>
      </c>
      <c r="D59" s="11">
        <v>1.2699999999999999E-2</v>
      </c>
      <c r="E59" s="10">
        <f t="shared" si="2"/>
        <v>105542.12889998965</v>
      </c>
      <c r="F59" s="3"/>
      <c r="G59" s="30">
        <v>11.63</v>
      </c>
      <c r="H59" s="10"/>
      <c r="I59" s="10">
        <f t="shared" si="8"/>
        <v>83.177899706297524</v>
      </c>
      <c r="J59" s="10">
        <f t="shared" si="6"/>
        <v>700020710.59924412</v>
      </c>
      <c r="K59" s="11">
        <f t="shared" si="7"/>
        <v>0.13047701000000012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8310403.8503929265</v>
      </c>
      <c r="D60" s="11">
        <v>1.2999999999999999E-2</v>
      </c>
      <c r="E60" s="10">
        <f t="shared" si="2"/>
        <v>106648.8154542027</v>
      </c>
      <c r="F60" s="3"/>
      <c r="G60" s="30">
        <v>13.97</v>
      </c>
      <c r="H60" s="10"/>
      <c r="I60" s="10">
        <f t="shared" si="8"/>
        <v>74.512138050969739</v>
      </c>
      <c r="J60" s="10">
        <f t="shared" si="6"/>
        <v>619225958.9597882</v>
      </c>
      <c r="K60" s="11">
        <f t="shared" si="7"/>
        <v>0.15451609999999971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8203755.0349387238</v>
      </c>
      <c r="D61" s="11">
        <v>1.3100000000000001E-2</v>
      </c>
      <c r="E61" s="10">
        <f t="shared" si="2"/>
        <v>106079.54886753391</v>
      </c>
      <c r="F61" s="3"/>
      <c r="G61" s="30">
        <v>8.94</v>
      </c>
      <c r="H61" s="10"/>
      <c r="I61" s="10">
        <f t="shared" si="8"/>
        <v>65.378729534938799</v>
      </c>
      <c r="J61" s="10">
        <f t="shared" si="6"/>
        <v>536351081.60015124</v>
      </c>
      <c r="K61" s="11">
        <f t="shared" si="7"/>
        <v>0.10367114000000011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8097675.4860711899</v>
      </c>
      <c r="D62" s="11">
        <v>1.32E-2</v>
      </c>
      <c r="E62" s="10">
        <f t="shared" si="2"/>
        <v>105496.7591947699</v>
      </c>
      <c r="F62" s="3"/>
      <c r="G62" s="30">
        <v>-0.05</v>
      </c>
      <c r="H62" s="10"/>
      <c r="I62" s="10">
        <f t="shared" si="8"/>
        <v>60.013520777436021</v>
      </c>
      <c r="J62" s="10">
        <f t="shared" si="6"/>
        <v>485970016.03226769</v>
      </c>
      <c r="K62" s="11">
        <f t="shared" si="7"/>
        <v>1.2693400000000299E-2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7992178.72687642</v>
      </c>
      <c r="D63" s="11">
        <v>1.32E-2</v>
      </c>
      <c r="E63" s="10">
        <f t="shared" si="2"/>
        <v>104122.34425066039</v>
      </c>
      <c r="F63" s="3"/>
      <c r="G63" s="30">
        <v>-0.01</v>
      </c>
      <c r="H63" s="10"/>
      <c r="I63" s="10">
        <f t="shared" si="8"/>
        <v>60.04354254871037</v>
      </c>
      <c r="J63" s="10">
        <f t="shared" si="6"/>
        <v>479878723.44410217</v>
      </c>
      <c r="K63" s="11">
        <f t="shared" si="7"/>
        <v>1.3098679999999918E-2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7888056.3826257596</v>
      </c>
      <c r="D64" s="11">
        <v>1.3100000000000001E-2</v>
      </c>
      <c r="E64" s="10">
        <f t="shared" si="2"/>
        <v>101997.37302576099</v>
      </c>
      <c r="F64" s="3"/>
      <c r="G64" s="30">
        <v>0.1</v>
      </c>
      <c r="H64" s="10"/>
      <c r="I64" s="10">
        <f t="shared" si="8"/>
        <v>60.049547503460715</v>
      </c>
      <c r="J64" s="10">
        <f t="shared" si="6"/>
        <v>473674216.45846206</v>
      </c>
      <c r="K64" s="11">
        <f t="shared" si="7"/>
        <v>1.4113099999999879E-2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7786059.0095999986</v>
      </c>
      <c r="D65" s="11">
        <v>1.2999999999999999E-2</v>
      </c>
      <c r="E65" s="10">
        <f t="shared" si="2"/>
        <v>99919.809599999338</v>
      </c>
      <c r="F65" s="3"/>
      <c r="G65" s="30">
        <v>0.01</v>
      </c>
      <c r="H65" s="10"/>
      <c r="I65" s="10">
        <f t="shared" si="8"/>
        <v>59.989557945515209</v>
      </c>
      <c r="J65" s="10">
        <f t="shared" si="6"/>
        <v>467082238.12359989</v>
      </c>
      <c r="K65" s="11">
        <f t="shared" si="7"/>
        <v>1.3101299999999982E-2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7686139.1999999993</v>
      </c>
      <c r="D66" s="11">
        <v>1.2800000000000001E-2</v>
      </c>
      <c r="E66" s="10">
        <f t="shared" si="2"/>
        <v>97139.199999999255</v>
      </c>
      <c r="F66" s="23">
        <f>SUM(F2)</f>
        <v>33524353</v>
      </c>
      <c r="G66" s="30">
        <v>-0.02</v>
      </c>
      <c r="H66" s="10"/>
      <c r="I66" s="10">
        <f t="shared" si="8"/>
        <v>59.983559589556251</v>
      </c>
      <c r="J66" s="10">
        <f t="shared" ref="J66:J67" si="9">IF(I66="","",I66*C66)</f>
        <v>461041988.71682417</v>
      </c>
      <c r="K66" s="11">
        <f t="shared" ref="K66" si="10">IFERROR(J66/J67-1,"")</f>
        <v>1.259743999999996E-2</v>
      </c>
    </row>
    <row r="67" spans="1:11" ht="22.5" customHeight="1">
      <c r="A67" s="3">
        <f t="shared" si="0"/>
        <v>1950</v>
      </c>
      <c r="B67" s="3">
        <v>1700</v>
      </c>
      <c r="C67" s="10">
        <v>7589000</v>
      </c>
      <c r="D67" s="11">
        <v>1.26E-2</v>
      </c>
      <c r="E67" s="3" t="s">
        <v>72</v>
      </c>
      <c r="F67" s="10">
        <f>SUM(C2)</f>
        <v>33525928.242861282</v>
      </c>
      <c r="G67" s="30">
        <v>13.97</v>
      </c>
      <c r="H67" s="10"/>
      <c r="I67" s="10">
        <f t="shared" ref="I67" si="11">IF(H67&lt;&gt;"",H67,I66/(1+IF(G66="",0,G66)/100))</f>
        <v>59.99555870129651</v>
      </c>
      <c r="J67" s="10">
        <f t="shared" si="9"/>
        <v>455306294.9841392</v>
      </c>
      <c r="K67" s="11"/>
    </row>
  </sheetData>
  <dataValidations count="1">
    <dataValidation type="custom" allowBlank="1" showDropDown="1" sqref="D2:D67" xr:uid="{00000000-0002-0000-9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M67"/>
  <sheetViews>
    <sheetView workbookViewId="0">
      <selection activeCell="J17" sqref="J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149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1:A66" si="0">SUM(B2+250)</f>
        <v>2015</v>
      </c>
      <c r="B2" s="3">
        <v>1765</v>
      </c>
      <c r="C2" s="10">
        <f t="shared" ref="C2:C66" si="1">SUM(C3*(1+D2))</f>
        <v>1914161.3385795974</v>
      </c>
      <c r="D2" s="11">
        <v>7.0000000000000001E-3</v>
      </c>
      <c r="E2" s="10">
        <f t="shared" ref="E2:E66" si="2">SUM(C2-C3)</f>
        <v>13305.987457852112</v>
      </c>
      <c r="F2" s="14">
        <v>1914198</v>
      </c>
      <c r="G2" s="29">
        <v>1.84</v>
      </c>
      <c r="H2" s="10"/>
      <c r="I2" s="10">
        <f>IF(H2&lt;&gt;"",H2,14288)</f>
        <v>1786</v>
      </c>
      <c r="J2" s="10">
        <f t="shared" ref="J2:J33" si="3">IF(I2="","",I2*C2)</f>
        <v>3418692150.7031608</v>
      </c>
      <c r="K2" s="11">
        <f t="shared" ref="K2:K33" si="4">IFERROR(J2/J3-1,"")</f>
        <v>2.5528799999999796E-2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1900855.3511217453</v>
      </c>
      <c r="D3" s="11">
        <v>8.2000000000000007E-3</v>
      </c>
      <c r="E3" s="10">
        <f t="shared" si="2"/>
        <v>15460.239911920624</v>
      </c>
      <c r="F3" s="3"/>
      <c r="G3" s="29">
        <v>3.32</v>
      </c>
      <c r="H3" s="10"/>
      <c r="I3" s="10">
        <f t="shared" ref="I3:I34" si="5">IF(H3&lt;&gt;"",H3,I2/(1+IF(G2="",0,G2)/100))</f>
        <v>1753.7313432835822</v>
      </c>
      <c r="J3" s="10">
        <f t="shared" si="3"/>
        <v>3333589608.3105235</v>
      </c>
      <c r="K3" s="11">
        <f t="shared" si="4"/>
        <v>4.1672240000000027E-2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1885395.1112098247</v>
      </c>
      <c r="D4" s="11">
        <v>9.5999999999999992E-3</v>
      </c>
      <c r="E4" s="10">
        <f t="shared" si="2"/>
        <v>17927.687269824091</v>
      </c>
      <c r="F4" s="3"/>
      <c r="G4" s="29">
        <v>1.76</v>
      </c>
      <c r="H4" s="10"/>
      <c r="I4" s="10">
        <f t="shared" si="5"/>
        <v>1697.3783810332775</v>
      </c>
      <c r="J4" s="10">
        <f t="shared" si="3"/>
        <v>3200228901.4733882</v>
      </c>
      <c r="K4" s="11">
        <f t="shared" si="4"/>
        <v>2.736896000000022E-2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1867467.4239400006</v>
      </c>
      <c r="D5" s="11">
        <v>1.11E-2</v>
      </c>
      <c r="E5" s="10">
        <f t="shared" si="2"/>
        <v>20501.323712525191</v>
      </c>
      <c r="F5" s="3"/>
      <c r="G5" s="29">
        <v>3.67</v>
      </c>
      <c r="H5" s="10"/>
      <c r="I5" s="10">
        <f t="shared" si="5"/>
        <v>1668.0212077764124</v>
      </c>
      <c r="J5" s="10">
        <f t="shared" si="3"/>
        <v>3114975267.9635053</v>
      </c>
      <c r="K5" s="11">
        <f t="shared" si="4"/>
        <v>4.8207370000000083E-2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1846966.1002274754</v>
      </c>
      <c r="D6" s="11">
        <v>1.2699999999999999E-2</v>
      </c>
      <c r="E6" s="10">
        <f t="shared" si="2"/>
        <v>23162.308159266133</v>
      </c>
      <c r="F6" s="3"/>
      <c r="G6" s="29">
        <v>7.61</v>
      </c>
      <c r="H6" s="10"/>
      <c r="I6" s="10">
        <f t="shared" si="5"/>
        <v>1608.9719376641385</v>
      </c>
      <c r="J6" s="10">
        <f t="shared" si="3"/>
        <v>2971716625.0829787</v>
      </c>
      <c r="K6" s="11">
        <f t="shared" si="4"/>
        <v>8.9766470000000043E-2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1823803.7920682093</v>
      </c>
      <c r="D7" s="11">
        <v>1.4200000000000001E-2</v>
      </c>
      <c r="E7" s="10">
        <f t="shared" si="2"/>
        <v>25535.411011012271</v>
      </c>
      <c r="F7" s="3"/>
      <c r="G7" s="29">
        <v>2.4500000000000002</v>
      </c>
      <c r="H7" s="10"/>
      <c r="I7" s="10">
        <f t="shared" si="5"/>
        <v>1495.1881216096444</v>
      </c>
      <c r="J7" s="10">
        <f t="shared" si="3"/>
        <v>2726929766.0470123</v>
      </c>
      <c r="K7" s="11">
        <f t="shared" si="4"/>
        <v>3.9047899999999913E-2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1798268.381057197</v>
      </c>
      <c r="D8" s="11">
        <v>1.55E-2</v>
      </c>
      <c r="E8" s="10">
        <f t="shared" si="2"/>
        <v>27447.720242626034</v>
      </c>
      <c r="F8" s="3"/>
      <c r="G8" s="29">
        <v>-4.63</v>
      </c>
      <c r="H8" s="10"/>
      <c r="I8" s="10">
        <f t="shared" si="5"/>
        <v>1459.4320367102434</v>
      </c>
      <c r="J8" s="10">
        <f t="shared" si="3"/>
        <v>2624450485.9179373</v>
      </c>
      <c r="K8" s="11">
        <f t="shared" si="4"/>
        <v>-3.1517649999999842E-2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1770820.660814571</v>
      </c>
      <c r="D9" s="11">
        <v>1.67E-2</v>
      </c>
      <c r="E9" s="10">
        <f t="shared" si="2"/>
        <v>29086.95292180893</v>
      </c>
      <c r="F9" s="3"/>
      <c r="G9" s="29">
        <v>-5.13</v>
      </c>
      <c r="H9" s="10"/>
      <c r="I9" s="10">
        <f t="shared" si="5"/>
        <v>1530.2841949357696</v>
      </c>
      <c r="J9" s="10">
        <f t="shared" si="3"/>
        <v>2709858869.3102531</v>
      </c>
      <c r="K9" s="11">
        <f t="shared" si="4"/>
        <v>-3.5456710000000169E-2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1741733.707892762</v>
      </c>
      <c r="D10" s="11">
        <v>1.77E-2</v>
      </c>
      <c r="E10" s="10">
        <f t="shared" si="2"/>
        <v>30292.509216568666</v>
      </c>
      <c r="F10" s="3"/>
      <c r="G10" s="29">
        <v>7.57</v>
      </c>
      <c r="H10" s="10"/>
      <c r="I10" s="10">
        <f t="shared" si="5"/>
        <v>1613.0327763632019</v>
      </c>
      <c r="J10" s="10">
        <f t="shared" si="3"/>
        <v>2809473558.5276361</v>
      </c>
      <c r="K10" s="11">
        <f t="shared" si="4"/>
        <v>9.4739890000000049E-2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1711441.1986761934</v>
      </c>
      <c r="D11" s="11">
        <v>1.84E-2</v>
      </c>
      <c r="E11" s="10">
        <f t="shared" si="2"/>
        <v>30921.561327221105</v>
      </c>
      <c r="F11" s="3"/>
      <c r="G11" s="29">
        <v>9.76</v>
      </c>
      <c r="H11" s="10"/>
      <c r="I11" s="10">
        <f t="shared" si="5"/>
        <v>1499.5191748286713</v>
      </c>
      <c r="J11" s="10">
        <f t="shared" si="3"/>
        <v>2566338894.0067177</v>
      </c>
      <c r="K11" s="11">
        <f t="shared" si="4"/>
        <v>0.1177958400000001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1680519.6373489723</v>
      </c>
      <c r="D12" s="11">
        <v>1.8800000000000001E-2</v>
      </c>
      <c r="E12" s="10">
        <f t="shared" si="2"/>
        <v>31010.766766942106</v>
      </c>
      <c r="F12" s="3"/>
      <c r="G12" s="29">
        <v>9.52</v>
      </c>
      <c r="H12" s="10"/>
      <c r="I12" s="10">
        <f t="shared" si="5"/>
        <v>1366.1800062214572</v>
      </c>
      <c r="J12" s="10">
        <f t="shared" si="3"/>
        <v>2295892328.6086998</v>
      </c>
      <c r="K12" s="11">
        <f t="shared" si="4"/>
        <v>0.11578975999999974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1649508.8705820302</v>
      </c>
      <c r="D13" s="11">
        <v>1.9099999999999999E-2</v>
      </c>
      <c r="E13" s="10">
        <f t="shared" si="2"/>
        <v>30915.140249353833</v>
      </c>
      <c r="F13" s="3"/>
      <c r="G13" s="29">
        <v>6.8</v>
      </c>
      <c r="H13" s="10"/>
      <c r="I13" s="10">
        <f t="shared" si="5"/>
        <v>1247.4251335111919</v>
      </c>
      <c r="J13" s="10">
        <f t="shared" si="3"/>
        <v>2057638823.1136844</v>
      </c>
      <c r="K13" s="11">
        <f t="shared" si="4"/>
        <v>8.83988E-2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1618593.7303326763</v>
      </c>
      <c r="D14" s="11">
        <v>1.95E-2</v>
      </c>
      <c r="E14" s="10">
        <f t="shared" si="2"/>
        <v>30958.879589492222</v>
      </c>
      <c r="F14" s="3"/>
      <c r="G14" s="29">
        <v>7.6</v>
      </c>
      <c r="H14" s="10"/>
      <c r="I14" s="10">
        <f t="shared" si="5"/>
        <v>1168.0010613400673</v>
      </c>
      <c r="J14" s="10">
        <f t="shared" si="3"/>
        <v>1890519194.9069445</v>
      </c>
      <c r="K14" s="11">
        <f t="shared" si="4"/>
        <v>9.6982000000000124E-2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1587634.8507431841</v>
      </c>
      <c r="D15" s="11">
        <v>2.01E-2</v>
      </c>
      <c r="E15" s="10">
        <f t="shared" si="2"/>
        <v>31282.678658894263</v>
      </c>
      <c r="F15" s="3"/>
      <c r="G15" s="29">
        <v>6.93</v>
      </c>
      <c r="H15" s="10"/>
      <c r="I15" s="10">
        <f t="shared" si="5"/>
        <v>1085.5028451115866</v>
      </c>
      <c r="J15" s="10">
        <f t="shared" si="3"/>
        <v>1723382147.4800355</v>
      </c>
      <c r="K15" s="11">
        <f t="shared" si="4"/>
        <v>9.0792929999999883E-2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1556352.1720842898</v>
      </c>
      <c r="D16" s="11">
        <v>2.12E-2</v>
      </c>
      <c r="E16" s="10">
        <f t="shared" si="2"/>
        <v>32309.700399713125</v>
      </c>
      <c r="F16" s="3"/>
      <c r="G16" s="29">
        <v>5.88</v>
      </c>
      <c r="H16" s="10"/>
      <c r="I16" s="10">
        <f t="shared" si="5"/>
        <v>1015.1527589185324</v>
      </c>
      <c r="J16" s="10">
        <f t="shared" si="3"/>
        <v>1579935201.3402174</v>
      </c>
      <c r="K16" s="11">
        <f t="shared" si="4"/>
        <v>8.1246560000000079E-2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1524042.4716845767</v>
      </c>
      <c r="D17" s="11">
        <v>2.2599999999999999E-2</v>
      </c>
      <c r="E17" s="10">
        <f t="shared" si="2"/>
        <v>33682.143418806372</v>
      </c>
      <c r="F17" s="3"/>
      <c r="G17" s="29">
        <v>10.09</v>
      </c>
      <c r="H17" s="10"/>
      <c r="I17" s="10">
        <f t="shared" si="5"/>
        <v>958.77668957171556</v>
      </c>
      <c r="J17" s="10">
        <f t="shared" si="3"/>
        <v>1461216395.7684336</v>
      </c>
      <c r="K17" s="11">
        <f t="shared" si="4"/>
        <v>0.12578033999999993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1490360.3282657703</v>
      </c>
      <c r="D18" s="11">
        <v>2.4500000000000001E-2</v>
      </c>
      <c r="E18" s="10">
        <f t="shared" si="2"/>
        <v>35640.632545155007</v>
      </c>
      <c r="F18" s="3"/>
      <c r="G18" s="29">
        <v>-0.43</v>
      </c>
      <c r="H18" s="10"/>
      <c r="I18" s="10">
        <f t="shared" si="5"/>
        <v>870.9026156523895</v>
      </c>
      <c r="J18" s="10">
        <f t="shared" si="3"/>
        <v>1297958708.1512132</v>
      </c>
      <c r="K18" s="11">
        <f t="shared" si="4"/>
        <v>2.0094649999999881E-2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1454719.6957206153</v>
      </c>
      <c r="D19" s="11">
        <v>2.64E-2</v>
      </c>
      <c r="E19" s="10">
        <f t="shared" si="2"/>
        <v>37416.796538410243</v>
      </c>
      <c r="F19" s="3"/>
      <c r="G19" s="29">
        <v>4.34</v>
      </c>
      <c r="H19" s="10"/>
      <c r="I19" s="10">
        <f t="shared" si="5"/>
        <v>874.66366943094249</v>
      </c>
      <c r="J19" s="10">
        <f t="shared" si="3"/>
        <v>1272390467.0524576</v>
      </c>
      <c r="K19" s="11">
        <f t="shared" si="4"/>
        <v>7.094576000000008E-2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1417302.8991822051</v>
      </c>
      <c r="D20" s="11">
        <v>2.8400000000000002E-2</v>
      </c>
      <c r="E20" s="10">
        <f t="shared" si="2"/>
        <v>39139.831132608466</v>
      </c>
      <c r="F20" s="3"/>
      <c r="G20" s="29">
        <v>13.05</v>
      </c>
      <c r="H20" s="10"/>
      <c r="I20" s="10">
        <f t="shared" si="5"/>
        <v>838.28222103789767</v>
      </c>
      <c r="J20" s="10">
        <f t="shared" si="3"/>
        <v>1188099822.2099104</v>
      </c>
      <c r="K20" s="11">
        <f t="shared" si="4"/>
        <v>0.16260619999999992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1378163.0680495966</v>
      </c>
      <c r="D21" s="11">
        <v>3.0099999999999998E-2</v>
      </c>
      <c r="E21" s="10">
        <f t="shared" si="2"/>
        <v>40270.564361026045</v>
      </c>
      <c r="F21" s="3"/>
      <c r="G21" s="29">
        <v>4.9400000000000004</v>
      </c>
      <c r="H21" s="10"/>
      <c r="I21" s="10">
        <f t="shared" si="5"/>
        <v>741.51456969296567</v>
      </c>
      <c r="J21" s="10">
        <f t="shared" si="3"/>
        <v>1021927994.371534</v>
      </c>
      <c r="K21" s="11">
        <f t="shared" si="4"/>
        <v>8.0986940000000063E-2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1337892.5036885706</v>
      </c>
      <c r="D22" s="11">
        <v>3.1600000000000003E-2</v>
      </c>
      <c r="E22" s="10">
        <f t="shared" si="2"/>
        <v>40982.3605240006</v>
      </c>
      <c r="F22" s="3"/>
      <c r="G22" s="29">
        <v>4.53</v>
      </c>
      <c r="H22" s="10"/>
      <c r="I22" s="10">
        <f t="shared" si="5"/>
        <v>706.60812816177395</v>
      </c>
      <c r="J22" s="10">
        <f t="shared" si="3"/>
        <v>945365717.71305013</v>
      </c>
      <c r="K22" s="11">
        <f t="shared" si="4"/>
        <v>7.833148000000012E-2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1296910.14316457</v>
      </c>
      <c r="D23" s="11">
        <v>3.27E-2</v>
      </c>
      <c r="E23" s="10">
        <f t="shared" si="2"/>
        <v>41066.100204784889</v>
      </c>
      <c r="F23" s="3"/>
      <c r="G23" s="29">
        <v>-1.64</v>
      </c>
      <c r="H23" s="10"/>
      <c r="I23" s="10">
        <f t="shared" si="5"/>
        <v>675.98596399289579</v>
      </c>
      <c r="J23" s="10">
        <f t="shared" si="3"/>
        <v>876693053.3392663</v>
      </c>
      <c r="K23" s="11">
        <f t="shared" si="4"/>
        <v>1.5763720000000037E-2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1255844.0429597851</v>
      </c>
      <c r="D24" s="11">
        <v>3.3500000000000002E-2</v>
      </c>
      <c r="E24" s="10">
        <f t="shared" si="2"/>
        <v>40707.087991439737</v>
      </c>
      <c r="F24" s="3"/>
      <c r="G24" s="29">
        <v>-5.74</v>
      </c>
      <c r="H24" s="10"/>
      <c r="I24" s="10">
        <f t="shared" si="5"/>
        <v>687.25697843930027</v>
      </c>
      <c r="J24" s="10">
        <f t="shared" si="3"/>
        <v>863087582.3555367</v>
      </c>
      <c r="K24" s="11">
        <f t="shared" si="4"/>
        <v>-2.5822899999999871E-2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1215136.9549683454</v>
      </c>
      <c r="D25" s="11">
        <v>3.4099999999999998E-2</v>
      </c>
      <c r="E25" s="10">
        <f t="shared" si="2"/>
        <v>40069.790314689744</v>
      </c>
      <c r="F25" s="3"/>
      <c r="G25" s="29">
        <v>-1.17</v>
      </c>
      <c r="H25" s="10"/>
      <c r="I25" s="10">
        <f t="shared" si="5"/>
        <v>729.10776409855748</v>
      </c>
      <c r="J25" s="10">
        <f t="shared" si="3"/>
        <v>885965788.31049979</v>
      </c>
      <c r="K25" s="11">
        <f t="shared" si="4"/>
        <v>2.2001029999999977E-2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1175067.1646536556</v>
      </c>
      <c r="D26" s="11">
        <v>3.4500000000000003E-2</v>
      </c>
      <c r="E26" s="10">
        <f t="shared" si="2"/>
        <v>39187.83681058581</v>
      </c>
      <c r="F26" s="3"/>
      <c r="G26" s="29">
        <v>-8</v>
      </c>
      <c r="H26" s="10"/>
      <c r="I26" s="10">
        <f t="shared" si="5"/>
        <v>737.73931407321413</v>
      </c>
      <c r="J26" s="10">
        <f t="shared" si="3"/>
        <v>866893244.04154444</v>
      </c>
      <c r="K26" s="11">
        <f t="shared" si="4"/>
        <v>-4.8260000000000081E-2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1135879.3278430698</v>
      </c>
      <c r="D27" s="11">
        <v>3.4799999999999998E-2</v>
      </c>
      <c r="E27" s="10">
        <f t="shared" si="2"/>
        <v>38199.266147022368</v>
      </c>
      <c r="F27" s="3"/>
      <c r="G27" s="29">
        <v>3.78</v>
      </c>
      <c r="H27" s="10"/>
      <c r="I27" s="10">
        <f t="shared" si="5"/>
        <v>801.89055877523276</v>
      </c>
      <c r="J27" s="10">
        <f t="shared" si="3"/>
        <v>910850908.90531504</v>
      </c>
      <c r="K27" s="11">
        <f t="shared" si="4"/>
        <v>7.3915439999999943E-2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1097680.0616960474</v>
      </c>
      <c r="D28" s="11">
        <v>3.5000000000000003E-2</v>
      </c>
      <c r="E28" s="10">
        <f t="shared" si="2"/>
        <v>37119.615612909663</v>
      </c>
      <c r="F28" s="3"/>
      <c r="G28" s="29">
        <v>3.78</v>
      </c>
      <c r="H28" s="10"/>
      <c r="I28" s="10">
        <f t="shared" si="5"/>
        <v>772.68313622589392</v>
      </c>
      <c r="J28" s="10">
        <f t="shared" si="3"/>
        <v>848158872.64393461</v>
      </c>
      <c r="K28" s="11">
        <f t="shared" si="4"/>
        <v>7.4122999999999939E-2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1060560.4460831378</v>
      </c>
      <c r="D29" s="11">
        <v>3.5099999999999999E-2</v>
      </c>
      <c r="E29" s="10">
        <f t="shared" si="2"/>
        <v>35963.35779878078</v>
      </c>
      <c r="F29" s="3"/>
      <c r="G29" s="29">
        <v>2.09</v>
      </c>
      <c r="H29" s="10"/>
      <c r="I29" s="10">
        <f t="shared" si="5"/>
        <v>744.53954155511065</v>
      </c>
      <c r="J29" s="10">
        <f t="shared" si="3"/>
        <v>789629188.318223</v>
      </c>
      <c r="K29" s="11">
        <f t="shared" si="4"/>
        <v>5.6733589999999667E-2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1024597.088284357</v>
      </c>
      <c r="D30" s="11">
        <v>3.5299999999999998E-2</v>
      </c>
      <c r="E30" s="10">
        <f t="shared" si="2"/>
        <v>34935.069271165528</v>
      </c>
      <c r="F30" s="3"/>
      <c r="G30" s="29">
        <v>2.1</v>
      </c>
      <c r="H30" s="10"/>
      <c r="I30" s="10">
        <f t="shared" si="5"/>
        <v>729.2972294594091</v>
      </c>
      <c r="J30" s="10">
        <f t="shared" si="3"/>
        <v>747235817.79795909</v>
      </c>
      <c r="K30" s="11">
        <f t="shared" si="4"/>
        <v>5.7041299999999628E-2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989662.01901319146</v>
      </c>
      <c r="D31" s="11">
        <v>3.5499999999999997E-2</v>
      </c>
      <c r="E31" s="10">
        <f t="shared" si="2"/>
        <v>33928.538556222455</v>
      </c>
      <c r="F31" s="3"/>
      <c r="G31" s="29">
        <v>7.31</v>
      </c>
      <c r="H31" s="10"/>
      <c r="I31" s="10">
        <f t="shared" si="5"/>
        <v>714.29699261450457</v>
      </c>
      <c r="J31" s="10">
        <f t="shared" si="3"/>
        <v>706912603.88592136</v>
      </c>
      <c r="K31" s="11">
        <f t="shared" si="4"/>
        <v>0.11119504999999985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955733.480456969</v>
      </c>
      <c r="D32" s="11">
        <v>3.5999999999999997E-2</v>
      </c>
      <c r="E32" s="10">
        <f t="shared" si="2"/>
        <v>33210.815923215123</v>
      </c>
      <c r="F32" s="3"/>
      <c r="G32" s="29">
        <v>3.04</v>
      </c>
      <c r="H32" s="10"/>
      <c r="I32" s="10">
        <f t="shared" si="5"/>
        <v>665.63879658419967</v>
      </c>
      <c r="J32" s="10">
        <f t="shared" si="3"/>
        <v>636173283.7866056</v>
      </c>
      <c r="K32" s="11">
        <f t="shared" si="4"/>
        <v>6.7494400000000176E-2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922522.66453375388</v>
      </c>
      <c r="D33" s="11">
        <v>3.6900000000000002E-2</v>
      </c>
      <c r="E33" s="10">
        <f t="shared" si="2"/>
        <v>32829.671444975887</v>
      </c>
      <c r="F33" s="3"/>
      <c r="G33" s="29">
        <v>-3.66</v>
      </c>
      <c r="H33" s="10"/>
      <c r="I33" s="10">
        <f t="shared" si="5"/>
        <v>646.00038488373411</v>
      </c>
      <c r="J33" s="10">
        <f t="shared" si="3"/>
        <v>595949996.35277295</v>
      </c>
      <c r="K33" s="11">
        <f t="shared" si="4"/>
        <v>-1.0505399999999332E-3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889692.99308877799</v>
      </c>
      <c r="D34" s="11">
        <v>3.8100000000000002E-2</v>
      </c>
      <c r="E34" s="10">
        <f t="shared" si="2"/>
        <v>32653.215525173349</v>
      </c>
      <c r="F34" s="3"/>
      <c r="G34" s="29">
        <v>-1.7</v>
      </c>
      <c r="H34" s="10"/>
      <c r="I34" s="10">
        <f t="shared" si="5"/>
        <v>670.54223052079521</v>
      </c>
      <c r="J34" s="10">
        <f t="shared" ref="J34:J65" si="6">IF(I34="","",I34*C34)</f>
        <v>596576724.0644716</v>
      </c>
      <c r="K34" s="11">
        <f t="shared" ref="K34:K65" si="7">IFERROR(J34/J35-1,"")</f>
        <v>3.3947600000000078E-2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857039.77756360464</v>
      </c>
      <c r="D35" s="11">
        <v>3.9399999999999998E-2</v>
      </c>
      <c r="E35" s="10">
        <f t="shared" si="2"/>
        <v>32487.365052920999</v>
      </c>
      <c r="F35" s="3"/>
      <c r="G35" s="29">
        <v>-6.09</v>
      </c>
      <c r="H35" s="10"/>
      <c r="I35" s="10">
        <f t="shared" ref="I35:I66" si="8">IF(H35&lt;&gt;"",H35,I34/(1+IF(G34="",0,G34)/100))</f>
        <v>673.23517120561769</v>
      </c>
      <c r="J35" s="10">
        <f t="shared" si="6"/>
        <v>576989321.37805784</v>
      </c>
      <c r="K35" s="11">
        <f t="shared" si="7"/>
        <v>4.1643399999999886E-3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824552.41251068364</v>
      </c>
      <c r="D36" s="11">
        <v>4.07E-2</v>
      </c>
      <c r="E36" s="10">
        <f t="shared" si="2"/>
        <v>32246.836926284945</v>
      </c>
      <c r="F36" s="3"/>
      <c r="G36" s="29">
        <v>5.61</v>
      </c>
      <c r="H36" s="10"/>
      <c r="I36" s="10">
        <f t="shared" si="8"/>
        <v>696.85868047367535</v>
      </c>
      <c r="J36" s="10">
        <f t="shared" si="6"/>
        <v>574596506.16358066</v>
      </c>
      <c r="K36" s="11">
        <f t="shared" si="7"/>
        <v>0.14903686999999999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792305.5755843987</v>
      </c>
      <c r="D37" s="11">
        <v>4.1700000000000001E-2</v>
      </c>
      <c r="E37" s="10">
        <f t="shared" si="2"/>
        <v>31716.561871814774</v>
      </c>
      <c r="F37" s="3"/>
      <c r="G37" s="29">
        <v>7.53</v>
      </c>
      <c r="H37" s="10"/>
      <c r="I37" s="10">
        <f t="shared" si="8"/>
        <v>631.15540301935994</v>
      </c>
      <c r="J37" s="10">
        <f t="shared" si="6"/>
        <v>500067944.87245709</v>
      </c>
      <c r="K37" s="11">
        <f t="shared" si="7"/>
        <v>0.17535011000000011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760589.01371258392</v>
      </c>
      <c r="D38" s="11">
        <v>4.2200000000000001E-2</v>
      </c>
      <c r="E38" s="10">
        <f t="shared" si="2"/>
        <v>30797.213949981844</v>
      </c>
      <c r="F38" s="3"/>
      <c r="G38" s="29">
        <v>7.92</v>
      </c>
      <c r="H38" s="10"/>
      <c r="I38" s="10">
        <f t="shared" si="8"/>
        <v>559.38615884016656</v>
      </c>
      <c r="J38" s="10">
        <f t="shared" si="6"/>
        <v>425462966.83671308</v>
      </c>
      <c r="K38" s="11">
        <f t="shared" si="7"/>
        <v>0.16330364000000008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729791.79976260208</v>
      </c>
      <c r="D39" s="11">
        <v>4.2099999999999999E-2</v>
      </c>
      <c r="E39" s="10">
        <f t="shared" si="2"/>
        <v>29483.000451017753</v>
      </c>
      <c r="F39" s="3"/>
      <c r="G39" s="29">
        <v>8.73</v>
      </c>
      <c r="H39" s="10"/>
      <c r="I39" s="10">
        <f t="shared" si="8"/>
        <v>501.1522655797944</v>
      </c>
      <c r="J39" s="10">
        <f t="shared" si="6"/>
        <v>365736813.85258371</v>
      </c>
      <c r="K39" s="11">
        <f t="shared" si="7"/>
        <v>0.13307533000000005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700308.79931158433</v>
      </c>
      <c r="D40" s="11">
        <v>4.1399999999999999E-2</v>
      </c>
      <c r="E40" s="10">
        <f t="shared" si="2"/>
        <v>27840.200011042529</v>
      </c>
      <c r="F40" s="3"/>
      <c r="G40" s="29">
        <v>8.43</v>
      </c>
      <c r="H40" s="10"/>
      <c r="I40" s="10">
        <f t="shared" si="8"/>
        <v>460.91443537183341</v>
      </c>
      <c r="J40" s="10">
        <f t="shared" si="6"/>
        <v>322782434.82062548</v>
      </c>
      <c r="K40" s="11">
        <f t="shared" si="7"/>
        <v>0.12919002000000024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672468.5993005418</v>
      </c>
      <c r="D41" s="11">
        <v>0.04</v>
      </c>
      <c r="E41" s="10">
        <f t="shared" si="2"/>
        <v>25864.176896174671</v>
      </c>
      <c r="F41" s="3"/>
      <c r="G41" s="29">
        <v>7.67</v>
      </c>
      <c r="H41" s="10"/>
      <c r="I41" s="10">
        <f t="shared" si="8"/>
        <v>425.08017649343668</v>
      </c>
      <c r="J41" s="10">
        <f t="shared" si="6"/>
        <v>285853070.87696844</v>
      </c>
      <c r="K41" s="11">
        <f t="shared" si="7"/>
        <v>0.11976799999999987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646604.42240436713</v>
      </c>
      <c r="D42" s="11">
        <v>3.8199999999999998E-2</v>
      </c>
      <c r="E42" s="10">
        <f t="shared" si="2"/>
        <v>23791.455341790454</v>
      </c>
      <c r="F42" s="3"/>
      <c r="G42" s="29">
        <v>-6.46</v>
      </c>
      <c r="H42" s="10"/>
      <c r="I42" s="10">
        <f t="shared" si="8"/>
        <v>394.79908655469183</v>
      </c>
      <c r="J42" s="10">
        <f t="shared" si="6"/>
        <v>255278835.32746825</v>
      </c>
      <c r="K42" s="11">
        <f t="shared" si="7"/>
        <v>-2.886771999999993E-2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622812.96706257667</v>
      </c>
      <c r="D43" s="11">
        <v>3.61E-2</v>
      </c>
      <c r="E43" s="10">
        <f t="shared" si="2"/>
        <v>21700.171905181953</v>
      </c>
      <c r="F43" s="3"/>
      <c r="G43" s="29">
        <v>5.84</v>
      </c>
      <c r="H43" s="10"/>
      <c r="I43" s="10">
        <f t="shared" si="8"/>
        <v>422.06445002639708</v>
      </c>
      <c r="J43" s="10">
        <f t="shared" si="6"/>
        <v>262867212.41257498</v>
      </c>
      <c r="K43" s="11">
        <f t="shared" si="7"/>
        <v>9.6608240000000123E-2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601112.79515739472</v>
      </c>
      <c r="D44" s="11">
        <v>3.39E-2</v>
      </c>
      <c r="E44" s="10">
        <f t="shared" si="2"/>
        <v>19709.569354710984</v>
      </c>
      <c r="F44" s="3"/>
      <c r="G44" s="29">
        <v>2.82</v>
      </c>
      <c r="H44" s="10"/>
      <c r="I44" s="10">
        <f t="shared" si="8"/>
        <v>398.7759353990902</v>
      </c>
      <c r="J44" s="10">
        <f t="shared" si="6"/>
        <v>239709317.16925177</v>
      </c>
      <c r="K44" s="11">
        <f t="shared" si="7"/>
        <v>6.30559799999999E-2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581403.22580268374</v>
      </c>
      <c r="D45" s="11">
        <v>3.1699999999999999E-2</v>
      </c>
      <c r="E45" s="10">
        <f t="shared" si="2"/>
        <v>17864.187513758894</v>
      </c>
      <c r="F45" s="3"/>
      <c r="G45" s="29">
        <v>6.55</v>
      </c>
      <c r="H45" s="10"/>
      <c r="I45" s="10">
        <f t="shared" si="8"/>
        <v>387.83887901098058</v>
      </c>
      <c r="J45" s="10">
        <f t="shared" si="6"/>
        <v>225490775.34868088</v>
      </c>
      <c r="K45" s="11">
        <f t="shared" si="7"/>
        <v>9.9276350000000235E-2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563539.03828892484</v>
      </c>
      <c r="D46" s="11">
        <v>2.9700000000000001E-2</v>
      </c>
      <c r="E46" s="10">
        <f t="shared" si="2"/>
        <v>16254.355090979021</v>
      </c>
      <c r="F46" s="3"/>
      <c r="G46" s="29">
        <v>9.17</v>
      </c>
      <c r="H46" s="10"/>
      <c r="I46" s="10">
        <f t="shared" si="8"/>
        <v>363.99707086905727</v>
      </c>
      <c r="J46" s="10">
        <f t="shared" si="6"/>
        <v>205126559.25753415</v>
      </c>
      <c r="K46" s="11">
        <f t="shared" si="7"/>
        <v>0.12412349000000011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547284.68319794582</v>
      </c>
      <c r="D47" s="11">
        <v>2.81E-2</v>
      </c>
      <c r="E47" s="10">
        <f t="shared" si="2"/>
        <v>14958.369417237933</v>
      </c>
      <c r="F47" s="3"/>
      <c r="G47" s="29">
        <v>2.2999999999999998</v>
      </c>
      <c r="H47" s="10"/>
      <c r="I47" s="10">
        <f t="shared" si="8"/>
        <v>333.42225049835787</v>
      </c>
      <c r="J47" s="10">
        <f t="shared" si="6"/>
        <v>182476890.73513991</v>
      </c>
      <c r="K47" s="11">
        <f t="shared" si="7"/>
        <v>5.1746299999999801E-2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532326.31378070789</v>
      </c>
      <c r="D48" s="11">
        <v>2.7099999999999999E-2</v>
      </c>
      <c r="E48" s="10">
        <f t="shared" si="2"/>
        <v>14045.412426693714</v>
      </c>
      <c r="F48" s="3"/>
      <c r="G48" s="29">
        <v>-0.94</v>
      </c>
      <c r="H48" s="10"/>
      <c r="I48" s="10">
        <f t="shared" si="8"/>
        <v>325.92595356633228</v>
      </c>
      <c r="J48" s="10">
        <f t="shared" si="6"/>
        <v>173498961.42742783</v>
      </c>
      <c r="K48" s="11">
        <f t="shared" si="7"/>
        <v>1.7445259999999907E-2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518280.90135401418</v>
      </c>
      <c r="D49" s="11">
        <v>2.6599999999999999E-2</v>
      </c>
      <c r="E49" s="10">
        <f t="shared" si="2"/>
        <v>13429.059006445284</v>
      </c>
      <c r="F49" s="3"/>
      <c r="G49" s="29">
        <v>2.19</v>
      </c>
      <c r="H49" s="10"/>
      <c r="I49" s="10">
        <f t="shared" si="8"/>
        <v>329.01872962480542</v>
      </c>
      <c r="J49" s="10">
        <f t="shared" si="6"/>
        <v>170524123.75229684</v>
      </c>
      <c r="K49" s="11">
        <f t="shared" si="7"/>
        <v>4.9082539999999897E-2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504851.84234756889</v>
      </c>
      <c r="D50" s="11">
        <v>2.6700000000000002E-2</v>
      </c>
      <c r="E50" s="10">
        <f t="shared" si="2"/>
        <v>13128.999893522996</v>
      </c>
      <c r="F50" s="3"/>
      <c r="G50" s="29">
        <v>-4.9800000000000004</v>
      </c>
      <c r="H50" s="10"/>
      <c r="I50" s="10">
        <f t="shared" si="8"/>
        <v>321.96763834504884</v>
      </c>
      <c r="J50" s="10">
        <f t="shared" si="6"/>
        <v>162545955.39479366</v>
      </c>
      <c r="K50" s="11">
        <f t="shared" si="7"/>
        <v>-2.4429660000000131E-2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491722.84245404589</v>
      </c>
      <c r="D51" s="11">
        <v>2.7300000000000001E-2</v>
      </c>
      <c r="E51" s="10">
        <f t="shared" si="2"/>
        <v>13067.296407082176</v>
      </c>
      <c r="F51" s="3"/>
      <c r="G51" s="29">
        <v>-2.12</v>
      </c>
      <c r="H51" s="10"/>
      <c r="I51" s="10">
        <f t="shared" si="8"/>
        <v>338.84196836986825</v>
      </c>
      <c r="J51" s="10">
        <f t="shared" si="6"/>
        <v>166616335.82955554</v>
      </c>
      <c r="K51" s="11">
        <f t="shared" si="7"/>
        <v>5.5212400000002049E-3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478655.54604696372</v>
      </c>
      <c r="D52" s="11">
        <v>2.8400000000000002E-2</v>
      </c>
      <c r="E52" s="10">
        <f t="shared" si="2"/>
        <v>13218.414534941432</v>
      </c>
      <c r="F52" s="3"/>
      <c r="G52" s="29">
        <v>-12.6</v>
      </c>
      <c r="H52" s="10"/>
      <c r="I52" s="10">
        <f t="shared" si="8"/>
        <v>346.18100569050699</v>
      </c>
      <c r="J52" s="10">
        <f t="shared" si="6"/>
        <v>165701458.30987668</v>
      </c>
      <c r="K52" s="11">
        <f t="shared" si="7"/>
        <v>-0.1011784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465437.13151202229</v>
      </c>
      <c r="D53" s="11">
        <v>2.9700000000000001E-2</v>
      </c>
      <c r="E53" s="10">
        <f t="shared" si="2"/>
        <v>13424.767219488276</v>
      </c>
      <c r="F53" s="3"/>
      <c r="G53" s="29">
        <v>2.54</v>
      </c>
      <c r="H53" s="10"/>
      <c r="I53" s="10">
        <f t="shared" si="8"/>
        <v>396.08810719737642</v>
      </c>
      <c r="J53" s="10">
        <f t="shared" si="6"/>
        <v>184354112.43997326</v>
      </c>
      <c r="K53" s="11">
        <f t="shared" si="7"/>
        <v>5.5854380000000203E-2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452012.36429253401</v>
      </c>
      <c r="D54" s="11">
        <v>3.09E-2</v>
      </c>
      <c r="E54" s="10">
        <f t="shared" si="2"/>
        <v>13548.532405315025</v>
      </c>
      <c r="F54" s="3"/>
      <c r="G54" s="29">
        <v>6.25</v>
      </c>
      <c r="H54" s="10"/>
      <c r="I54" s="10">
        <f t="shared" si="8"/>
        <v>386.27667953713319</v>
      </c>
      <c r="J54" s="10">
        <f t="shared" si="6"/>
        <v>174601835.18864906</v>
      </c>
      <c r="K54" s="11">
        <f t="shared" si="7"/>
        <v>9.5331249999999867E-2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438463.83188721898</v>
      </c>
      <c r="D55" s="11">
        <v>3.2099999999999997E-2</v>
      </c>
      <c r="E55" s="10">
        <f t="shared" si="2"/>
        <v>13636.943129134539</v>
      </c>
      <c r="F55" s="3"/>
      <c r="G55" s="29">
        <v>8.2899999999999991</v>
      </c>
      <c r="H55" s="10"/>
      <c r="I55" s="10">
        <f t="shared" si="8"/>
        <v>363.55452191730183</v>
      </c>
      <c r="J55" s="10">
        <f t="shared" si="6"/>
        <v>159405508.77978611</v>
      </c>
      <c r="K55" s="11">
        <f t="shared" si="7"/>
        <v>0.11766109000000013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424826.88875808445</v>
      </c>
      <c r="D56" s="11">
        <v>3.2800000000000003E-2</v>
      </c>
      <c r="E56" s="10">
        <f t="shared" si="2"/>
        <v>13491.791199908184</v>
      </c>
      <c r="F56" s="3"/>
      <c r="G56" s="29">
        <v>6.47</v>
      </c>
      <c r="H56" s="10"/>
      <c r="I56" s="10">
        <f t="shared" si="8"/>
        <v>335.72307869360219</v>
      </c>
      <c r="J56" s="10">
        <f t="shared" si="6"/>
        <v>142624191.00568858</v>
      </c>
      <c r="K56" s="11">
        <f t="shared" si="7"/>
        <v>9.9622160000000015E-2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411335.09755817626</v>
      </c>
      <c r="D57" s="11">
        <v>3.2899999999999999E-2</v>
      </c>
      <c r="E57" s="10">
        <f t="shared" si="2"/>
        <v>13101.873085162137</v>
      </c>
      <c r="F57" s="3"/>
      <c r="G57" s="29">
        <v>6.77</v>
      </c>
      <c r="H57" s="10"/>
      <c r="I57" s="10">
        <f t="shared" si="8"/>
        <v>315.32176077167486</v>
      </c>
      <c r="J57" s="10">
        <f t="shared" si="6"/>
        <v>129702907.22923279</v>
      </c>
      <c r="K57" s="11">
        <f t="shared" si="7"/>
        <v>0.10282733000000022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398233.22447301412</v>
      </c>
      <c r="D58" s="11">
        <v>3.2300000000000002E-2</v>
      </c>
      <c r="E58" s="10">
        <f t="shared" si="2"/>
        <v>12460.460283326916</v>
      </c>
      <c r="F58" s="3"/>
      <c r="G58" s="29">
        <v>6.98</v>
      </c>
      <c r="H58" s="10"/>
      <c r="I58" s="10">
        <f t="shared" si="8"/>
        <v>295.32805167338654</v>
      </c>
      <c r="J58" s="10">
        <f t="shared" si="6"/>
        <v>117609442.29522565</v>
      </c>
      <c r="K58" s="11">
        <f t="shared" si="7"/>
        <v>0.10435454000000011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385772.76418968721</v>
      </c>
      <c r="D59" s="11">
        <v>3.1099999999999999E-2</v>
      </c>
      <c r="E59" s="10">
        <f t="shared" si="2"/>
        <v>11635.663821452064</v>
      </c>
      <c r="F59" s="3"/>
      <c r="G59" s="29">
        <v>6.3</v>
      </c>
      <c r="H59" s="10"/>
      <c r="I59" s="10">
        <f t="shared" si="8"/>
        <v>276.05912476480324</v>
      </c>
      <c r="J59" s="10">
        <f t="shared" si="6"/>
        <v>106496091.64030388</v>
      </c>
      <c r="K59" s="11">
        <f t="shared" si="7"/>
        <v>9.6059299999999626E-2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374137.10036823514</v>
      </c>
      <c r="D60" s="11">
        <v>2.92E-2</v>
      </c>
      <c r="E60" s="10">
        <f t="shared" si="2"/>
        <v>10614.849718958838</v>
      </c>
      <c r="F60" s="3"/>
      <c r="G60" s="29">
        <v>3.35</v>
      </c>
      <c r="H60" s="10"/>
      <c r="I60" s="10">
        <f t="shared" si="8"/>
        <v>259.69814182954212</v>
      </c>
      <c r="J60" s="10">
        <f t="shared" si="6"/>
        <v>97162709.755123571</v>
      </c>
      <c r="K60" s="11">
        <f t="shared" si="7"/>
        <v>6.3678200000000018E-2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363522.25064927631</v>
      </c>
      <c r="D61" s="11">
        <v>2.7199999999999998E-2</v>
      </c>
      <c r="E61" s="10">
        <f t="shared" si="2"/>
        <v>9625.9785997471772</v>
      </c>
      <c r="F61" s="3"/>
      <c r="G61" s="29">
        <v>2.4900000000000002</v>
      </c>
      <c r="H61" s="10"/>
      <c r="I61" s="10">
        <f t="shared" si="8"/>
        <v>251.28025334256614</v>
      </c>
      <c r="J61" s="10">
        <f t="shared" si="6"/>
        <v>91345963.238809973</v>
      </c>
      <c r="K61" s="11">
        <f t="shared" si="7"/>
        <v>5.2777279999999704E-2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353896.27204952913</v>
      </c>
      <c r="D62" s="11">
        <v>2.5399999999999999E-2</v>
      </c>
      <c r="E62" s="10">
        <f t="shared" si="2"/>
        <v>8766.3012581022922</v>
      </c>
      <c r="F62" s="3"/>
      <c r="G62" s="29">
        <v>5.3</v>
      </c>
      <c r="H62" s="10"/>
      <c r="I62" s="10">
        <f t="shared" si="8"/>
        <v>245.17538622554997</v>
      </c>
      <c r="J62" s="10">
        <f t="shared" si="6"/>
        <v>86766655.183525607</v>
      </c>
      <c r="K62" s="11">
        <f t="shared" si="7"/>
        <v>7.9746200000000211E-2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345129.97079142684</v>
      </c>
      <c r="D63" s="11">
        <v>2.41E-2</v>
      </c>
      <c r="E63" s="10">
        <f t="shared" si="2"/>
        <v>8121.8946353612118</v>
      </c>
      <c r="F63" s="3"/>
      <c r="G63" s="29">
        <v>4.3</v>
      </c>
      <c r="H63" s="10"/>
      <c r="I63" s="10">
        <f t="shared" si="8"/>
        <v>232.83512462065525</v>
      </c>
      <c r="J63" s="10">
        <f t="shared" si="6"/>
        <v>80358379.759544969</v>
      </c>
      <c r="K63" s="11">
        <f t="shared" si="7"/>
        <v>6.8136299999999927E-2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337008.07615606562</v>
      </c>
      <c r="D64" s="11">
        <v>2.3300000000000001E-2</v>
      </c>
      <c r="E64" s="10">
        <f t="shared" si="2"/>
        <v>7673.4957240656368</v>
      </c>
      <c r="F64" s="3"/>
      <c r="G64" s="29">
        <v>4.79</v>
      </c>
      <c r="H64" s="10"/>
      <c r="I64" s="10">
        <f t="shared" si="8"/>
        <v>223.23597758452087</v>
      </c>
      <c r="J64" s="10">
        <f t="shared" si="6"/>
        <v>75232327.334577963</v>
      </c>
      <c r="K64" s="11">
        <f t="shared" si="7"/>
        <v>7.2316069999999844E-2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329334.58043199999</v>
      </c>
      <c r="D65" s="11">
        <v>2.3099999999999999E-2</v>
      </c>
      <c r="E65" s="10">
        <f t="shared" si="2"/>
        <v>7435.8604319999577</v>
      </c>
      <c r="F65" s="3"/>
      <c r="G65" s="29">
        <v>3.09</v>
      </c>
      <c r="H65" s="10"/>
      <c r="I65" s="10">
        <f t="shared" si="8"/>
        <v>213.03175645054</v>
      </c>
      <c r="J65" s="10">
        <f t="shared" si="6"/>
        <v>70158724.129330605</v>
      </c>
      <c r="K65" s="11">
        <f t="shared" si="7"/>
        <v>5.4713789999999873E-2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321898.72000000003</v>
      </c>
      <c r="D66" s="11">
        <v>2.3199999999999998E-2</v>
      </c>
      <c r="E66" s="10">
        <f t="shared" si="2"/>
        <v>7298.7200000000303</v>
      </c>
      <c r="F66" s="23">
        <f>SUM(F2)</f>
        <v>1914198</v>
      </c>
      <c r="G66" s="26">
        <v>4.2</v>
      </c>
      <c r="H66" s="10"/>
      <c r="I66" s="10">
        <f t="shared" si="8"/>
        <v>206.64638320937047</v>
      </c>
      <c r="J66" s="10">
        <f t="shared" ref="J66:J67" si="9">IF(I66="","",I66*C66)</f>
        <v>66519206.247725852</v>
      </c>
      <c r="K66" s="11">
        <f t="shared" ref="K66" si="10">IFERROR(J66/J67-1,"")</f>
        <v>6.6174399999999967E-2</v>
      </c>
    </row>
    <row r="67" spans="1:11" ht="22.5" customHeight="1">
      <c r="A67" s="3">
        <f t="shared" ref="A2:A67" si="11">SUM(B67+250)</f>
        <v>1950</v>
      </c>
      <c r="B67" s="3">
        <v>1700</v>
      </c>
      <c r="C67" s="10">
        <v>314600</v>
      </c>
      <c r="D67" s="11">
        <v>2.35E-2</v>
      </c>
      <c r="E67" s="3" t="s">
        <v>72</v>
      </c>
      <c r="F67" s="10">
        <f>SUM(C2)</f>
        <v>1914161.3385795974</v>
      </c>
      <c r="G67" s="26">
        <v>5</v>
      </c>
      <c r="H67" s="10"/>
      <c r="I67" s="10">
        <f t="shared" ref="I67" si="12">IF(H67&lt;&gt;"",H67,I66/(1+IF(G66="",0,G66)/100))</f>
        <v>198.31706641974134</v>
      </c>
      <c r="J67" s="10">
        <f t="shared" si="9"/>
        <v>62390549.095650628</v>
      </c>
      <c r="K67" s="11"/>
    </row>
  </sheetData>
  <dataValidations count="1">
    <dataValidation type="custom" allowBlank="1" showDropDown="1" sqref="D2:D67" xr:uid="{00000000-0002-0000-9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M67"/>
  <sheetViews>
    <sheetView topLeftCell="A39" workbookViewId="0">
      <selection activeCell="C67" sqref="C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4999444.4918691581</v>
      </c>
      <c r="D2" s="11">
        <v>-5.3E-3</v>
      </c>
      <c r="E2" s="10">
        <f t="shared" ref="E2:E66" si="2">SUM(C2-C3)</f>
        <v>-26638.238470802084</v>
      </c>
      <c r="F2" s="14">
        <v>5001934</v>
      </c>
      <c r="G2" s="26">
        <v>3.9</v>
      </c>
      <c r="H2" s="10"/>
      <c r="I2" s="10">
        <f>IF(H2&lt;&gt;"",H2,58416)</f>
        <v>7302</v>
      </c>
      <c r="J2" s="10">
        <f t="shared" ref="J2:J33" si="3">IF(I2="","",I2*C2)</f>
        <v>36505943679.628593</v>
      </c>
      <c r="K2" s="11">
        <f t="shared" ref="K2:K33" si="4">IFERROR(J2/J3-1,"")</f>
        <v>3.3493299999999948E-2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5026082.7303399602</v>
      </c>
      <c r="D3" s="11">
        <v>-5.5999999999999999E-3</v>
      </c>
      <c r="E3" s="10">
        <f t="shared" si="2"/>
        <v>-28304.568875607103</v>
      </c>
      <c r="F3" s="3"/>
      <c r="G3" s="26">
        <v>7.01</v>
      </c>
      <c r="H3" s="10"/>
      <c r="I3" s="10">
        <f t="shared" ref="I3:I34" si="5">IF(H3&lt;&gt;"",H3,I2/(1+IF(G2="",0,G2)/100))</f>
        <v>7027.9114533205011</v>
      </c>
      <c r="J3" s="10">
        <f t="shared" si="3"/>
        <v>35322864385.892578</v>
      </c>
      <c r="K3" s="11">
        <f t="shared" si="4"/>
        <v>6.4107439999999905E-2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5054387.2992155673</v>
      </c>
      <c r="D4" s="11">
        <v>-6.4999999999999997E-3</v>
      </c>
      <c r="E4" s="10">
        <f t="shared" si="2"/>
        <v>-33068.462450831197</v>
      </c>
      <c r="F4" s="3"/>
      <c r="G4" s="26">
        <v>4.1399999999999997</v>
      </c>
      <c r="H4" s="10"/>
      <c r="I4" s="10">
        <f t="shared" si="5"/>
        <v>6567.5277575184573</v>
      </c>
      <c r="J4" s="10">
        <f t="shared" si="3"/>
        <v>33194828884.846985</v>
      </c>
      <c r="K4" s="11">
        <f t="shared" si="4"/>
        <v>3.463090000000002E-2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5087455.7616663985</v>
      </c>
      <c r="D5" s="11">
        <v>-7.7999999999999996E-3</v>
      </c>
      <c r="E5" s="10">
        <f t="shared" si="2"/>
        <v>-39994.108991129324</v>
      </c>
      <c r="F5" s="3"/>
      <c r="G5" s="26">
        <v>4.5</v>
      </c>
      <c r="H5" s="10"/>
      <c r="I5" s="10">
        <f t="shared" si="5"/>
        <v>6306.4410961383301</v>
      </c>
      <c r="J5" s="10">
        <f t="shared" si="3"/>
        <v>32083740090.158707</v>
      </c>
      <c r="K5" s="11">
        <f t="shared" si="4"/>
        <v>3.684899999999991E-2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5127449.8706575278</v>
      </c>
      <c r="D6" s="11">
        <v>-6.8999999999999999E-3</v>
      </c>
      <c r="E6" s="10">
        <f t="shared" si="2"/>
        <v>-35625.218112513423</v>
      </c>
      <c r="F6" s="3"/>
      <c r="G6" s="26">
        <v>0.12</v>
      </c>
      <c r="H6" s="10"/>
      <c r="I6" s="10">
        <f t="shared" si="5"/>
        <v>6034.8718623333307</v>
      </c>
      <c r="J6" s="10">
        <f t="shared" si="3"/>
        <v>30943502949.955791</v>
      </c>
      <c r="K6" s="11">
        <f t="shared" si="4"/>
        <v>-5.708279999999899E-3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5163075.0887700412</v>
      </c>
      <c r="D7" s="11">
        <v>-7.1000000000000004E-3</v>
      </c>
      <c r="E7" s="10">
        <f t="shared" si="2"/>
        <v>-36919.964880921878</v>
      </c>
      <c r="F7" s="3"/>
      <c r="G7" s="26">
        <v>3.61</v>
      </c>
      <c r="H7" s="10"/>
      <c r="I7" s="10">
        <f t="shared" si="5"/>
        <v>6027.6386958982521</v>
      </c>
      <c r="J7" s="10">
        <f t="shared" si="3"/>
        <v>31121151194.898605</v>
      </c>
      <c r="K7" s="11">
        <f t="shared" si="4"/>
        <v>2.8743689999999988E-2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5199995.0536509631</v>
      </c>
      <c r="D8" s="11">
        <v>-6.1000000000000004E-3</v>
      </c>
      <c r="E8" s="10">
        <f t="shared" si="2"/>
        <v>-31914.649187313393</v>
      </c>
      <c r="F8" s="3"/>
      <c r="G8" s="26">
        <v>1.31</v>
      </c>
      <c r="H8" s="10"/>
      <c r="I8" s="10">
        <f t="shared" si="5"/>
        <v>5817.6225228242947</v>
      </c>
      <c r="J8" s="10">
        <f t="shared" si="3"/>
        <v>30251608342.694771</v>
      </c>
      <c r="K8" s="11">
        <f t="shared" si="4"/>
        <v>6.9200900000001564E-3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5231909.7028382765</v>
      </c>
      <c r="D9" s="11">
        <v>-4.4999999999999997E-3</v>
      </c>
      <c r="E9" s="10">
        <f t="shared" si="2"/>
        <v>-23650.018747134134</v>
      </c>
      <c r="F9" s="3"/>
      <c r="G9" s="26">
        <v>-3.37</v>
      </c>
      <c r="H9" s="10"/>
      <c r="I9" s="10">
        <f t="shared" si="5"/>
        <v>5742.3971205451526</v>
      </c>
      <c r="J9" s="10">
        <f t="shared" si="3"/>
        <v>30043703212.530766</v>
      </c>
      <c r="K9" s="11">
        <f t="shared" si="4"/>
        <v>-3.8048349999999953E-2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5255559.7215854106</v>
      </c>
      <c r="D10" s="11">
        <v>-3.3999999999999998E-3</v>
      </c>
      <c r="E10" s="10">
        <f t="shared" si="2"/>
        <v>-17929.86459300667</v>
      </c>
      <c r="F10" s="3"/>
      <c r="G10" s="26">
        <v>-0.22</v>
      </c>
      <c r="H10" s="10"/>
      <c r="I10" s="10">
        <f t="shared" si="5"/>
        <v>5942.6649286403317</v>
      </c>
      <c r="J10" s="10">
        <f t="shared" si="3"/>
        <v>31232030437.840366</v>
      </c>
      <c r="K10" s="11">
        <f t="shared" si="4"/>
        <v>-5.5925199999999897E-3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5273489.5861784173</v>
      </c>
      <c r="D11" s="11">
        <v>-2.8999999999999998E-3</v>
      </c>
      <c r="E11" s="10">
        <f t="shared" si="2"/>
        <v>-15337.598836543038</v>
      </c>
      <c r="F11" s="3"/>
      <c r="G11" s="26">
        <v>1.17</v>
      </c>
      <c r="H11" s="10"/>
      <c r="I11" s="10">
        <f t="shared" si="5"/>
        <v>5955.7676173986083</v>
      </c>
      <c r="J11" s="10">
        <f t="shared" si="3"/>
        <v>31407678508.050205</v>
      </c>
      <c r="K11" s="11">
        <f t="shared" si="4"/>
        <v>8.7660700000000702E-3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5288827.1850149604</v>
      </c>
      <c r="D12" s="11">
        <v>-3.3999999999999998E-3</v>
      </c>
      <c r="E12" s="10">
        <f t="shared" si="2"/>
        <v>-18043.35985254962</v>
      </c>
      <c r="F12" s="3"/>
      <c r="G12" s="26">
        <v>0.26</v>
      </c>
      <c r="H12" s="10"/>
      <c r="I12" s="10">
        <f t="shared" si="5"/>
        <v>5886.8909927830464</v>
      </c>
      <c r="J12" s="10">
        <f t="shared" si="3"/>
        <v>31134749117.850685</v>
      </c>
      <c r="K12" s="11">
        <f t="shared" si="4"/>
        <v>-8.0884000000003287E-4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5306870.54486751</v>
      </c>
      <c r="D13" s="11">
        <v>-1.8100000000000002E-2</v>
      </c>
      <c r="E13" s="10">
        <f t="shared" si="2"/>
        <v>-97824.989166006446</v>
      </c>
      <c r="F13" s="3"/>
      <c r="G13" s="26">
        <v>-0.09</v>
      </c>
      <c r="H13" s="10"/>
      <c r="I13" s="10">
        <f t="shared" si="5"/>
        <v>5871.6247683852453</v>
      </c>
      <c r="J13" s="10">
        <f t="shared" si="3"/>
        <v>31159952533.858173</v>
      </c>
      <c r="K13" s="11">
        <f t="shared" si="4"/>
        <v>-1.8983709999999987E-2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5404695.5340335164</v>
      </c>
      <c r="D14" s="11">
        <v>-1.34E-2</v>
      </c>
      <c r="E14" s="10">
        <f t="shared" si="2"/>
        <v>-73406.568169520237</v>
      </c>
      <c r="F14" s="3"/>
      <c r="G14" s="26">
        <v>8.5500000000000007</v>
      </c>
      <c r="H14" s="10"/>
      <c r="I14" s="10">
        <f t="shared" si="5"/>
        <v>5876.9139909771247</v>
      </c>
      <c r="J14" s="10">
        <f t="shared" si="3"/>
        <v>31762930800.933155</v>
      </c>
      <c r="K14" s="11">
        <f t="shared" si="4"/>
        <v>7.0954299999999915E-2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5478102.1022030367</v>
      </c>
      <c r="D15" s="11">
        <v>-8.9999999999999993E-3</v>
      </c>
      <c r="E15" s="10">
        <f t="shared" si="2"/>
        <v>-49750.674994780682</v>
      </c>
      <c r="F15" s="3"/>
      <c r="G15" s="26">
        <v>6.27</v>
      </c>
      <c r="H15" s="10"/>
      <c r="I15" s="10">
        <f t="shared" si="5"/>
        <v>5414.0156526735382</v>
      </c>
      <c r="J15" s="10">
        <f t="shared" si="3"/>
        <v>29658530528.271053</v>
      </c>
      <c r="K15" s="11">
        <f t="shared" si="4"/>
        <v>5.3135699999999675E-2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5527852.7771978173</v>
      </c>
      <c r="D16" s="11">
        <v>-6.7999999999999996E-3</v>
      </c>
      <c r="E16" s="10">
        <f t="shared" si="2"/>
        <v>-37846.756831399165</v>
      </c>
      <c r="F16" s="3"/>
      <c r="G16" s="26">
        <v>3.29</v>
      </c>
      <c r="H16" s="10"/>
      <c r="I16" s="10">
        <f t="shared" si="5"/>
        <v>5094.5851629561857</v>
      </c>
      <c r="J16" s="10">
        <f t="shared" si="3"/>
        <v>28162116741.718147</v>
      </c>
      <c r="K16" s="11">
        <f t="shared" si="4"/>
        <v>2.5876279999999863E-2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5565699.5340292165</v>
      </c>
      <c r="D17" s="11">
        <v>-5.7000000000000002E-3</v>
      </c>
      <c r="E17" s="10">
        <f t="shared" si="2"/>
        <v>-31906.353559254669</v>
      </c>
      <c r="F17" s="3"/>
      <c r="G17" s="26">
        <v>4.13</v>
      </c>
      <c r="H17" s="10"/>
      <c r="I17" s="10">
        <f t="shared" si="5"/>
        <v>4932.3120950297089</v>
      </c>
      <c r="J17" s="10">
        <f t="shared" si="3"/>
        <v>27451767128.993519</v>
      </c>
      <c r="K17" s="11">
        <f t="shared" si="4"/>
        <v>3.5364589999999918E-2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5597605.8875884712</v>
      </c>
      <c r="D18" s="11">
        <v>-5.1000000000000004E-3</v>
      </c>
      <c r="E18" s="10">
        <f t="shared" si="2"/>
        <v>-28694.130090161227</v>
      </c>
      <c r="F18" s="3"/>
      <c r="G18" s="26">
        <v>-2.15</v>
      </c>
      <c r="H18" s="10"/>
      <c r="I18" s="10">
        <f t="shared" si="5"/>
        <v>4736.6869250261298</v>
      </c>
      <c r="J18" s="10">
        <f t="shared" si="3"/>
        <v>26514106619.189594</v>
      </c>
      <c r="K18" s="11">
        <f t="shared" si="4"/>
        <v>-2.6490350000000107E-2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5626300.0176786324</v>
      </c>
      <c r="D19" s="11">
        <v>-4.8999999999999998E-3</v>
      </c>
      <c r="E19" s="10">
        <f t="shared" si="2"/>
        <v>-27704.622738041915</v>
      </c>
      <c r="F19" s="3"/>
      <c r="G19" s="26">
        <v>2.15</v>
      </c>
      <c r="H19" s="10"/>
      <c r="I19" s="10">
        <f t="shared" si="5"/>
        <v>4840.7633367666122</v>
      </c>
      <c r="J19" s="10">
        <f t="shared" si="3"/>
        <v>27235586847.228065</v>
      </c>
      <c r="K19" s="11">
        <f t="shared" si="4"/>
        <v>1.6494650000000055E-2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5654004.6404166743</v>
      </c>
      <c r="D20" s="11">
        <v>-4.7000000000000002E-3</v>
      </c>
      <c r="E20" s="10">
        <f t="shared" si="2"/>
        <v>-26699.308560191654</v>
      </c>
      <c r="F20" s="3"/>
      <c r="G20" s="26">
        <v>4.2699999999999996</v>
      </c>
      <c r="H20" s="10"/>
      <c r="I20" s="10">
        <f t="shared" si="5"/>
        <v>4738.8774711371625</v>
      </c>
      <c r="J20" s="10">
        <f t="shared" si="3"/>
        <v>26793635212.175552</v>
      </c>
      <c r="K20" s="11">
        <f t="shared" si="4"/>
        <v>3.7799309999999808E-2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5680703.948976866</v>
      </c>
      <c r="D21" s="11">
        <v>-4.4999999999999997E-3</v>
      </c>
      <c r="E21" s="10">
        <f t="shared" si="2"/>
        <v>-25678.722019483335</v>
      </c>
      <c r="F21" s="3"/>
      <c r="G21" s="26">
        <v>5.75</v>
      </c>
      <c r="H21" s="10"/>
      <c r="I21" s="10">
        <f t="shared" si="5"/>
        <v>4544.8139168861253</v>
      </c>
      <c r="J21" s="10">
        <f t="shared" si="3"/>
        <v>25817742365.020031</v>
      </c>
      <c r="K21" s="11">
        <f t="shared" si="4"/>
        <v>5.2741250000000184E-2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5706382.6709963493</v>
      </c>
      <c r="D22" s="11">
        <v>-4.1000000000000003E-3</v>
      </c>
      <c r="E22" s="10">
        <f t="shared" si="2"/>
        <v>-23492.488152510487</v>
      </c>
      <c r="F22" s="3"/>
      <c r="G22" s="26">
        <v>4.8600000000000003</v>
      </c>
      <c r="H22" s="10"/>
      <c r="I22" s="10">
        <f t="shared" si="5"/>
        <v>4297.6963753060281</v>
      </c>
      <c r="J22" s="10">
        <f t="shared" si="3"/>
        <v>24524300121.250141</v>
      </c>
      <c r="K22" s="11">
        <f t="shared" si="4"/>
        <v>4.4300739999999728E-2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5729875.1591488598</v>
      </c>
      <c r="D23" s="11">
        <v>-3.2000000000000002E-3</v>
      </c>
      <c r="E23" s="10">
        <f t="shared" si="2"/>
        <v>-18394.462790205143</v>
      </c>
      <c r="F23" s="3"/>
      <c r="G23" s="26">
        <v>6.02</v>
      </c>
      <c r="H23" s="10"/>
      <c r="I23" s="10">
        <f t="shared" si="5"/>
        <v>4098.5088454186807</v>
      </c>
      <c r="J23" s="10">
        <f t="shared" si="3"/>
        <v>23483944022.916374</v>
      </c>
      <c r="K23" s="11">
        <f t="shared" si="4"/>
        <v>5.6807360000000084E-2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5748269.6219390649</v>
      </c>
      <c r="D24" s="11">
        <v>-2.3E-3</v>
      </c>
      <c r="E24" s="10">
        <f t="shared" si="2"/>
        <v>-13251.498577186838</v>
      </c>
      <c r="F24" s="3"/>
      <c r="G24" s="26">
        <v>8.82</v>
      </c>
      <c r="H24" s="10"/>
      <c r="I24" s="10">
        <f t="shared" si="5"/>
        <v>3865.7883846620266</v>
      </c>
      <c r="J24" s="10">
        <f t="shared" si="3"/>
        <v>22221593936.397617</v>
      </c>
      <c r="K24" s="11">
        <f t="shared" si="4"/>
        <v>8.5697140000000394E-2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5761521.1205162518</v>
      </c>
      <c r="D25" s="11">
        <v>1.6000000000000001E-3</v>
      </c>
      <c r="E25" s="10">
        <f t="shared" si="2"/>
        <v>9203.707860250026</v>
      </c>
      <c r="F25" s="3"/>
      <c r="G25" s="26">
        <v>5.96</v>
      </c>
      <c r="H25" s="10"/>
      <c r="I25" s="10">
        <f t="shared" si="5"/>
        <v>3552.4612981639648</v>
      </c>
      <c r="J25" s="10">
        <f t="shared" si="3"/>
        <v>20467580799.188263</v>
      </c>
      <c r="K25" s="11">
        <f t="shared" si="4"/>
        <v>6.1295360000000132E-2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5752317.4126560017</v>
      </c>
      <c r="D26" s="11">
        <v>3.3999999999999998E-3</v>
      </c>
      <c r="E26" s="10">
        <f t="shared" si="2"/>
        <v>19491.607736726291</v>
      </c>
      <c r="F26" s="3"/>
      <c r="G26" s="26">
        <v>0.65</v>
      </c>
      <c r="H26" s="10"/>
      <c r="I26" s="10">
        <f t="shared" si="5"/>
        <v>3352.6437317515706</v>
      </c>
      <c r="J26" s="10">
        <f t="shared" si="3"/>
        <v>19285470916.586555</v>
      </c>
      <c r="K26" s="11">
        <f t="shared" si="4"/>
        <v>9.9221000000000448E-3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5732825.8049192755</v>
      </c>
      <c r="D27" s="11">
        <v>3.8E-3</v>
      </c>
      <c r="E27" s="10">
        <f t="shared" si="2"/>
        <v>21702.26943484135</v>
      </c>
      <c r="F27" s="3"/>
      <c r="G27" s="26">
        <v>-19.71</v>
      </c>
      <c r="H27" s="10"/>
      <c r="I27" s="10">
        <f t="shared" si="5"/>
        <v>3330.9922819190965</v>
      </c>
      <c r="J27" s="10">
        <f t="shared" si="3"/>
        <v>19095998509.772739</v>
      </c>
      <c r="K27" s="11">
        <f t="shared" si="4"/>
        <v>-0.19404897999999993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5711123.5354844341</v>
      </c>
      <c r="D28" s="11">
        <v>3.8E-3</v>
      </c>
      <c r="E28" s="10">
        <f t="shared" si="2"/>
        <v>21620.113005420193</v>
      </c>
      <c r="F28" s="3"/>
      <c r="G28" s="26">
        <v>6.81</v>
      </c>
      <c r="H28" s="10"/>
      <c r="I28" s="10">
        <f t="shared" si="5"/>
        <v>4148.7013101495786</v>
      </c>
      <c r="J28" s="10">
        <f t="shared" si="3"/>
        <v>23693745694.090366</v>
      </c>
      <c r="K28" s="11">
        <f t="shared" si="4"/>
        <v>7.2158780000000089E-2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5689503.4224790139</v>
      </c>
      <c r="D29" s="11">
        <v>4.1000000000000003E-3</v>
      </c>
      <c r="E29" s="10">
        <f t="shared" si="2"/>
        <v>23231.714004744776</v>
      </c>
      <c r="F29" s="3"/>
      <c r="G29" s="26">
        <v>6.18</v>
      </c>
      <c r="H29" s="10"/>
      <c r="I29" s="10">
        <f t="shared" si="5"/>
        <v>3884.188100505176</v>
      </c>
      <c r="J29" s="10">
        <f t="shared" si="3"/>
        <v>22099101491.376457</v>
      </c>
      <c r="K29" s="11">
        <f t="shared" si="4"/>
        <v>6.6153380000000039E-2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5666271.7084742691</v>
      </c>
      <c r="D30" s="11">
        <v>4.7999999999999996E-3</v>
      </c>
      <c r="E30" s="10">
        <f t="shared" si="2"/>
        <v>27068.176951309666</v>
      </c>
      <c r="F30" s="3"/>
      <c r="G30" s="26">
        <v>13.06</v>
      </c>
      <c r="H30" s="10"/>
      <c r="I30" s="10">
        <f t="shared" si="5"/>
        <v>3658.1165007583122</v>
      </c>
      <c r="J30" s="10">
        <f t="shared" si="3"/>
        <v>20727882034.549717</v>
      </c>
      <c r="K30" s="11">
        <f t="shared" si="4"/>
        <v>0.13602687999999996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5639203.5315229595</v>
      </c>
      <c r="D31" s="11">
        <v>5.7999999999999996E-3</v>
      </c>
      <c r="E31" s="10">
        <f t="shared" si="2"/>
        <v>32518.771607509814</v>
      </c>
      <c r="F31" s="3"/>
      <c r="G31" s="26">
        <v>7.46</v>
      </c>
      <c r="H31" s="10"/>
      <c r="I31" s="10">
        <f t="shared" si="5"/>
        <v>3235.5532467347534</v>
      </c>
      <c r="J31" s="10">
        <f t="shared" si="3"/>
        <v>18245943295.417198</v>
      </c>
      <c r="K31" s="11">
        <f t="shared" si="4"/>
        <v>8.0832680000000101E-2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5606684.7599154497</v>
      </c>
      <c r="D32" s="11">
        <v>7.1999999999999998E-3</v>
      </c>
      <c r="E32" s="10">
        <f t="shared" si="2"/>
        <v>40079.557457696646</v>
      </c>
      <c r="F32" s="3"/>
      <c r="G32" s="26">
        <v>2.39</v>
      </c>
      <c r="H32" s="10"/>
      <c r="I32" s="10">
        <f t="shared" si="5"/>
        <v>3010.9373224779019</v>
      </c>
      <c r="J32" s="10">
        <f t="shared" si="3"/>
        <v>16881376398.997482</v>
      </c>
      <c r="K32" s="11">
        <f t="shared" si="4"/>
        <v>3.1272080000000146E-2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5566605.202457753</v>
      </c>
      <c r="D33" s="11">
        <v>8.3999999999999995E-3</v>
      </c>
      <c r="E33" s="10">
        <f t="shared" si="2"/>
        <v>46369.975903059356</v>
      </c>
      <c r="F33" s="3"/>
      <c r="G33" s="26">
        <v>-5.5</v>
      </c>
      <c r="H33" s="10"/>
      <c r="I33" s="10">
        <f t="shared" si="5"/>
        <v>2940.6556523858794</v>
      </c>
      <c r="J33" s="10">
        <f t="shared" si="3"/>
        <v>16369469053.208035</v>
      </c>
      <c r="K33" s="11">
        <f t="shared" si="4"/>
        <v>-4.7062000000000048E-2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5520235.2265546937</v>
      </c>
      <c r="D34" s="11">
        <v>9.2999999999999992E-3</v>
      </c>
      <c r="E34" s="10">
        <f t="shared" si="2"/>
        <v>50865.141788328066</v>
      </c>
      <c r="F34" s="3"/>
      <c r="G34" s="26">
        <v>-2.56</v>
      </c>
      <c r="H34" s="10"/>
      <c r="I34" s="10">
        <f t="shared" si="5"/>
        <v>3111.804923159661</v>
      </c>
      <c r="J34" s="10">
        <f t="shared" ref="J34:J65" si="6">IF(I34="","",I34*C34)</f>
        <v>17177895154.992283</v>
      </c>
      <c r="K34" s="11">
        <f t="shared" ref="K34:K65" si="7">IFERROR(J34/J35-1,"")</f>
        <v>-3.4171799999997976E-3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5469370.0847663656</v>
      </c>
      <c r="D35" s="11">
        <v>9.2999999999999992E-3</v>
      </c>
      <c r="E35" s="10">
        <f t="shared" si="2"/>
        <v>50396.454759068787</v>
      </c>
      <c r="F35" s="3"/>
      <c r="G35" s="26">
        <v>6.05</v>
      </c>
      <c r="H35" s="10"/>
      <c r="I35" s="10">
        <f t="shared" ref="I35:I66" si="8">IF(H35&lt;&gt;"",H35,I34/(1+IF(G34="",0,G34)/100))</f>
        <v>3151.5139995540417</v>
      </c>
      <c r="J35" s="10">
        <f t="shared" si="6"/>
        <v>17236796390.883278</v>
      </c>
      <c r="K35" s="11">
        <f t="shared" si="7"/>
        <v>9.7613750000000055E-2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5418973.6300072968</v>
      </c>
      <c r="D36" s="11">
        <v>8.8999999999999999E-3</v>
      </c>
      <c r="E36" s="10">
        <f t="shared" si="2"/>
        <v>47803.414914326742</v>
      </c>
      <c r="F36" s="3"/>
      <c r="G36" s="26">
        <v>2.5</v>
      </c>
      <c r="H36" s="10"/>
      <c r="I36" s="10">
        <f t="shared" si="8"/>
        <v>2897.9439076359008</v>
      </c>
      <c r="J36" s="10">
        <f t="shared" si="6"/>
        <v>15703881616.719248</v>
      </c>
      <c r="K36" s="11">
        <f t="shared" si="7"/>
        <v>8.2549699999999948E-2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5371170.2150929701</v>
      </c>
      <c r="D37" s="11">
        <v>8.6E-3</v>
      </c>
      <c r="E37" s="10">
        <f t="shared" si="2"/>
        <v>45798.199335513636</v>
      </c>
      <c r="F37" s="3"/>
      <c r="G37" s="26">
        <v>4.58</v>
      </c>
      <c r="H37" s="10"/>
      <c r="I37" s="10">
        <f t="shared" si="8"/>
        <v>2700.78649360289</v>
      </c>
      <c r="J37" s="10">
        <f t="shared" si="6"/>
        <v>14506383971.765223</v>
      </c>
      <c r="K37" s="11">
        <f t="shared" si="7"/>
        <v>0.1082496799999999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5325372.0157574564</v>
      </c>
      <c r="D38" s="11">
        <v>9.2999999999999992E-3</v>
      </c>
      <c r="E38" s="10">
        <f t="shared" si="2"/>
        <v>49069.612351674587</v>
      </c>
      <c r="F38" s="3"/>
      <c r="G38" s="26">
        <v>6.58</v>
      </c>
      <c r="H38" s="10"/>
      <c r="I38" s="10">
        <f t="shared" si="8"/>
        <v>2457.941839827894</v>
      </c>
      <c r="J38" s="10">
        <f t="shared" si="6"/>
        <v>13089454690.178864</v>
      </c>
      <c r="K38" s="11">
        <f t="shared" si="7"/>
        <v>0.11305604000000025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5276302.4034057818</v>
      </c>
      <c r="D39" s="11">
        <v>1.09E-2</v>
      </c>
      <c r="E39" s="10">
        <f t="shared" si="2"/>
        <v>56891.577996956185</v>
      </c>
      <c r="F39" s="3"/>
      <c r="G39" s="26">
        <v>8.31</v>
      </c>
      <c r="H39" s="10"/>
      <c r="I39" s="10">
        <f t="shared" si="8"/>
        <v>2228.8192236379164</v>
      </c>
      <c r="J39" s="10">
        <f t="shared" si="6"/>
        <v>11759924226.437746</v>
      </c>
      <c r="K39" s="11">
        <f t="shared" si="7"/>
        <v>9.4905789999999879E-2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5219410.8254088257</v>
      </c>
      <c r="D40" s="11">
        <v>1.23E-2</v>
      </c>
      <c r="E40" s="10">
        <f t="shared" si="2"/>
        <v>63418.703104345128</v>
      </c>
      <c r="F40" s="3"/>
      <c r="G40" s="26">
        <v>-7.0000000000000007E-2</v>
      </c>
      <c r="H40" s="10"/>
      <c r="I40" s="10">
        <f t="shared" si="8"/>
        <v>2057.814812702351</v>
      </c>
      <c r="J40" s="10">
        <f t="shared" si="6"/>
        <v>10740580910.105286</v>
      </c>
      <c r="K40" s="11">
        <f t="shared" si="7"/>
        <v>1.1591389999999979E-2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5155992.1223044805</v>
      </c>
      <c r="D41" s="11">
        <v>1.2800000000000001E-2</v>
      </c>
      <c r="E41" s="10">
        <f t="shared" si="2"/>
        <v>65162.617659456097</v>
      </c>
      <c r="F41" s="3"/>
      <c r="G41" s="26">
        <v>4.51</v>
      </c>
      <c r="H41" s="10"/>
      <c r="I41" s="10">
        <f t="shared" si="8"/>
        <v>2059.2562921068256</v>
      </c>
      <c r="J41" s="10">
        <f t="shared" si="6"/>
        <v>10617509219.908728</v>
      </c>
      <c r="K41" s="11">
        <f t="shared" si="7"/>
        <v>5.8477279999999965E-2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5090829.5046450244</v>
      </c>
      <c r="D42" s="11">
        <v>1.14E-2</v>
      </c>
      <c r="E42" s="10">
        <f t="shared" si="2"/>
        <v>57381.309425503016</v>
      </c>
      <c r="F42" s="3"/>
      <c r="G42" s="26">
        <v>-3.39</v>
      </c>
      <c r="H42" s="10"/>
      <c r="I42" s="10">
        <f t="shared" si="8"/>
        <v>1970.3916296113537</v>
      </c>
      <c r="J42" s="10">
        <f t="shared" si="6"/>
        <v>10030927843.73107</v>
      </c>
      <c r="K42" s="11">
        <f t="shared" si="7"/>
        <v>-2.2886460000000053E-2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5033448.1952195214</v>
      </c>
      <c r="D43" s="11">
        <v>1.11E-2</v>
      </c>
      <c r="E43" s="10">
        <f t="shared" si="2"/>
        <v>55257.912142159417</v>
      </c>
      <c r="F43" s="3"/>
      <c r="G43" s="26">
        <v>7.18</v>
      </c>
      <c r="H43" s="10"/>
      <c r="I43" s="10">
        <f t="shared" si="8"/>
        <v>2039.5317561446577</v>
      </c>
      <c r="J43" s="10">
        <f t="shared" si="6"/>
        <v>10265877437.059229</v>
      </c>
      <c r="K43" s="11">
        <f t="shared" si="7"/>
        <v>8.3696980000000254E-2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4978190.283077362</v>
      </c>
      <c r="D44" s="11">
        <v>1.1599999999999999E-2</v>
      </c>
      <c r="E44" s="10">
        <f t="shared" si="2"/>
        <v>57084.823333034292</v>
      </c>
      <c r="F44" s="3"/>
      <c r="G44" s="26">
        <v>-0.09</v>
      </c>
      <c r="H44" s="10"/>
      <c r="I44" s="10">
        <f t="shared" si="8"/>
        <v>1902.9032992579375</v>
      </c>
      <c r="J44" s="10">
        <f t="shared" si="6"/>
        <v>9473014714.0017185</v>
      </c>
      <c r="K44" s="11">
        <f t="shared" si="7"/>
        <v>1.0689559999999876E-2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4921105.4597443277</v>
      </c>
      <c r="D45" s="11">
        <v>1.2699999999999999E-2</v>
      </c>
      <c r="E45" s="10">
        <f t="shared" si="2"/>
        <v>61714.26813345775</v>
      </c>
      <c r="F45" s="3"/>
      <c r="G45" s="26">
        <v>4.3899999999999997</v>
      </c>
      <c r="H45" s="10"/>
      <c r="I45" s="10">
        <f t="shared" si="8"/>
        <v>1904.6174549674083</v>
      </c>
      <c r="J45" s="10">
        <f t="shared" si="6"/>
        <v>9372823356.36446</v>
      </c>
      <c r="K45" s="11">
        <f t="shared" si="7"/>
        <v>5.7157530000000234E-2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4859391.19161087</v>
      </c>
      <c r="D46" s="11">
        <v>1.66E-2</v>
      </c>
      <c r="E46" s="10">
        <f t="shared" si="2"/>
        <v>79348.705273205414</v>
      </c>
      <c r="F46" s="3"/>
      <c r="G46" s="26">
        <v>9.2899999999999991</v>
      </c>
      <c r="H46" s="10"/>
      <c r="I46" s="10">
        <f t="shared" si="8"/>
        <v>1824.5209837794887</v>
      </c>
      <c r="J46" s="10">
        <f t="shared" si="6"/>
        <v>8866061197.4872456</v>
      </c>
      <c r="K46" s="11">
        <f t="shared" si="7"/>
        <v>0.1110421399999999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4780042.4863376645</v>
      </c>
      <c r="D47" s="11">
        <v>3.0999999999999999E-3</v>
      </c>
      <c r="E47" s="10">
        <f t="shared" si="2"/>
        <v>14772.337461516261</v>
      </c>
      <c r="F47" s="3"/>
      <c r="G47" s="26">
        <v>8.7799999999999994</v>
      </c>
      <c r="H47" s="10"/>
      <c r="I47" s="10">
        <f t="shared" si="8"/>
        <v>1669.4308571502322</v>
      </c>
      <c r="J47" s="10">
        <f t="shared" si="6"/>
        <v>7979950425.1812143</v>
      </c>
      <c r="K47" s="11">
        <f t="shared" si="7"/>
        <v>9.1172180000000269E-2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4765270.1488761483</v>
      </c>
      <c r="D48" s="11">
        <v>3.7000000000000002E-3</v>
      </c>
      <c r="E48" s="10">
        <f t="shared" si="2"/>
        <v>17566.503487936221</v>
      </c>
      <c r="F48" s="3"/>
      <c r="G48" s="26">
        <v>2.81</v>
      </c>
      <c r="H48" s="10"/>
      <c r="I48" s="10">
        <f t="shared" si="8"/>
        <v>1534.6854726514359</v>
      </c>
      <c r="J48" s="10">
        <f t="shared" si="6"/>
        <v>7313190870.7397699</v>
      </c>
      <c r="K48" s="11">
        <f t="shared" si="7"/>
        <v>3.1903969999999893E-2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4747703.6453882121</v>
      </c>
      <c r="D49" s="11">
        <v>4.1000000000000003E-3</v>
      </c>
      <c r="E49" s="10">
        <f t="shared" si="2"/>
        <v>19386.101928185672</v>
      </c>
      <c r="F49" s="3"/>
      <c r="G49" s="26">
        <v>10.96</v>
      </c>
      <c r="H49" s="10"/>
      <c r="I49" s="10">
        <f t="shared" si="8"/>
        <v>1492.7394929009201</v>
      </c>
      <c r="J49" s="10">
        <f t="shared" si="6"/>
        <v>7087084732.0606499</v>
      </c>
      <c r="K49" s="11">
        <f t="shared" si="7"/>
        <v>0.11414935999999987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4728317.5434600264</v>
      </c>
      <c r="D50" s="11">
        <v>4.7999999999999996E-3</v>
      </c>
      <c r="E50" s="10">
        <f t="shared" si="2"/>
        <v>22587.504188503139</v>
      </c>
      <c r="F50" s="3"/>
      <c r="G50" s="26">
        <v>-3.15</v>
      </c>
      <c r="H50" s="10"/>
      <c r="I50" s="10">
        <f t="shared" si="8"/>
        <v>1345.2951450080391</v>
      </c>
      <c r="J50" s="10">
        <f t="shared" si="6"/>
        <v>6360982635.2731113</v>
      </c>
      <c r="K50" s="11">
        <f t="shared" si="7"/>
        <v>-2.6851199999999964E-2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4705730.0392715232</v>
      </c>
      <c r="D51" s="11">
        <v>6.0000000000000001E-3</v>
      </c>
      <c r="E51" s="10">
        <f t="shared" si="2"/>
        <v>28065.98432965111</v>
      </c>
      <c r="F51" s="3"/>
      <c r="G51" s="26">
        <v>8.81</v>
      </c>
      <c r="H51" s="10"/>
      <c r="I51" s="10">
        <f t="shared" si="8"/>
        <v>1389.0502271636954</v>
      </c>
      <c r="J51" s="10">
        <f t="shared" si="6"/>
        <v>6536495380.0211344</v>
      </c>
      <c r="K51" s="11">
        <f t="shared" si="7"/>
        <v>9.4628600000000063E-2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4677664.0549418721</v>
      </c>
      <c r="D52" s="11">
        <v>6.8999999999999999E-3</v>
      </c>
      <c r="E52" s="10">
        <f t="shared" si="2"/>
        <v>32054.704517925158</v>
      </c>
      <c r="F52" s="3"/>
      <c r="G52" s="26">
        <v>6.48</v>
      </c>
      <c r="H52" s="10"/>
      <c r="I52" s="10">
        <f t="shared" si="8"/>
        <v>1276.5832434185234</v>
      </c>
      <c r="J52" s="10">
        <f t="shared" si="6"/>
        <v>5971427550.8799372</v>
      </c>
      <c r="K52" s="11">
        <f t="shared" si="7"/>
        <v>7.2147119999999898E-2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4645609.350423947</v>
      </c>
      <c r="D53" s="11">
        <v>7.7999999999999996E-3</v>
      </c>
      <c r="E53" s="10">
        <f t="shared" si="2"/>
        <v>35955.301580975763</v>
      </c>
      <c r="F53" s="3"/>
      <c r="G53" s="26">
        <v>2.84</v>
      </c>
      <c r="H53" s="10"/>
      <c r="I53" s="10">
        <f t="shared" si="8"/>
        <v>1198.8948567040979</v>
      </c>
      <c r="J53" s="10">
        <f t="shared" si="6"/>
        <v>5569597156.4797354</v>
      </c>
      <c r="K53" s="11">
        <f t="shared" si="7"/>
        <v>3.6421520000000207E-2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4609654.0488429712</v>
      </c>
      <c r="D54" s="11">
        <v>8.8999999999999999E-3</v>
      </c>
      <c r="E54" s="10">
        <f t="shared" si="2"/>
        <v>40664.011333830655</v>
      </c>
      <c r="F54" s="3"/>
      <c r="G54" s="26">
        <v>2.4700000000000002</v>
      </c>
      <c r="H54" s="10"/>
      <c r="I54" s="10">
        <f t="shared" si="8"/>
        <v>1165.7865195489089</v>
      </c>
      <c r="J54" s="10">
        <f t="shared" si="6"/>
        <v>5373872549.9251833</v>
      </c>
      <c r="K54" s="11">
        <f t="shared" si="7"/>
        <v>3.3819829999999884E-2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4568990.0375091406</v>
      </c>
      <c r="D55" s="11">
        <v>1.11E-2</v>
      </c>
      <c r="E55" s="10">
        <f t="shared" si="2"/>
        <v>50159.024247207679</v>
      </c>
      <c r="F55" s="3"/>
      <c r="G55" s="26">
        <v>12.05</v>
      </c>
      <c r="H55" s="10"/>
      <c r="I55" s="10">
        <f t="shared" si="8"/>
        <v>1137.6856831744988</v>
      </c>
      <c r="J55" s="10">
        <f t="shared" si="6"/>
        <v>5198074552.241065</v>
      </c>
      <c r="K55" s="11">
        <f t="shared" si="7"/>
        <v>0.13293755000000007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4518831.0132619329</v>
      </c>
      <c r="D56" s="11">
        <v>1.24E-2</v>
      </c>
      <c r="E56" s="10">
        <f t="shared" si="2"/>
        <v>55347.199293212034</v>
      </c>
      <c r="F56" s="3"/>
      <c r="G56" s="26">
        <v>4.78</v>
      </c>
      <c r="H56" s="10"/>
      <c r="I56" s="10">
        <f t="shared" si="8"/>
        <v>1015.3375128732697</v>
      </c>
      <c r="J56" s="10">
        <f t="shared" si="6"/>
        <v>4588138642.099968</v>
      </c>
      <c r="K56" s="11">
        <f t="shared" si="7"/>
        <v>6.07927199999998E-2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4463483.8139687208</v>
      </c>
      <c r="D57" s="11">
        <v>1.21E-2</v>
      </c>
      <c r="E57" s="10">
        <f t="shared" si="2"/>
        <v>53362.468282799236</v>
      </c>
      <c r="F57" s="3"/>
      <c r="G57" s="26">
        <v>4.46</v>
      </c>
      <c r="H57" s="10"/>
      <c r="I57" s="10">
        <f t="shared" si="8"/>
        <v>969.01843183171377</v>
      </c>
      <c r="J57" s="10">
        <f t="shared" si="6"/>
        <v>4325198085.9182072</v>
      </c>
      <c r="K57" s="11">
        <f t="shared" si="7"/>
        <v>5.7239660000000026E-2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4410121.3456859216</v>
      </c>
      <c r="D58" s="11">
        <v>1.23E-2</v>
      </c>
      <c r="E58" s="10">
        <f t="shared" si="2"/>
        <v>53585.39222753793</v>
      </c>
      <c r="F58" s="3"/>
      <c r="G58" s="26">
        <v>6.25</v>
      </c>
      <c r="H58" s="10"/>
      <c r="I58" s="10">
        <f t="shared" si="8"/>
        <v>927.64544498536645</v>
      </c>
      <c r="J58" s="10">
        <f t="shared" si="6"/>
        <v>4091028978.1582799</v>
      </c>
      <c r="K58" s="11">
        <f t="shared" si="7"/>
        <v>7.5568749999999962E-2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4356535.9534583837</v>
      </c>
      <c r="D59" s="11">
        <v>1.26E-2</v>
      </c>
      <c r="E59" s="10">
        <f t="shared" si="2"/>
        <v>54209.315636554733</v>
      </c>
      <c r="F59" s="3"/>
      <c r="G59" s="26">
        <v>7.54</v>
      </c>
      <c r="H59" s="10"/>
      <c r="I59" s="10">
        <f t="shared" si="8"/>
        <v>873.07806586858021</v>
      </c>
      <c r="J59" s="10">
        <f t="shared" si="6"/>
        <v>3803595984.1323767</v>
      </c>
      <c r="K59" s="11">
        <f t="shared" si="7"/>
        <v>8.8950039999999841E-2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4302326.6378218289</v>
      </c>
      <c r="D60" s="11">
        <v>1.3299999999999999E-2</v>
      </c>
      <c r="E60" s="10">
        <f t="shared" si="2"/>
        <v>56469.894683737308</v>
      </c>
      <c r="F60" s="3"/>
      <c r="G60" s="26">
        <v>10.56</v>
      </c>
      <c r="H60" s="10"/>
      <c r="I60" s="10">
        <f t="shared" si="8"/>
        <v>811.8635539042034</v>
      </c>
      <c r="J60" s="10">
        <f t="shared" si="6"/>
        <v>3492902194.2387524</v>
      </c>
      <c r="K60" s="11">
        <f t="shared" si="7"/>
        <v>0.12030447999999994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4245856.7431380916</v>
      </c>
      <c r="D61" s="11">
        <v>1.3899999999999999E-2</v>
      </c>
      <c r="E61" s="10">
        <f t="shared" si="2"/>
        <v>58208.313176466618</v>
      </c>
      <c r="F61" s="3"/>
      <c r="G61" s="26">
        <v>5.43</v>
      </c>
      <c r="H61" s="10"/>
      <c r="I61" s="10">
        <f t="shared" si="8"/>
        <v>734.31942285112473</v>
      </c>
      <c r="J61" s="10">
        <f t="shared" si="6"/>
        <v>3117815073.1297197</v>
      </c>
      <c r="K61" s="11">
        <f t="shared" si="7"/>
        <v>6.8954770000000165E-2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4187648.429961625</v>
      </c>
      <c r="D62" s="11">
        <v>2.2800000000000001E-2</v>
      </c>
      <c r="E62" s="10">
        <f t="shared" si="2"/>
        <v>93350.004109429661</v>
      </c>
      <c r="F62" s="3"/>
      <c r="G62" s="26">
        <v>8.75</v>
      </c>
      <c r="H62" s="10"/>
      <c r="I62" s="10">
        <f t="shared" si="8"/>
        <v>696.49950000106674</v>
      </c>
      <c r="J62" s="10">
        <f t="shared" si="6"/>
        <v>2916695037.6485238</v>
      </c>
      <c r="K62" s="11">
        <f t="shared" si="7"/>
        <v>0.11229499999999981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4094298.4258521954</v>
      </c>
      <c r="D63" s="11">
        <v>2.1399999999999999E-2</v>
      </c>
      <c r="E63" s="10">
        <f t="shared" si="2"/>
        <v>85782.246243623551</v>
      </c>
      <c r="F63" s="3"/>
      <c r="G63" s="26">
        <v>7.3</v>
      </c>
      <c r="H63" s="10"/>
      <c r="I63" s="10">
        <f t="shared" si="8"/>
        <v>640.45931034580849</v>
      </c>
      <c r="J63" s="10">
        <f t="shared" si="6"/>
        <v>2622231546.1712265</v>
      </c>
      <c r="K63" s="11">
        <f t="shared" si="7"/>
        <v>9.5962199999999998E-2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4008516.1796085718</v>
      </c>
      <c r="D64" s="11">
        <v>1.9199999999999998E-2</v>
      </c>
      <c r="E64" s="10">
        <f t="shared" si="2"/>
        <v>75513.648595452309</v>
      </c>
      <c r="F64" s="3"/>
      <c r="G64" s="26">
        <v>9.8800000000000008</v>
      </c>
      <c r="H64" s="10"/>
      <c r="I64" s="10">
        <f t="shared" si="8"/>
        <v>596.88658932507781</v>
      </c>
      <c r="J64" s="10">
        <f t="shared" si="6"/>
        <v>2392629550.7009516</v>
      </c>
      <c r="K64" s="11">
        <f t="shared" si="7"/>
        <v>0.11989696000000039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3933002.5310131195</v>
      </c>
      <c r="D65" s="11">
        <v>1.6799999999999999E-2</v>
      </c>
      <c r="E65" s="10">
        <f t="shared" si="2"/>
        <v>64982.732613119762</v>
      </c>
      <c r="F65" s="3"/>
      <c r="G65" s="26">
        <v>10.28</v>
      </c>
      <c r="H65" s="10"/>
      <c r="I65" s="10">
        <f t="shared" si="8"/>
        <v>543.21677222886581</v>
      </c>
      <c r="J65" s="10">
        <f t="shared" si="6"/>
        <v>2136472940.0649064</v>
      </c>
      <c r="K65" s="11">
        <f t="shared" si="7"/>
        <v>0.12132703999999994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3868019.7983999997</v>
      </c>
      <c r="D66" s="11">
        <v>1.44E-2</v>
      </c>
      <c r="E66" s="10">
        <f t="shared" si="2"/>
        <v>54908.798399999738</v>
      </c>
      <c r="F66" s="23">
        <f>SUM(F2)</f>
        <v>5001934</v>
      </c>
      <c r="G66" s="26">
        <v>8.31</v>
      </c>
      <c r="H66" s="10"/>
      <c r="I66" s="10">
        <f t="shared" si="8"/>
        <v>492.57959034173541</v>
      </c>
      <c r="J66" s="10">
        <f t="shared" ref="J66:J67" si="9">IF(I66="","",I66*C66)</f>
        <v>1905307607.7295938</v>
      </c>
      <c r="K66" s="11">
        <f t="shared" ref="K66" si="10">IFERROR(J66/J67-1,"")</f>
        <v>9.869663999999978E-2</v>
      </c>
    </row>
    <row r="67" spans="1:11" ht="22.5" customHeight="1">
      <c r="A67" s="3">
        <f t="shared" si="0"/>
        <v>1950</v>
      </c>
      <c r="B67" s="3">
        <v>1700</v>
      </c>
      <c r="C67" s="10">
        <v>3813111</v>
      </c>
      <c r="D67" s="11">
        <v>1.23E-2</v>
      </c>
      <c r="E67" s="3" t="s">
        <v>72</v>
      </c>
      <c r="F67" s="10">
        <f>SUM(C2)</f>
        <v>4999444.4918691581</v>
      </c>
      <c r="G67" s="26">
        <v>-7.0000000000000007E-2</v>
      </c>
      <c r="H67" s="10"/>
      <c r="I67" s="10">
        <f t="shared" ref="I67" si="11">IF(H67&lt;&gt;"",H67,I66/(1+IF(G66="",0,G66)/100))</f>
        <v>454.78680670458448</v>
      </c>
      <c r="J67" s="10">
        <f t="shared" si="9"/>
        <v>1734152575.3001249</v>
      </c>
      <c r="K67" s="11"/>
    </row>
  </sheetData>
  <dataValidations count="1">
    <dataValidation type="custom" allowBlank="1" showDropDown="1" sqref="D2:D67" xr:uid="{00000000-0002-0000-9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M67"/>
  <sheetViews>
    <sheetView workbookViewId="0">
      <selection activeCell="L27" sqref="L2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74437644.715154484</v>
      </c>
      <c r="D2" s="11">
        <v>1.9099999999999999E-2</v>
      </c>
      <c r="E2" s="10">
        <f t="shared" ref="E2:E66" si="2">SUM(C2-C3)</f>
        <v>1395112.367833823</v>
      </c>
      <c r="F2" s="14">
        <v>74436761</v>
      </c>
      <c r="G2" s="29">
        <v>7.09</v>
      </c>
      <c r="H2" s="10"/>
      <c r="I2" s="10">
        <f>IF(H2&lt;&gt;"",H2,70160)</f>
        <v>8770</v>
      </c>
      <c r="J2" s="10">
        <f t="shared" ref="J2:J33" si="3">IF(I2="","",I2*C2)</f>
        <v>652818144151.90479</v>
      </c>
      <c r="K2" s="11">
        <f t="shared" ref="K2:K33" si="4">IFERROR(J2/J3-1,"")</f>
        <v>9.1354189999999891E-2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73042532.347320661</v>
      </c>
      <c r="D3" s="11">
        <v>2.01E-2</v>
      </c>
      <c r="E3" s="10">
        <f t="shared" si="2"/>
        <v>1439226.4485649914</v>
      </c>
      <c r="F3" s="3"/>
      <c r="G3" s="29">
        <v>4.63</v>
      </c>
      <c r="H3" s="10"/>
      <c r="I3" s="10">
        <f t="shared" ref="I3:I34" si="5">IF(H3&lt;&gt;"",H3,I2/(1+IF(G2="",0,G2)/100))</f>
        <v>8189.3734242226164</v>
      </c>
      <c r="J3" s="10">
        <f t="shared" si="3"/>
        <v>598172573243.0686</v>
      </c>
      <c r="K3" s="11">
        <f t="shared" si="4"/>
        <v>6.7330630000000058E-2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71603305.89875567</v>
      </c>
      <c r="D4" s="11">
        <v>2.0799999999999999E-2</v>
      </c>
      <c r="E4" s="10">
        <f t="shared" si="2"/>
        <v>1459001.5308523774</v>
      </c>
      <c r="F4" s="3"/>
      <c r="G4" s="29">
        <v>4.92</v>
      </c>
      <c r="H4" s="10"/>
      <c r="I4" s="10">
        <f t="shared" si="5"/>
        <v>7826.9840621452895</v>
      </c>
      <c r="J4" s="10">
        <f t="shared" si="3"/>
        <v>560437934066.47437</v>
      </c>
      <c r="K4" s="11">
        <f t="shared" si="4"/>
        <v>7.1023359999999647E-2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70144304.367903292</v>
      </c>
      <c r="D5" s="11">
        <v>2.0400000000000001E-2</v>
      </c>
      <c r="E5" s="10">
        <f t="shared" si="2"/>
        <v>1402336.1516123265</v>
      </c>
      <c r="F5" s="3"/>
      <c r="G5" s="29">
        <v>4.68</v>
      </c>
      <c r="H5" s="10"/>
      <c r="I5" s="10">
        <f t="shared" si="5"/>
        <v>7459.9543100889159</v>
      </c>
      <c r="J5" s="10">
        <f t="shared" si="3"/>
        <v>523273305697.52893</v>
      </c>
      <c r="K5" s="11">
        <f t="shared" si="4"/>
        <v>6.8154719999999669E-2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68741968.216290966</v>
      </c>
      <c r="D6" s="11">
        <v>2.0500000000000001E-2</v>
      </c>
      <c r="E6" s="10">
        <f t="shared" si="2"/>
        <v>1380901.8602978587</v>
      </c>
      <c r="F6" s="3"/>
      <c r="G6" s="29">
        <v>6.74</v>
      </c>
      <c r="H6" s="10"/>
      <c r="I6" s="10">
        <f t="shared" si="5"/>
        <v>7126.4370558740129</v>
      </c>
      <c r="J6" s="10">
        <f t="shared" si="3"/>
        <v>489885309590.28955</v>
      </c>
      <c r="K6" s="11">
        <f t="shared" si="4"/>
        <v>8.9281699999999908E-2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67361066.355993107</v>
      </c>
      <c r="D7" s="11">
        <v>2.0299999999999999E-2</v>
      </c>
      <c r="E7" s="10">
        <f t="shared" si="2"/>
        <v>1340223.1177366003</v>
      </c>
      <c r="F7" s="3"/>
      <c r="G7" s="29">
        <v>1.6</v>
      </c>
      <c r="H7" s="10"/>
      <c r="I7" s="10">
        <f t="shared" si="5"/>
        <v>6676.4446841615263</v>
      </c>
      <c r="J7" s="10">
        <f t="shared" si="3"/>
        <v>449732433391.922</v>
      </c>
      <c r="K7" s="11">
        <f t="shared" si="4"/>
        <v>3.6624800000000013E-2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66020843.238256507</v>
      </c>
      <c r="D8" s="11">
        <v>1.9800000000000002E-2</v>
      </c>
      <c r="E8" s="10">
        <f t="shared" si="2"/>
        <v>1281832.4143140614</v>
      </c>
      <c r="F8" s="3"/>
      <c r="G8" s="29">
        <v>5.24</v>
      </c>
      <c r="H8" s="10"/>
      <c r="I8" s="10">
        <f t="shared" si="5"/>
        <v>6571.3038229936283</v>
      </c>
      <c r="J8" s="10">
        <f t="shared" si="3"/>
        <v>433843019568.81799</v>
      </c>
      <c r="K8" s="11">
        <f t="shared" si="4"/>
        <v>7.3237519999999945E-2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64739010.823942445</v>
      </c>
      <c r="D9" s="11">
        <v>1.8499999999999999E-2</v>
      </c>
      <c r="E9" s="10">
        <f t="shared" si="2"/>
        <v>1175917.2314609066</v>
      </c>
      <c r="F9" s="3"/>
      <c r="G9" s="29">
        <v>3.19</v>
      </c>
      <c r="H9" s="10"/>
      <c r="I9" s="10">
        <f t="shared" si="5"/>
        <v>6244.1123365579897</v>
      </c>
      <c r="J9" s="10">
        <f t="shared" si="3"/>
        <v>404237656142.34027</v>
      </c>
      <c r="K9" s="11">
        <f t="shared" si="4"/>
        <v>5.0990150000000067E-2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63563093.592481539</v>
      </c>
      <c r="D10" s="11">
        <v>1.6799999999999999E-2</v>
      </c>
      <c r="E10" s="10">
        <f t="shared" si="2"/>
        <v>1050216.3378773481</v>
      </c>
      <c r="F10" s="3"/>
      <c r="G10" s="29">
        <v>3.18</v>
      </c>
      <c r="H10" s="10"/>
      <c r="I10" s="10">
        <f t="shared" si="5"/>
        <v>6051.0827953852013</v>
      </c>
      <c r="J10" s="10">
        <f t="shared" si="3"/>
        <v>384625542058.92438</v>
      </c>
      <c r="K10" s="11">
        <f t="shared" si="4"/>
        <v>4.9134240000000107E-2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62512877.254604191</v>
      </c>
      <c r="D11" s="11">
        <v>1.52E-2</v>
      </c>
      <c r="E11" s="10">
        <f t="shared" si="2"/>
        <v>935969.00538808852</v>
      </c>
      <c r="F11" s="3"/>
      <c r="G11" s="29">
        <v>9.84</v>
      </c>
      <c r="H11" s="10"/>
      <c r="I11" s="10">
        <f t="shared" si="5"/>
        <v>5864.588869340183</v>
      </c>
      <c r="J11" s="10">
        <f t="shared" si="3"/>
        <v>366612324137.78082</v>
      </c>
      <c r="K11" s="11">
        <f t="shared" si="4"/>
        <v>0.11509568000000003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61576908.249216102</v>
      </c>
      <c r="D12" s="11">
        <v>1.3899999999999999E-2</v>
      </c>
      <c r="E12" s="10">
        <f t="shared" si="2"/>
        <v>844184.85517714173</v>
      </c>
      <c r="F12" s="3"/>
      <c r="G12" s="29">
        <v>4.8600000000000003</v>
      </c>
      <c r="H12" s="10"/>
      <c r="I12" s="10">
        <f t="shared" si="5"/>
        <v>5339.210551110873</v>
      </c>
      <c r="J12" s="10">
        <f t="shared" si="3"/>
        <v>328772078229.00079</v>
      </c>
      <c r="K12" s="11">
        <f t="shared" si="4"/>
        <v>6.317554000000003E-2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60732723.39403896</v>
      </c>
      <c r="D13" s="11">
        <v>1.2800000000000001E-2</v>
      </c>
      <c r="E13" s="10">
        <f t="shared" si="2"/>
        <v>767554.16611739248</v>
      </c>
      <c r="F13" s="3"/>
      <c r="G13" s="29">
        <v>9.57</v>
      </c>
      <c r="H13" s="10"/>
      <c r="I13" s="10">
        <f t="shared" si="5"/>
        <v>5091.7514315381204</v>
      </c>
      <c r="J13" s="10">
        <f t="shared" si="3"/>
        <v>309235931282.80658</v>
      </c>
      <c r="K13" s="11">
        <f t="shared" si="4"/>
        <v>0.10972495999999965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59965169.227921568</v>
      </c>
      <c r="D14" s="11">
        <v>1.2500000000000001E-2</v>
      </c>
      <c r="E14" s="10">
        <f t="shared" si="2"/>
        <v>740310.73120890558</v>
      </c>
      <c r="F14" s="3"/>
      <c r="G14" s="29">
        <v>8.8000000000000007</v>
      </c>
      <c r="H14" s="10"/>
      <c r="I14" s="10">
        <f t="shared" si="5"/>
        <v>4647.0306028457799</v>
      </c>
      <c r="J14" s="10">
        <f t="shared" si="3"/>
        <v>278659976506.9776</v>
      </c>
      <c r="K14" s="11">
        <f t="shared" si="4"/>
        <v>0.10160000000000013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59224858.496712662</v>
      </c>
      <c r="D15" s="11">
        <v>1.26E-2</v>
      </c>
      <c r="E15" s="10">
        <f t="shared" si="2"/>
        <v>736947.67633673549</v>
      </c>
      <c r="F15" s="3"/>
      <c r="G15" s="29">
        <v>2.4300000000000002</v>
      </c>
      <c r="H15" s="10"/>
      <c r="I15" s="10">
        <f t="shared" si="5"/>
        <v>4271.1678334979588</v>
      </c>
      <c r="J15" s="10">
        <f t="shared" si="3"/>
        <v>252959310554.62741</v>
      </c>
      <c r="K15" s="11">
        <f t="shared" si="4"/>
        <v>3.7206180000000089E-2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58487910.820375927</v>
      </c>
      <c r="D16" s="11">
        <v>1.3100000000000001E-2</v>
      </c>
      <c r="E16" s="10">
        <f t="shared" si="2"/>
        <v>756284.30732102692</v>
      </c>
      <c r="F16" s="3"/>
      <c r="G16" s="29">
        <v>-1.4</v>
      </c>
      <c r="H16" s="10"/>
      <c r="I16" s="10">
        <f t="shared" si="5"/>
        <v>4169.8407043814886</v>
      </c>
      <c r="J16" s="10">
        <f t="shared" si="3"/>
        <v>243885271253.03806</v>
      </c>
      <c r="K16" s="11">
        <f t="shared" si="4"/>
        <v>-1.0833999999998456E-3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57731626.5130549</v>
      </c>
      <c r="D17" s="11">
        <v>1.35E-2</v>
      </c>
      <c r="E17" s="10">
        <f t="shared" si="2"/>
        <v>768995.51842747629</v>
      </c>
      <c r="F17" s="3"/>
      <c r="G17" s="29">
        <v>-0.85</v>
      </c>
      <c r="H17" s="10"/>
      <c r="I17" s="10">
        <f t="shared" si="5"/>
        <v>4229.0473675268649</v>
      </c>
      <c r="J17" s="10">
        <f t="shared" si="3"/>
        <v>244149783128.07898</v>
      </c>
      <c r="K17" s="11">
        <f t="shared" si="4"/>
        <v>4.8852500000000632E-3</v>
      </c>
      <c r="L17" t="s">
        <v>106</v>
      </c>
      <c r="M17" t="s">
        <v>107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56962630.994627424</v>
      </c>
      <c r="D18" s="11">
        <v>1.35E-2</v>
      </c>
      <c r="E18" s="10">
        <f t="shared" si="2"/>
        <v>758752.36154659837</v>
      </c>
      <c r="F18" s="3"/>
      <c r="G18" s="29">
        <v>2.9</v>
      </c>
      <c r="H18" s="10"/>
      <c r="I18" s="10">
        <f t="shared" si="5"/>
        <v>4265.3024382520071</v>
      </c>
      <c r="J18" s="10">
        <f t="shared" si="3"/>
        <v>242962848870.6337</v>
      </c>
      <c r="K18" s="11">
        <f t="shared" si="4"/>
        <v>4.2891500000000082E-2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56203878.633080825</v>
      </c>
      <c r="D19" s="11">
        <v>1.37E-2</v>
      </c>
      <c r="E19" s="10">
        <f t="shared" si="2"/>
        <v>759586.79813870788</v>
      </c>
      <c r="F19" s="3"/>
      <c r="G19" s="29">
        <v>0.28999999999999998</v>
      </c>
      <c r="H19" s="10"/>
      <c r="I19" s="10">
        <f t="shared" si="5"/>
        <v>4145.0946921788218</v>
      </c>
      <c r="J19" s="10">
        <f t="shared" si="3"/>
        <v>232970399001.84601</v>
      </c>
      <c r="K19" s="11">
        <f t="shared" si="4"/>
        <v>1.6639729999999853E-2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55444291.834942117</v>
      </c>
      <c r="D20" s="11">
        <v>1.47E-2</v>
      </c>
      <c r="E20" s="10">
        <f t="shared" si="2"/>
        <v>803223.7015607059</v>
      </c>
      <c r="F20" s="3"/>
      <c r="G20" s="29">
        <v>8.19</v>
      </c>
      <c r="H20" s="10"/>
      <c r="I20" s="10">
        <f t="shared" si="5"/>
        <v>4133.108677015477</v>
      </c>
      <c r="J20" s="10">
        <f t="shared" si="3"/>
        <v>229157283673.97763</v>
      </c>
      <c r="K20" s="11">
        <f t="shared" si="4"/>
        <v>9.7803930000000205E-2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54641068.133381411</v>
      </c>
      <c r="D21" s="11">
        <v>1.6799999999999999E-2</v>
      </c>
      <c r="E21" s="10">
        <f t="shared" si="2"/>
        <v>902802.85664910078</v>
      </c>
      <c r="F21" s="3"/>
      <c r="G21" s="29">
        <v>5.8</v>
      </c>
      <c r="H21" s="10"/>
      <c r="I21" s="10">
        <f t="shared" si="5"/>
        <v>3820.2317007260158</v>
      </c>
      <c r="J21" s="10">
        <f t="shared" si="3"/>
        <v>208741540644.67377</v>
      </c>
      <c r="K21" s="11">
        <f t="shared" si="4"/>
        <v>7.577440000000002E-2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53738265.276732311</v>
      </c>
      <c r="D22" s="11">
        <v>1.95E-2</v>
      </c>
      <c r="E22" s="10">
        <f t="shared" si="2"/>
        <v>1027853.0386427492</v>
      </c>
      <c r="F22" s="3"/>
      <c r="G22" s="29">
        <v>6.69</v>
      </c>
      <c r="H22" s="10"/>
      <c r="I22" s="10">
        <f t="shared" si="5"/>
        <v>3610.8050101380109</v>
      </c>
      <c r="J22" s="10">
        <f t="shared" si="3"/>
        <v>194038397497.35052</v>
      </c>
      <c r="K22" s="11">
        <f t="shared" si="4"/>
        <v>8.7704549999999992E-2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52710412.238089561</v>
      </c>
      <c r="D23" s="11">
        <v>2.24E-2</v>
      </c>
      <c r="E23" s="10">
        <f t="shared" si="2"/>
        <v>1154844.7125715986</v>
      </c>
      <c r="F23" s="3"/>
      <c r="G23" s="29">
        <v>6.9</v>
      </c>
      <c r="H23" s="10"/>
      <c r="I23" s="10">
        <f t="shared" si="5"/>
        <v>3384.3893618314846</v>
      </c>
      <c r="J23" s="10">
        <f t="shared" si="3"/>
        <v>178392558436.34241</v>
      </c>
      <c r="K23" s="11">
        <f t="shared" si="4"/>
        <v>9.2945599999999962E-2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51555567.525517963</v>
      </c>
      <c r="D24" s="11">
        <v>2.5100000000000001E-2</v>
      </c>
      <c r="E24" s="10">
        <f t="shared" si="2"/>
        <v>1262359.5209155157</v>
      </c>
      <c r="F24" s="3"/>
      <c r="G24" s="29">
        <v>1.26</v>
      </c>
      <c r="H24" s="10"/>
      <c r="I24" s="10">
        <f t="shared" si="5"/>
        <v>3165.9395339864218</v>
      </c>
      <c r="J24" s="10">
        <f t="shared" si="3"/>
        <v>163221809426.14383</v>
      </c>
      <c r="K24" s="11">
        <f t="shared" si="4"/>
        <v>3.8016259999999802E-2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50293208.004602447</v>
      </c>
      <c r="D25" s="11">
        <v>2.7199999999999998E-2</v>
      </c>
      <c r="E25" s="10">
        <f t="shared" si="2"/>
        <v>1331751.6138290316</v>
      </c>
      <c r="F25" s="3"/>
      <c r="G25" s="29">
        <v>3.35</v>
      </c>
      <c r="H25" s="10"/>
      <c r="I25" s="10">
        <f t="shared" si="5"/>
        <v>3126.5450661528953</v>
      </c>
      <c r="J25" s="10">
        <f t="shared" si="3"/>
        <v>157243981347.79108</v>
      </c>
      <c r="K25" s="11">
        <f t="shared" si="4"/>
        <v>6.1611199999999977E-2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48961456.390773416</v>
      </c>
      <c r="D26" s="11">
        <v>2.87E-2</v>
      </c>
      <c r="E26" s="10">
        <f t="shared" si="2"/>
        <v>1365989.8886120319</v>
      </c>
      <c r="F26" s="3"/>
      <c r="G26" s="29">
        <v>0.86</v>
      </c>
      <c r="H26" s="10"/>
      <c r="I26" s="10">
        <f t="shared" si="5"/>
        <v>3025.2008380773054</v>
      </c>
      <c r="J26" s="10">
        <f t="shared" si="3"/>
        <v>148118238906.85318</v>
      </c>
      <c r="K26" s="11">
        <f t="shared" si="4"/>
        <v>3.7546819999999759E-2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47595466.502161384</v>
      </c>
      <c r="D27" s="11">
        <v>0.03</v>
      </c>
      <c r="E27" s="10">
        <f t="shared" si="2"/>
        <v>1386275.7233639285</v>
      </c>
      <c r="F27" s="3"/>
      <c r="G27" s="29">
        <v>18.329999999999998</v>
      </c>
      <c r="H27" s="10"/>
      <c r="I27" s="10">
        <f t="shared" si="5"/>
        <v>2999.4059469336762</v>
      </c>
      <c r="J27" s="10">
        <f t="shared" si="3"/>
        <v>142758125273.66544</v>
      </c>
      <c r="K27" s="11">
        <f t="shared" si="4"/>
        <v>0.21879900000000019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46209190.778797455</v>
      </c>
      <c r="D28" s="11">
        <v>3.0800000000000001E-2</v>
      </c>
      <c r="E28" s="10">
        <f t="shared" si="2"/>
        <v>1380716.9926144332</v>
      </c>
      <c r="F28" s="3"/>
      <c r="G28" s="29">
        <v>12.34</v>
      </c>
      <c r="H28" s="10"/>
      <c r="I28" s="10">
        <f t="shared" si="5"/>
        <v>2534.7806532017885</v>
      </c>
      <c r="J28" s="10">
        <f t="shared" si="3"/>
        <v>117130162786.20627</v>
      </c>
      <c r="K28" s="11">
        <f t="shared" si="4"/>
        <v>0.15800071999999976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44828473.786183022</v>
      </c>
      <c r="D29" s="11">
        <v>3.1300000000000001E-2</v>
      </c>
      <c r="E29" s="10">
        <f t="shared" si="2"/>
        <v>1360546.1354674026</v>
      </c>
      <c r="F29" s="3"/>
      <c r="G29" s="29">
        <v>-2.62</v>
      </c>
      <c r="H29" s="10"/>
      <c r="I29" s="10">
        <f t="shared" si="5"/>
        <v>2256.3473857947201</v>
      </c>
      <c r="J29" s="10">
        <f t="shared" si="3"/>
        <v>101148609636.6212</v>
      </c>
      <c r="K29" s="11">
        <f t="shared" si="4"/>
        <v>4.2799399999999821E-3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43467927.650715619</v>
      </c>
      <c r="D30" s="11">
        <v>3.1600000000000003E-2</v>
      </c>
      <c r="E30" s="10">
        <f t="shared" si="2"/>
        <v>1331510.7733255327</v>
      </c>
      <c r="F30" s="3"/>
      <c r="G30" s="29">
        <v>3.38</v>
      </c>
      <c r="H30" s="10"/>
      <c r="I30" s="10">
        <f t="shared" si="5"/>
        <v>2317.0542059917029</v>
      </c>
      <c r="J30" s="10">
        <f t="shared" si="3"/>
        <v>100717544588.83366</v>
      </c>
      <c r="K30" s="11">
        <f t="shared" si="4"/>
        <v>6.6468080000000151E-2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42136416.877390087</v>
      </c>
      <c r="D31" s="11">
        <v>3.2099999999999997E-2</v>
      </c>
      <c r="E31" s="10">
        <f t="shared" si="2"/>
        <v>1310511.5606668144</v>
      </c>
      <c r="F31" s="3"/>
      <c r="G31" s="29">
        <v>-4.96</v>
      </c>
      <c r="H31" s="10"/>
      <c r="I31" s="10">
        <f t="shared" si="5"/>
        <v>2241.2983226849515</v>
      </c>
      <c r="J31" s="10">
        <f t="shared" si="3"/>
        <v>94440280471.248276</v>
      </c>
      <c r="K31" s="11">
        <f t="shared" si="4"/>
        <v>-1.9092160000000025E-2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40825905.316723272</v>
      </c>
      <c r="D32" s="11">
        <v>3.2199999999999999E-2</v>
      </c>
      <c r="E32" s="10">
        <f t="shared" si="2"/>
        <v>1273584.7231142148</v>
      </c>
      <c r="F32" s="3"/>
      <c r="G32" s="29">
        <v>-3.59</v>
      </c>
      <c r="H32" s="10"/>
      <c r="I32" s="10">
        <f t="shared" si="5"/>
        <v>2358.2684371685095</v>
      </c>
      <c r="J32" s="10">
        <f t="shared" si="3"/>
        <v>96278443927.25853</v>
      </c>
      <c r="K32" s="11">
        <f t="shared" si="4"/>
        <v>-4.855979999999871E-3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39552320.593609057</v>
      </c>
      <c r="D33" s="11">
        <v>3.2000000000000001E-2</v>
      </c>
      <c r="E33" s="10">
        <f t="shared" si="2"/>
        <v>1226428.545538269</v>
      </c>
      <c r="F33" s="3"/>
      <c r="G33" s="29">
        <v>4.0199999999999996</v>
      </c>
      <c r="H33" s="10"/>
      <c r="I33" s="10">
        <f t="shared" si="5"/>
        <v>2446.0828100492786</v>
      </c>
      <c r="J33" s="10">
        <f t="shared" si="3"/>
        <v>96748251501.58519</v>
      </c>
      <c r="K33" s="11">
        <f t="shared" si="4"/>
        <v>7.3486400000000174E-2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38325892.048070788</v>
      </c>
      <c r="D34" s="11">
        <v>3.1600000000000003E-2</v>
      </c>
      <c r="E34" s="10">
        <f t="shared" si="2"/>
        <v>1173999.7951910049</v>
      </c>
      <c r="F34" s="3"/>
      <c r="G34" s="29">
        <v>-0.55</v>
      </c>
      <c r="H34" s="10"/>
      <c r="I34" s="10">
        <f t="shared" si="5"/>
        <v>2351.5504807241668</v>
      </c>
      <c r="J34" s="10">
        <f t="shared" ref="J34:J65" si="6">IF(I34="","",I34*C34)</f>
        <v>90125269869.82338</v>
      </c>
      <c r="K34" s="11">
        <f t="shared" ref="K34:K65" si="7">IFERROR(J34/J35-1,"")</f>
        <v>3.9336999999999955E-2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37151892.252879784</v>
      </c>
      <c r="D35" s="11">
        <v>3.1300000000000001E-2</v>
      </c>
      <c r="E35" s="10">
        <f t="shared" si="2"/>
        <v>1127561.5509697869</v>
      </c>
      <c r="F35" s="3"/>
      <c r="G35" s="29">
        <v>-4.42</v>
      </c>
      <c r="H35" s="10"/>
      <c r="I35" s="10">
        <f t="shared" ref="I35:I66" si="8">IF(H35&lt;&gt;"",H35,I34/(1+IF(G34="",0,G34)/100))</f>
        <v>2334.0451421579819</v>
      </c>
      <c r="J35" s="10">
        <f t="shared" si="6"/>
        <v>86714193634.810822</v>
      </c>
      <c r="K35" s="11">
        <f t="shared" si="7"/>
        <v>1.3561640000000041E-2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36024330.701909997</v>
      </c>
      <c r="D36" s="11">
        <v>3.1399999999999997E-2</v>
      </c>
      <c r="E36" s="10">
        <f t="shared" si="2"/>
        <v>1096726.7636610195</v>
      </c>
      <c r="F36" s="3"/>
      <c r="G36" s="29">
        <v>-0.14</v>
      </c>
      <c r="H36" s="10"/>
      <c r="I36" s="10">
        <f t="shared" si="8"/>
        <v>2374.8933070390535</v>
      </c>
      <c r="J36" s="10">
        <f t="shared" si="6"/>
        <v>85553941874.527542</v>
      </c>
      <c r="K36" s="11">
        <f t="shared" si="7"/>
        <v>7.9463240000000157E-2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34927603.938248977</v>
      </c>
      <c r="D37" s="11">
        <v>3.1699999999999999E-2</v>
      </c>
      <c r="E37" s="10">
        <f t="shared" si="2"/>
        <v>1073185.0778738931</v>
      </c>
      <c r="F37" s="3"/>
      <c r="G37" s="29">
        <v>18.57</v>
      </c>
      <c r="H37" s="10"/>
      <c r="I37" s="10">
        <f t="shared" si="8"/>
        <v>2269.1508762077715</v>
      </c>
      <c r="J37" s="10">
        <f t="shared" si="6"/>
        <v>79256003080.315674</v>
      </c>
      <c r="K37" s="11">
        <f t="shared" si="7"/>
        <v>0.27796679000000024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33854418.860375084</v>
      </c>
      <c r="D38" s="11">
        <v>3.1800000000000002E-2</v>
      </c>
      <c r="E38" s="10">
        <f t="shared" si="2"/>
        <v>1043390.6956386231</v>
      </c>
      <c r="F38" s="3"/>
      <c r="G38" s="29">
        <v>17.22</v>
      </c>
      <c r="H38" s="10"/>
      <c r="I38" s="10">
        <f t="shared" si="8"/>
        <v>1831.8809043414637</v>
      </c>
      <c r="J38" s="10">
        <f t="shared" si="6"/>
        <v>62017263437.898613</v>
      </c>
      <c r="K38" s="11">
        <f t="shared" si="7"/>
        <v>0.24765255999999991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32811028.164736461</v>
      </c>
      <c r="D39" s="11">
        <v>3.1300000000000001E-2</v>
      </c>
      <c r="E39" s="10">
        <f t="shared" si="2"/>
        <v>995816.13648429513</v>
      </c>
      <c r="F39" s="3"/>
      <c r="G39" s="29">
        <v>-1.59</v>
      </c>
      <c r="H39" s="10"/>
      <c r="I39" s="10">
        <f t="shared" si="8"/>
        <v>1514.9527822870193</v>
      </c>
      <c r="J39" s="10">
        <f t="shared" si="6"/>
        <v>49707158407.865257</v>
      </c>
      <c r="K39" s="11">
        <f t="shared" si="7"/>
        <v>1.4902330000000186E-2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31815212.028252166</v>
      </c>
      <c r="D40" s="11">
        <v>3.0200000000000001E-2</v>
      </c>
      <c r="E40" s="10">
        <f t="shared" si="2"/>
        <v>932653.27436732128</v>
      </c>
      <c r="F40" s="3"/>
      <c r="G40" s="29">
        <v>21.44</v>
      </c>
      <c r="H40" s="10"/>
      <c r="I40" s="10">
        <f t="shared" si="8"/>
        <v>1539.4297147515692</v>
      </c>
      <c r="J40" s="10">
        <f t="shared" si="6"/>
        <v>48977282777.412926</v>
      </c>
      <c r="K40" s="11">
        <f t="shared" si="7"/>
        <v>0.25107487999999978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30882558.753884844</v>
      </c>
      <c r="D41" s="11">
        <v>2.92E-2</v>
      </c>
      <c r="E41" s="10">
        <f t="shared" si="2"/>
        <v>876186.08201849461</v>
      </c>
      <c r="F41" s="3"/>
      <c r="G41" s="29">
        <v>16.53</v>
      </c>
      <c r="H41" s="10"/>
      <c r="I41" s="10">
        <f t="shared" si="8"/>
        <v>1267.6463395516876</v>
      </c>
      <c r="J41" s="10">
        <f t="shared" si="6"/>
        <v>39148162560.352051</v>
      </c>
      <c r="K41" s="11">
        <f t="shared" si="7"/>
        <v>0.19932675999999994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30006372.67186635</v>
      </c>
      <c r="D42" s="11">
        <v>2.86E-2</v>
      </c>
      <c r="E42" s="10">
        <f t="shared" si="2"/>
        <v>834320.68677365035</v>
      </c>
      <c r="F42" s="3"/>
      <c r="G42" s="29">
        <v>16.23</v>
      </c>
      <c r="H42" s="10"/>
      <c r="I42" s="10">
        <f t="shared" si="8"/>
        <v>1087.8283185031216</v>
      </c>
      <c r="J42" s="10">
        <f t="shared" si="6"/>
        <v>32641781928.014393</v>
      </c>
      <c r="K42" s="11">
        <f t="shared" si="7"/>
        <v>0.19554178000000011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29172051.9850927</v>
      </c>
      <c r="D43" s="11">
        <v>2.8299999999999999E-2</v>
      </c>
      <c r="E43" s="10">
        <f t="shared" si="2"/>
        <v>802848.45976672322</v>
      </c>
      <c r="F43" s="3"/>
      <c r="G43" s="29">
        <v>2.92</v>
      </c>
      <c r="H43" s="10"/>
      <c r="I43" s="10">
        <f t="shared" si="8"/>
        <v>935.92731523971565</v>
      </c>
      <c r="J43" s="10">
        <f t="shared" si="6"/>
        <v>27302920294.441227</v>
      </c>
      <c r="K43" s="11">
        <f t="shared" si="7"/>
        <v>5.8326359999999688E-2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28369203.525325976</v>
      </c>
      <c r="D44" s="11">
        <v>2.8000000000000001E-2</v>
      </c>
      <c r="E44" s="10">
        <f t="shared" si="2"/>
        <v>772702.04154584557</v>
      </c>
      <c r="F44" s="3"/>
      <c r="G44" s="29">
        <v>5.34</v>
      </c>
      <c r="H44" s="10"/>
      <c r="I44" s="10">
        <f t="shared" si="8"/>
        <v>909.37360594608992</v>
      </c>
      <c r="J44" s="10">
        <f t="shared" si="6"/>
        <v>25798204907.644211</v>
      </c>
      <c r="K44" s="11">
        <f t="shared" si="7"/>
        <v>8.2895200000000058E-2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27596501.483780131</v>
      </c>
      <c r="D45" s="11">
        <v>2.7400000000000001E-2</v>
      </c>
      <c r="E45" s="10">
        <f t="shared" si="2"/>
        <v>735978.3342958726</v>
      </c>
      <c r="F45" s="3"/>
      <c r="G45" s="29">
        <v>4.8600000000000003</v>
      </c>
      <c r="H45" s="10"/>
      <c r="I45" s="10">
        <f t="shared" si="8"/>
        <v>863.27473509216827</v>
      </c>
      <c r="J45" s="10">
        <f t="shared" si="6"/>
        <v>23823362507.88092</v>
      </c>
      <c r="K45" s="11">
        <f t="shared" si="7"/>
        <v>7.7331640000000146E-2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26860523.149484258</v>
      </c>
      <c r="D46" s="11">
        <v>2.6800000000000001E-2</v>
      </c>
      <c r="E46" s="10">
        <f t="shared" si="2"/>
        <v>701073.25711548328</v>
      </c>
      <c r="F46" s="3"/>
      <c r="G46" s="29">
        <v>6.12</v>
      </c>
      <c r="H46" s="10"/>
      <c r="I46" s="10">
        <f t="shared" si="8"/>
        <v>823.26409983994688</v>
      </c>
      <c r="J46" s="10">
        <f t="shared" si="6"/>
        <v>22113304411.890213</v>
      </c>
      <c r="K46" s="11">
        <f t="shared" si="7"/>
        <v>8.964016000000008E-2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26159449.892368775</v>
      </c>
      <c r="D47" s="11">
        <v>2.5999999999999999E-2</v>
      </c>
      <c r="E47" s="10">
        <f t="shared" si="2"/>
        <v>662910.0362588577</v>
      </c>
      <c r="F47" s="3"/>
      <c r="G47" s="29">
        <v>3.86</v>
      </c>
      <c r="H47" s="10"/>
      <c r="I47" s="10">
        <f t="shared" si="8"/>
        <v>775.78599683372306</v>
      </c>
      <c r="J47" s="10">
        <f t="shared" si="6"/>
        <v>20294134911.373138</v>
      </c>
      <c r="K47" s="11">
        <f t="shared" si="7"/>
        <v>6.5603599999999984E-2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25496539.856109917</v>
      </c>
      <c r="D48" s="11">
        <v>2.5399999999999999E-2</v>
      </c>
      <c r="E48" s="10">
        <f t="shared" si="2"/>
        <v>631570.22854027152</v>
      </c>
      <c r="F48" s="3"/>
      <c r="G48" s="29">
        <v>16.100000000000001</v>
      </c>
      <c r="H48" s="10"/>
      <c r="I48" s="10">
        <f t="shared" si="8"/>
        <v>746.95358832440115</v>
      </c>
      <c r="J48" s="10">
        <f t="shared" si="6"/>
        <v>19044731935.377415</v>
      </c>
      <c r="K48" s="11">
        <f t="shared" si="7"/>
        <v>0.19048940000000014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24864969.627569646</v>
      </c>
      <c r="D49" s="11">
        <v>2.5399999999999999E-2</v>
      </c>
      <c r="E49" s="10">
        <f t="shared" si="2"/>
        <v>615925.71536987647</v>
      </c>
      <c r="F49" s="3"/>
      <c r="G49" s="29">
        <v>5.32</v>
      </c>
      <c r="H49" s="10"/>
      <c r="I49" s="10">
        <f t="shared" si="8"/>
        <v>643.37087710973401</v>
      </c>
      <c r="J49" s="10">
        <f t="shared" si="6"/>
        <v>15997397318.596378</v>
      </c>
      <c r="K49" s="11">
        <f t="shared" si="7"/>
        <v>7.9951279999999736E-2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24249043.912199769</v>
      </c>
      <c r="D50" s="11">
        <v>2.53E-2</v>
      </c>
      <c r="E50" s="10">
        <f t="shared" si="2"/>
        <v>598362.24615103379</v>
      </c>
      <c r="F50" s="3"/>
      <c r="G50" s="29">
        <v>9.41</v>
      </c>
      <c r="H50" s="10"/>
      <c r="I50" s="10">
        <f t="shared" si="8"/>
        <v>610.87246212470006</v>
      </c>
      <c r="J50" s="10">
        <f t="shared" si="6"/>
        <v>14813073158.815443</v>
      </c>
      <c r="K50" s="11">
        <f t="shared" si="7"/>
        <v>0.12178073000000023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23650681.666048735</v>
      </c>
      <c r="D51" s="11">
        <v>2.53E-2</v>
      </c>
      <c r="E51" s="10">
        <f t="shared" si="2"/>
        <v>583597.23607825488</v>
      </c>
      <c r="F51" s="3"/>
      <c r="G51" s="29">
        <v>4.4400000000000004</v>
      </c>
      <c r="H51" s="10"/>
      <c r="I51" s="10">
        <f t="shared" si="8"/>
        <v>558.33329871556532</v>
      </c>
      <c r="J51" s="10">
        <f t="shared" si="6"/>
        <v>13204963111.476732</v>
      </c>
      <c r="K51" s="11">
        <f t="shared" si="7"/>
        <v>7.0823319999999912E-2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23067084.429970481</v>
      </c>
      <c r="D52" s="11">
        <v>2.1499999999999998E-2</v>
      </c>
      <c r="E52" s="10">
        <f t="shared" si="2"/>
        <v>485503.97968121991</v>
      </c>
      <c r="F52" s="3"/>
      <c r="G52" s="29">
        <v>3.91</v>
      </c>
      <c r="H52" s="10"/>
      <c r="I52" s="10">
        <f t="shared" si="8"/>
        <v>534.59718375676493</v>
      </c>
      <c r="J52" s="10">
        <f t="shared" si="6"/>
        <v>12331598373.741741</v>
      </c>
      <c r="K52" s="11">
        <f t="shared" si="7"/>
        <v>6.1440650000000208E-2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22581580.450289261</v>
      </c>
      <c r="D53" s="11">
        <v>1.4999999999999999E-2</v>
      </c>
      <c r="E53" s="10">
        <f t="shared" si="2"/>
        <v>333717.9376890026</v>
      </c>
      <c r="F53" s="3"/>
      <c r="G53" s="29">
        <v>4.6500000000000004</v>
      </c>
      <c r="H53" s="10"/>
      <c r="I53" s="10">
        <f t="shared" si="8"/>
        <v>514.48097753514094</v>
      </c>
      <c r="J53" s="10">
        <f t="shared" si="6"/>
        <v>11617793584.353247</v>
      </c>
      <c r="K53" s="11">
        <f t="shared" si="7"/>
        <v>6.2197499999999906E-2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22247862.512600258</v>
      </c>
      <c r="D54" s="11">
        <v>1.23E-2</v>
      </c>
      <c r="E54" s="10">
        <f t="shared" si="2"/>
        <v>270323.72706211731</v>
      </c>
      <c r="F54" s="3"/>
      <c r="G54" s="29">
        <v>4.9400000000000004</v>
      </c>
      <c r="H54" s="10"/>
      <c r="I54" s="10">
        <f t="shared" si="8"/>
        <v>491.62061876267649</v>
      </c>
      <c r="J54" s="10">
        <f t="shared" si="6"/>
        <v>10937507934.591494</v>
      </c>
      <c r="K54" s="11">
        <f t="shared" si="7"/>
        <v>6.2307620000000119E-2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21977538.785538141</v>
      </c>
      <c r="D55" s="11">
        <v>1.6400000000000001E-2</v>
      </c>
      <c r="E55" s="10">
        <f t="shared" si="2"/>
        <v>354615.9347528778</v>
      </c>
      <c r="F55" s="3"/>
      <c r="G55" s="29">
        <v>0.88</v>
      </c>
      <c r="H55" s="10"/>
      <c r="I55" s="10">
        <f t="shared" si="8"/>
        <v>468.47781471571989</v>
      </c>
      <c r="J55" s="10">
        <f t="shared" si="6"/>
        <v>10295989343.078884</v>
      </c>
      <c r="K55" s="11">
        <f t="shared" si="7"/>
        <v>2.5344319999999865E-2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21622922.850785263</v>
      </c>
      <c r="D56" s="11">
        <v>2.23E-2</v>
      </c>
      <c r="E56" s="10">
        <f t="shared" si="2"/>
        <v>471672.87447179109</v>
      </c>
      <c r="F56" s="3"/>
      <c r="G56" s="29">
        <v>3.91</v>
      </c>
      <c r="H56" s="10"/>
      <c r="I56" s="10">
        <f t="shared" si="8"/>
        <v>464.39117239861213</v>
      </c>
      <c r="J56" s="10">
        <f t="shared" si="6"/>
        <v>10041494493.360909</v>
      </c>
      <c r="K56" s="11">
        <f t="shared" si="7"/>
        <v>6.2271929999999864E-2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21151249.976313472</v>
      </c>
      <c r="D57" s="11">
        <v>2.3400000000000001E-2</v>
      </c>
      <c r="E57" s="10">
        <f t="shared" si="2"/>
        <v>483622.48333568126</v>
      </c>
      <c r="F57" s="3"/>
      <c r="G57" s="30">
        <v>10.24</v>
      </c>
      <c r="H57" s="10"/>
      <c r="I57" s="10">
        <f t="shared" si="8"/>
        <v>446.91672832125124</v>
      </c>
      <c r="J57" s="10">
        <f t="shared" si="6"/>
        <v>9452847439.3189602</v>
      </c>
      <c r="K57" s="11">
        <f t="shared" si="7"/>
        <v>0.12819616000000011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20667627.492977791</v>
      </c>
      <c r="D58" s="11">
        <v>2.4500000000000001E-2</v>
      </c>
      <c r="E58" s="10">
        <f t="shared" si="2"/>
        <v>494247.80241869763</v>
      </c>
      <c r="F58" s="3"/>
      <c r="G58" s="30">
        <v>10.28</v>
      </c>
      <c r="H58" s="10"/>
      <c r="I58" s="10">
        <f t="shared" si="8"/>
        <v>405.40341828850802</v>
      </c>
      <c r="J58" s="10">
        <f t="shared" si="6"/>
        <v>8378726833.5667439</v>
      </c>
      <c r="K58" s="11">
        <f t="shared" si="7"/>
        <v>0.12981860000000012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20173379.690559093</v>
      </c>
      <c r="D59" s="11">
        <v>2.5499999999999998E-2</v>
      </c>
      <c r="E59" s="10">
        <f t="shared" si="2"/>
        <v>501629.62663018703</v>
      </c>
      <c r="F59" s="3"/>
      <c r="G59" s="30">
        <v>4.93</v>
      </c>
      <c r="H59" s="10"/>
      <c r="I59" s="10">
        <f t="shared" si="8"/>
        <v>367.6128203559195</v>
      </c>
      <c r="J59" s="10">
        <f t="shared" si="6"/>
        <v>7415993004.1572542</v>
      </c>
      <c r="K59" s="11">
        <f t="shared" si="7"/>
        <v>7.6057149999999796E-2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19671750.063928906</v>
      </c>
      <c r="D60" s="11">
        <v>2.6200000000000001E-2</v>
      </c>
      <c r="E60" s="10">
        <f t="shared" si="2"/>
        <v>502241.13396505266</v>
      </c>
      <c r="F60" s="3"/>
      <c r="G60" s="30">
        <v>3.62</v>
      </c>
      <c r="H60" s="10"/>
      <c r="I60" s="10">
        <f t="shared" si="8"/>
        <v>350.34100863043892</v>
      </c>
      <c r="J60" s="10">
        <f t="shared" si="6"/>
        <v>6891820758.9227543</v>
      </c>
      <c r="K60" s="11">
        <f t="shared" si="7"/>
        <v>6.3348440000000172E-2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19169508.929963853</v>
      </c>
      <c r="D61" s="11">
        <v>2.6700000000000002E-2</v>
      </c>
      <c r="E61" s="10">
        <f t="shared" si="2"/>
        <v>498515.5239408128</v>
      </c>
      <c r="F61" s="3"/>
      <c r="G61" s="30">
        <v>7.43</v>
      </c>
      <c r="H61" s="10"/>
      <c r="I61" s="10">
        <f t="shared" si="8"/>
        <v>338.10172614402518</v>
      </c>
      <c r="J61" s="10">
        <f t="shared" si="6"/>
        <v>6481244058.5540838</v>
      </c>
      <c r="K61" s="11">
        <f t="shared" si="7"/>
        <v>0.10298381000000001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18670993.40602304</v>
      </c>
      <c r="D62" s="11">
        <v>2.6499999999999999E-2</v>
      </c>
      <c r="E62" s="10">
        <f t="shared" si="2"/>
        <v>482008.11033571512</v>
      </c>
      <c r="F62" s="3"/>
      <c r="G62" s="30">
        <v>2.41</v>
      </c>
      <c r="H62" s="10"/>
      <c r="I62" s="10">
        <f t="shared" si="8"/>
        <v>314.71816638185345</v>
      </c>
      <c r="J62" s="10">
        <f t="shared" si="6"/>
        <v>5876100809.2712479</v>
      </c>
      <c r="K62" s="11">
        <f t="shared" si="7"/>
        <v>5.1238650000000163E-2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18188985.295687325</v>
      </c>
      <c r="D63" s="11">
        <v>2.5600000000000001E-2</v>
      </c>
      <c r="E63" s="10">
        <f t="shared" si="2"/>
        <v>454015.23358970135</v>
      </c>
      <c r="F63" s="3"/>
      <c r="G63" s="30">
        <v>11.4</v>
      </c>
      <c r="H63" s="10"/>
      <c r="I63" s="10">
        <f t="shared" si="8"/>
        <v>307.3119484248154</v>
      </c>
      <c r="J63" s="10">
        <f t="shared" si="6"/>
        <v>5589692511.0879889</v>
      </c>
      <c r="K63" s="11">
        <f t="shared" si="7"/>
        <v>0.14251840000000016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17734970.062097624</v>
      </c>
      <c r="D64" s="11">
        <v>2.46E-2</v>
      </c>
      <c r="E64" s="10">
        <f t="shared" si="2"/>
        <v>425805.44947062433</v>
      </c>
      <c r="F64" s="3"/>
      <c r="G64" s="30">
        <v>9.93</v>
      </c>
      <c r="H64" s="10"/>
      <c r="I64" s="10">
        <f t="shared" si="8"/>
        <v>275.86350846033696</v>
      </c>
      <c r="J64" s="10">
        <f t="shared" si="6"/>
        <v>4892431063.7692909</v>
      </c>
      <c r="K64" s="11">
        <f t="shared" si="7"/>
        <v>0.1263427800000001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17309164.612627</v>
      </c>
      <c r="D65" s="11">
        <v>2.3699999999999999E-2</v>
      </c>
      <c r="E65" s="10">
        <f t="shared" si="2"/>
        <v>400729.90262700245</v>
      </c>
      <c r="F65" s="3"/>
      <c r="G65" s="30">
        <v>6</v>
      </c>
      <c r="H65" s="10"/>
      <c r="I65" s="10">
        <f t="shared" si="8"/>
        <v>250.94469977288909</v>
      </c>
      <c r="J65" s="10">
        <f t="shared" si="6"/>
        <v>4343643117.0351982</v>
      </c>
      <c r="K65" s="11">
        <f t="shared" si="7"/>
        <v>8.5122000000000142E-2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16908434.709999997</v>
      </c>
      <c r="D66" s="11">
        <v>2.29E-2</v>
      </c>
      <c r="E66" s="10">
        <f t="shared" si="2"/>
        <v>378534.70999999717</v>
      </c>
      <c r="F66" s="23">
        <f>SUM(F2)</f>
        <v>74436761</v>
      </c>
      <c r="G66" s="30">
        <v>8.4</v>
      </c>
      <c r="H66" s="10"/>
      <c r="I66" s="10">
        <f t="shared" si="8"/>
        <v>236.74028280461235</v>
      </c>
      <c r="J66" s="10">
        <f t="shared" ref="J66:J67" si="9">IF(I66="","",I66*C66)</f>
        <v>4002907615.0287228</v>
      </c>
      <c r="K66" s="11">
        <f t="shared" ref="K66" si="10">IFERROR(J66/J67-1,"")</f>
        <v>0.1088235999999998</v>
      </c>
    </row>
    <row r="67" spans="1:11" ht="22.5" customHeight="1">
      <c r="A67" s="3">
        <f t="shared" si="0"/>
        <v>1950</v>
      </c>
      <c r="B67" s="3">
        <v>1700</v>
      </c>
      <c r="C67" s="10">
        <v>16529900</v>
      </c>
      <c r="D67" s="11">
        <v>2.2100000000000002E-2</v>
      </c>
      <c r="E67" s="3" t="s">
        <v>72</v>
      </c>
      <c r="F67" s="10">
        <f>SUM(C2)</f>
        <v>74437644.715154484</v>
      </c>
      <c r="G67" s="29">
        <v>3.91</v>
      </c>
      <c r="H67" s="10"/>
      <c r="I67" s="10">
        <f t="shared" ref="I67" si="11">IF(H67&lt;&gt;"",H67,I66/(1+IF(G66="",0,G66)/100))</f>
        <v>218.39509483820325</v>
      </c>
      <c r="J67" s="10">
        <f t="shared" si="9"/>
        <v>3610049078.1660161</v>
      </c>
      <c r="K67" s="11"/>
    </row>
  </sheetData>
  <dataValidations count="1">
    <dataValidation type="custom" allowBlank="1" showDropDown="1" sqref="D2:D67" xr:uid="{00000000-0002-0000-9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M67"/>
  <sheetViews>
    <sheetView topLeftCell="A24" zoomScaleNormal="100" workbookViewId="0">
      <selection activeCell="J50" sqref="J50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828524.87043991906</v>
      </c>
      <c r="D2" s="11">
        <v>5.5999999999999999E-3</v>
      </c>
      <c r="E2" s="10">
        <f t="shared" ref="E2:E66" si="2">SUM(C2-C3)</f>
        <v>4613.9014264753787</v>
      </c>
      <c r="F2" s="14">
        <v>828597</v>
      </c>
      <c r="G2" s="26">
        <v>13.02</v>
      </c>
      <c r="H2" s="10"/>
      <c r="I2" s="10">
        <f>IF(H2&lt;&gt;"",H2,13616)</f>
        <v>1702</v>
      </c>
      <c r="J2" s="10">
        <f t="shared" ref="J2:J33" si="3">IF(I2="","",I2*C2)</f>
        <v>1410149329.4887424</v>
      </c>
      <c r="K2" s="11">
        <f t="shared" ref="K2:K33" si="4">IFERROR(J2/J3-1,"")</f>
        <v>0.13652912000000006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823910.96901344368</v>
      </c>
      <c r="D3" s="11">
        <v>5.7999999999999996E-3</v>
      </c>
      <c r="E3" s="10">
        <f t="shared" si="2"/>
        <v>4751.1270831954898</v>
      </c>
      <c r="F3" s="3"/>
      <c r="G3" s="26">
        <v>30.48</v>
      </c>
      <c r="H3" s="10"/>
      <c r="I3" s="10">
        <f t="shared" ref="I3:I34" si="5">IF(H3&lt;&gt;"",H3,I2/(1+IF(G2="",0,G2)/100))</f>
        <v>1505.9281543089721</v>
      </c>
      <c r="J3" s="10">
        <f t="shared" si="3"/>
        <v>1240750724.8813319</v>
      </c>
      <c r="K3" s="11">
        <f t="shared" si="4"/>
        <v>0.31236783999999984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819159.84193024819</v>
      </c>
      <c r="D4" s="11">
        <v>6.0000000000000001E-3</v>
      </c>
      <c r="E4" s="10">
        <f t="shared" si="2"/>
        <v>4885.6451804984827</v>
      </c>
      <c r="F4" s="3"/>
      <c r="G4" s="26">
        <v>-8.83</v>
      </c>
      <c r="H4" s="10"/>
      <c r="I4" s="10">
        <f t="shared" si="5"/>
        <v>1154.1448147677593</v>
      </c>
      <c r="J4" s="10">
        <f t="shared" si="3"/>
        <v>945429084.02977324</v>
      </c>
      <c r="K4" s="11">
        <f t="shared" si="4"/>
        <v>-8.2829800000000064E-2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814274.19674974971</v>
      </c>
      <c r="D5" s="11">
        <v>6.1000000000000004E-3</v>
      </c>
      <c r="E5" s="10">
        <f t="shared" si="2"/>
        <v>4936.9571614883607</v>
      </c>
      <c r="F5" s="3"/>
      <c r="G5" s="26">
        <v>8.4700000000000006</v>
      </c>
      <c r="H5" s="10"/>
      <c r="I5" s="10">
        <f t="shared" si="5"/>
        <v>1265.9260883709107</v>
      </c>
      <c r="J5" s="10">
        <f t="shared" si="3"/>
        <v>1030810948.752776</v>
      </c>
      <c r="K5" s="11">
        <f t="shared" si="4"/>
        <v>9.1316669999999878E-2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809337.23958826135</v>
      </c>
      <c r="D6" s="11">
        <v>6.0000000000000001E-3</v>
      </c>
      <c r="E6" s="10">
        <f t="shared" si="2"/>
        <v>4827.0610711029731</v>
      </c>
      <c r="F6" s="3"/>
      <c r="G6" s="26">
        <v>13.92</v>
      </c>
      <c r="H6" s="10"/>
      <c r="I6" s="10">
        <f t="shared" si="5"/>
        <v>1167.0748486871123</v>
      </c>
      <c r="J6" s="10">
        <f t="shared" si="3"/>
        <v>944557136.42931533</v>
      </c>
      <c r="K6" s="11">
        <f t="shared" si="4"/>
        <v>0.14603520000000003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804510.17851715838</v>
      </c>
      <c r="D7" s="11">
        <v>5.7000000000000002E-3</v>
      </c>
      <c r="E7" s="10">
        <f t="shared" si="2"/>
        <v>4559.7176270735217</v>
      </c>
      <c r="F7" s="3"/>
      <c r="G7" s="26">
        <v>11.07</v>
      </c>
      <c r="H7" s="10"/>
      <c r="I7" s="10">
        <f t="shared" si="5"/>
        <v>1024.4687927379848</v>
      </c>
      <c r="J7" s="10">
        <f t="shared" si="3"/>
        <v>824195571.33089387</v>
      </c>
      <c r="K7" s="11">
        <f t="shared" si="4"/>
        <v>0.11703099000000017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799950.46089008485</v>
      </c>
      <c r="D8" s="11">
        <v>5.1000000000000004E-3</v>
      </c>
      <c r="E8" s="10">
        <f t="shared" si="2"/>
        <v>4059.0462148438673</v>
      </c>
      <c r="F8" s="3"/>
      <c r="G8" s="26">
        <v>1.61</v>
      </c>
      <c r="H8" s="10"/>
      <c r="I8" s="10">
        <f t="shared" si="5"/>
        <v>922.36318784368848</v>
      </c>
      <c r="J8" s="10">
        <f t="shared" si="3"/>
        <v>737844857.22360647</v>
      </c>
      <c r="K8" s="11">
        <f t="shared" si="4"/>
        <v>2.1282110000000243E-2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795891.41467524099</v>
      </c>
      <c r="D9" s="11">
        <v>4.4999999999999997E-3</v>
      </c>
      <c r="E9" s="10">
        <f t="shared" si="2"/>
        <v>3565.4667655933881</v>
      </c>
      <c r="F9" s="3"/>
      <c r="G9" s="26">
        <v>2.5099999999999998</v>
      </c>
      <c r="H9" s="10"/>
      <c r="I9" s="10">
        <f t="shared" si="5"/>
        <v>907.74843799201699</v>
      </c>
      <c r="J9" s="10">
        <f t="shared" si="3"/>
        <v>722469188.48270667</v>
      </c>
      <c r="K9" s="11">
        <f t="shared" si="4"/>
        <v>2.971294999999996E-2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792325.9479096476</v>
      </c>
      <c r="D10" s="11">
        <v>3.8999999999999998E-3</v>
      </c>
      <c r="E10" s="10">
        <f t="shared" si="2"/>
        <v>3078.0667365749832</v>
      </c>
      <c r="F10" s="3"/>
      <c r="G10" s="26">
        <v>4.3099999999999996</v>
      </c>
      <c r="H10" s="10"/>
      <c r="I10" s="10">
        <f t="shared" si="5"/>
        <v>885.52183981271787</v>
      </c>
      <c r="J10" s="10">
        <f t="shared" si="3"/>
        <v>701621931.1243068</v>
      </c>
      <c r="K10" s="11">
        <f t="shared" si="4"/>
        <v>4.7168089999999996E-2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789247.88117307262</v>
      </c>
      <c r="D11" s="11">
        <v>3.5999999999999999E-3</v>
      </c>
      <c r="E11" s="10">
        <f t="shared" si="2"/>
        <v>2831.1004107444314</v>
      </c>
      <c r="F11" s="3"/>
      <c r="G11" s="26">
        <v>5.29</v>
      </c>
      <c r="H11" s="10"/>
      <c r="I11" s="10">
        <f t="shared" si="5"/>
        <v>848.9328346397449</v>
      </c>
      <c r="J11" s="10">
        <f t="shared" si="3"/>
        <v>670018440.9976691</v>
      </c>
      <c r="K11" s="11">
        <f t="shared" si="4"/>
        <v>5.669044000000012E-2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786416.78076232818</v>
      </c>
      <c r="D12" s="11">
        <v>3.7000000000000002E-3</v>
      </c>
      <c r="E12" s="10">
        <f t="shared" si="2"/>
        <v>2899.0157306173351</v>
      </c>
      <c r="F12" s="3"/>
      <c r="G12" s="26">
        <v>3.8</v>
      </c>
      <c r="H12" s="10"/>
      <c r="I12" s="10">
        <f t="shared" si="5"/>
        <v>806.28059135696162</v>
      </c>
      <c r="J12" s="10">
        <f t="shared" si="3"/>
        <v>634072587.04608798</v>
      </c>
      <c r="K12" s="11">
        <f t="shared" si="4"/>
        <v>4.1840599999999784E-2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783517.76503171085</v>
      </c>
      <c r="D13" s="11">
        <v>4.0000000000000001E-3</v>
      </c>
      <c r="E13" s="10">
        <f t="shared" si="2"/>
        <v>3121.5847212418448</v>
      </c>
      <c r="F13" s="3"/>
      <c r="G13" s="26">
        <v>1.93</v>
      </c>
      <c r="H13" s="10"/>
      <c r="I13" s="10">
        <f t="shared" si="5"/>
        <v>776.76357548840235</v>
      </c>
      <c r="J13" s="10">
        <f t="shared" si="3"/>
        <v>608608060.62471366</v>
      </c>
      <c r="K13" s="11">
        <f t="shared" si="4"/>
        <v>2.3377200000000098E-2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780396.180310469</v>
      </c>
      <c r="D14" s="11">
        <v>4.3E-3</v>
      </c>
      <c r="E14" s="10">
        <f t="shared" si="2"/>
        <v>3341.3358312605415</v>
      </c>
      <c r="F14" s="3"/>
      <c r="G14" s="26">
        <v>4.33</v>
      </c>
      <c r="H14" s="10"/>
      <c r="I14" s="10">
        <f t="shared" si="5"/>
        <v>762.05589668243135</v>
      </c>
      <c r="J14" s="10">
        <f t="shared" si="3"/>
        <v>594705510.95403886</v>
      </c>
      <c r="K14" s="11">
        <f t="shared" si="4"/>
        <v>4.778618999999984E-2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777054.84447920846</v>
      </c>
      <c r="D15" s="11">
        <v>4.3E-3</v>
      </c>
      <c r="E15" s="10">
        <f t="shared" si="2"/>
        <v>3327.029603963485</v>
      </c>
      <c r="F15" s="3"/>
      <c r="G15" s="26">
        <v>2.54</v>
      </c>
      <c r="H15" s="10"/>
      <c r="I15" s="10">
        <f t="shared" si="5"/>
        <v>730.42834916364552</v>
      </c>
      <c r="J15" s="10">
        <f t="shared" si="3"/>
        <v>567582887.26256156</v>
      </c>
      <c r="K15" s="11">
        <f t="shared" si="4"/>
        <v>2.980921999999997E-2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773727.81487524498</v>
      </c>
      <c r="D16" s="11">
        <v>3.8999999999999998E-3</v>
      </c>
      <c r="E16" s="10">
        <f t="shared" si="2"/>
        <v>3005.8157964075217</v>
      </c>
      <c r="F16" s="3"/>
      <c r="G16" s="26">
        <v>6.25</v>
      </c>
      <c r="H16" s="10"/>
      <c r="I16" s="10">
        <f t="shared" si="5"/>
        <v>712.33503916875895</v>
      </c>
      <c r="J16" s="10">
        <f t="shared" si="3"/>
        <v>551153433.31511593</v>
      </c>
      <c r="K16" s="11">
        <f t="shared" si="4"/>
        <v>6.6643750000000113E-2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770721.99907883746</v>
      </c>
      <c r="D17" s="11">
        <v>3.3E-3</v>
      </c>
      <c r="E17" s="10">
        <f t="shared" si="2"/>
        <v>2535.0170407257974</v>
      </c>
      <c r="F17" s="3"/>
      <c r="G17" s="26">
        <v>8.2899999999999991</v>
      </c>
      <c r="H17" s="10"/>
      <c r="I17" s="10">
        <f t="shared" si="5"/>
        <v>670.43297804118492</v>
      </c>
      <c r="J17" s="10">
        <f t="shared" si="3"/>
        <v>516717445.08428037</v>
      </c>
      <c r="K17" s="11">
        <f t="shared" si="4"/>
        <v>8.6473570000000111E-2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768186.98203811166</v>
      </c>
      <c r="D18" s="11">
        <v>2.3999999999999998E-3</v>
      </c>
      <c r="E18" s="10">
        <f t="shared" si="2"/>
        <v>1839.2345938661601</v>
      </c>
      <c r="F18" s="3"/>
      <c r="G18" s="26">
        <v>6.47</v>
      </c>
      <c r="H18" s="10"/>
      <c r="I18" s="10">
        <f t="shared" si="5"/>
        <v>619.10885404117175</v>
      </c>
      <c r="J18" s="10">
        <f t="shared" si="3"/>
        <v>475591362.13896149</v>
      </c>
      <c r="K18" s="11">
        <f t="shared" si="4"/>
        <v>6.7255279999999917E-2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766347.7474442455</v>
      </c>
      <c r="D19" s="11">
        <v>1.6999999999999999E-3</v>
      </c>
      <c r="E19" s="10">
        <f t="shared" si="2"/>
        <v>1300.580184341874</v>
      </c>
      <c r="F19" s="3"/>
      <c r="G19" s="26">
        <v>6.77</v>
      </c>
      <c r="H19" s="10"/>
      <c r="I19" s="10">
        <f t="shared" si="5"/>
        <v>581.48666670533646</v>
      </c>
      <c r="J19" s="10">
        <f t="shared" si="3"/>
        <v>445620997.19849735</v>
      </c>
      <c r="K19" s="11">
        <f t="shared" si="4"/>
        <v>6.9515090000000113E-2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765047.16725990362</v>
      </c>
      <c r="D20" s="11">
        <v>1.2999999999999999E-3</v>
      </c>
      <c r="E20" s="10">
        <f t="shared" si="2"/>
        <v>993.27006635162979</v>
      </c>
      <c r="F20" s="3"/>
      <c r="G20" s="26">
        <v>-0.29799999999999999</v>
      </c>
      <c r="H20" s="10"/>
      <c r="I20" s="10">
        <f t="shared" si="5"/>
        <v>544.6161531379006</v>
      </c>
      <c r="J20" s="10">
        <f t="shared" si="3"/>
        <v>416657045.2021367</v>
      </c>
      <c r="K20" s="11">
        <f t="shared" si="4"/>
        <v>-1.6838740000001406E-3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764053.89719355199</v>
      </c>
      <c r="D21" s="11">
        <v>1.5E-3</v>
      </c>
      <c r="E21" s="10">
        <f t="shared" si="2"/>
        <v>1144.3642993413378</v>
      </c>
      <c r="F21" s="3"/>
      <c r="G21" s="26">
        <v>6.3</v>
      </c>
      <c r="H21" s="10"/>
      <c r="I21" s="10">
        <f t="shared" si="5"/>
        <v>546.24396013911519</v>
      </c>
      <c r="J21" s="10">
        <f t="shared" si="3"/>
        <v>417359826.56273025</v>
      </c>
      <c r="K21" s="11">
        <f t="shared" si="4"/>
        <v>6.4594499999999888E-2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762909.53289421066</v>
      </c>
      <c r="D22" s="11">
        <v>2.0999999999999999E-3</v>
      </c>
      <c r="E22" s="10">
        <f t="shared" si="2"/>
        <v>1598.7526385368546</v>
      </c>
      <c r="F22" s="3"/>
      <c r="G22" s="26">
        <v>3.35</v>
      </c>
      <c r="H22" s="10"/>
      <c r="I22" s="10">
        <f t="shared" si="5"/>
        <v>513.87014124093628</v>
      </c>
      <c r="J22" s="10">
        <f t="shared" si="3"/>
        <v>392036429.42240477</v>
      </c>
      <c r="K22" s="11">
        <f t="shared" si="4"/>
        <v>3.5670349999999962E-2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761310.7802556738</v>
      </c>
      <c r="D23" s="11">
        <v>3.2000000000000002E-3</v>
      </c>
      <c r="E23" s="10">
        <f t="shared" si="2"/>
        <v>2428.4235414854484</v>
      </c>
      <c r="F23" s="3"/>
      <c r="G23" s="26">
        <v>2.4900000000000002</v>
      </c>
      <c r="H23" s="10"/>
      <c r="I23" s="10">
        <f t="shared" si="5"/>
        <v>497.21348934778541</v>
      </c>
      <c r="J23" s="10">
        <f t="shared" si="3"/>
        <v>378533989.52900869</v>
      </c>
      <c r="K23" s="11">
        <f t="shared" si="4"/>
        <v>2.817968000000004E-2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758882.35671418835</v>
      </c>
      <c r="D24" s="11">
        <v>4.1999999999999997E-3</v>
      </c>
      <c r="E24" s="10">
        <f t="shared" si="2"/>
        <v>3173.9752023497131</v>
      </c>
      <c r="F24" s="3"/>
      <c r="G24" s="26">
        <v>5.3</v>
      </c>
      <c r="H24" s="10"/>
      <c r="I24" s="10">
        <f t="shared" si="5"/>
        <v>485.13366118429644</v>
      </c>
      <c r="J24" s="10">
        <f t="shared" si="3"/>
        <v>368159376.12092143</v>
      </c>
      <c r="K24" s="11">
        <f t="shared" si="4"/>
        <v>5.742259999999999E-2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755708.38151183864</v>
      </c>
      <c r="D25" s="11">
        <v>5.0000000000000001E-3</v>
      </c>
      <c r="E25" s="10">
        <f t="shared" si="2"/>
        <v>3759.7431916011265</v>
      </c>
      <c r="F25" s="3"/>
      <c r="G25" s="26">
        <v>4.3</v>
      </c>
      <c r="H25" s="10"/>
      <c r="I25" s="10">
        <f t="shared" si="5"/>
        <v>460.7157276204145</v>
      </c>
      <c r="J25" s="10">
        <f t="shared" si="3"/>
        <v>348166736.85707253</v>
      </c>
      <c r="K25" s="11">
        <f t="shared" si="4"/>
        <v>4.8214999999999897E-2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751948.63832023751</v>
      </c>
      <c r="D26" s="11">
        <v>5.1000000000000004E-3</v>
      </c>
      <c r="E26" s="10">
        <f t="shared" si="2"/>
        <v>3815.4791119622532</v>
      </c>
      <c r="F26" s="3"/>
      <c r="G26" s="26">
        <v>4.79</v>
      </c>
      <c r="H26" s="10"/>
      <c r="I26" s="10">
        <f t="shared" si="5"/>
        <v>441.72169474632267</v>
      </c>
      <c r="J26" s="10">
        <f t="shared" si="3"/>
        <v>332152026.88100493</v>
      </c>
      <c r="K26" s="11">
        <f t="shared" si="4"/>
        <v>5.3244290000000083E-2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748133.15920827526</v>
      </c>
      <c r="D27" s="11">
        <v>4.4999999999999997E-3</v>
      </c>
      <c r="E27" s="10">
        <f t="shared" si="2"/>
        <v>3351.5173881903756</v>
      </c>
      <c r="F27" s="3"/>
      <c r="G27" s="26">
        <v>-4.09</v>
      </c>
      <c r="H27" s="10"/>
      <c r="I27" s="10">
        <f t="shared" si="5"/>
        <v>421.53038910804719</v>
      </c>
      <c r="J27" s="10">
        <f t="shared" si="3"/>
        <v>315360861.70569688</v>
      </c>
      <c r="K27" s="11">
        <f t="shared" si="4"/>
        <v>-3.658405000000009E-2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744781.64182008489</v>
      </c>
      <c r="D28" s="11">
        <v>3.3E-3</v>
      </c>
      <c r="E28" s="10">
        <f t="shared" si="2"/>
        <v>2449.695423110039</v>
      </c>
      <c r="F28" s="3"/>
      <c r="G28" s="26">
        <v>4.1100000000000003</v>
      </c>
      <c r="H28" s="10"/>
      <c r="I28" s="10">
        <f t="shared" si="5"/>
        <v>439.50619237623522</v>
      </c>
      <c r="J28" s="10">
        <f t="shared" si="3"/>
        <v>327336143.54806656</v>
      </c>
      <c r="K28" s="11">
        <f t="shared" si="4"/>
        <v>4.4535629999999937E-2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742331.94639697485</v>
      </c>
      <c r="D29" s="11">
        <v>1.8E-3</v>
      </c>
      <c r="E29" s="10">
        <f t="shared" si="2"/>
        <v>1333.7966695094947</v>
      </c>
      <c r="F29" s="3"/>
      <c r="G29" s="26">
        <v>3.93</v>
      </c>
      <c r="H29" s="10"/>
      <c r="I29" s="10">
        <f t="shared" si="5"/>
        <v>422.15559732613127</v>
      </c>
      <c r="J29" s="10">
        <f t="shared" si="3"/>
        <v>313379586.24548459</v>
      </c>
      <c r="K29" s="11">
        <f t="shared" si="4"/>
        <v>4.1170740000000094E-2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740998.14972746535</v>
      </c>
      <c r="D30" s="11">
        <v>2.9999999999999997E-4</v>
      </c>
      <c r="E30" s="10">
        <f t="shared" si="2"/>
        <v>222.2327750857221</v>
      </c>
      <c r="F30" s="3"/>
      <c r="G30" s="26">
        <v>-0.19</v>
      </c>
      <c r="H30" s="10"/>
      <c r="I30" s="10">
        <f t="shared" si="5"/>
        <v>406.19224220738124</v>
      </c>
      <c r="J30" s="10">
        <f t="shared" si="3"/>
        <v>300987699.90931994</v>
      </c>
      <c r="K30" s="11">
        <f t="shared" si="4"/>
        <v>-1.6005700000000234E-3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740775.91695237963</v>
      </c>
      <c r="D31" s="11">
        <v>-1.1999999999999999E-3</v>
      </c>
      <c r="E31" s="10">
        <f t="shared" si="2"/>
        <v>-889.99909926194232</v>
      </c>
      <c r="F31" s="3"/>
      <c r="G31" s="26">
        <v>4.82</v>
      </c>
      <c r="H31" s="10"/>
      <c r="I31" s="10">
        <f t="shared" si="5"/>
        <v>406.96547661294585</v>
      </c>
      <c r="J31" s="10">
        <f t="shared" si="3"/>
        <v>301470224.10591716</v>
      </c>
      <c r="K31" s="11">
        <f t="shared" si="4"/>
        <v>4.6942159999999955E-2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741665.91605164157</v>
      </c>
      <c r="D32" s="11">
        <v>-2.3999999999999998E-3</v>
      </c>
      <c r="E32" s="10">
        <f t="shared" si="2"/>
        <v>-1784.2804716558894</v>
      </c>
      <c r="F32" s="3"/>
      <c r="G32" s="26">
        <v>2.39</v>
      </c>
      <c r="H32" s="10"/>
      <c r="I32" s="10">
        <f t="shared" si="5"/>
        <v>388.25174261872337</v>
      </c>
      <c r="J32" s="10">
        <f t="shared" si="3"/>
        <v>287953084.34796166</v>
      </c>
      <c r="K32" s="11">
        <f t="shared" si="4"/>
        <v>2.1442640000000068E-2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743450.19652329746</v>
      </c>
      <c r="D33" s="11">
        <v>-3.3999999999999998E-3</v>
      </c>
      <c r="E33" s="10">
        <f t="shared" si="2"/>
        <v>-2536.3542727064341</v>
      </c>
      <c r="F33" s="3"/>
      <c r="G33" s="26">
        <v>-12.71</v>
      </c>
      <c r="H33" s="10"/>
      <c r="I33" s="10">
        <f t="shared" si="5"/>
        <v>379.18912258884984</v>
      </c>
      <c r="J33" s="10">
        <f t="shared" si="3"/>
        <v>281908227.70817715</v>
      </c>
      <c r="K33" s="11">
        <f t="shared" si="4"/>
        <v>-0.13006786000000004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745986.5507960039</v>
      </c>
      <c r="D34" s="11">
        <v>-3.8999999999999998E-3</v>
      </c>
      <c r="E34" s="10">
        <f t="shared" si="2"/>
        <v>-2920.7384279734688</v>
      </c>
      <c r="F34" s="3"/>
      <c r="G34" s="26">
        <v>1.4</v>
      </c>
      <c r="H34" s="10"/>
      <c r="I34" s="10">
        <f t="shared" si="5"/>
        <v>434.40156099077768</v>
      </c>
      <c r="J34" s="10">
        <f t="shared" ref="J34:J65" si="6">IF(I34="","",I34*C34)</f>
        <v>324057722.14391017</v>
      </c>
      <c r="K34" s="11">
        <f t="shared" ref="K34:K65" si="7">IFERROR(J34/J35-1,"")</f>
        <v>2.2994700000000146E-2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748907.28922397736</v>
      </c>
      <c r="D35" s="11">
        <v>-3.8999999999999998E-3</v>
      </c>
      <c r="E35" s="10">
        <f t="shared" si="2"/>
        <v>-2932.1739062077831</v>
      </c>
      <c r="F35" s="3"/>
      <c r="G35" s="26">
        <v>-1.83</v>
      </c>
      <c r="H35" s="10"/>
      <c r="I35" s="10">
        <f t="shared" ref="I35:I66" si="8">IF(H35&lt;&gt;"",H35,I34/(1+IF(G34="",0,G34)/100))</f>
        <v>422.98107204554793</v>
      </c>
      <c r="J35" s="10">
        <f t="shared" si="6"/>
        <v>316773608.05868316</v>
      </c>
      <c r="K35" s="11">
        <f t="shared" si="7"/>
        <v>4.7660699999996226E-3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751839.46313018515</v>
      </c>
      <c r="D36" s="11">
        <v>-3.3E-3</v>
      </c>
      <c r="E36" s="10">
        <f t="shared" si="2"/>
        <v>-2489.2848683953052</v>
      </c>
      <c r="F36" s="3"/>
      <c r="G36" s="26">
        <v>-2.8</v>
      </c>
      <c r="H36" s="10"/>
      <c r="I36" s="10">
        <f t="shared" si="8"/>
        <v>419.33287602413799</v>
      </c>
      <c r="J36" s="10">
        <f t="shared" si="6"/>
        <v>315271004.38282442</v>
      </c>
      <c r="K36" s="11">
        <f t="shared" si="7"/>
        <v>1.6634000000000038E-2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754328.74799858045</v>
      </c>
      <c r="D37" s="11">
        <v>-2.3999999999999998E-3</v>
      </c>
      <c r="E37" s="10">
        <f t="shared" si="2"/>
        <v>-1814.7443817126332</v>
      </c>
      <c r="F37" s="3"/>
      <c r="G37" s="26">
        <v>-4.96</v>
      </c>
      <c r="H37" s="10"/>
      <c r="I37" s="10">
        <f t="shared" si="8"/>
        <v>411.11066276876272</v>
      </c>
      <c r="J37" s="10">
        <f t="shared" si="6"/>
        <v>310112591.53522742</v>
      </c>
      <c r="K37" s="11">
        <f t="shared" si="7"/>
        <v>9.9184000000018813E-4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756143.49238029309</v>
      </c>
      <c r="D38" s="11">
        <v>-8.9999999999999998E-4</v>
      </c>
      <c r="E38" s="10">
        <f t="shared" si="2"/>
        <v>-681.14217109628953</v>
      </c>
      <c r="F38" s="3"/>
      <c r="G38" s="26">
        <v>-2.53</v>
      </c>
      <c r="H38" s="10"/>
      <c r="I38" s="10">
        <f t="shared" si="8"/>
        <v>409.71762285106905</v>
      </c>
      <c r="J38" s="10">
        <f t="shared" si="6"/>
        <v>309805314.23235911</v>
      </c>
      <c r="K38" s="11">
        <f t="shared" si="7"/>
        <v>1.0789469999999968E-2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756824.63455138938</v>
      </c>
      <c r="D39" s="11">
        <v>1E-3</v>
      </c>
      <c r="E39" s="10">
        <f t="shared" si="2"/>
        <v>756.0685659853043</v>
      </c>
      <c r="F39" s="3"/>
      <c r="G39" s="26">
        <v>-0.59</v>
      </c>
      <c r="H39" s="10"/>
      <c r="I39" s="10">
        <f t="shared" si="8"/>
        <v>404.97936428888903</v>
      </c>
      <c r="J39" s="10">
        <f t="shared" si="6"/>
        <v>306498359.37879241</v>
      </c>
      <c r="K39" s="11">
        <f t="shared" si="7"/>
        <v>-4.9059000000001296E-3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756068.56598540407</v>
      </c>
      <c r="D40" s="11">
        <v>3.3E-3</v>
      </c>
      <c r="E40" s="10">
        <f t="shared" si="2"/>
        <v>2486.8197625355097</v>
      </c>
      <c r="F40" s="3"/>
      <c r="G40" s="26">
        <v>0.97</v>
      </c>
      <c r="H40" s="10"/>
      <c r="I40" s="10">
        <f t="shared" si="8"/>
        <v>407.38292353776183</v>
      </c>
      <c r="J40" s="10">
        <f t="shared" si="6"/>
        <v>308009422.80613708</v>
      </c>
      <c r="K40" s="11">
        <f t="shared" si="7"/>
        <v>1.3032010000000094E-2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753581.74622286856</v>
      </c>
      <c r="D41" s="11">
        <v>5.8999999999999999E-3</v>
      </c>
      <c r="E41" s="10">
        <f t="shared" si="2"/>
        <v>4420.0539842081489</v>
      </c>
      <c r="F41" s="3"/>
      <c r="G41" s="26">
        <v>1.75</v>
      </c>
      <c r="H41" s="10"/>
      <c r="I41" s="10">
        <f t="shared" si="8"/>
        <v>403.46927160321064</v>
      </c>
      <c r="J41" s="10">
        <f t="shared" si="6"/>
        <v>304047078.24201632</v>
      </c>
      <c r="K41" s="11">
        <f t="shared" si="7"/>
        <v>2.3503250000000087E-2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749161.69223866041</v>
      </c>
      <c r="D42" s="11">
        <v>8.3999999999999995E-3</v>
      </c>
      <c r="E42" s="10">
        <f t="shared" si="2"/>
        <v>6240.5376981403679</v>
      </c>
      <c r="F42" s="3"/>
      <c r="G42" s="26">
        <v>-2.94</v>
      </c>
      <c r="H42" s="10"/>
      <c r="I42" s="10">
        <f t="shared" si="8"/>
        <v>396.52999666163203</v>
      </c>
      <c r="J42" s="10">
        <f t="shared" si="6"/>
        <v>297065083.32241863</v>
      </c>
      <c r="K42" s="11">
        <f t="shared" si="7"/>
        <v>-2.1246959999999815E-2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742921.15454052004</v>
      </c>
      <c r="D43" s="11">
        <v>1.09E-2</v>
      </c>
      <c r="E43" s="10">
        <f t="shared" si="2"/>
        <v>8010.5258526972029</v>
      </c>
      <c r="F43" s="3"/>
      <c r="G43" s="26">
        <v>3.8</v>
      </c>
      <c r="H43" s="10"/>
      <c r="I43" s="10">
        <f t="shared" si="8"/>
        <v>408.54110515313414</v>
      </c>
      <c r="J43" s="10">
        <f t="shared" si="6"/>
        <v>303513829.5176264</v>
      </c>
      <c r="K43" s="11">
        <f t="shared" si="7"/>
        <v>4.9314199999999975E-2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734910.62868782284</v>
      </c>
      <c r="D44" s="11">
        <v>1.34E-2</v>
      </c>
      <c r="E44" s="10">
        <f t="shared" si="2"/>
        <v>9717.5867618086049</v>
      </c>
      <c r="F44" s="3"/>
      <c r="G44" s="26">
        <v>6.18</v>
      </c>
      <c r="H44" s="10"/>
      <c r="I44" s="10">
        <f t="shared" si="8"/>
        <v>393.58487972363594</v>
      </c>
      <c r="J44" s="10">
        <f t="shared" si="6"/>
        <v>289249711.3997184</v>
      </c>
      <c r="K44" s="11">
        <f t="shared" si="7"/>
        <v>7.6028119999999921E-2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725193.04192601424</v>
      </c>
      <c r="D45" s="11">
        <v>1.5800000000000002E-2</v>
      </c>
      <c r="E45" s="10">
        <f t="shared" si="2"/>
        <v>11279.82876789826</v>
      </c>
      <c r="F45" s="3"/>
      <c r="G45" s="26">
        <v>3.78</v>
      </c>
      <c r="H45" s="10"/>
      <c r="I45" s="10">
        <f t="shared" si="8"/>
        <v>370.67703873011482</v>
      </c>
      <c r="J45" s="10">
        <f t="shared" si="6"/>
        <v>268812409.28881896</v>
      </c>
      <c r="K45" s="11">
        <f t="shared" si="7"/>
        <v>5.4197240000000146E-2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713913.21315811598</v>
      </c>
      <c r="D46" s="11">
        <v>1.84E-2</v>
      </c>
      <c r="E46" s="10">
        <f t="shared" si="2"/>
        <v>12898.667637577862</v>
      </c>
      <c r="F46" s="3"/>
      <c r="G46" s="26">
        <v>6.01</v>
      </c>
      <c r="H46" s="10"/>
      <c r="I46" s="10">
        <f t="shared" si="8"/>
        <v>357.17579372722565</v>
      </c>
      <c r="J46" s="10">
        <f t="shared" si="6"/>
        <v>254992518.56210411</v>
      </c>
      <c r="K46" s="11">
        <f t="shared" si="7"/>
        <v>7.960584000000015E-2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701014.54552053811</v>
      </c>
      <c r="D47" s="11">
        <v>2.1000000000000001E-2</v>
      </c>
      <c r="E47" s="10">
        <f t="shared" si="2"/>
        <v>14418.516607180471</v>
      </c>
      <c r="F47" s="3"/>
      <c r="G47" s="26">
        <v>5.23</v>
      </c>
      <c r="H47" s="10"/>
      <c r="I47" s="10">
        <f t="shared" si="8"/>
        <v>336.92651044922707</v>
      </c>
      <c r="J47" s="10">
        <f t="shared" si="6"/>
        <v>236190384.59638575</v>
      </c>
      <c r="K47" s="11">
        <f t="shared" si="7"/>
        <v>7.4398299999999917E-2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686596.02891335764</v>
      </c>
      <c r="D48" s="11">
        <v>2.3300000000000001E-2</v>
      </c>
      <c r="E48" s="10">
        <f t="shared" si="2"/>
        <v>15633.428587590461</v>
      </c>
      <c r="F48" s="3"/>
      <c r="G48" s="26">
        <v>4.63</v>
      </c>
      <c r="H48" s="10"/>
      <c r="I48" s="10">
        <f t="shared" si="8"/>
        <v>320.18104195498154</v>
      </c>
      <c r="J48" s="10">
        <f t="shared" si="6"/>
        <v>219835031.93963149</v>
      </c>
      <c r="K48" s="11">
        <f t="shared" si="7"/>
        <v>7.0678790000000102E-2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670962.60032576718</v>
      </c>
      <c r="D49" s="11">
        <v>2.5100000000000001E-2</v>
      </c>
      <c r="E49" s="10">
        <f t="shared" si="2"/>
        <v>16428.798427642905</v>
      </c>
      <c r="F49" s="3"/>
      <c r="G49" s="26">
        <v>5.67</v>
      </c>
      <c r="H49" s="10"/>
      <c r="I49" s="10">
        <f t="shared" si="8"/>
        <v>306.01265598297005</v>
      </c>
      <c r="J49" s="10">
        <f t="shared" si="6"/>
        <v>205323047.39092803</v>
      </c>
      <c r="K49" s="11">
        <f t="shared" si="7"/>
        <v>8.3223170000000124E-2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654533.80189812428</v>
      </c>
      <c r="D50" s="11">
        <v>2.64E-2</v>
      </c>
      <c r="E50" s="10">
        <f t="shared" si="2"/>
        <v>16835.241981791216</v>
      </c>
      <c r="F50" s="3"/>
      <c r="G50" s="26">
        <v>6.72</v>
      </c>
      <c r="H50" s="10"/>
      <c r="I50" s="10">
        <f t="shared" si="8"/>
        <v>289.59274721583233</v>
      </c>
      <c r="J50" s="10">
        <f t="shared" si="6"/>
        <v>189548241.83730119</v>
      </c>
      <c r="K50" s="11">
        <f t="shared" si="7"/>
        <v>9.5374080000000028E-2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637698.55991633306</v>
      </c>
      <c r="D51" s="11">
        <v>2.7199999999999998E-2</v>
      </c>
      <c r="E51" s="10">
        <f t="shared" si="2"/>
        <v>16886.098938594456</v>
      </c>
      <c r="F51" s="3"/>
      <c r="G51" s="26">
        <v>4</v>
      </c>
      <c r="H51" s="10"/>
      <c r="I51" s="10">
        <f t="shared" si="8"/>
        <v>271.35752175396584</v>
      </c>
      <c r="J51" s="10">
        <f t="shared" si="6"/>
        <v>173044300.84496903</v>
      </c>
      <c r="K51" s="11">
        <f t="shared" si="7"/>
        <v>6.8287999999999904E-2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620812.46097773861</v>
      </c>
      <c r="D52" s="11">
        <v>2.7400000000000001E-2</v>
      </c>
      <c r="E52" s="10">
        <f t="shared" si="2"/>
        <v>16556.610308341566</v>
      </c>
      <c r="F52" s="3"/>
      <c r="G52" s="26">
        <v>8.2100000000000009</v>
      </c>
      <c r="H52" s="10"/>
      <c r="I52" s="10">
        <f t="shared" si="8"/>
        <v>260.9206939941979</v>
      </c>
      <c r="J52" s="10">
        <f t="shared" si="6"/>
        <v>161982818.15855747</v>
      </c>
      <c r="K52" s="11">
        <f t="shared" si="7"/>
        <v>0.11174954000000015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604255.85066939704</v>
      </c>
      <c r="D53" s="11">
        <v>2.7199999999999998E-2</v>
      </c>
      <c r="E53" s="10">
        <f t="shared" si="2"/>
        <v>16000.544332367135</v>
      </c>
      <c r="F53" s="3"/>
      <c r="G53" s="26">
        <v>6.29</v>
      </c>
      <c r="H53" s="10"/>
      <c r="I53" s="10">
        <f t="shared" si="8"/>
        <v>241.12438221439598</v>
      </c>
      <c r="J53" s="10">
        <f t="shared" si="6"/>
        <v>145700818.69209269</v>
      </c>
      <c r="K53" s="11">
        <f t="shared" si="7"/>
        <v>9.1810879999999928E-2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588255.30633702991</v>
      </c>
      <c r="D54" s="11">
        <v>2.69E-2</v>
      </c>
      <c r="E54" s="10">
        <f t="shared" si="2"/>
        <v>15409.550823318772</v>
      </c>
      <c r="F54" s="3"/>
      <c r="G54" s="26">
        <v>17.329999999999998</v>
      </c>
      <c r="H54" s="10"/>
      <c r="I54" s="10">
        <f t="shared" si="8"/>
        <v>226.85519071821994</v>
      </c>
      <c r="J54" s="10">
        <f t="shared" si="6"/>
        <v>133448769.71009181</v>
      </c>
      <c r="K54" s="11">
        <f t="shared" si="7"/>
        <v>0.20486176999999994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572845.75551371113</v>
      </c>
      <c r="D55" s="11">
        <v>2.6599999999999999E-2</v>
      </c>
      <c r="E55" s="10">
        <f t="shared" si="2"/>
        <v>14842.876579646138</v>
      </c>
      <c r="F55" s="3"/>
      <c r="G55" s="26">
        <v>33.630000000000003</v>
      </c>
      <c r="H55" s="10"/>
      <c r="I55" s="10">
        <f t="shared" si="8"/>
        <v>193.34798492987295</v>
      </c>
      <c r="J55" s="10">
        <f t="shared" si="6"/>
        <v>110758572.5042067</v>
      </c>
      <c r="K55" s="11">
        <f t="shared" si="7"/>
        <v>0.37184558000000023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558002.878934065</v>
      </c>
      <c r="D56" s="11">
        <v>2.6499999999999999E-2</v>
      </c>
      <c r="E56" s="10">
        <f t="shared" si="2"/>
        <v>14405.334916466381</v>
      </c>
      <c r="F56" s="3"/>
      <c r="G56" s="26">
        <v>14.72</v>
      </c>
      <c r="H56" s="10"/>
      <c r="I56" s="10">
        <f t="shared" si="8"/>
        <v>144.6890555488086</v>
      </c>
      <c r="J56" s="10">
        <f t="shared" si="6"/>
        <v>80736909.54648605</v>
      </c>
      <c r="K56" s="11">
        <f t="shared" si="7"/>
        <v>0.1776008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543597.54401759862</v>
      </c>
      <c r="D57" s="11">
        <v>2.6599999999999999E-2</v>
      </c>
      <c r="E57" s="10">
        <f t="shared" si="2"/>
        <v>14085.032798429835</v>
      </c>
      <c r="F57" s="3"/>
      <c r="G57" s="26">
        <v>8.49</v>
      </c>
      <c r="H57" s="10"/>
      <c r="I57" s="10">
        <f t="shared" si="8"/>
        <v>126.12365372106747</v>
      </c>
      <c r="J57" s="10">
        <f t="shared" si="6"/>
        <v>68560508.405298337</v>
      </c>
      <c r="K57" s="11">
        <f t="shared" si="7"/>
        <v>0.11375833999999974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529512.51121916878</v>
      </c>
      <c r="D58" s="11">
        <v>2.7099999999999999E-2</v>
      </c>
      <c r="E58" s="10">
        <f t="shared" si="2"/>
        <v>13971.170337882824</v>
      </c>
      <c r="F58" s="3"/>
      <c r="G58" s="26">
        <v>11.66</v>
      </c>
      <c r="H58" s="10"/>
      <c r="I58" s="10">
        <f t="shared" si="8"/>
        <v>116.25371344922802</v>
      </c>
      <c r="J58" s="10">
        <f t="shared" si="6"/>
        <v>61557795.747054383</v>
      </c>
      <c r="K58" s="11">
        <f t="shared" si="7"/>
        <v>0.14685986000000018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515541.34088128596</v>
      </c>
      <c r="D59" s="11">
        <v>2.7900000000000001E-2</v>
      </c>
      <c r="E59" s="10">
        <f t="shared" si="2"/>
        <v>13993.193317042431</v>
      </c>
      <c r="F59" s="3"/>
      <c r="G59" s="26">
        <v>-0.88</v>
      </c>
      <c r="H59" s="10"/>
      <c r="I59" s="10">
        <f t="shared" si="8"/>
        <v>104.11401885118038</v>
      </c>
      <c r="J59" s="10">
        <f t="shared" si="6"/>
        <v>53675080.883077011</v>
      </c>
      <c r="K59" s="11">
        <f t="shared" si="7"/>
        <v>1.8854480000000118E-2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501548.14756424353</v>
      </c>
      <c r="D60" s="11">
        <v>2.9000000000000001E-2</v>
      </c>
      <c r="E60" s="10">
        <f t="shared" si="2"/>
        <v>14134.981806961121</v>
      </c>
      <c r="F60" s="3"/>
      <c r="G60" s="26">
        <v>-0.68</v>
      </c>
      <c r="H60" s="10"/>
      <c r="I60" s="10">
        <f t="shared" si="8"/>
        <v>105.0383563873894</v>
      </c>
      <c r="J60" s="10">
        <f t="shared" si="6"/>
        <v>52681793.069287978</v>
      </c>
      <c r="K60" s="11">
        <f t="shared" si="7"/>
        <v>2.2002799999999878E-2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487413.1657572824</v>
      </c>
      <c r="D61" s="11">
        <v>3.0300000000000001E-2</v>
      </c>
      <c r="E61" s="10">
        <f t="shared" si="2"/>
        <v>14334.289937344147</v>
      </c>
      <c r="F61" s="3"/>
      <c r="G61" s="26">
        <v>6.95</v>
      </c>
      <c r="H61" s="10"/>
      <c r="I61" s="10">
        <f t="shared" si="8"/>
        <v>105.75750743796758</v>
      </c>
      <c r="J61" s="10">
        <f t="shared" si="6"/>
        <v>51547601.50293912</v>
      </c>
      <c r="K61" s="11">
        <f t="shared" si="7"/>
        <v>0.10190585000000008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473078.87581993826</v>
      </c>
      <c r="D62" s="11">
        <v>3.1699999999999999E-2</v>
      </c>
      <c r="E62" s="10">
        <f t="shared" si="2"/>
        <v>14535.81502713199</v>
      </c>
      <c r="F62" s="3"/>
      <c r="G62" s="26">
        <v>5.65</v>
      </c>
      <c r="H62" s="10"/>
      <c r="I62" s="10">
        <f t="shared" si="8"/>
        <v>98.884999941998657</v>
      </c>
      <c r="J62" s="10">
        <f t="shared" si="6"/>
        <v>46780404.608015388</v>
      </c>
      <c r="K62" s="11">
        <f t="shared" si="7"/>
        <v>8.9991050000000294E-2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458543.06079280627</v>
      </c>
      <c r="D63" s="11">
        <v>3.2599999999999997E-2</v>
      </c>
      <c r="E63" s="10">
        <f t="shared" si="2"/>
        <v>14476.567675620259</v>
      </c>
      <c r="F63" s="3"/>
      <c r="G63" s="26">
        <v>2.21</v>
      </c>
      <c r="H63" s="10"/>
      <c r="I63" s="10">
        <f t="shared" si="8"/>
        <v>93.596781771887038</v>
      </c>
      <c r="J63" s="10">
        <f t="shared" si="6"/>
        <v>42918154.794037417</v>
      </c>
      <c r="K63" s="11">
        <f t="shared" si="7"/>
        <v>5.5420460000000116E-2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444066.49311718601</v>
      </c>
      <c r="D64" s="11">
        <v>3.3000000000000002E-2</v>
      </c>
      <c r="E64" s="10">
        <f t="shared" si="2"/>
        <v>14186.054475185985</v>
      </c>
      <c r="F64" s="3"/>
      <c r="G64" s="26">
        <v>1.24</v>
      </c>
      <c r="H64" s="10"/>
      <c r="I64" s="10">
        <f t="shared" si="8"/>
        <v>91.573018072485112</v>
      </c>
      <c r="J64" s="10">
        <f t="shared" si="6"/>
        <v>40664508.999605156</v>
      </c>
      <c r="K64" s="11">
        <f t="shared" si="7"/>
        <v>4.5809199999999883E-2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429880.43864200002</v>
      </c>
      <c r="D65" s="11">
        <v>3.27E-2</v>
      </c>
      <c r="E65" s="10">
        <f t="shared" si="2"/>
        <v>13611.978642000002</v>
      </c>
      <c r="F65" s="3"/>
      <c r="G65" s="26">
        <v>10.14</v>
      </c>
      <c r="H65" s="10"/>
      <c r="I65" s="10">
        <f t="shared" si="8"/>
        <v>90.451420458796051</v>
      </c>
      <c r="J65" s="10">
        <f t="shared" si="6"/>
        <v>38883296.302619219</v>
      </c>
      <c r="K65" s="11">
        <f t="shared" si="7"/>
        <v>0.13741577999999999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416268.46</v>
      </c>
      <c r="D66" s="11">
        <v>3.1899999999999998E-2</v>
      </c>
      <c r="E66" s="10">
        <f t="shared" si="2"/>
        <v>12868.460000000021</v>
      </c>
      <c r="F66" s="23">
        <f>SUM(F2)</f>
        <v>828597</v>
      </c>
      <c r="G66" s="26">
        <v>-15.71</v>
      </c>
      <c r="H66" s="10"/>
      <c r="I66" s="10">
        <f t="shared" si="8"/>
        <v>82.124042544757629</v>
      </c>
      <c r="J66" s="10">
        <f t="shared" ref="J66:J67" si="9">IF(I66="","",I66*C66)</f>
        <v>34185648.719080739</v>
      </c>
      <c r="K66" s="11">
        <f t="shared" ref="K66" si="10">IFERROR(J66/J67-1,"")</f>
        <v>-0.13021148999999999</v>
      </c>
    </row>
    <row r="67" spans="1:11" ht="22.5" customHeight="1">
      <c r="A67" s="3">
        <f t="shared" si="0"/>
        <v>1950</v>
      </c>
      <c r="B67" s="3">
        <v>1700</v>
      </c>
      <c r="C67" s="10">
        <v>403400</v>
      </c>
      <c r="D67" s="11">
        <v>3.0700000000000002E-2</v>
      </c>
      <c r="E67" s="3" t="s">
        <v>72</v>
      </c>
      <c r="F67" s="10">
        <f>SUM(C2)</f>
        <v>828524.87043991906</v>
      </c>
      <c r="G67" s="26">
        <v>8</v>
      </c>
      <c r="H67" s="10"/>
      <c r="I67" s="10">
        <f t="shared" ref="I67" si="11">IF(H67&lt;&gt;"",H67,I66/(1+IF(G66="",0,G66)/100))</f>
        <v>97.43035062849404</v>
      </c>
      <c r="J67" s="10">
        <f t="shared" si="9"/>
        <v>39303403.443534493</v>
      </c>
      <c r="K67" s="11"/>
    </row>
  </sheetData>
  <dataValidations count="1">
    <dataValidation type="custom" allowBlank="1" showDropDown="1" sqref="D2:D67" xr:uid="{00000000-0002-0000-9D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M67"/>
  <sheetViews>
    <sheetView topLeftCell="A3" workbookViewId="0">
      <selection activeCell="G28" sqref="G2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53303587.228047103</v>
      </c>
      <c r="D2" s="11">
        <v>9.1000000000000004E-3</v>
      </c>
      <c r="E2" s="10">
        <f t="shared" ref="E2:E66" si="2">SUM(C2-C3)</f>
        <v>480688.379521586</v>
      </c>
      <c r="F2" s="14">
        <v>53302916</v>
      </c>
      <c r="G2" s="26">
        <v>2.7</v>
      </c>
      <c r="H2" s="10"/>
      <c r="I2" s="10">
        <f>IF(H2&lt;&gt;"",H2,80952)</f>
        <v>10119</v>
      </c>
      <c r="J2" s="10">
        <f t="shared" ref="J2:J33" si="3">IF(I2="","",I2*C2)</f>
        <v>539378999160.60864</v>
      </c>
      <c r="K2" s="11">
        <f t="shared" ref="K2:K33" si="4">IFERROR(J2/J3-1,"")</f>
        <v>3.6345700000000036E-2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52822898.848525517</v>
      </c>
      <c r="D3" s="11">
        <v>9.5999999999999992E-3</v>
      </c>
      <c r="E3" s="10">
        <f t="shared" si="2"/>
        <v>502277.96052481234</v>
      </c>
      <c r="F3" s="3"/>
      <c r="G3" s="26">
        <v>3.1</v>
      </c>
      <c r="H3" s="10"/>
      <c r="I3" s="10">
        <f t="shared" ref="I3:I34" si="5">IF(H3&lt;&gt;"",H3,I2/(1+IF(G2="",0,G2)/100))</f>
        <v>9852.9698149951328</v>
      </c>
      <c r="J3" s="10">
        <f t="shared" si="3"/>
        <v>520462427895.06305</v>
      </c>
      <c r="K3" s="11">
        <f t="shared" si="4"/>
        <v>4.0897600000000089E-2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52320620.888000704</v>
      </c>
      <c r="D4" s="11">
        <v>1.0200000000000001E-2</v>
      </c>
      <c r="E4" s="10">
        <f t="shared" si="2"/>
        <v>528281.85810493678</v>
      </c>
      <c r="F4" s="3"/>
      <c r="G4" s="26">
        <v>1</v>
      </c>
      <c r="H4" s="10"/>
      <c r="I4" s="10">
        <f t="shared" si="5"/>
        <v>9556.7117507227285</v>
      </c>
      <c r="J4" s="10">
        <f t="shared" si="3"/>
        <v>500013092445.46539</v>
      </c>
      <c r="K4" s="11">
        <f t="shared" si="4"/>
        <v>2.0302000000000042E-2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51792339.029895768</v>
      </c>
      <c r="D5" s="11">
        <v>1.09E-2</v>
      </c>
      <c r="E5" s="10">
        <f t="shared" si="2"/>
        <v>558449.39699857682</v>
      </c>
      <c r="F5" s="3"/>
      <c r="G5" s="26">
        <v>7.2</v>
      </c>
      <c r="H5" s="10"/>
      <c r="I5" s="10">
        <f t="shared" si="5"/>
        <v>9462.0908422997309</v>
      </c>
      <c r="J5" s="10">
        <f t="shared" si="3"/>
        <v>490063816836.05969</v>
      </c>
      <c r="K5" s="11">
        <f t="shared" si="4"/>
        <v>8.3684799999999893E-2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51233889.632897191</v>
      </c>
      <c r="D6" s="11">
        <v>1.1599999999999999E-2</v>
      </c>
      <c r="E6" s="10">
        <f t="shared" si="2"/>
        <v>587498.14130250365</v>
      </c>
      <c r="F6" s="3"/>
      <c r="G6" s="26">
        <v>7.5</v>
      </c>
      <c r="H6" s="10"/>
      <c r="I6" s="10">
        <f t="shared" si="5"/>
        <v>8826.5772782646745</v>
      </c>
      <c r="J6" s="10">
        <f t="shared" si="3"/>
        <v>452219886110.8504</v>
      </c>
      <c r="K6" s="11">
        <f t="shared" si="4"/>
        <v>8.7470000000000159E-2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50646391.491594687</v>
      </c>
      <c r="D7" s="11">
        <v>1.23E-2</v>
      </c>
      <c r="E7" s="10">
        <f t="shared" si="2"/>
        <v>615381.42383345962</v>
      </c>
      <c r="F7" s="3"/>
      <c r="G7" s="26">
        <v>-0.8</v>
      </c>
      <c r="H7" s="10"/>
      <c r="I7" s="10">
        <f t="shared" si="5"/>
        <v>8210.7695611764411</v>
      </c>
      <c r="J7" s="10">
        <f t="shared" si="3"/>
        <v>415845849642.61115</v>
      </c>
      <c r="K7" s="11">
        <f t="shared" si="4"/>
        <v>4.2016000000000275E-3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50031010.067761227</v>
      </c>
      <c r="D8" s="11">
        <v>1.2500000000000001E-2</v>
      </c>
      <c r="E8" s="10">
        <f t="shared" si="2"/>
        <v>617666.79096001387</v>
      </c>
      <c r="F8" s="3"/>
      <c r="G8" s="26">
        <v>1.7</v>
      </c>
      <c r="H8" s="10"/>
      <c r="I8" s="10">
        <f t="shared" si="5"/>
        <v>8276.985444734315</v>
      </c>
      <c r="J8" s="10">
        <f t="shared" si="3"/>
        <v>414105942116.21564</v>
      </c>
      <c r="K8" s="11">
        <f t="shared" si="4"/>
        <v>2.9712499999999809E-2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49413343.276801214</v>
      </c>
      <c r="D9" s="11">
        <v>1.2200000000000001E-2</v>
      </c>
      <c r="E9" s="10">
        <f t="shared" si="2"/>
        <v>595576.75160736591</v>
      </c>
      <c r="F9" s="3"/>
      <c r="G9" s="26">
        <v>0.7</v>
      </c>
      <c r="H9" s="10"/>
      <c r="I9" s="10">
        <f t="shared" si="5"/>
        <v>8138.6287558842832</v>
      </c>
      <c r="J9" s="10">
        <f t="shared" si="3"/>
        <v>402156856516.95569</v>
      </c>
      <c r="K9" s="11">
        <f t="shared" si="4"/>
        <v>1.9285400000000008E-2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48817766.525193848</v>
      </c>
      <c r="D10" s="11">
        <v>1.18E-2</v>
      </c>
      <c r="E10" s="10">
        <f t="shared" si="2"/>
        <v>569331.53290896118</v>
      </c>
      <c r="F10" s="3"/>
      <c r="G10" s="26">
        <v>5</v>
      </c>
      <c r="H10" s="10"/>
      <c r="I10" s="10">
        <f t="shared" si="5"/>
        <v>8082.0543752574813</v>
      </c>
      <c r="J10" s="10">
        <f t="shared" si="3"/>
        <v>394547843535.24115</v>
      </c>
      <c r="K10" s="11">
        <f t="shared" si="4"/>
        <v>6.2390000000000168E-2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48248434.992284887</v>
      </c>
      <c r="D11" s="11">
        <v>1.15E-2</v>
      </c>
      <c r="E11" s="10">
        <f t="shared" si="2"/>
        <v>548548.69244812429</v>
      </c>
      <c r="F11" s="3"/>
      <c r="G11" s="26">
        <v>5.4</v>
      </c>
      <c r="H11" s="10"/>
      <c r="I11" s="10">
        <f t="shared" si="5"/>
        <v>7697.1946431023625</v>
      </c>
      <c r="J11" s="10">
        <f t="shared" si="3"/>
        <v>371377595360.68781</v>
      </c>
      <c r="K11" s="11">
        <f t="shared" si="4"/>
        <v>6.6121000000000096E-2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47699886.299836762</v>
      </c>
      <c r="D12" s="11">
        <v>1.1599999999999999E-2</v>
      </c>
      <c r="E12" s="10">
        <f t="shared" si="2"/>
        <v>546973.78517013788</v>
      </c>
      <c r="F12" s="3"/>
      <c r="G12" s="26">
        <v>6.3</v>
      </c>
      <c r="H12" s="10"/>
      <c r="I12" s="10">
        <f t="shared" si="5"/>
        <v>7302.8412173646702</v>
      </c>
      <c r="J12" s="10">
        <f t="shared" si="3"/>
        <v>348344695734.05627</v>
      </c>
      <c r="K12" s="11">
        <f t="shared" si="4"/>
        <v>7.5330800000000142E-2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47152912.514666624</v>
      </c>
      <c r="D13" s="11">
        <v>1.2E-2</v>
      </c>
      <c r="E13" s="10">
        <f t="shared" si="2"/>
        <v>559125.44483794272</v>
      </c>
      <c r="F13" s="3"/>
      <c r="G13" s="26">
        <v>4.2</v>
      </c>
      <c r="H13" s="10"/>
      <c r="I13" s="10">
        <f t="shared" si="5"/>
        <v>6870.0293672292291</v>
      </c>
      <c r="J13" s="10">
        <f t="shared" si="3"/>
        <v>323941893726.15033</v>
      </c>
      <c r="K13" s="11">
        <f t="shared" si="4"/>
        <v>5.4504000000000108E-2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46593787.069828682</v>
      </c>
      <c r="D14" s="11">
        <v>1.24E-2</v>
      </c>
      <c r="E14" s="10">
        <f t="shared" si="2"/>
        <v>570686.44771421701</v>
      </c>
      <c r="F14" s="3"/>
      <c r="G14" s="26">
        <v>6.2</v>
      </c>
      <c r="H14" s="10"/>
      <c r="I14" s="10">
        <f t="shared" si="5"/>
        <v>6593.1183946537703</v>
      </c>
      <c r="J14" s="10">
        <f t="shared" si="3"/>
        <v>307198354606.66846</v>
      </c>
      <c r="K14" s="11">
        <f t="shared" si="4"/>
        <v>7.5168800000000147E-2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46023100.622114465</v>
      </c>
      <c r="D15" s="11">
        <v>1.29E-2</v>
      </c>
      <c r="E15" s="10">
        <f t="shared" si="2"/>
        <v>586136.83288110793</v>
      </c>
      <c r="F15" s="3"/>
      <c r="G15" s="26">
        <v>3.4</v>
      </c>
      <c r="H15" s="10"/>
      <c r="I15" s="10">
        <f t="shared" si="5"/>
        <v>6208.2094111617416</v>
      </c>
      <c r="J15" s="10">
        <f t="shared" si="3"/>
        <v>285721046413.05481</v>
      </c>
      <c r="K15" s="11">
        <f t="shared" si="4"/>
        <v>4.7338599999999786E-2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45436963.789233357</v>
      </c>
      <c r="D16" s="11">
        <v>1.38E-2</v>
      </c>
      <c r="E16" s="10">
        <f t="shared" si="2"/>
        <v>618494.87107064575</v>
      </c>
      <c r="F16" s="3"/>
      <c r="G16" s="26">
        <v>7.2</v>
      </c>
      <c r="H16" s="10"/>
      <c r="I16" s="10">
        <f t="shared" si="5"/>
        <v>6004.0709972550694</v>
      </c>
      <c r="J16" s="10">
        <f t="shared" si="3"/>
        <v>272806756490.2648</v>
      </c>
      <c r="K16" s="11">
        <f t="shared" si="4"/>
        <v>8.6793600000000026E-2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44818468.918162711</v>
      </c>
      <c r="D17" s="11">
        <v>1.52E-2</v>
      </c>
      <c r="E17" s="10">
        <f t="shared" si="2"/>
        <v>671040.90578810126</v>
      </c>
      <c r="F17" s="3"/>
      <c r="G17" s="26">
        <v>4.5999999999999996</v>
      </c>
      <c r="H17" s="10"/>
      <c r="I17" s="10">
        <f t="shared" si="5"/>
        <v>5600.8124974394304</v>
      </c>
      <c r="J17" s="10">
        <f t="shared" si="3"/>
        <v>251019840832.94638</v>
      </c>
      <c r="K17" s="11">
        <f t="shared" si="4"/>
        <v>6.1899200000000265E-2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44147428.01237461</v>
      </c>
      <c r="D18" s="11">
        <v>1.6899999999999998E-2</v>
      </c>
      <c r="E18" s="10">
        <f t="shared" si="2"/>
        <v>733692.13630556315</v>
      </c>
      <c r="F18" s="3"/>
      <c r="G18" s="26">
        <v>4.5</v>
      </c>
      <c r="H18" s="10"/>
      <c r="I18" s="10">
        <f t="shared" si="5"/>
        <v>5354.5052556782312</v>
      </c>
      <c r="J18" s="10">
        <f t="shared" si="3"/>
        <v>236387635316.93622</v>
      </c>
      <c r="K18" s="11">
        <f t="shared" si="4"/>
        <v>6.2660500000000008E-2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43413735.876069047</v>
      </c>
      <c r="D19" s="11">
        <v>1.84E-2</v>
      </c>
      <c r="E19" s="10">
        <f t="shared" si="2"/>
        <v>784380.14544350654</v>
      </c>
      <c r="F19" s="3"/>
      <c r="G19" s="26">
        <v>2.8</v>
      </c>
      <c r="H19" s="10"/>
      <c r="I19" s="10">
        <f t="shared" si="5"/>
        <v>5123.9284743332355</v>
      </c>
      <c r="J19" s="10">
        <f t="shared" si="3"/>
        <v>222448877432.57251</v>
      </c>
      <c r="K19" s="11">
        <f t="shared" si="4"/>
        <v>4.6915199999999935E-2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42629355.73062554</v>
      </c>
      <c r="D20" s="11">
        <v>1.9300000000000001E-2</v>
      </c>
      <c r="E20" s="10">
        <f t="shared" si="2"/>
        <v>807168.21897485852</v>
      </c>
      <c r="F20" s="3"/>
      <c r="G20" s="26">
        <v>7.6</v>
      </c>
      <c r="H20" s="10"/>
      <c r="I20" s="10">
        <f t="shared" si="5"/>
        <v>4984.3662201685165</v>
      </c>
      <c r="J20" s="10">
        <f t="shared" si="3"/>
        <v>212480320691.2771</v>
      </c>
      <c r="K20" s="11">
        <f t="shared" si="4"/>
        <v>9.6766800000000153E-2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41822187.511650681</v>
      </c>
      <c r="D21" s="11">
        <v>1.95E-2</v>
      </c>
      <c r="E21" s="10">
        <f t="shared" si="2"/>
        <v>799933.94455830753</v>
      </c>
      <c r="F21" s="3"/>
      <c r="G21" s="26">
        <v>5.7</v>
      </c>
      <c r="H21" s="10"/>
      <c r="I21" s="10">
        <f t="shared" si="5"/>
        <v>4632.3106135395128</v>
      </c>
      <c r="J21" s="10">
        <f t="shared" si="3"/>
        <v>193733363091.65912</v>
      </c>
      <c r="K21" s="11">
        <f t="shared" si="4"/>
        <v>7.7611499999999944E-2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41022253.567092374</v>
      </c>
      <c r="D22" s="11">
        <v>1.9599999999999999E-2</v>
      </c>
      <c r="E22" s="10">
        <f t="shared" si="2"/>
        <v>788580.00187820196</v>
      </c>
      <c r="F22" s="3"/>
      <c r="G22" s="26">
        <v>8.1</v>
      </c>
      <c r="H22" s="10"/>
      <c r="I22" s="10">
        <f t="shared" si="5"/>
        <v>4382.5076760071079</v>
      </c>
      <c r="J22" s="10">
        <f t="shared" si="3"/>
        <v>179780341144.8923</v>
      </c>
      <c r="K22" s="11">
        <f t="shared" si="4"/>
        <v>0.10218760000000016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40233673.565214172</v>
      </c>
      <c r="D23" s="11">
        <v>1.9900000000000001E-2</v>
      </c>
      <c r="E23" s="10">
        <f t="shared" si="2"/>
        <v>785028.04583563656</v>
      </c>
      <c r="F23" s="3"/>
      <c r="G23" s="26">
        <v>8.3000000000000007</v>
      </c>
      <c r="H23" s="10"/>
      <c r="I23" s="10">
        <f t="shared" si="5"/>
        <v>4054.1236595810433</v>
      </c>
      <c r="J23" s="10">
        <f t="shared" si="3"/>
        <v>163112287912.59515</v>
      </c>
      <c r="K23" s="11">
        <f t="shared" si="4"/>
        <v>0.10455170000000003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39448645.519378535</v>
      </c>
      <c r="D24" s="11">
        <v>2.0299999999999999E-2</v>
      </c>
      <c r="E24" s="10">
        <f t="shared" si="2"/>
        <v>784874.55066488683</v>
      </c>
      <c r="F24" s="3"/>
      <c r="G24" s="26">
        <v>8.1</v>
      </c>
      <c r="H24" s="10"/>
      <c r="I24" s="10">
        <f t="shared" si="5"/>
        <v>3743.4198149409449</v>
      </c>
      <c r="J24" s="10">
        <f t="shared" si="3"/>
        <v>147672841309.82294</v>
      </c>
      <c r="K24" s="11">
        <f t="shared" si="4"/>
        <v>0.1029443000000001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38663770.968713649</v>
      </c>
      <c r="D25" s="11">
        <v>2.06E-2</v>
      </c>
      <c r="E25" s="10">
        <f t="shared" si="2"/>
        <v>780397.4935875982</v>
      </c>
      <c r="F25" s="3"/>
      <c r="G25" s="26">
        <v>8.6</v>
      </c>
      <c r="H25" s="10"/>
      <c r="I25" s="10">
        <f t="shared" si="5"/>
        <v>3462.9230480489778</v>
      </c>
      <c r="J25" s="10">
        <f t="shared" si="3"/>
        <v>133889663612.04544</v>
      </c>
      <c r="K25" s="11">
        <f t="shared" si="4"/>
        <v>0.1083715999999999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37883373.47512605</v>
      </c>
      <c r="D26" s="11">
        <v>2.0799999999999999E-2</v>
      </c>
      <c r="E26" s="10">
        <f t="shared" si="2"/>
        <v>771918.26830194145</v>
      </c>
      <c r="F26" s="3"/>
      <c r="G26" s="26">
        <v>8.1</v>
      </c>
      <c r="H26" s="10"/>
      <c r="I26" s="10">
        <f t="shared" si="5"/>
        <v>3188.6952560303662</v>
      </c>
      <c r="J26" s="10">
        <f t="shared" si="3"/>
        <v>120798533282.56105</v>
      </c>
      <c r="K26" s="11">
        <f t="shared" si="4"/>
        <v>0.10348480000000015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37111455.206824109</v>
      </c>
      <c r="D27" s="11">
        <v>2.0899999999999998E-2</v>
      </c>
      <c r="E27" s="10">
        <f t="shared" si="2"/>
        <v>759750.62574455887</v>
      </c>
      <c r="F27" s="3"/>
      <c r="G27" s="26">
        <v>-2.2000000000000002</v>
      </c>
      <c r="H27" s="10"/>
      <c r="I27" s="10">
        <f t="shared" si="5"/>
        <v>2949.7643441539003</v>
      </c>
      <c r="J27" s="10">
        <f t="shared" si="3"/>
        <v>109470047328.75436</v>
      </c>
      <c r="K27" s="11">
        <f t="shared" si="4"/>
        <v>-1.5598000000001111E-3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36351704.58107955</v>
      </c>
      <c r="D28" s="11">
        <v>2.1000000000000001E-2</v>
      </c>
      <c r="E28" s="10">
        <f t="shared" si="2"/>
        <v>747684.42331308872</v>
      </c>
      <c r="F28" s="3"/>
      <c r="G28" s="26">
        <v>11.2</v>
      </c>
      <c r="H28" s="10"/>
      <c r="I28" s="10">
        <f t="shared" si="5"/>
        <v>3016.1189613025567</v>
      </c>
      <c r="J28" s="10">
        <f t="shared" si="3"/>
        <v>109641065462.66304</v>
      </c>
      <c r="K28" s="11">
        <f t="shared" si="4"/>
        <v>0.13535199999999969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35604020.157766461</v>
      </c>
      <c r="D29" s="11">
        <v>2.12E-2</v>
      </c>
      <c r="E29" s="10">
        <f t="shared" si="2"/>
        <v>739135.55360815674</v>
      </c>
      <c r="F29" s="3"/>
      <c r="G29" s="26">
        <v>9.5</v>
      </c>
      <c r="H29" s="10"/>
      <c r="I29" s="10">
        <f t="shared" si="5"/>
        <v>2712.3371954159679</v>
      </c>
      <c r="J29" s="10">
        <f t="shared" si="3"/>
        <v>96570108180.249878</v>
      </c>
      <c r="K29" s="11">
        <f t="shared" si="4"/>
        <v>0.11821399999999982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34864884.604158305</v>
      </c>
      <c r="D30" s="11">
        <v>2.1299999999999999E-2</v>
      </c>
      <c r="E30" s="10">
        <f t="shared" si="2"/>
        <v>727134.08603601158</v>
      </c>
      <c r="F30" s="3"/>
      <c r="G30" s="26">
        <v>13.3</v>
      </c>
      <c r="H30" s="10"/>
      <c r="I30" s="10">
        <f t="shared" si="5"/>
        <v>2477.0202697862724</v>
      </c>
      <c r="J30" s="10">
        <f t="shared" si="3"/>
        <v>86361025868.25946</v>
      </c>
      <c r="K30" s="11">
        <f t="shared" si="4"/>
        <v>0.15713290000000013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34137750.518122293</v>
      </c>
      <c r="D31" s="11">
        <v>2.1299999999999999E-2</v>
      </c>
      <c r="E31" s="10">
        <f t="shared" si="2"/>
        <v>711969.14328405634</v>
      </c>
      <c r="F31" s="3"/>
      <c r="G31" s="26">
        <v>4.7</v>
      </c>
      <c r="H31" s="10"/>
      <c r="I31" s="10">
        <f t="shared" si="5"/>
        <v>2186.2491348510789</v>
      </c>
      <c r="J31" s="10">
        <f t="shared" si="3"/>
        <v>74633627536.006836</v>
      </c>
      <c r="K31" s="11">
        <f t="shared" si="4"/>
        <v>6.9301100000000115E-2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33425781.374838237</v>
      </c>
      <c r="D32" s="11">
        <v>2.12E-2</v>
      </c>
      <c r="E32" s="10">
        <f t="shared" si="2"/>
        <v>693915.55537267402</v>
      </c>
      <c r="F32" s="3"/>
      <c r="G32" s="26">
        <v>5.5</v>
      </c>
      <c r="H32" s="10"/>
      <c r="I32" s="10">
        <f t="shared" si="5"/>
        <v>2088.1080562092448</v>
      </c>
      <c r="J32" s="10">
        <f t="shared" si="3"/>
        <v>69796643373.888641</v>
      </c>
      <c r="K32" s="11">
        <f t="shared" si="4"/>
        <v>7.7365999999999824E-2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32731865.819465563</v>
      </c>
      <c r="D33" s="11">
        <v>2.1100000000000001E-2</v>
      </c>
      <c r="E33" s="10">
        <f t="shared" si="2"/>
        <v>676370.94191628695</v>
      </c>
      <c r="F33" s="3"/>
      <c r="G33" s="26">
        <v>5.6</v>
      </c>
      <c r="H33" s="10"/>
      <c r="I33" s="10">
        <f t="shared" si="5"/>
        <v>1979.2493423784313</v>
      </c>
      <c r="J33" s="10">
        <f t="shared" si="3"/>
        <v>64784523897.996269</v>
      </c>
      <c r="K33" s="11">
        <f t="shared" si="4"/>
        <v>7.8281599999999951E-2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32055494.877549276</v>
      </c>
      <c r="D34" s="11">
        <v>2.12E-2</v>
      </c>
      <c r="E34" s="10">
        <f t="shared" si="2"/>
        <v>665468.55797497928</v>
      </c>
      <c r="F34" s="3"/>
      <c r="G34" s="26">
        <v>4.5</v>
      </c>
      <c r="H34" s="10"/>
      <c r="I34" s="10">
        <f t="shared" si="5"/>
        <v>1874.2891499795751</v>
      </c>
      <c r="J34" s="10">
        <f t="shared" ref="J34:J65" si="6">IF(I34="","",I34*C34)</f>
        <v>60081266246.216454</v>
      </c>
      <c r="K34" s="11">
        <f t="shared" ref="K34:K65" si="7">IFERROR(J34/J35-1,"")</f>
        <v>8.0429600000000212E-2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31390026.319574296</v>
      </c>
      <c r="D35" s="11">
        <v>2.18E-2</v>
      </c>
      <c r="E35" s="10">
        <f t="shared" si="2"/>
        <v>669703.04733482003</v>
      </c>
      <c r="F35" s="3"/>
      <c r="G35" s="26">
        <v>3.2</v>
      </c>
      <c r="H35" s="10"/>
      <c r="I35" s="10">
        <f t="shared" ref="I35:I66" si="8">IF(H35&lt;&gt;"",H35,I34/(1+IF(G34="",0,G34)/100))</f>
        <v>1771.5398393001653</v>
      </c>
      <c r="J35" s="10">
        <f t="shared" si="6"/>
        <v>55608682181.80661</v>
      </c>
      <c r="K35" s="11">
        <f t="shared" si="7"/>
        <v>8.2086199999999998E-2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30720323.272239476</v>
      </c>
      <c r="D36" s="11">
        <v>2.2800000000000001E-2</v>
      </c>
      <c r="E36" s="10">
        <f t="shared" si="2"/>
        <v>684809.70923646539</v>
      </c>
      <c r="F36" s="3"/>
      <c r="G36" s="26">
        <v>0.6</v>
      </c>
      <c r="H36" s="10"/>
      <c r="I36" s="10">
        <f t="shared" si="8"/>
        <v>1672.8421523136594</v>
      </c>
      <c r="J36" s="10">
        <f t="shared" si="6"/>
        <v>51390251702.504486</v>
      </c>
      <c r="K36" s="11">
        <f t="shared" si="7"/>
        <v>7.8031199999999856E-2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30035513.563003011</v>
      </c>
      <c r="D37" s="11">
        <v>2.3900000000000001E-2</v>
      </c>
      <c r="E37" s="10">
        <f t="shared" si="2"/>
        <v>701092.65959153697</v>
      </c>
      <c r="F37" s="3"/>
      <c r="G37" s="26">
        <v>0.1</v>
      </c>
      <c r="H37" s="10"/>
      <c r="I37" s="10">
        <f t="shared" si="8"/>
        <v>1587.1367669010051</v>
      </c>
      <c r="J37" s="10">
        <f t="shared" si="6"/>
        <v>47670467888.595886</v>
      </c>
      <c r="K37" s="11">
        <f t="shared" si="7"/>
        <v>7.91906E-2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29334420.903411474</v>
      </c>
      <c r="D38" s="11">
        <v>2.5000000000000001E-2</v>
      </c>
      <c r="E38" s="10">
        <f t="shared" si="2"/>
        <v>715473.68057100847</v>
      </c>
      <c r="F38" s="3"/>
      <c r="G38" s="26">
        <v>6.6</v>
      </c>
      <c r="H38" s="10"/>
      <c r="I38" s="10">
        <f t="shared" si="8"/>
        <v>1505.8223594886197</v>
      </c>
      <c r="J38" s="10">
        <f t="shared" si="6"/>
        <v>44172426899.007355</v>
      </c>
      <c r="K38" s="11">
        <f t="shared" si="7"/>
        <v>0.13057499999999989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28618947.222840466</v>
      </c>
      <c r="D39" s="11">
        <v>2.5899999999999999E-2</v>
      </c>
      <c r="E39" s="10">
        <f t="shared" si="2"/>
        <v>722517.52906868979</v>
      </c>
      <c r="F39" s="3"/>
      <c r="G39" s="26">
        <v>5.2</v>
      </c>
      <c r="H39" s="10"/>
      <c r="I39" s="10">
        <f t="shared" si="8"/>
        <v>1365.2061282761738</v>
      </c>
      <c r="J39" s="10">
        <f t="shared" si="6"/>
        <v>39070762133.434189</v>
      </c>
      <c r="K39" s="11">
        <f t="shared" si="7"/>
        <v>7.9246800000000173E-2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27896429.693771776</v>
      </c>
      <c r="D40" s="11">
        <v>2.6800000000000001E-2</v>
      </c>
      <c r="E40" s="10">
        <f t="shared" si="2"/>
        <v>728110.94253319129</v>
      </c>
      <c r="F40" s="3"/>
      <c r="G40" s="26">
        <v>9.3000000000000007</v>
      </c>
      <c r="H40" s="10"/>
      <c r="I40" s="10">
        <f t="shared" si="8"/>
        <v>1297.7244565362869</v>
      </c>
      <c r="J40" s="10">
        <f t="shared" si="6"/>
        <v>36201879063.65271</v>
      </c>
      <c r="K40" s="11">
        <f t="shared" si="7"/>
        <v>0.12229239999999963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27168318.751238585</v>
      </c>
      <c r="D41" s="11">
        <v>2.7799999999999998E-2</v>
      </c>
      <c r="E41" s="10">
        <f t="shared" si="2"/>
        <v>734850.4196190238</v>
      </c>
      <c r="F41" s="3"/>
      <c r="G41" s="26">
        <v>9.8000000000000007</v>
      </c>
      <c r="H41" s="10"/>
      <c r="I41" s="10">
        <f t="shared" si="8"/>
        <v>1187.3050837477465</v>
      </c>
      <c r="J41" s="10">
        <f t="shared" si="6"/>
        <v>32257082970.2248</v>
      </c>
      <c r="K41" s="11">
        <f t="shared" si="7"/>
        <v>0.12852440000000009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26433468.331619561</v>
      </c>
      <c r="D42" s="11">
        <v>2.86E-2</v>
      </c>
      <c r="E42" s="10">
        <f t="shared" si="2"/>
        <v>734976.85619708151</v>
      </c>
      <c r="F42" s="3"/>
      <c r="G42" s="26">
        <v>-7.5</v>
      </c>
      <c r="H42" s="10"/>
      <c r="I42" s="10">
        <f t="shared" si="8"/>
        <v>1081.3343203531388</v>
      </c>
      <c r="J42" s="10">
        <f t="shared" si="6"/>
        <v>28583416512.948055</v>
      </c>
      <c r="K42" s="11">
        <f t="shared" si="7"/>
        <v>-4.854500000000006E-2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25698491.475422479</v>
      </c>
      <c r="D43" s="11">
        <v>2.93E-2</v>
      </c>
      <c r="E43" s="10">
        <f t="shared" si="2"/>
        <v>731531.91511695459</v>
      </c>
      <c r="F43" s="3"/>
      <c r="G43" s="26">
        <v>5</v>
      </c>
      <c r="H43" s="10"/>
      <c r="I43" s="10">
        <f t="shared" si="8"/>
        <v>1169.0100760574473</v>
      </c>
      <c r="J43" s="10">
        <f t="shared" si="6"/>
        <v>30041795474.245296</v>
      </c>
      <c r="K43" s="11">
        <f t="shared" si="7"/>
        <v>8.0765000000000198E-2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24966959.560305525</v>
      </c>
      <c r="D44" s="11">
        <v>2.9899999999999999E-2</v>
      </c>
      <c r="E44" s="10">
        <f t="shared" si="2"/>
        <v>724839.39300236478</v>
      </c>
      <c r="F44" s="3"/>
      <c r="G44" s="26">
        <v>4.3</v>
      </c>
      <c r="H44" s="10"/>
      <c r="I44" s="10">
        <f t="shared" si="8"/>
        <v>1113.3429295785213</v>
      </c>
      <c r="J44" s="10">
        <f t="shared" si="6"/>
        <v>27796787899.539024</v>
      </c>
      <c r="K44" s="11">
        <f t="shared" si="7"/>
        <v>7.4185700000000132E-2</v>
      </c>
      <c r="L44" t="s">
        <v>145</v>
      </c>
      <c r="M44" t="s">
        <v>146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24242120.16730316</v>
      </c>
      <c r="D45" s="11">
        <v>3.0300000000000001E-2</v>
      </c>
      <c r="E45" s="10">
        <f t="shared" si="2"/>
        <v>712934.33084469289</v>
      </c>
      <c r="F45" s="3"/>
      <c r="G45" s="26">
        <v>10.199999999999999</v>
      </c>
      <c r="H45" s="10"/>
      <c r="I45" s="10">
        <f t="shared" si="8"/>
        <v>1067.442885501938</v>
      </c>
      <c r="J45" s="10">
        <f t="shared" si="6"/>
        <v>25877078702.070808</v>
      </c>
      <c r="K45" s="11">
        <f t="shared" si="7"/>
        <v>0.13539060000000003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23529185.836458467</v>
      </c>
      <c r="D46" s="11">
        <v>3.0700000000000002E-2</v>
      </c>
      <c r="E46" s="10">
        <f t="shared" si="2"/>
        <v>700830.50856629014</v>
      </c>
      <c r="F46" s="3"/>
      <c r="G46" s="26">
        <v>11.4</v>
      </c>
      <c r="H46" s="10"/>
      <c r="I46" s="10">
        <f t="shared" si="8"/>
        <v>968.64145689831025</v>
      </c>
      <c r="J46" s="10">
        <f t="shared" si="6"/>
        <v>22791344848.258217</v>
      </c>
      <c r="K46" s="11">
        <f t="shared" si="7"/>
        <v>0.14819980000000021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22828355.327892177</v>
      </c>
      <c r="D47" s="11">
        <v>3.1099999999999999E-2</v>
      </c>
      <c r="E47" s="10">
        <f t="shared" si="2"/>
        <v>688548.00765924156</v>
      </c>
      <c r="F47" s="3"/>
      <c r="G47" s="26">
        <v>4.9000000000000004</v>
      </c>
      <c r="H47" s="10"/>
      <c r="I47" s="10">
        <f t="shared" si="8"/>
        <v>869.51656813133764</v>
      </c>
      <c r="J47" s="10">
        <f t="shared" si="6"/>
        <v>19849633180.791542</v>
      </c>
      <c r="K47" s="11">
        <f t="shared" si="7"/>
        <v>8.162389999999986E-2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22139807.320232935</v>
      </c>
      <c r="D48" s="11">
        <v>3.1600000000000003E-2</v>
      </c>
      <c r="E48" s="10">
        <f t="shared" si="2"/>
        <v>678187.19592803717</v>
      </c>
      <c r="F48" s="3"/>
      <c r="G48" s="26">
        <v>8.1</v>
      </c>
      <c r="H48" s="10"/>
      <c r="I48" s="10">
        <f t="shared" si="8"/>
        <v>828.90044626438294</v>
      </c>
      <c r="J48" s="10">
        <f t="shared" si="6"/>
        <v>18351696167.948532</v>
      </c>
      <c r="K48" s="11">
        <f t="shared" si="7"/>
        <v>0.11515960000000014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21461620.124304898</v>
      </c>
      <c r="D49" s="11">
        <v>3.2099999999999997E-2</v>
      </c>
      <c r="E49" s="10">
        <f t="shared" si="2"/>
        <v>667491.52794320881</v>
      </c>
      <c r="F49" s="3"/>
      <c r="G49" s="26">
        <v>8.6</v>
      </c>
      <c r="H49" s="10"/>
      <c r="I49" s="10">
        <f t="shared" si="8"/>
        <v>766.79042207621001</v>
      </c>
      <c r="J49" s="10">
        <f t="shared" si="6"/>
        <v>16456564753.555035</v>
      </c>
      <c r="K49" s="11">
        <f t="shared" si="7"/>
        <v>0.12086059999999987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20794128.596361689</v>
      </c>
      <c r="D50" s="11">
        <v>3.2500000000000001E-2</v>
      </c>
      <c r="E50" s="10">
        <f t="shared" si="2"/>
        <v>654536.73547869548</v>
      </c>
      <c r="F50" s="3"/>
      <c r="G50" s="26">
        <v>8.1999999999999993</v>
      </c>
      <c r="H50" s="10"/>
      <c r="I50" s="10">
        <f t="shared" si="8"/>
        <v>706.06852861529467</v>
      </c>
      <c r="J50" s="10">
        <f t="shared" si="6"/>
        <v>14682079781.870321</v>
      </c>
      <c r="K50" s="11">
        <f t="shared" si="7"/>
        <v>0.11716499999999996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20139591.860882994</v>
      </c>
      <c r="D51" s="11">
        <v>3.2599999999999997E-2</v>
      </c>
      <c r="E51" s="10">
        <f t="shared" si="2"/>
        <v>635822.86913111061</v>
      </c>
      <c r="F51" s="3"/>
      <c r="G51" s="26">
        <v>11.1</v>
      </c>
      <c r="H51" s="10"/>
      <c r="I51" s="10">
        <f t="shared" si="8"/>
        <v>652.55871406219467</v>
      </c>
      <c r="J51" s="10">
        <f t="shared" si="6"/>
        <v>13142266166.475248</v>
      </c>
      <c r="K51" s="11">
        <f t="shared" si="7"/>
        <v>0.14721859999999998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19503768.991751883</v>
      </c>
      <c r="D52" s="11">
        <v>3.2300000000000002E-2</v>
      </c>
      <c r="E52" s="10">
        <f t="shared" si="2"/>
        <v>610260.32978164032</v>
      </c>
      <c r="F52" s="3"/>
      <c r="G52" s="26">
        <v>6.6</v>
      </c>
      <c r="H52" s="10"/>
      <c r="I52" s="10">
        <f t="shared" si="8"/>
        <v>587.36157881385657</v>
      </c>
      <c r="J52" s="10">
        <f t="shared" si="6"/>
        <v>11455764547.816126</v>
      </c>
      <c r="K52" s="11">
        <f t="shared" si="7"/>
        <v>0.10043180000000018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18893508.661970243</v>
      </c>
      <c r="D53" s="11">
        <v>3.1600000000000003E-2</v>
      </c>
      <c r="E53" s="10">
        <f t="shared" si="2"/>
        <v>578746.48479862511</v>
      </c>
      <c r="F53" s="3"/>
      <c r="G53" s="26">
        <v>8</v>
      </c>
      <c r="H53" s="10"/>
      <c r="I53" s="10">
        <f t="shared" si="8"/>
        <v>550.99585254583167</v>
      </c>
      <c r="J53" s="10">
        <f t="shared" si="6"/>
        <v>10410244912.784349</v>
      </c>
      <c r="K53" s="11">
        <f t="shared" si="7"/>
        <v>0.11412800000000023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18314762.177171618</v>
      </c>
      <c r="D54" s="11">
        <v>3.0700000000000002E-2</v>
      </c>
      <c r="E54" s="10">
        <f t="shared" si="2"/>
        <v>545515.86187946796</v>
      </c>
      <c r="F54" s="3"/>
      <c r="G54" s="26">
        <v>6.8</v>
      </c>
      <c r="H54" s="10"/>
      <c r="I54" s="10">
        <f t="shared" si="8"/>
        <v>510.18134494984412</v>
      </c>
      <c r="J54" s="10">
        <f t="shared" si="6"/>
        <v>9343849999.9859505</v>
      </c>
      <c r="K54" s="11">
        <f t="shared" si="7"/>
        <v>0.10078759999999987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17769246.31529215</v>
      </c>
      <c r="D55" s="11">
        <v>2.98E-2</v>
      </c>
      <c r="E55" s="10">
        <f t="shared" si="2"/>
        <v>514200.36919373274</v>
      </c>
      <c r="F55" s="3"/>
      <c r="G55" s="26">
        <v>5.4</v>
      </c>
      <c r="H55" s="10"/>
      <c r="I55" s="10">
        <f t="shared" si="8"/>
        <v>477.69788852981657</v>
      </c>
      <c r="J55" s="10">
        <f t="shared" si="6"/>
        <v>8488331445.5812836</v>
      </c>
      <c r="K55" s="11">
        <f t="shared" si="7"/>
        <v>8.5409200000000185E-2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17255045.946098417</v>
      </c>
      <c r="D56" s="11">
        <v>2.8899999999999999E-2</v>
      </c>
      <c r="E56" s="10">
        <f t="shared" si="2"/>
        <v>484664.03716808558</v>
      </c>
      <c r="F56" s="3"/>
      <c r="G56" s="26">
        <v>7.6</v>
      </c>
      <c r="H56" s="10"/>
      <c r="I56" s="10">
        <f t="shared" si="8"/>
        <v>453.22380315921873</v>
      </c>
      <c r="J56" s="10">
        <f t="shared" si="6"/>
        <v>7820397547.3777838</v>
      </c>
      <c r="K56" s="11">
        <f t="shared" si="7"/>
        <v>0.10709639999999987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16770381.908930331</v>
      </c>
      <c r="D57" s="11">
        <v>2.8299999999999999E-2</v>
      </c>
      <c r="E57" s="10">
        <f t="shared" si="2"/>
        <v>461540.21980232187</v>
      </c>
      <c r="F57" s="3"/>
      <c r="G57" s="26">
        <v>12</v>
      </c>
      <c r="H57" s="10"/>
      <c r="I57" s="10">
        <f t="shared" si="8"/>
        <v>421.21171297325157</v>
      </c>
      <c r="J57" s="10">
        <f t="shared" si="6"/>
        <v>7063881291.0761738</v>
      </c>
      <c r="K57" s="11">
        <f t="shared" si="7"/>
        <v>0.15169600000000005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16308841.68912801</v>
      </c>
      <c r="D58" s="11">
        <v>2.7900000000000001E-2</v>
      </c>
      <c r="E58" s="10">
        <f t="shared" si="2"/>
        <v>442666.29353699088</v>
      </c>
      <c r="F58" s="3"/>
      <c r="G58" s="26">
        <v>12.1</v>
      </c>
      <c r="H58" s="10"/>
      <c r="I58" s="10">
        <f t="shared" si="8"/>
        <v>376.08188658326031</v>
      </c>
      <c r="J58" s="10">
        <f t="shared" si="6"/>
        <v>6133459950.434988</v>
      </c>
      <c r="K58" s="11">
        <f t="shared" si="7"/>
        <v>0.15227590000000024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15866175.395591019</v>
      </c>
      <c r="D59" s="11">
        <v>2.7699999999999999E-2</v>
      </c>
      <c r="E59" s="10">
        <f t="shared" si="2"/>
        <v>427647.23018183559</v>
      </c>
      <c r="F59" s="3"/>
      <c r="G59" s="26">
        <v>1.1000000000000001</v>
      </c>
      <c r="H59" s="10"/>
      <c r="I59" s="10">
        <f t="shared" si="8"/>
        <v>335.48785600647665</v>
      </c>
      <c r="J59" s="10">
        <f t="shared" si="6"/>
        <v>5322909166.489542</v>
      </c>
      <c r="K59" s="11">
        <f t="shared" si="7"/>
        <v>3.9004700000000003E-2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15438528.165409183</v>
      </c>
      <c r="D60" s="11">
        <v>2.75E-2</v>
      </c>
      <c r="E60" s="10">
        <f t="shared" si="2"/>
        <v>413196.61756569706</v>
      </c>
      <c r="F60" s="3"/>
      <c r="G60" s="26">
        <v>3.6</v>
      </c>
      <c r="H60" s="10"/>
      <c r="I60" s="10">
        <f t="shared" si="8"/>
        <v>331.8376419450808</v>
      </c>
      <c r="J60" s="10">
        <f t="shared" si="6"/>
        <v>5123084781.5120974</v>
      </c>
      <c r="K60" s="11">
        <f t="shared" si="7"/>
        <v>6.4489999999999936E-2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15025331.547843486</v>
      </c>
      <c r="D61" s="11">
        <v>2.7199999999999998E-2</v>
      </c>
      <c r="E61" s="10">
        <f t="shared" si="2"/>
        <v>397867.03475597873</v>
      </c>
      <c r="F61" s="3"/>
      <c r="G61" s="26">
        <v>8.8000000000000007</v>
      </c>
      <c r="H61" s="10"/>
      <c r="I61" s="10">
        <f t="shared" si="8"/>
        <v>320.30660419409344</v>
      </c>
      <c r="J61" s="10">
        <f t="shared" si="6"/>
        <v>4812712924.9801292</v>
      </c>
      <c r="K61" s="11">
        <f t="shared" si="7"/>
        <v>0.11759360000000019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14627464.513087507</v>
      </c>
      <c r="D62" s="11">
        <v>2.6800000000000001E-2</v>
      </c>
      <c r="E62" s="10">
        <f t="shared" si="2"/>
        <v>381784.23154532909</v>
      </c>
      <c r="F62" s="3"/>
      <c r="G62" s="26">
        <v>1.7</v>
      </c>
      <c r="H62" s="10"/>
      <c r="I62" s="10">
        <f t="shared" si="8"/>
        <v>294.39945238427703</v>
      </c>
      <c r="J62" s="10">
        <f t="shared" si="6"/>
        <v>4306317542.4234076</v>
      </c>
      <c r="K62" s="11">
        <f t="shared" si="7"/>
        <v>4.425559999999984E-2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14245680.281542178</v>
      </c>
      <c r="D63" s="11">
        <v>2.64E-2</v>
      </c>
      <c r="E63" s="10">
        <f t="shared" si="2"/>
        <v>366412.66507473961</v>
      </c>
      <c r="F63" s="3"/>
      <c r="G63" s="26">
        <v>11</v>
      </c>
      <c r="H63" s="10"/>
      <c r="I63" s="10">
        <f t="shared" si="8"/>
        <v>289.47832092849268</v>
      </c>
      <c r="J63" s="10">
        <f t="shared" si="6"/>
        <v>4123815608.3849664</v>
      </c>
      <c r="K63" s="11">
        <f t="shared" si="7"/>
        <v>0.13930400000000009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13879267.616467439</v>
      </c>
      <c r="D64" s="11">
        <v>2.58E-2</v>
      </c>
      <c r="E64" s="10">
        <f t="shared" si="2"/>
        <v>349078.86966744065</v>
      </c>
      <c r="F64" s="3"/>
      <c r="G64" s="26">
        <v>5.4</v>
      </c>
      <c r="H64" s="10"/>
      <c r="I64" s="10">
        <f t="shared" si="8"/>
        <v>260.79128011575915</v>
      </c>
      <c r="J64" s="10">
        <f t="shared" si="6"/>
        <v>3619591968.7677445</v>
      </c>
      <c r="K64" s="11">
        <f t="shared" si="7"/>
        <v>8.1193200000000187E-2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13530188.746799998</v>
      </c>
      <c r="D65" s="11">
        <v>2.52E-2</v>
      </c>
      <c r="E65" s="10">
        <f t="shared" si="2"/>
        <v>332579.74679999799</v>
      </c>
      <c r="F65" s="3"/>
      <c r="G65" s="26">
        <v>7.6</v>
      </c>
      <c r="H65" s="10"/>
      <c r="I65" s="10">
        <f t="shared" si="8"/>
        <v>247.4300570358246</v>
      </c>
      <c r="J65" s="10">
        <f t="shared" si="6"/>
        <v>3347775373.3261957</v>
      </c>
      <c r="K65" s="11">
        <f t="shared" si="7"/>
        <v>0.10311519999999996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13197609</v>
      </c>
      <c r="D66" s="11">
        <v>2.4500000000000001E-2</v>
      </c>
      <c r="E66" s="10">
        <f t="shared" si="2"/>
        <v>315609</v>
      </c>
      <c r="F66" s="23">
        <f>SUM(F2)</f>
        <v>53302916</v>
      </c>
      <c r="G66" s="26">
        <v>12</v>
      </c>
      <c r="H66" s="10"/>
      <c r="I66" s="10">
        <f t="shared" si="8"/>
        <v>229.95358460578493</v>
      </c>
      <c r="J66" s="10">
        <f t="shared" ref="J66:J67" si="9">IF(I66="","",I66*C66)</f>
        <v>3034837497.7755685</v>
      </c>
      <c r="K66" s="11">
        <f t="shared" ref="K66" si="10">IFERROR(J66/J67-1,"")</f>
        <v>0.14743999999999979</v>
      </c>
    </row>
    <row r="67" spans="1:11" ht="22.5" customHeight="1">
      <c r="A67" s="3">
        <f t="shared" si="0"/>
        <v>1950</v>
      </c>
      <c r="B67" s="3">
        <v>1700</v>
      </c>
      <c r="C67" s="10">
        <v>12882000</v>
      </c>
      <c r="D67" s="11">
        <v>2.3900000000000001E-2</v>
      </c>
      <c r="E67" s="3" t="s">
        <v>72</v>
      </c>
      <c r="F67" s="10">
        <f>SUM(C2)</f>
        <v>53303587.228047103</v>
      </c>
      <c r="G67" s="26">
        <v>12.1</v>
      </c>
      <c r="H67" s="10"/>
      <c r="I67" s="10">
        <f t="shared" ref="I67" si="11">IF(H67&lt;&gt;"",H67,I66/(1+IF(G66="",0,G66)/100))</f>
        <v>205.31570054087939</v>
      </c>
      <c r="J67" s="10">
        <f t="shared" si="9"/>
        <v>2644876854.3676085</v>
      </c>
      <c r="K67" s="11"/>
    </row>
  </sheetData>
  <dataValidations count="1">
    <dataValidation type="custom" allowBlank="1" showDropDown="1" sqref="D2:D67" xr:uid="{00000000-0002-0000-9E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M67"/>
  <sheetViews>
    <sheetView topLeftCell="A35" workbookViewId="0">
      <selection activeCell="I65" sqref="I65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69480800.687140256</v>
      </c>
      <c r="D2" s="11">
        <v>4.5999999999999999E-3</v>
      </c>
      <c r="E2" s="10">
        <f t="shared" ref="E2:E66" si="2">SUM(C2-C3)</f>
        <v>318148.20143423975</v>
      </c>
      <c r="F2" s="14">
        <v>69480631</v>
      </c>
      <c r="G2" s="26">
        <v>1.66</v>
      </c>
      <c r="H2" s="10"/>
      <c r="I2" s="10">
        <f>IF(H2&lt;&gt;"",H2,178416)</f>
        <v>22302</v>
      </c>
      <c r="J2" s="10">
        <f t="shared" ref="J2:J33" si="3">IF(I2="","",I2*C2)</f>
        <v>1549560816924.6021</v>
      </c>
      <c r="K2" s="11">
        <f t="shared" ref="K2:K33" si="4">IFERROR(J2/J3-1,"")</f>
        <v>2.1276359999999883E-2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69162652.485706016</v>
      </c>
      <c r="D3" s="11">
        <v>4.4000000000000003E-3</v>
      </c>
      <c r="E3" s="10">
        <f t="shared" si="2"/>
        <v>302982.547727108</v>
      </c>
      <c r="F3" s="3"/>
      <c r="G3" s="26">
        <v>2.1800000000000002</v>
      </c>
      <c r="H3" s="10"/>
      <c r="I3" s="10">
        <f t="shared" ref="I3:I34" si="5">IF(H3&lt;&gt;"",H3,I2/(1+IF(G2="",0,G2)/100))</f>
        <v>21937.831988982885</v>
      </c>
      <c r="J3" s="10">
        <f t="shared" si="3"/>
        <v>1517278650143.8281</v>
      </c>
      <c r="K3" s="11">
        <f t="shared" si="4"/>
        <v>2.6295920000000139E-2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68859669.937978908</v>
      </c>
      <c r="D4" s="11">
        <v>3.0999999999999999E-3</v>
      </c>
      <c r="E4" s="10">
        <f t="shared" si="2"/>
        <v>212805.28043837845</v>
      </c>
      <c r="F4" s="3"/>
      <c r="G4" s="26">
        <v>0.4</v>
      </c>
      <c r="H4" s="10"/>
      <c r="I4" s="10">
        <f t="shared" si="5"/>
        <v>21469.79055488636</v>
      </c>
      <c r="J4" s="10">
        <f t="shared" si="3"/>
        <v>1478402691247.0117</v>
      </c>
      <c r="K4" s="11">
        <f t="shared" si="4"/>
        <v>7.1124000000002408E-3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68646864.65754053</v>
      </c>
      <c r="D5" s="11">
        <v>3.0999999999999999E-3</v>
      </c>
      <c r="E5" s="10">
        <f t="shared" si="2"/>
        <v>212147.62280768156</v>
      </c>
      <c r="F5" s="3"/>
      <c r="G5" s="26">
        <v>0.46</v>
      </c>
      <c r="H5" s="10"/>
      <c r="I5" s="10">
        <f t="shared" si="5"/>
        <v>21384.253540723465</v>
      </c>
      <c r="J5" s="10">
        <f t="shared" si="3"/>
        <v>1467961958612.5754</v>
      </c>
      <c r="K5" s="11">
        <f t="shared" si="4"/>
        <v>7.7142599999999728E-3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68434717.034732848</v>
      </c>
      <c r="D6" s="11">
        <v>4.7000000000000002E-3</v>
      </c>
      <c r="E6" s="10">
        <f t="shared" si="2"/>
        <v>320138.51902382076</v>
      </c>
      <c r="F6" s="3"/>
      <c r="G6" s="26">
        <v>3.76</v>
      </c>
      <c r="H6" s="10"/>
      <c r="I6" s="10">
        <f t="shared" si="5"/>
        <v>21286.336393314221</v>
      </c>
      <c r="J6" s="10">
        <f t="shared" si="3"/>
        <v>1456724407782.5945</v>
      </c>
      <c r="K6" s="11">
        <f t="shared" si="4"/>
        <v>4.2476719999999801E-2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68114578.515709028</v>
      </c>
      <c r="D7" s="11">
        <v>4.7999999999999996E-3</v>
      </c>
      <c r="E7" s="10">
        <f t="shared" si="2"/>
        <v>325388.11392854154</v>
      </c>
      <c r="F7" s="3"/>
      <c r="G7" s="26">
        <v>4.13</v>
      </c>
      <c r="H7" s="10"/>
      <c r="I7" s="10">
        <f t="shared" si="5"/>
        <v>20514.973393710698</v>
      </c>
      <c r="J7" s="10">
        <f t="shared" si="3"/>
        <v>1397368765973.5891</v>
      </c>
      <c r="K7" s="11">
        <f t="shared" si="4"/>
        <v>4.6298239999999824E-2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67789190.401780486</v>
      </c>
      <c r="D8" s="11">
        <v>4.5999999999999999E-3</v>
      </c>
      <c r="E8" s="10">
        <f t="shared" si="2"/>
        <v>310402.42469459772</v>
      </c>
      <c r="F8" s="3"/>
      <c r="G8" s="26">
        <v>-5.54</v>
      </c>
      <c r="H8" s="10"/>
      <c r="I8" s="10">
        <f t="shared" si="5"/>
        <v>19701.309318842505</v>
      </c>
      <c r="J8" s="10">
        <f t="shared" si="3"/>
        <v>1335535808579.3867</v>
      </c>
      <c r="K8" s="11">
        <f t="shared" si="4"/>
        <v>-5.1054840000000046E-2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67478787.977085888</v>
      </c>
      <c r="D9" s="11">
        <v>4.3E-3</v>
      </c>
      <c r="E9" s="10">
        <f t="shared" si="2"/>
        <v>288916.44757688046</v>
      </c>
      <c r="F9" s="3"/>
      <c r="G9" s="26">
        <v>0.89</v>
      </c>
      <c r="H9" s="10"/>
      <c r="I9" s="10">
        <f t="shared" si="5"/>
        <v>20856.774633540655</v>
      </c>
      <c r="J9" s="10">
        <f t="shared" si="3"/>
        <v>1407389873382.5532</v>
      </c>
      <c r="K9" s="11">
        <f t="shared" si="4"/>
        <v>1.3238269999999996E-2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67189871.529509008</v>
      </c>
      <c r="D10" s="11">
        <v>1.6000000000000001E-3</v>
      </c>
      <c r="E10" s="10">
        <f t="shared" si="2"/>
        <v>107332.0631461814</v>
      </c>
      <c r="F10" s="3"/>
      <c r="G10" s="26">
        <v>2.89</v>
      </c>
      <c r="H10" s="10"/>
      <c r="I10" s="10">
        <f t="shared" si="5"/>
        <v>20672.786830747009</v>
      </c>
      <c r="J10" s="10">
        <f t="shared" si="3"/>
        <v>1389001891314.8171</v>
      </c>
      <c r="K10" s="11">
        <f t="shared" si="4"/>
        <v>3.0546239999999836E-2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67082539.466362827</v>
      </c>
      <c r="D11" s="11">
        <v>2.0999999999999999E-3</v>
      </c>
      <c r="E11" s="10">
        <f t="shared" si="2"/>
        <v>140578.11882981658</v>
      </c>
      <c r="F11" s="3"/>
      <c r="G11" s="26">
        <v>3.87</v>
      </c>
      <c r="H11" s="10"/>
      <c r="I11" s="10">
        <f t="shared" si="5"/>
        <v>20092.124434587433</v>
      </c>
      <c r="J11" s="10">
        <f t="shared" si="3"/>
        <v>1347830730346.2844</v>
      </c>
      <c r="K11" s="11">
        <f t="shared" si="4"/>
        <v>4.0881269999999859E-2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66941961.34753301</v>
      </c>
      <c r="D12" s="11">
        <v>3.0000000000000001E-3</v>
      </c>
      <c r="E12" s="10">
        <f t="shared" si="2"/>
        <v>200225.20841734111</v>
      </c>
      <c r="F12" s="3"/>
      <c r="G12" s="26">
        <v>0.89</v>
      </c>
      <c r="H12" s="10"/>
      <c r="I12" s="10">
        <f t="shared" si="5"/>
        <v>19343.529830160234</v>
      </c>
      <c r="J12" s="10">
        <f t="shared" si="3"/>
        <v>1294893826215.4382</v>
      </c>
      <c r="K12" s="11">
        <f t="shared" si="4"/>
        <v>1.1926699999999846E-2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66741736.139115669</v>
      </c>
      <c r="D13" s="11">
        <v>3.8E-3</v>
      </c>
      <c r="E13" s="10">
        <f t="shared" si="2"/>
        <v>252658.49504745752</v>
      </c>
      <c r="F13" s="3"/>
      <c r="G13" s="26">
        <v>1.1599999999999999</v>
      </c>
      <c r="H13" s="10"/>
      <c r="I13" s="10">
        <f t="shared" si="5"/>
        <v>19172.891099375793</v>
      </c>
      <c r="J13" s="10">
        <f t="shared" si="3"/>
        <v>1279632038778.5386</v>
      </c>
      <c r="K13" s="11">
        <f t="shared" si="4"/>
        <v>1.5444080000000193E-2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66489077.644068211</v>
      </c>
      <c r="D14" s="11">
        <v>4.5999999999999999E-3</v>
      </c>
      <c r="E14" s="10">
        <f t="shared" si="2"/>
        <v>304449.29042674601</v>
      </c>
      <c r="F14" s="3"/>
      <c r="G14" s="26">
        <v>0.53</v>
      </c>
      <c r="H14" s="10"/>
      <c r="I14" s="10">
        <f t="shared" si="5"/>
        <v>18953.035883131466</v>
      </c>
      <c r="J14" s="10">
        <f t="shared" si="3"/>
        <v>1260169874424.3389</v>
      </c>
      <c r="K14" s="11">
        <f t="shared" si="4"/>
        <v>9.9243799999999549E-3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66184628.353641465</v>
      </c>
      <c r="D15" s="11">
        <v>6.0000000000000001E-3</v>
      </c>
      <c r="E15" s="10">
        <f t="shared" si="2"/>
        <v>394739.33411714435</v>
      </c>
      <c r="F15" s="3"/>
      <c r="G15" s="26">
        <v>2.23</v>
      </c>
      <c r="H15" s="10"/>
      <c r="I15" s="10">
        <f t="shared" si="5"/>
        <v>18853.114376933714</v>
      </c>
      <c r="J15" s="10">
        <f t="shared" si="3"/>
        <v>1247786368346.0527</v>
      </c>
      <c r="K15" s="11">
        <f t="shared" si="4"/>
        <v>2.8433799999999954E-2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65789889.019524321</v>
      </c>
      <c r="D16" s="11">
        <v>7.1999999999999998E-3</v>
      </c>
      <c r="E16" s="10">
        <f t="shared" si="2"/>
        <v>470301.03349938244</v>
      </c>
      <c r="F16" s="3"/>
      <c r="G16" s="26">
        <v>1.64</v>
      </c>
      <c r="H16" s="10"/>
      <c r="I16" s="10">
        <f t="shared" si="5"/>
        <v>18441.860879324773</v>
      </c>
      <c r="J16" s="10">
        <f t="shared" si="3"/>
        <v>1213287980564.2839</v>
      </c>
      <c r="K16" s="11">
        <f t="shared" si="4"/>
        <v>2.3718079999999864E-2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65319587.986024939</v>
      </c>
      <c r="D17" s="11">
        <v>6.1000000000000004E-3</v>
      </c>
      <c r="E17" s="10">
        <f t="shared" si="2"/>
        <v>396033.68125907332</v>
      </c>
      <c r="F17" s="3"/>
      <c r="G17" s="26">
        <v>2.88</v>
      </c>
      <c r="H17" s="10"/>
      <c r="I17" s="10">
        <f t="shared" si="5"/>
        <v>18144.29445033921</v>
      </c>
      <c r="J17" s="10">
        <f t="shared" si="3"/>
        <v>1185177837793.2761</v>
      </c>
      <c r="K17" s="11">
        <f t="shared" si="4"/>
        <v>3.5075680000000053E-2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64923554.304765865</v>
      </c>
      <c r="D18" s="11">
        <v>6.4999999999999997E-3</v>
      </c>
      <c r="E18" s="10">
        <f t="shared" si="2"/>
        <v>419277.7972985357</v>
      </c>
      <c r="F18" s="3"/>
      <c r="G18" s="26">
        <v>2.13</v>
      </c>
      <c r="H18" s="10"/>
      <c r="I18" s="10">
        <f t="shared" si="5"/>
        <v>17636.367078479016</v>
      </c>
      <c r="J18" s="10">
        <f t="shared" si="3"/>
        <v>1145015635758.4172</v>
      </c>
      <c r="K18" s="11">
        <f t="shared" si="4"/>
        <v>2.7938449999999948E-2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64504276.50746733</v>
      </c>
      <c r="D19" s="11">
        <v>7.1000000000000004E-3</v>
      </c>
      <c r="E19" s="10">
        <f t="shared" si="2"/>
        <v>454751.62665378302</v>
      </c>
      <c r="F19" s="3"/>
      <c r="G19" s="26">
        <v>2.1</v>
      </c>
      <c r="H19" s="10"/>
      <c r="I19" s="10">
        <f t="shared" si="5"/>
        <v>17268.547026808003</v>
      </c>
      <c r="J19" s="10">
        <f t="shared" si="3"/>
        <v>1113895132299.4263</v>
      </c>
      <c r="K19" s="11">
        <f t="shared" si="4"/>
        <v>2.8249100000000027E-2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64049524.880813546</v>
      </c>
      <c r="D20" s="11">
        <v>7.7000000000000002E-3</v>
      </c>
      <c r="E20" s="10">
        <f t="shared" si="2"/>
        <v>489412.86254070699</v>
      </c>
      <c r="F20" s="3"/>
      <c r="G20" s="26">
        <v>1.85</v>
      </c>
      <c r="H20" s="10"/>
      <c r="I20" s="10">
        <f t="shared" si="5"/>
        <v>16913.36633379824</v>
      </c>
      <c r="J20" s="10">
        <f t="shared" si="3"/>
        <v>1083293077814.9246</v>
      </c>
      <c r="K20" s="11">
        <f t="shared" si="4"/>
        <v>2.6342450000000239E-2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63560112.018272839</v>
      </c>
      <c r="D21" s="11">
        <v>8.2000000000000007E-3</v>
      </c>
      <c r="E21" s="10">
        <f t="shared" si="2"/>
        <v>516953.89659773558</v>
      </c>
      <c r="F21" s="3"/>
      <c r="G21" s="26">
        <v>1.04</v>
      </c>
      <c r="H21" s="10"/>
      <c r="I21" s="10">
        <f t="shared" si="5"/>
        <v>16606.152512320314</v>
      </c>
      <c r="J21" s="10">
        <f t="shared" si="3"/>
        <v>1055488913875.6021</v>
      </c>
      <c r="K21" s="11">
        <f t="shared" si="4"/>
        <v>1.8685280000000137E-2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63043158.121675104</v>
      </c>
      <c r="D22" s="11">
        <v>8.3999999999999995E-3</v>
      </c>
      <c r="E22" s="10">
        <f t="shared" si="2"/>
        <v>525151.25765774399</v>
      </c>
      <c r="F22" s="3"/>
      <c r="G22" s="26">
        <v>1.5</v>
      </c>
      <c r="H22" s="10"/>
      <c r="I22" s="10">
        <f t="shared" si="5"/>
        <v>16435.226160253675</v>
      </c>
      <c r="J22" s="10">
        <f t="shared" si="3"/>
        <v>1036128561586.3635</v>
      </c>
      <c r="K22" s="11">
        <f t="shared" si="4"/>
        <v>2.3525999999999936E-2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62518006.86401736</v>
      </c>
      <c r="D23" s="11">
        <v>7.6E-3</v>
      </c>
      <c r="E23" s="10">
        <f t="shared" si="2"/>
        <v>471553.04899417609</v>
      </c>
      <c r="F23" s="3"/>
      <c r="G23" s="26">
        <v>2.6</v>
      </c>
      <c r="H23" s="10"/>
      <c r="I23" s="10">
        <f t="shared" si="5"/>
        <v>16192.341044584902</v>
      </c>
      <c r="J23" s="10">
        <f t="shared" si="3"/>
        <v>1012312888569.8689</v>
      </c>
      <c r="K23" s="11">
        <f t="shared" si="4"/>
        <v>3.3797599999999983E-2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62046453.815023184</v>
      </c>
      <c r="D24" s="11">
        <v>7.1000000000000004E-3</v>
      </c>
      <c r="E24" s="10">
        <f t="shared" si="2"/>
        <v>437424.11089928448</v>
      </c>
      <c r="F24" s="3"/>
      <c r="G24" s="26">
        <v>4.3</v>
      </c>
      <c r="H24" s="10"/>
      <c r="I24" s="10">
        <f t="shared" si="5"/>
        <v>15782.008815384894</v>
      </c>
      <c r="J24" s="10">
        <f t="shared" si="3"/>
        <v>979217681072.0675</v>
      </c>
      <c r="K24" s="11">
        <f t="shared" si="4"/>
        <v>5.0405299999999986E-2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61609029.704123899</v>
      </c>
      <c r="D25" s="11">
        <v>6.8999999999999999E-3</v>
      </c>
      <c r="E25" s="10">
        <f t="shared" si="2"/>
        <v>422189.19948202372</v>
      </c>
      <c r="F25" s="3"/>
      <c r="G25" s="26">
        <v>2.0099999999999998</v>
      </c>
      <c r="H25" s="10"/>
      <c r="I25" s="10">
        <f t="shared" si="5"/>
        <v>15131.360321557904</v>
      </c>
      <c r="J25" s="10">
        <f t="shared" si="3"/>
        <v>932228427514.66272</v>
      </c>
      <c r="K25" s="11">
        <f t="shared" si="4"/>
        <v>2.713868999999991E-2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61186840.504641876</v>
      </c>
      <c r="D26" s="11">
        <v>6.1000000000000004E-3</v>
      </c>
      <c r="E26" s="10">
        <f t="shared" si="2"/>
        <v>370976.76878870279</v>
      </c>
      <c r="F26" s="3"/>
      <c r="G26" s="26">
        <v>5.1100000000000003</v>
      </c>
      <c r="H26" s="10"/>
      <c r="I26" s="10">
        <f t="shared" si="5"/>
        <v>14833.212745375849</v>
      </c>
      <c r="J26" s="10">
        <f t="shared" si="3"/>
        <v>907597422422.73315</v>
      </c>
      <c r="K26" s="11">
        <f t="shared" si="4"/>
        <v>5.7511709999999772E-2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60815863.735853173</v>
      </c>
      <c r="D27" s="11">
        <v>5.1999999999999998E-3</v>
      </c>
      <c r="E27" s="10">
        <f t="shared" si="2"/>
        <v>314606.53743179888</v>
      </c>
      <c r="F27" s="3"/>
      <c r="G27" s="26">
        <v>-4.2</v>
      </c>
      <c r="H27" s="10"/>
      <c r="I27" s="10">
        <f t="shared" si="5"/>
        <v>14112.085192061508</v>
      </c>
      <c r="J27" s="10">
        <f t="shared" si="3"/>
        <v>858238650069.16406</v>
      </c>
      <c r="K27" s="11">
        <f t="shared" si="4"/>
        <v>-3.7018400000000007E-2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60501257.198421374</v>
      </c>
      <c r="D28" s="11">
        <v>5.0000000000000001E-3</v>
      </c>
      <c r="E28" s="10">
        <f t="shared" si="2"/>
        <v>301001.27959413081</v>
      </c>
      <c r="F28" s="3"/>
      <c r="G28" s="26">
        <v>3.9</v>
      </c>
      <c r="H28" s="10"/>
      <c r="I28" s="10">
        <f t="shared" si="5"/>
        <v>14730.777862277149</v>
      </c>
      <c r="J28" s="10">
        <f t="shared" si="3"/>
        <v>891230580178.44165</v>
      </c>
      <c r="K28" s="11">
        <f t="shared" si="4"/>
        <v>4.4194999999999762E-2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60200255.918827243</v>
      </c>
      <c r="D29" s="11">
        <v>4.4999999999999997E-3</v>
      </c>
      <c r="E29" s="10">
        <f t="shared" si="2"/>
        <v>269687.55762540549</v>
      </c>
      <c r="F29" s="3"/>
      <c r="G29" s="26">
        <v>3.71</v>
      </c>
      <c r="H29" s="10"/>
      <c r="I29" s="10">
        <f t="shared" si="5"/>
        <v>14177.842023365882</v>
      </c>
      <c r="J29" s="10">
        <f t="shared" si="3"/>
        <v>853509718183.32959</v>
      </c>
      <c r="K29" s="11">
        <f t="shared" si="4"/>
        <v>4.1766949999999969E-2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59930568.361201838</v>
      </c>
      <c r="D30" s="11">
        <v>4.3E-3</v>
      </c>
      <c r="E30" s="10">
        <f t="shared" si="2"/>
        <v>256598.07224252075</v>
      </c>
      <c r="F30" s="3"/>
      <c r="G30" s="26">
        <v>1.4</v>
      </c>
      <c r="H30" s="10"/>
      <c r="I30" s="10">
        <f t="shared" si="5"/>
        <v>13670.660518142786</v>
      </c>
      <c r="J30" s="10">
        <f t="shared" si="3"/>
        <v>819290454725.33911</v>
      </c>
      <c r="K30" s="11">
        <f t="shared" si="4"/>
        <v>1.8360199999999827E-2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59673970.288959317</v>
      </c>
      <c r="D31" s="11">
        <v>4.7999999999999996E-3</v>
      </c>
      <c r="E31" s="10">
        <f t="shared" si="2"/>
        <v>285066.73704916239</v>
      </c>
      <c r="F31" s="3"/>
      <c r="G31" s="26">
        <v>2.29</v>
      </c>
      <c r="H31" s="10"/>
      <c r="I31" s="10">
        <f t="shared" si="5"/>
        <v>13481.913725979079</v>
      </c>
      <c r="J31" s="10">
        <f t="shared" si="3"/>
        <v>804519319122.38831</v>
      </c>
      <c r="K31" s="11">
        <f t="shared" si="4"/>
        <v>2.780991999999971E-2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59388903.551910155</v>
      </c>
      <c r="D32" s="11">
        <v>5.7000000000000002E-3</v>
      </c>
      <c r="E32" s="10">
        <f t="shared" si="2"/>
        <v>336598.14084308594</v>
      </c>
      <c r="F32" s="3"/>
      <c r="G32" s="26">
        <v>2.33</v>
      </c>
      <c r="H32" s="10"/>
      <c r="I32" s="10">
        <f t="shared" si="5"/>
        <v>13180.089672479304</v>
      </c>
      <c r="J32" s="10">
        <f t="shared" si="3"/>
        <v>782751074364.40051</v>
      </c>
      <c r="K32" s="11">
        <f t="shared" si="4"/>
        <v>2.9132810000000342E-2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59052305.411067069</v>
      </c>
      <c r="D33" s="11">
        <v>6.4999999999999997E-3</v>
      </c>
      <c r="E33" s="10">
        <f t="shared" si="2"/>
        <v>381361.13777638972</v>
      </c>
      <c r="F33" s="3"/>
      <c r="G33" s="26">
        <v>2.82</v>
      </c>
      <c r="H33" s="10"/>
      <c r="I33" s="10">
        <f t="shared" si="5"/>
        <v>12879.985998709373</v>
      </c>
      <c r="J33" s="10">
        <f t="shared" si="3"/>
        <v>760592866886.05359</v>
      </c>
      <c r="K33" s="11">
        <f t="shared" si="4"/>
        <v>3.4883300000000173E-2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58670944.273290679</v>
      </c>
      <c r="D34" s="11">
        <v>7.4000000000000003E-3</v>
      </c>
      <c r="E34" s="10">
        <f t="shared" si="2"/>
        <v>430975.76694694906</v>
      </c>
      <c r="F34" s="3"/>
      <c r="G34" s="26">
        <v>0.27</v>
      </c>
      <c r="H34" s="10"/>
      <c r="I34" s="10">
        <f t="shared" si="5"/>
        <v>12526.732152022343</v>
      </c>
      <c r="J34" s="10">
        <f t="shared" ref="J34:J65" si="6">IF(I34="","",I34*C34)</f>
        <v>734955204017.74146</v>
      </c>
      <c r="K34" s="11">
        <f t="shared" ref="K34:K65" si="7">IFERROR(J34/J35-1,"")</f>
        <v>2.321617999999992E-2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58239968.50634373</v>
      </c>
      <c r="D35" s="11">
        <v>8.3000000000000001E-3</v>
      </c>
      <c r="E35" s="10">
        <f t="shared" si="2"/>
        <v>479412.61390721798</v>
      </c>
      <c r="F35" s="3"/>
      <c r="G35" s="26">
        <v>-3.09</v>
      </c>
      <c r="H35" s="10"/>
      <c r="I35" s="10">
        <f t="shared" ref="I35:I66" si="8">IF(H35&lt;&gt;"",H35,I34/(1+IF(G34="",0,G34)/100))</f>
        <v>12333.10244365693</v>
      </c>
      <c r="J35" s="10">
        <f t="shared" si="6"/>
        <v>718279497904.09045</v>
      </c>
      <c r="K35" s="11">
        <f t="shared" si="7"/>
        <v>4.3676299999999557E-3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57760555.892436512</v>
      </c>
      <c r="D36" s="11">
        <v>8.9999999999999993E-3</v>
      </c>
      <c r="E36" s="10">
        <f t="shared" si="2"/>
        <v>515208.12986315787</v>
      </c>
      <c r="F36" s="3"/>
      <c r="G36" s="26">
        <v>-4.27</v>
      </c>
      <c r="H36" s="10"/>
      <c r="I36" s="10">
        <f t="shared" si="8"/>
        <v>12381.389864127024</v>
      </c>
      <c r="J36" s="10">
        <f t="shared" si="6"/>
        <v>715155961272.95593</v>
      </c>
      <c r="K36" s="11">
        <f t="shared" si="7"/>
        <v>1.4347700000000074E-2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57245347.762573354</v>
      </c>
      <c r="D37" s="11">
        <v>9.4000000000000004E-3</v>
      </c>
      <c r="E37" s="10">
        <f t="shared" si="2"/>
        <v>533095.17432949692</v>
      </c>
      <c r="F37" s="3"/>
      <c r="G37" s="26">
        <v>-6.71</v>
      </c>
      <c r="H37" s="10"/>
      <c r="I37" s="10">
        <f t="shared" si="8"/>
        <v>12316.114457502261</v>
      </c>
      <c r="J37" s="10">
        <f t="shared" si="6"/>
        <v>705040255203.37439</v>
      </c>
      <c r="K37" s="11">
        <f t="shared" si="7"/>
        <v>-4.8325399999999963E-3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56712252.588243857</v>
      </c>
      <c r="D38" s="11">
        <v>1.0200000000000001E-2</v>
      </c>
      <c r="E38" s="10">
        <f t="shared" si="2"/>
        <v>572624.20946355909</v>
      </c>
      <c r="F38" s="3"/>
      <c r="G38" s="26">
        <v>-3.55</v>
      </c>
      <c r="H38" s="10"/>
      <c r="I38" s="10">
        <f t="shared" si="8"/>
        <v>12492.255256620612</v>
      </c>
      <c r="J38" s="10">
        <f t="shared" si="6"/>
        <v>708463935510.28528</v>
      </c>
      <c r="K38" s="11">
        <f t="shared" si="7"/>
        <v>1.1715300000000095E-2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56139628.378780298</v>
      </c>
      <c r="D39" s="11">
        <v>1.11E-2</v>
      </c>
      <c r="E39" s="10">
        <f t="shared" si="2"/>
        <v>616308.84680493176</v>
      </c>
      <c r="F39" s="3"/>
      <c r="G39" s="26">
        <v>3.01</v>
      </c>
      <c r="H39" s="10"/>
      <c r="I39" s="10">
        <f t="shared" si="8"/>
        <v>12473.544939211793</v>
      </c>
      <c r="J39" s="10">
        <f t="shared" si="6"/>
        <v>700260177453.36572</v>
      </c>
      <c r="K39" s="11">
        <f t="shared" si="7"/>
        <v>4.1534110000000179E-2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55523319.531975366</v>
      </c>
      <c r="D40" s="11">
        <v>1.17E-2</v>
      </c>
      <c r="E40" s="10">
        <f t="shared" si="2"/>
        <v>642110.14977178723</v>
      </c>
      <c r="F40" s="3"/>
      <c r="G40" s="26">
        <v>3.35</v>
      </c>
      <c r="H40" s="10"/>
      <c r="I40" s="10">
        <f t="shared" si="8"/>
        <v>12109.062167956308</v>
      </c>
      <c r="J40" s="10">
        <f t="shared" si="6"/>
        <v>672335327983.99243</v>
      </c>
      <c r="K40" s="11">
        <f t="shared" si="7"/>
        <v>4.5591950000000159E-2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54881209.382203579</v>
      </c>
      <c r="D41" s="11">
        <v>1.17E-2</v>
      </c>
      <c r="E41" s="10">
        <f t="shared" si="2"/>
        <v>634684.34295916557</v>
      </c>
      <c r="F41" s="3"/>
      <c r="G41" s="26">
        <v>4.95</v>
      </c>
      <c r="H41" s="10"/>
      <c r="I41" s="10">
        <f t="shared" si="8"/>
        <v>11716.55749197514</v>
      </c>
      <c r="J41" s="10">
        <f t="shared" si="6"/>
        <v>643018844955.71362</v>
      </c>
      <c r="K41" s="11">
        <f t="shared" si="7"/>
        <v>6.1779150000000227E-2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54246525.039244413</v>
      </c>
      <c r="D42" s="11">
        <v>1.1299999999999999E-2</v>
      </c>
      <c r="E42" s="10">
        <f t="shared" si="2"/>
        <v>606136.3917170614</v>
      </c>
      <c r="F42" s="3"/>
      <c r="G42" s="26">
        <v>-4.87</v>
      </c>
      <c r="H42" s="10"/>
      <c r="I42" s="10">
        <f t="shared" si="8"/>
        <v>11163.942345855301</v>
      </c>
      <c r="J42" s="10">
        <f t="shared" si="6"/>
        <v>605605078001.12061</v>
      </c>
      <c r="K42" s="11">
        <f t="shared" si="7"/>
        <v>-3.7950309999999821E-2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53640388.647527352</v>
      </c>
      <c r="D43" s="11">
        <v>1.23E-2</v>
      </c>
      <c r="E43" s="10">
        <f t="shared" si="2"/>
        <v>651760.13075628132</v>
      </c>
      <c r="F43" s="3"/>
      <c r="G43" s="26">
        <v>0.89</v>
      </c>
      <c r="H43" s="10"/>
      <c r="I43" s="10">
        <f t="shared" si="8"/>
        <v>11735.459209350678</v>
      </c>
      <c r="J43" s="10">
        <f t="shared" si="6"/>
        <v>629494592946.77441</v>
      </c>
      <c r="K43" s="11">
        <f t="shared" si="7"/>
        <v>2.130946999999983E-2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52988628.516771071</v>
      </c>
      <c r="D44" s="11">
        <v>1.34E-2</v>
      </c>
      <c r="E44" s="10">
        <f t="shared" si="2"/>
        <v>700658.79428136349</v>
      </c>
      <c r="F44" s="3"/>
      <c r="G44" s="26">
        <v>4.78</v>
      </c>
      <c r="H44" s="10"/>
      <c r="I44" s="10">
        <f t="shared" si="8"/>
        <v>11631.934987957855</v>
      </c>
      <c r="J44" s="10">
        <f t="shared" si="6"/>
        <v>616360282008.13074</v>
      </c>
      <c r="K44" s="11">
        <f t="shared" si="7"/>
        <v>6.1840520000000065E-2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52287969.722489707</v>
      </c>
      <c r="D45" s="11">
        <v>1.47E-2</v>
      </c>
      <c r="E45" s="10">
        <f t="shared" si="2"/>
        <v>757497.93527209759</v>
      </c>
      <c r="F45" s="3"/>
      <c r="G45" s="26">
        <v>4.3</v>
      </c>
      <c r="H45" s="10"/>
      <c r="I45" s="10">
        <f t="shared" si="8"/>
        <v>11101.293174229675</v>
      </c>
      <c r="J45" s="10">
        <f t="shared" si="6"/>
        <v>580464081374.60291</v>
      </c>
      <c r="K45" s="11">
        <f t="shared" si="7"/>
        <v>5.8332099999999887E-2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51530471.78721761</v>
      </c>
      <c r="D46" s="11">
        <v>1.46E-2</v>
      </c>
      <c r="E46" s="10">
        <f t="shared" si="2"/>
        <v>741518.71485646814</v>
      </c>
      <c r="F46" s="3"/>
      <c r="G46" s="26">
        <v>3.13</v>
      </c>
      <c r="H46" s="10"/>
      <c r="I46" s="10">
        <f t="shared" si="8"/>
        <v>10643.617616711099</v>
      </c>
      <c r="J46" s="10">
        <f t="shared" si="6"/>
        <v>548470637311.86359</v>
      </c>
      <c r="K46" s="11">
        <f t="shared" si="7"/>
        <v>4.6356980000000103E-2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50788953.072361141</v>
      </c>
      <c r="D47" s="11">
        <v>1.3299999999999999E-2</v>
      </c>
      <c r="E47" s="10">
        <f t="shared" si="2"/>
        <v>666626.9375924319</v>
      </c>
      <c r="F47" s="3"/>
      <c r="G47" s="26">
        <v>5.0999999999999996</v>
      </c>
      <c r="H47" s="10"/>
      <c r="I47" s="10">
        <f t="shared" si="8"/>
        <v>10320.583357617665</v>
      </c>
      <c r="J47" s="10">
        <f t="shared" si="6"/>
        <v>524171623829.43494</v>
      </c>
      <c r="K47" s="11">
        <f t="shared" si="7"/>
        <v>6.4978300000000155E-2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50122326.13476871</v>
      </c>
      <c r="D48" s="11">
        <v>1.26E-2</v>
      </c>
      <c r="E48" s="10">
        <f t="shared" si="2"/>
        <v>623682.90469887853</v>
      </c>
      <c r="F48" s="3"/>
      <c r="G48" s="26">
        <v>7.42</v>
      </c>
      <c r="H48" s="10"/>
      <c r="I48" s="10">
        <f t="shared" si="8"/>
        <v>9819.7748407399285</v>
      </c>
      <c r="J48" s="10">
        <f t="shared" si="6"/>
        <v>492189957137.56317</v>
      </c>
      <c r="K48" s="11">
        <f t="shared" si="7"/>
        <v>8.7734920000000161E-2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49498643.230069831</v>
      </c>
      <c r="D49" s="11">
        <v>1.2800000000000001E-2</v>
      </c>
      <c r="E49" s="10">
        <f t="shared" si="2"/>
        <v>625575.26989029348</v>
      </c>
      <c r="F49" s="3"/>
      <c r="G49" s="26">
        <v>5.67</v>
      </c>
      <c r="H49" s="10"/>
      <c r="I49" s="10">
        <f t="shared" si="8"/>
        <v>9141.4772302550064</v>
      </c>
      <c r="J49" s="10">
        <f t="shared" si="6"/>
        <v>452490720016.19946</v>
      </c>
      <c r="K49" s="11">
        <f t="shared" si="7"/>
        <v>7.0225760000000026E-2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48873067.960179538</v>
      </c>
      <c r="D50" s="11">
        <v>1.32E-2</v>
      </c>
      <c r="E50" s="10">
        <f t="shared" si="2"/>
        <v>636719.79577020556</v>
      </c>
      <c r="F50" s="3"/>
      <c r="G50" s="26">
        <v>-0.33</v>
      </c>
      <c r="H50" s="10"/>
      <c r="I50" s="10">
        <f t="shared" si="8"/>
        <v>8650.9673798192543</v>
      </c>
      <c r="J50" s="10">
        <f t="shared" si="6"/>
        <v>422799316675.2027</v>
      </c>
      <c r="K50" s="11">
        <f t="shared" si="7"/>
        <v>9.8564400000000774E-3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48236348.164409332</v>
      </c>
      <c r="D51" s="11">
        <v>1.2800000000000001E-2</v>
      </c>
      <c r="E51" s="10">
        <f t="shared" si="2"/>
        <v>609622.09370501339</v>
      </c>
      <c r="F51" s="3"/>
      <c r="G51" s="26">
        <v>2.81</v>
      </c>
      <c r="H51" s="10"/>
      <c r="I51" s="10">
        <f t="shared" si="8"/>
        <v>8679.6100931265719</v>
      </c>
      <c r="J51" s="10">
        <f t="shared" si="6"/>
        <v>418672694383.37463</v>
      </c>
      <c r="K51" s="11">
        <f t="shared" si="7"/>
        <v>4.1259680000000021E-2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47626726.070704319</v>
      </c>
      <c r="D52" s="11">
        <v>1.15E-2</v>
      </c>
      <c r="E52" s="10">
        <f t="shared" si="2"/>
        <v>541480.32606337219</v>
      </c>
      <c r="F52" s="3"/>
      <c r="G52" s="26">
        <v>5.24</v>
      </c>
      <c r="H52" s="10"/>
      <c r="I52" s="10">
        <f t="shared" si="8"/>
        <v>8442.3792365787103</v>
      </c>
      <c r="J52" s="10">
        <f t="shared" si="6"/>
        <v>402082883285.53607</v>
      </c>
      <c r="K52" s="11">
        <f t="shared" si="7"/>
        <v>6.4502599999999966E-2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47085245.744640946</v>
      </c>
      <c r="D53" s="11">
        <v>1.3100000000000001E-2</v>
      </c>
      <c r="E53" s="10">
        <f t="shared" si="2"/>
        <v>608840.90342000127</v>
      </c>
      <c r="F53" s="3"/>
      <c r="G53" s="26">
        <v>6.64</v>
      </c>
      <c r="H53" s="10"/>
      <c r="I53" s="10">
        <f t="shared" si="8"/>
        <v>8022.0251202762356</v>
      </c>
      <c r="J53" s="10">
        <f t="shared" si="6"/>
        <v>377719024157.8894</v>
      </c>
      <c r="K53" s="11">
        <f t="shared" si="7"/>
        <v>8.0369840000000137E-2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46476404.841220945</v>
      </c>
      <c r="D54" s="11">
        <v>1.37E-2</v>
      </c>
      <c r="E54" s="10">
        <f t="shared" si="2"/>
        <v>628121.48202104121</v>
      </c>
      <c r="F54" s="3"/>
      <c r="G54" s="26">
        <v>2.74</v>
      </c>
      <c r="H54" s="10"/>
      <c r="I54" s="10">
        <f t="shared" si="8"/>
        <v>7522.5291825546092</v>
      </c>
      <c r="J54" s="10">
        <f t="shared" si="6"/>
        <v>349620111718.30688</v>
      </c>
      <c r="K54" s="11">
        <f t="shared" si="7"/>
        <v>4.1475380000000284E-2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45848283.359199904</v>
      </c>
      <c r="D55" s="11">
        <v>1.44E-2</v>
      </c>
      <c r="E55" s="10">
        <f t="shared" si="2"/>
        <v>650843.13916844875</v>
      </c>
      <c r="F55" s="3"/>
      <c r="G55" s="26">
        <v>4.62</v>
      </c>
      <c r="H55" s="10"/>
      <c r="I55" s="10">
        <f t="shared" si="8"/>
        <v>7321.9088792628072</v>
      </c>
      <c r="J55" s="10">
        <f t="shared" si="6"/>
        <v>335696953026.68298</v>
      </c>
      <c r="K55" s="11">
        <f t="shared" si="7"/>
        <v>6.1265279999999978E-2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45197440.220031455</v>
      </c>
      <c r="D56" s="11">
        <v>1.52E-2</v>
      </c>
      <c r="E56" s="10">
        <f t="shared" si="2"/>
        <v>676715.02299495786</v>
      </c>
      <c r="F56" s="3"/>
      <c r="G56" s="26">
        <v>4.3</v>
      </c>
      <c r="H56" s="10"/>
      <c r="I56" s="10">
        <f t="shared" si="8"/>
        <v>6998.5747268809091</v>
      </c>
      <c r="J56" s="10">
        <f t="shared" si="6"/>
        <v>316317662843.62286</v>
      </c>
      <c r="K56" s="11">
        <f t="shared" si="7"/>
        <v>5.885359999999995E-2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44520725.197036497</v>
      </c>
      <c r="D57" s="11">
        <v>1.4800000000000001E-2</v>
      </c>
      <c r="E57" s="10">
        <f t="shared" si="2"/>
        <v>649297.13531349599</v>
      </c>
      <c r="F57" s="3"/>
      <c r="G57" s="26">
        <v>8.06</v>
      </c>
      <c r="H57" s="10"/>
      <c r="I57" s="10">
        <f t="shared" si="8"/>
        <v>6710.0428829155417</v>
      </c>
      <c r="J57" s="10">
        <f t="shared" si="6"/>
        <v>298735975250.6134</v>
      </c>
      <c r="K57" s="11">
        <f t="shared" si="7"/>
        <v>9.6592879999999992E-2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43871428.061723001</v>
      </c>
      <c r="D58" s="11">
        <v>1.3299999999999999E-2</v>
      </c>
      <c r="E58" s="10">
        <f t="shared" si="2"/>
        <v>575831.43513364345</v>
      </c>
      <c r="F58" s="3"/>
      <c r="G58" s="26">
        <v>7.31</v>
      </c>
      <c r="H58" s="10"/>
      <c r="I58" s="10">
        <f t="shared" si="8"/>
        <v>6209.5529177452727</v>
      </c>
      <c r="J58" s="10">
        <f t="shared" si="6"/>
        <v>272421954126.32388</v>
      </c>
      <c r="K58" s="11">
        <f t="shared" si="7"/>
        <v>8.737222999999994E-2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43295596.626589358</v>
      </c>
      <c r="D59" s="11">
        <v>1.2699999999999999E-2</v>
      </c>
      <c r="E59" s="10">
        <f t="shared" si="2"/>
        <v>542958.50415491313</v>
      </c>
      <c r="F59" s="3"/>
      <c r="G59" s="26">
        <v>4.46</v>
      </c>
      <c r="H59" s="10"/>
      <c r="I59" s="10">
        <f t="shared" si="8"/>
        <v>5786.555696342627</v>
      </c>
      <c r="J59" s="10">
        <f t="shared" si="6"/>
        <v>250532381286.14328</v>
      </c>
      <c r="K59" s="11">
        <f t="shared" si="7"/>
        <v>5.7866419999999863E-2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42752638.122434445</v>
      </c>
      <c r="D60" s="11">
        <v>1.26E-2</v>
      </c>
      <c r="E60" s="10">
        <f t="shared" si="2"/>
        <v>531980.28870499134</v>
      </c>
      <c r="F60" s="3"/>
      <c r="G60" s="26">
        <v>5.72</v>
      </c>
      <c r="H60" s="10"/>
      <c r="I60" s="10">
        <f t="shared" si="8"/>
        <v>5539.4942526733939</v>
      </c>
      <c r="J60" s="10">
        <f t="shared" si="6"/>
        <v>236827993165.85104</v>
      </c>
      <c r="K60" s="11">
        <f t="shared" si="7"/>
        <v>7.0520719999999981E-2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42220657.833729453</v>
      </c>
      <c r="D61" s="11">
        <v>1.26E-2</v>
      </c>
      <c r="E61" s="10">
        <f t="shared" si="2"/>
        <v>525360.74333892018</v>
      </c>
      <c r="F61" s="3"/>
      <c r="G61" s="26">
        <v>7.18</v>
      </c>
      <c r="H61" s="10"/>
      <c r="I61" s="10">
        <f t="shared" si="8"/>
        <v>5239.778899615394</v>
      </c>
      <c r="J61" s="10">
        <f t="shared" si="6"/>
        <v>221226912045.05698</v>
      </c>
      <c r="K61" s="11">
        <f t="shared" si="7"/>
        <v>8.5304679999999911E-2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41695297.090390533</v>
      </c>
      <c r="D62" s="11">
        <v>1.2500000000000001E-2</v>
      </c>
      <c r="E62" s="10">
        <f t="shared" si="2"/>
        <v>514756.75420235097</v>
      </c>
      <c r="F62" s="3"/>
      <c r="G62" s="26">
        <v>10.99</v>
      </c>
      <c r="H62" s="10"/>
      <c r="I62" s="10">
        <f t="shared" si="8"/>
        <v>4888.7655342558255</v>
      </c>
      <c r="J62" s="10">
        <f t="shared" si="6"/>
        <v>203838531356.05844</v>
      </c>
      <c r="K62" s="11">
        <f t="shared" si="7"/>
        <v>0.12377375000000024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41180540.336188182</v>
      </c>
      <c r="D63" s="11">
        <v>1.32E-2</v>
      </c>
      <c r="E63" s="10">
        <f t="shared" si="2"/>
        <v>536501.3150786534</v>
      </c>
      <c r="F63" s="3"/>
      <c r="G63" s="26">
        <v>7.47</v>
      </c>
      <c r="H63" s="10"/>
      <c r="I63" s="10">
        <f t="shared" si="8"/>
        <v>4404.6900930316469</v>
      </c>
      <c r="J63" s="10">
        <f t="shared" si="6"/>
        <v>181387518044.4982</v>
      </c>
      <c r="K63" s="11">
        <f t="shared" si="7"/>
        <v>8.8886040000000222E-2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40644039.021109529</v>
      </c>
      <c r="D64" s="11">
        <v>1.43E-2</v>
      </c>
      <c r="E64" s="10">
        <f t="shared" si="2"/>
        <v>573015.63442952186</v>
      </c>
      <c r="F64" s="3"/>
      <c r="G64" s="26">
        <v>8.36</v>
      </c>
      <c r="H64" s="10"/>
      <c r="I64" s="10">
        <f t="shared" si="8"/>
        <v>4098.5299088412085</v>
      </c>
      <c r="J64" s="10">
        <f t="shared" si="6"/>
        <v>166580809544.12656</v>
      </c>
      <c r="K64" s="11">
        <f t="shared" si="7"/>
        <v>9.9095479999999903E-2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40071023.386680007</v>
      </c>
      <c r="D65" s="11">
        <v>1.5299999999999999E-2</v>
      </c>
      <c r="E65" s="10">
        <f t="shared" si="2"/>
        <v>603847.78668000549</v>
      </c>
      <c r="F65" s="3"/>
      <c r="G65" s="26">
        <v>8.67</v>
      </c>
      <c r="H65" s="10"/>
      <c r="I65" s="10">
        <f t="shared" si="8"/>
        <v>3782.3273429690003</v>
      </c>
      <c r="J65" s="10">
        <f t="shared" si="6"/>
        <v>151561727416.19006</v>
      </c>
      <c r="K65" s="11">
        <f t="shared" si="7"/>
        <v>0.10332651000000026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39467175.600000001</v>
      </c>
      <c r="D66" s="11">
        <v>1.6199999999999999E-2</v>
      </c>
      <c r="E66" s="10">
        <f t="shared" si="2"/>
        <v>629175.60000000149</v>
      </c>
      <c r="F66" s="23">
        <f>SUM(F2)</f>
        <v>69480631</v>
      </c>
      <c r="G66" s="26">
        <v>9.17</v>
      </c>
      <c r="H66" s="10"/>
      <c r="I66" s="10">
        <f t="shared" si="8"/>
        <v>3480.5625682975983</v>
      </c>
      <c r="J66" s="10">
        <f t="shared" ref="J66:J67" si="9">IF(I66="","",I66*C66)</f>
        <v>137367974069.78831</v>
      </c>
      <c r="K66" s="11">
        <f t="shared" ref="K66" si="10">IFERROR(J66/J67-1,"")</f>
        <v>0.10938553999999989</v>
      </c>
    </row>
    <row r="67" spans="1:11" ht="22.5" customHeight="1">
      <c r="A67" s="3">
        <f t="shared" si="0"/>
        <v>1950</v>
      </c>
      <c r="B67" s="3">
        <v>1700</v>
      </c>
      <c r="C67" s="10">
        <v>38838000</v>
      </c>
      <c r="D67" s="11">
        <v>1.72E-2</v>
      </c>
      <c r="E67" s="3" t="s">
        <v>72</v>
      </c>
      <c r="F67" s="10">
        <f>SUM(C2)</f>
        <v>69480800.687140256</v>
      </c>
      <c r="G67" s="26">
        <v>18.920000000000002</v>
      </c>
      <c r="H67" s="10"/>
      <c r="I67" s="10">
        <f t="shared" ref="I67" si="11">IF(H67&lt;&gt;"",H67,I66/(1+IF(G66="",0,G66)/100))</f>
        <v>3188.2042395324711</v>
      </c>
      <c r="J67" s="10">
        <f t="shared" si="9"/>
        <v>123823476254.96211</v>
      </c>
      <c r="K67" s="11"/>
    </row>
  </sheetData>
  <dataValidations count="1">
    <dataValidation type="custom" allowBlank="1" showDropDown="1" sqref="D2:D67" xr:uid="{00000000-0002-0000-9F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M67"/>
  <sheetViews>
    <sheetView topLeftCell="A20" workbookViewId="0">
      <selection activeCell="L37" sqref="L3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121753843.02982998</v>
      </c>
      <c r="D2" s="11">
        <v>2.9600000000000001E-2</v>
      </c>
      <c r="E2" s="10">
        <f t="shared" ref="E2:E66" si="2">SUM(C2-C3)</f>
        <v>3500304.733569324</v>
      </c>
      <c r="F2" s="14">
        <v>121753072</v>
      </c>
      <c r="G2" s="26">
        <v>4.5999999999999996</v>
      </c>
      <c r="H2" s="10"/>
      <c r="I2" s="10">
        <f>IF(H2&lt;&gt;"",H2,24792)</f>
        <v>3099</v>
      </c>
      <c r="J2" s="10">
        <f t="shared" ref="J2:J33" si="3">IF(I2="","",I2*C2)</f>
        <v>377315159549.44312</v>
      </c>
      <c r="K2" s="11">
        <f t="shared" ref="K2:K33" si="4">IFERROR(J2/J3-1,"")</f>
        <v>7.6961600000000185E-2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118253538.29626065</v>
      </c>
      <c r="D3" s="11">
        <v>2.87E-2</v>
      </c>
      <c r="E3" s="10">
        <f t="shared" si="2"/>
        <v>3299189.8017912656</v>
      </c>
      <c r="F3" s="3"/>
      <c r="G3" s="26">
        <v>5.8</v>
      </c>
      <c r="H3" s="10"/>
      <c r="I3" s="10">
        <f t="shared" ref="I3:I34" si="5">IF(H3&lt;&gt;"",H3,I2/(1+IF(G2="",0,G2)/100))</f>
        <v>2962.7151051625237</v>
      </c>
      <c r="J3" s="10">
        <f t="shared" si="3"/>
        <v>350351544149.2464</v>
      </c>
      <c r="K3" s="11">
        <f t="shared" si="4"/>
        <v>8.8364599999999793E-2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114954348.49446939</v>
      </c>
      <c r="D4" s="11">
        <v>2.8000000000000001E-2</v>
      </c>
      <c r="E4" s="10">
        <f t="shared" si="2"/>
        <v>3131052.2936236858</v>
      </c>
      <c r="F4" s="3"/>
      <c r="G4" s="26">
        <v>4.8</v>
      </c>
      <c r="H4" s="10"/>
      <c r="I4" s="10">
        <f t="shared" si="5"/>
        <v>2800.2978309664686</v>
      </c>
      <c r="J4" s="10">
        <f t="shared" si="3"/>
        <v>321906412749.2262</v>
      </c>
      <c r="K4" s="11">
        <f t="shared" si="4"/>
        <v>7.7344000000000301E-2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111823296.2008457</v>
      </c>
      <c r="D5" s="11">
        <v>2.7199999999999998E-2</v>
      </c>
      <c r="E5" s="10">
        <f t="shared" si="2"/>
        <v>2961053.0146641284</v>
      </c>
      <c r="F5" s="3"/>
      <c r="G5" s="29">
        <v>4.09</v>
      </c>
      <c r="H5" s="10"/>
      <c r="I5" s="10">
        <f t="shared" si="5"/>
        <v>2672.03991504434</v>
      </c>
      <c r="J5" s="10">
        <f t="shared" si="3"/>
        <v>298796310880.48584</v>
      </c>
      <c r="K5" s="11">
        <f t="shared" si="4"/>
        <v>6.9212479999999799E-2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108862243.18618158</v>
      </c>
      <c r="D6" s="11">
        <v>2.63E-2</v>
      </c>
      <c r="E6" s="10">
        <f t="shared" si="2"/>
        <v>2789707.6837148666</v>
      </c>
      <c r="F6" s="3"/>
      <c r="G6" s="29">
        <v>2.41</v>
      </c>
      <c r="H6" s="10"/>
      <c r="I6" s="10">
        <f t="shared" si="5"/>
        <v>2567.0476655243924</v>
      </c>
      <c r="J6" s="10">
        <f t="shared" si="3"/>
        <v>279454567234.83612</v>
      </c>
      <c r="K6" s="11">
        <f t="shared" si="4"/>
        <v>5.1033829999999947E-2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106072535.50246671</v>
      </c>
      <c r="D7" s="11">
        <v>2.5399999999999999E-2</v>
      </c>
      <c r="E7" s="10">
        <f t="shared" si="2"/>
        <v>2627503.805112794</v>
      </c>
      <c r="F7" s="3"/>
      <c r="G7" s="29">
        <v>5.51</v>
      </c>
      <c r="H7" s="10"/>
      <c r="I7" s="10">
        <f t="shared" si="5"/>
        <v>2506.6376970260644</v>
      </c>
      <c r="J7" s="10">
        <f t="shared" si="3"/>
        <v>265885416109.61859</v>
      </c>
      <c r="K7" s="11">
        <f t="shared" si="4"/>
        <v>8.1899539999999993E-2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103445031.69735391</v>
      </c>
      <c r="D8" s="11">
        <v>2.47E-2</v>
      </c>
      <c r="E8" s="10">
        <f t="shared" si="2"/>
        <v>2493502.7646380812</v>
      </c>
      <c r="F8" s="3"/>
      <c r="G8" s="29">
        <v>5.54</v>
      </c>
      <c r="H8" s="10"/>
      <c r="I8" s="10">
        <f t="shared" si="5"/>
        <v>2375.7347142697986</v>
      </c>
      <c r="J8" s="10">
        <f t="shared" si="3"/>
        <v>245757952822.14337</v>
      </c>
      <c r="K8" s="11">
        <f t="shared" si="4"/>
        <v>8.1468379999999785E-2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100951528.93271583</v>
      </c>
      <c r="D9" s="11">
        <v>2.3900000000000001E-2</v>
      </c>
      <c r="E9" s="10">
        <f t="shared" si="2"/>
        <v>2356423.0310498178</v>
      </c>
      <c r="F9" s="3"/>
      <c r="G9" s="29">
        <v>1.22</v>
      </c>
      <c r="H9" s="10"/>
      <c r="I9" s="10">
        <f t="shared" si="5"/>
        <v>2251.0277755067264</v>
      </c>
      <c r="J9" s="10">
        <f t="shared" si="3"/>
        <v>227244695607.41425</v>
      </c>
      <c r="K9" s="11">
        <f t="shared" si="4"/>
        <v>3.6391579999999868E-2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98595105.901666015</v>
      </c>
      <c r="D10" s="11">
        <v>2.35E-2</v>
      </c>
      <c r="E10" s="10">
        <f t="shared" si="2"/>
        <v>2263786.0172830075</v>
      </c>
      <c r="F10" s="3"/>
      <c r="G10" s="29">
        <v>3.22</v>
      </c>
      <c r="H10" s="10"/>
      <c r="I10" s="10">
        <f t="shared" si="5"/>
        <v>2223.8962413621089</v>
      </c>
      <c r="J10" s="10">
        <f t="shared" si="3"/>
        <v>219265285431.41412</v>
      </c>
      <c r="K10" s="11">
        <f t="shared" si="4"/>
        <v>5.6456700000000026E-2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96331319.884383008</v>
      </c>
      <c r="D11" s="11">
        <v>2.35E-2</v>
      </c>
      <c r="E11" s="10">
        <f t="shared" si="2"/>
        <v>2211808.5171304494</v>
      </c>
      <c r="F11" s="3"/>
      <c r="G11" s="29">
        <v>6.31</v>
      </c>
      <c r="H11" s="10"/>
      <c r="I11" s="10">
        <f t="shared" si="5"/>
        <v>2154.5206756075459</v>
      </c>
      <c r="J11" s="10">
        <f t="shared" si="3"/>
        <v>207547820399.4675</v>
      </c>
      <c r="K11" s="11">
        <f t="shared" si="4"/>
        <v>8.8082850000000157E-2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94119511.367252558</v>
      </c>
      <c r="D12" s="11">
        <v>2.35E-2</v>
      </c>
      <c r="E12" s="10">
        <f t="shared" si="2"/>
        <v>2161024.4427263737</v>
      </c>
      <c r="F12" s="3"/>
      <c r="G12" s="29">
        <v>5.59</v>
      </c>
      <c r="H12" s="10"/>
      <c r="I12" s="10">
        <f t="shared" si="5"/>
        <v>2026.6397099120929</v>
      </c>
      <c r="J12" s="10">
        <f t="shared" si="3"/>
        <v>190746339214.39667</v>
      </c>
      <c r="K12" s="11">
        <f t="shared" si="4"/>
        <v>8.0713650000000081E-2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91958486.924526185</v>
      </c>
      <c r="D13" s="11">
        <v>2.3800000000000002E-2</v>
      </c>
      <c r="E13" s="10">
        <f t="shared" si="2"/>
        <v>2137733.9214726835</v>
      </c>
      <c r="F13" s="3"/>
      <c r="G13" s="29">
        <v>4.3499999999999996</v>
      </c>
      <c r="H13" s="10"/>
      <c r="I13" s="10">
        <f t="shared" si="5"/>
        <v>1919.3481484156575</v>
      </c>
      <c r="J13" s="10">
        <f t="shared" si="3"/>
        <v>176500351609.69479</v>
      </c>
      <c r="K13" s="11">
        <f t="shared" si="4"/>
        <v>6.833530000000021E-2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89820753.003053501</v>
      </c>
      <c r="D14" s="11">
        <v>2.4199999999999999E-2</v>
      </c>
      <c r="E14" s="10">
        <f t="shared" si="2"/>
        <v>2122302.5021225363</v>
      </c>
      <c r="F14" s="3"/>
      <c r="G14" s="26">
        <v>5.8</v>
      </c>
      <c r="H14" s="10"/>
      <c r="I14" s="10">
        <f t="shared" si="5"/>
        <v>1839.3369893777262</v>
      </c>
      <c r="J14" s="10">
        <f t="shared" si="3"/>
        <v>165210633412.27679</v>
      </c>
      <c r="K14" s="11">
        <f t="shared" si="4"/>
        <v>8.3603600000000222E-2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87698450.500930965</v>
      </c>
      <c r="D15" s="11">
        <v>2.5000000000000001E-2</v>
      </c>
      <c r="E15" s="10">
        <f t="shared" si="2"/>
        <v>2138986.5975836813</v>
      </c>
      <c r="F15" s="3"/>
      <c r="G15" s="26">
        <v>-5.5</v>
      </c>
      <c r="H15" s="10"/>
      <c r="I15" s="10">
        <f t="shared" si="5"/>
        <v>1738.5037706783801</v>
      </c>
      <c r="J15" s="10">
        <f t="shared" si="3"/>
        <v>152464086878.51974</v>
      </c>
      <c r="K15" s="11">
        <f t="shared" si="4"/>
        <v>-3.1375000000000153E-2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85559463.903347284</v>
      </c>
      <c r="D16" s="11">
        <v>2.5399999999999999E-2</v>
      </c>
      <c r="E16" s="10">
        <f t="shared" si="2"/>
        <v>2119378.1774380952</v>
      </c>
      <c r="F16" s="3"/>
      <c r="G16" s="26">
        <v>6.4</v>
      </c>
      <c r="H16" s="10"/>
      <c r="I16" s="10">
        <f t="shared" si="5"/>
        <v>1839.6865298183918</v>
      </c>
      <c r="J16" s="10">
        <f t="shared" si="3"/>
        <v>157402593241.47092</v>
      </c>
      <c r="K16" s="11">
        <f t="shared" si="4"/>
        <v>9.1025600000000262E-2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83440085.725909188</v>
      </c>
      <c r="D17" s="11">
        <v>2.58E-2</v>
      </c>
      <c r="E17" s="10">
        <f t="shared" si="2"/>
        <v>2098610.0718741119</v>
      </c>
      <c r="F17" s="3"/>
      <c r="G17" s="26">
        <v>7</v>
      </c>
      <c r="H17" s="10"/>
      <c r="I17" s="10">
        <f t="shared" si="5"/>
        <v>1729.028693438338</v>
      </c>
      <c r="J17" s="10">
        <f t="shared" si="3"/>
        <v>144270302403.05167</v>
      </c>
      <c r="K17" s="11">
        <f t="shared" si="4"/>
        <v>9.7606000000000082E-2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81341475.654035076</v>
      </c>
      <c r="D18" s="11">
        <v>2.6200000000000001E-2</v>
      </c>
      <c r="E18" s="10">
        <f t="shared" si="2"/>
        <v>2076736.1743672937</v>
      </c>
      <c r="F18" s="3"/>
      <c r="G18" s="26">
        <v>1.9</v>
      </c>
      <c r="H18" s="10"/>
      <c r="I18" s="10">
        <f t="shared" si="5"/>
        <v>1615.9146667648017</v>
      </c>
      <c r="J18" s="10">
        <f t="shared" si="3"/>
        <v>131440883525.64732</v>
      </c>
      <c r="K18" s="11">
        <f t="shared" si="4"/>
        <v>4.56977999999999E-2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79264739.479667783</v>
      </c>
      <c r="D19" s="11">
        <v>2.6499999999999999E-2</v>
      </c>
      <c r="E19" s="10">
        <f t="shared" si="2"/>
        <v>2046288.9393192381</v>
      </c>
      <c r="F19" s="3"/>
      <c r="G19" s="26">
        <v>13.1</v>
      </c>
      <c r="H19" s="10"/>
      <c r="I19" s="10">
        <f t="shared" si="5"/>
        <v>1585.7847563933287</v>
      </c>
      <c r="J19" s="10">
        <f t="shared" si="3"/>
        <v>125696815586.34564</v>
      </c>
      <c r="K19" s="11">
        <f t="shared" si="4"/>
        <v>0.16097149999999982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77218450.540348545</v>
      </c>
      <c r="D20" s="11">
        <v>2.6700000000000002E-2</v>
      </c>
      <c r="E20" s="10">
        <f t="shared" si="2"/>
        <v>2008115.9339897782</v>
      </c>
      <c r="F20" s="3"/>
      <c r="G20" s="29">
        <v>5.09</v>
      </c>
      <c r="H20" s="10"/>
      <c r="I20" s="10">
        <f t="shared" si="5"/>
        <v>1402.108537925136</v>
      </c>
      <c r="J20" s="10">
        <f t="shared" si="3"/>
        <v>108268648787.97253</v>
      </c>
      <c r="K20" s="11">
        <f t="shared" si="4"/>
        <v>7.8959030000000041E-2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75210334.606358767</v>
      </c>
      <c r="D21" s="11">
        <v>2.6700000000000002E-2</v>
      </c>
      <c r="E21" s="10">
        <f t="shared" si="2"/>
        <v>1955893.575523302</v>
      </c>
      <c r="F21" s="3"/>
      <c r="G21" s="29">
        <v>3.52</v>
      </c>
      <c r="H21" s="10"/>
      <c r="I21" s="10">
        <f t="shared" si="5"/>
        <v>1334.1978665193035</v>
      </c>
      <c r="J21" s="10">
        <f t="shared" si="3"/>
        <v>100345467972.00681</v>
      </c>
      <c r="K21" s="11">
        <f t="shared" si="4"/>
        <v>6.2839839999999647E-2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73254441.030835465</v>
      </c>
      <c r="D22" s="11">
        <v>2.7199999999999998E-2</v>
      </c>
      <c r="E22" s="10">
        <f t="shared" si="2"/>
        <v>1939759.3419380039</v>
      </c>
      <c r="F22" s="3"/>
      <c r="G22" s="29">
        <v>1.9</v>
      </c>
      <c r="H22" s="10"/>
      <c r="I22" s="10">
        <f t="shared" si="5"/>
        <v>1288.8310147984</v>
      </c>
      <c r="J22" s="10">
        <f t="shared" si="3"/>
        <v>94412595572.26123</v>
      </c>
      <c r="K22" s="11">
        <f t="shared" si="4"/>
        <v>4.6716799999999781E-2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71314681.688897461</v>
      </c>
      <c r="D23" s="11">
        <v>2.8400000000000002E-2</v>
      </c>
      <c r="E23" s="10">
        <f t="shared" si="2"/>
        <v>1969405.8342713863</v>
      </c>
      <c r="F23" s="3"/>
      <c r="G23" s="29">
        <v>1.23</v>
      </c>
      <c r="H23" s="10"/>
      <c r="I23" s="10">
        <f t="shared" si="5"/>
        <v>1264.7998182516194</v>
      </c>
      <c r="J23" s="10">
        <f t="shared" si="3"/>
        <v>90198796438.789597</v>
      </c>
      <c r="K23" s="11">
        <f t="shared" si="4"/>
        <v>4.1049319999999945E-2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69345275.854626074</v>
      </c>
      <c r="D24" s="11">
        <v>2.9700000000000001E-2</v>
      </c>
      <c r="E24" s="10">
        <f t="shared" si="2"/>
        <v>2000150.2310210764</v>
      </c>
      <c r="F24" s="3"/>
      <c r="G24" s="29">
        <v>4.66</v>
      </c>
      <c r="H24" s="10"/>
      <c r="I24" s="10">
        <f t="shared" si="5"/>
        <v>1249.4318070252093</v>
      </c>
      <c r="J24" s="10">
        <f t="shared" si="3"/>
        <v>86642193319.707077</v>
      </c>
      <c r="K24" s="11">
        <f t="shared" si="4"/>
        <v>7.7684020000000187E-2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67345125.623604998</v>
      </c>
      <c r="D25" s="11">
        <v>3.0300000000000001E-2</v>
      </c>
      <c r="E25" s="10">
        <f t="shared" si="2"/>
        <v>1980546.7401681393</v>
      </c>
      <c r="F25" s="3"/>
      <c r="G25" s="29">
        <v>4.7</v>
      </c>
      <c r="H25" s="10"/>
      <c r="I25" s="10">
        <f t="shared" si="5"/>
        <v>1193.800694654318</v>
      </c>
      <c r="J25" s="10">
        <f t="shared" si="3"/>
        <v>80396657751.041962</v>
      </c>
      <c r="K25" s="11">
        <f t="shared" si="4"/>
        <v>7.8724099999999853E-2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65364578.883436859</v>
      </c>
      <c r="D26" s="11">
        <v>3.0099999999999998E-2</v>
      </c>
      <c r="E26" s="10">
        <f t="shared" si="2"/>
        <v>1909983.3262706995</v>
      </c>
      <c r="F26" s="3"/>
      <c r="G26" s="26">
        <v>9.3000000000000007</v>
      </c>
      <c r="H26" s="10"/>
      <c r="I26" s="10">
        <f t="shared" si="5"/>
        <v>1140.2107876354519</v>
      </c>
      <c r="J26" s="10">
        <f t="shared" si="3"/>
        <v>74529397972.143173</v>
      </c>
      <c r="K26" s="11">
        <f t="shared" si="4"/>
        <v>0.12589930000000016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63454595.557166159</v>
      </c>
      <c r="D27" s="11">
        <v>2.9399999999999999E-2</v>
      </c>
      <c r="E27" s="10">
        <f t="shared" si="2"/>
        <v>1812283.960929364</v>
      </c>
      <c r="F27" s="3"/>
      <c r="G27" s="26">
        <v>-4.7</v>
      </c>
      <c r="H27" s="10"/>
      <c r="I27" s="10">
        <f t="shared" si="5"/>
        <v>1043.1937672785471</v>
      </c>
      <c r="J27" s="10">
        <f t="shared" si="3"/>
        <v>66195438590.416718</v>
      </c>
      <c r="K27" s="11">
        <f t="shared" si="4"/>
        <v>-1.8981799999999938E-2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61642311.596236795</v>
      </c>
      <c r="D28" s="11">
        <v>2.9100000000000001E-2</v>
      </c>
      <c r="E28" s="10">
        <f t="shared" si="2"/>
        <v>1743067.9889714196</v>
      </c>
      <c r="F28" s="3"/>
      <c r="G28" s="26">
        <v>2.2999999999999998</v>
      </c>
      <c r="H28" s="10"/>
      <c r="I28" s="10">
        <f t="shared" si="5"/>
        <v>1094.6419383825257</v>
      </c>
      <c r="J28" s="10">
        <f t="shared" si="3"/>
        <v>67476259452.08429</v>
      </c>
      <c r="K28" s="11">
        <f t="shared" si="4"/>
        <v>5.2769299999999797E-2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59899243.607265376</v>
      </c>
      <c r="D29" s="11">
        <v>2.9399999999999999E-2</v>
      </c>
      <c r="E29" s="10">
        <f t="shared" si="2"/>
        <v>1710741.9487600625</v>
      </c>
      <c r="F29" s="3"/>
      <c r="G29" s="26">
        <v>0.3</v>
      </c>
      <c r="H29" s="10"/>
      <c r="I29" s="10">
        <f t="shared" si="5"/>
        <v>1070.0312203152746</v>
      </c>
      <c r="J29" s="10">
        <f t="shared" si="3"/>
        <v>64094060733.044083</v>
      </c>
      <c r="K29" s="11">
        <f t="shared" si="4"/>
        <v>3.2488199999999967E-2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58188501.658505313</v>
      </c>
      <c r="D30" s="11">
        <v>3.0300000000000001E-2</v>
      </c>
      <c r="E30" s="10">
        <f t="shared" si="2"/>
        <v>1711260.4098347202</v>
      </c>
      <c r="F30" s="3"/>
      <c r="G30" s="26">
        <v>7</v>
      </c>
      <c r="H30" s="10"/>
      <c r="I30" s="10">
        <f t="shared" si="5"/>
        <v>1066.8307281308821</v>
      </c>
      <c r="J30" s="10">
        <f t="shared" si="3"/>
        <v>62077281593.188263</v>
      </c>
      <c r="K30" s="11">
        <f t="shared" si="4"/>
        <v>0.10242099999999987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56477241.248670593</v>
      </c>
      <c r="D31" s="11">
        <v>3.1300000000000001E-2</v>
      </c>
      <c r="E31" s="10">
        <f t="shared" si="2"/>
        <v>1714086.7362391129</v>
      </c>
      <c r="F31" s="3"/>
      <c r="G31" s="26">
        <v>9.5</v>
      </c>
      <c r="H31" s="10"/>
      <c r="I31" s="10">
        <f t="shared" si="5"/>
        <v>997.03806367372158</v>
      </c>
      <c r="J31" s="10">
        <f t="shared" si="3"/>
        <v>56309959256.208168</v>
      </c>
      <c r="K31" s="11">
        <f t="shared" si="4"/>
        <v>0.12927350000000026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54763154.51243148</v>
      </c>
      <c r="D32" s="11">
        <v>3.1699999999999999E-2</v>
      </c>
      <c r="E32" s="10">
        <f t="shared" si="2"/>
        <v>1682651.9318058342</v>
      </c>
      <c r="F32" s="3"/>
      <c r="G32" s="26">
        <v>4.2</v>
      </c>
      <c r="H32" s="10"/>
      <c r="I32" s="10">
        <f t="shared" si="5"/>
        <v>910.53704445088727</v>
      </c>
      <c r="J32" s="10">
        <f t="shared" si="3"/>
        <v>49863880854.556633</v>
      </c>
      <c r="K32" s="11">
        <f t="shared" si="4"/>
        <v>7.5031400000000081E-2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53080502.580625646</v>
      </c>
      <c r="D33" s="11">
        <v>3.15E-2</v>
      </c>
      <c r="E33" s="10">
        <f t="shared" si="2"/>
        <v>1620975.1151621044</v>
      </c>
      <c r="F33" s="3"/>
      <c r="G33" s="26">
        <v>5</v>
      </c>
      <c r="H33" s="10"/>
      <c r="I33" s="10">
        <f t="shared" si="5"/>
        <v>873.83593517359623</v>
      </c>
      <c r="J33" s="10">
        <f t="shared" si="3"/>
        <v>46383650612.025497</v>
      </c>
      <c r="K33" s="11">
        <f t="shared" si="4"/>
        <v>8.307500000000001E-2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51459527.465463541</v>
      </c>
      <c r="D34" s="11">
        <v>3.1199999999999999E-2</v>
      </c>
      <c r="E34" s="10">
        <f t="shared" si="2"/>
        <v>1556960.1017479226</v>
      </c>
      <c r="F34" s="3"/>
      <c r="G34" s="26">
        <v>5.4</v>
      </c>
      <c r="H34" s="10"/>
      <c r="I34" s="10">
        <f t="shared" si="5"/>
        <v>832.22470016532975</v>
      </c>
      <c r="J34" s="10">
        <f t="shared" ref="J34:J65" si="6">IF(I34="","",I34*C34)</f>
        <v>42825889815.594948</v>
      </c>
      <c r="K34" s="11">
        <f t="shared" ref="K34:K65" si="7">IFERROR(J34/J35-1,"")</f>
        <v>0.1002904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49902567.363715619</v>
      </c>
      <c r="D35" s="11">
        <v>3.1099999999999999E-2</v>
      </c>
      <c r="E35" s="10">
        <f t="shared" si="2"/>
        <v>1505159.3880434036</v>
      </c>
      <c r="F35" s="3"/>
      <c r="G35" s="26">
        <v>2.2</v>
      </c>
      <c r="H35" s="10"/>
      <c r="I35" s="10">
        <f t="shared" ref="I35:I66" si="8">IF(H35&lt;&gt;"",H35,I34/(1+IF(G34="",0,G34)/100))</f>
        <v>779.96691674351428</v>
      </c>
      <c r="J35" s="10">
        <f t="shared" si="6"/>
        <v>38922351604.262794</v>
      </c>
      <c r="K35" s="11">
        <f t="shared" si="7"/>
        <v>8.162389999999986E-2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48397407.975672215</v>
      </c>
      <c r="D36" s="11">
        <v>3.1300000000000001E-2</v>
      </c>
      <c r="E36" s="10">
        <f t="shared" si="2"/>
        <v>1468863.4438461587</v>
      </c>
      <c r="F36" s="3"/>
      <c r="G36" s="26">
        <v>-1.2</v>
      </c>
      <c r="H36" s="10"/>
      <c r="I36" s="10">
        <f t="shared" si="8"/>
        <v>743.53376238657233</v>
      </c>
      <c r="J36" s="10">
        <f t="shared" si="6"/>
        <v>35985106841.909462</v>
      </c>
      <c r="K36" s="11">
        <f t="shared" si="7"/>
        <v>6.8426800000000121E-2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46928544.531826057</v>
      </c>
      <c r="D37" s="11">
        <v>3.1300000000000001E-2</v>
      </c>
      <c r="E37" s="10">
        <f t="shared" si="2"/>
        <v>1424283.3742326796</v>
      </c>
      <c r="F37" s="3"/>
      <c r="G37" s="26">
        <v>-5.9</v>
      </c>
      <c r="H37" s="10"/>
      <c r="I37" s="10">
        <f t="shared" si="8"/>
        <v>717.69668184032071</v>
      </c>
      <c r="J37" s="10">
        <f t="shared" si="6"/>
        <v>33680460694.087288</v>
      </c>
      <c r="K37" s="11">
        <f t="shared" si="7"/>
        <v>2.511220000000014E-2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45504261.157593377</v>
      </c>
      <c r="D38" s="11">
        <v>3.1199999999999999E-2</v>
      </c>
      <c r="E38" s="10">
        <f t="shared" si="2"/>
        <v>1376777.4904159307</v>
      </c>
      <c r="F38" s="3"/>
      <c r="G38" s="26">
        <v>-13.2</v>
      </c>
      <c r="H38" s="10"/>
      <c r="I38" s="10">
        <f t="shared" si="8"/>
        <v>722.02885497014154</v>
      </c>
      <c r="J38" s="10">
        <f t="shared" si="6"/>
        <v>32855389579.879433</v>
      </c>
      <c r="K38" s="11">
        <f t="shared" si="7"/>
        <v>-6.6764000000000046E-2</v>
      </c>
      <c r="L38" t="s">
        <v>147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44127483.667177446</v>
      </c>
      <c r="D39" s="11">
        <v>3.09E-2</v>
      </c>
      <c r="E39" s="10">
        <f t="shared" si="2"/>
        <v>1322668.7800133675</v>
      </c>
      <c r="F39" s="3"/>
      <c r="G39" s="26">
        <v>13.4</v>
      </c>
      <c r="H39" s="10"/>
      <c r="I39" s="10">
        <f t="shared" si="8"/>
        <v>797.82193919352653</v>
      </c>
      <c r="J39" s="10">
        <f t="shared" si="6"/>
        <v>35205874591.078178</v>
      </c>
      <c r="K39" s="11">
        <f t="shared" si="7"/>
        <v>0.16904059999999999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42804814.887164079</v>
      </c>
      <c r="D40" s="11">
        <v>3.0300000000000001E-2</v>
      </c>
      <c r="E40" s="10">
        <f t="shared" si="2"/>
        <v>1258842.9497050121</v>
      </c>
      <c r="F40" s="3"/>
      <c r="G40" s="26">
        <v>12.5</v>
      </c>
      <c r="H40" s="10"/>
      <c r="I40" s="10">
        <f t="shared" si="8"/>
        <v>703.5466835921751</v>
      </c>
      <c r="J40" s="10">
        <f t="shared" si="6"/>
        <v>30115185555.641251</v>
      </c>
      <c r="K40" s="11">
        <f t="shared" si="7"/>
        <v>0.15908750000000005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41545971.937459067</v>
      </c>
      <c r="D41" s="11">
        <v>2.9700000000000001E-2</v>
      </c>
      <c r="E41" s="10">
        <f t="shared" si="2"/>
        <v>1198325.1107531711</v>
      </c>
      <c r="F41" s="3"/>
      <c r="G41" s="26">
        <v>17.2</v>
      </c>
      <c r="H41" s="10"/>
      <c r="I41" s="10">
        <f t="shared" si="8"/>
        <v>625.37482985971121</v>
      </c>
      <c r="J41" s="10">
        <f t="shared" si="6"/>
        <v>25981805131.744801</v>
      </c>
      <c r="K41" s="11">
        <f t="shared" si="7"/>
        <v>0.20680840000000011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40347646.826705895</v>
      </c>
      <c r="D42" s="11">
        <v>2.9499999999999998E-2</v>
      </c>
      <c r="E42" s="10">
        <f t="shared" si="2"/>
        <v>1156149.1805612668</v>
      </c>
      <c r="F42" s="3"/>
      <c r="G42" s="26">
        <v>-3.5</v>
      </c>
      <c r="H42" s="10"/>
      <c r="I42" s="10">
        <f t="shared" si="8"/>
        <v>533.5962712113577</v>
      </c>
      <c r="J42" s="10">
        <f t="shared" si="6"/>
        <v>21529353898.883034</v>
      </c>
      <c r="K42" s="11">
        <f t="shared" si="7"/>
        <v>-6.5325000000000522E-3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39191497.646144629</v>
      </c>
      <c r="D43" s="11">
        <v>2.98E-2</v>
      </c>
      <c r="E43" s="10">
        <f t="shared" si="2"/>
        <v>1134110.147460781</v>
      </c>
      <c r="F43" s="3"/>
      <c r="G43" s="26">
        <v>5.6</v>
      </c>
      <c r="H43" s="10"/>
      <c r="I43" s="10">
        <f t="shared" si="8"/>
        <v>552.94950384596655</v>
      </c>
      <c r="J43" s="10">
        <f t="shared" si="6"/>
        <v>21670919178.416039</v>
      </c>
      <c r="K43" s="11">
        <f t="shared" si="7"/>
        <v>8.7468800000000124E-2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38057387.498683847</v>
      </c>
      <c r="D44" s="11">
        <v>2.98E-2</v>
      </c>
      <c r="E44" s="10">
        <f t="shared" si="2"/>
        <v>1101291.656108737</v>
      </c>
      <c r="F44" s="3"/>
      <c r="G44" s="26">
        <v>7.4</v>
      </c>
      <c r="H44" s="10"/>
      <c r="I44" s="10">
        <f t="shared" si="8"/>
        <v>523.62642409655916</v>
      </c>
      <c r="J44" s="10">
        <f t="shared" si="6"/>
        <v>19927853726.392918</v>
      </c>
      <c r="K44" s="11">
        <f t="shared" si="7"/>
        <v>0.10600520000000002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36956095.84257511</v>
      </c>
      <c r="D45" s="11">
        <v>2.9700000000000001E-2</v>
      </c>
      <c r="E45" s="10">
        <f t="shared" si="2"/>
        <v>1065937.6969257891</v>
      </c>
      <c r="F45" s="3"/>
      <c r="G45" s="26">
        <v>3.3</v>
      </c>
      <c r="H45" s="10"/>
      <c r="I45" s="10">
        <f t="shared" si="8"/>
        <v>487.54788090927292</v>
      </c>
      <c r="J45" s="10">
        <f t="shared" si="6"/>
        <v>18017866214.727486</v>
      </c>
      <c r="K45" s="11">
        <f t="shared" si="7"/>
        <v>6.3680100000000017E-2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35890158.145649321</v>
      </c>
      <c r="D46" s="11">
        <v>2.93E-2</v>
      </c>
      <c r="E46" s="10">
        <f t="shared" si="2"/>
        <v>1021647.3658481762</v>
      </c>
      <c r="F46" s="3"/>
      <c r="G46" s="26">
        <v>3.2</v>
      </c>
      <c r="H46" s="10"/>
      <c r="I46" s="10">
        <f t="shared" si="8"/>
        <v>471.9727791958112</v>
      </c>
      <c r="J46" s="10">
        <f t="shared" si="6"/>
        <v>16939177685.779291</v>
      </c>
      <c r="K46" s="11">
        <f t="shared" si="7"/>
        <v>6.2237600000000004E-2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34868510.779801145</v>
      </c>
      <c r="D47" s="11">
        <v>2.8799999999999999E-2</v>
      </c>
      <c r="E47" s="10">
        <f t="shared" si="2"/>
        <v>976101.39041433483</v>
      </c>
      <c r="F47" s="3"/>
      <c r="G47" s="26">
        <v>5.6</v>
      </c>
      <c r="H47" s="10"/>
      <c r="I47" s="10">
        <f t="shared" si="8"/>
        <v>457.33796433702634</v>
      </c>
      <c r="J47" s="10">
        <f t="shared" si="6"/>
        <v>15946693739.497915</v>
      </c>
      <c r="K47" s="11">
        <f t="shared" si="7"/>
        <v>8.6412799999999956E-2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33892409.38938681</v>
      </c>
      <c r="D48" s="11">
        <v>2.86E-2</v>
      </c>
      <c r="E48" s="10">
        <f t="shared" si="2"/>
        <v>942371.09521336108</v>
      </c>
      <c r="F48" s="3"/>
      <c r="G48" s="26">
        <v>6.8</v>
      </c>
      <c r="H48" s="10"/>
      <c r="I48" s="10">
        <f t="shared" si="8"/>
        <v>433.08519350097191</v>
      </c>
      <c r="J48" s="10">
        <f t="shared" si="6"/>
        <v>14678300678.616743</v>
      </c>
      <c r="K48" s="11">
        <f t="shared" si="7"/>
        <v>9.8544799999999988E-2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32950038.294173449</v>
      </c>
      <c r="D49" s="11">
        <v>2.86E-2</v>
      </c>
      <c r="E49" s="10">
        <f t="shared" si="2"/>
        <v>916168.67121656612</v>
      </c>
      <c r="F49" s="3"/>
      <c r="G49" s="26">
        <v>4.0999999999999996</v>
      </c>
      <c r="H49" s="10"/>
      <c r="I49" s="10">
        <f t="shared" si="8"/>
        <v>405.51048080615345</v>
      </c>
      <c r="J49" s="10">
        <f t="shared" si="6"/>
        <v>13361585871.251444</v>
      </c>
      <c r="K49" s="11">
        <f t="shared" si="7"/>
        <v>7.0772599999999741E-2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32033869.622956883</v>
      </c>
      <c r="D50" s="11">
        <v>2.86E-2</v>
      </c>
      <c r="E50" s="10">
        <f t="shared" si="2"/>
        <v>890694.79993832856</v>
      </c>
      <c r="F50" s="3"/>
      <c r="G50" s="26">
        <v>11.2</v>
      </c>
      <c r="H50" s="10"/>
      <c r="I50" s="10">
        <f t="shared" si="8"/>
        <v>389.5393667686393</v>
      </c>
      <c r="J50" s="10">
        <f t="shared" si="6"/>
        <v>12478453288.075775</v>
      </c>
      <c r="K50" s="11">
        <f t="shared" si="7"/>
        <v>0.14380320000000002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31143174.823018555</v>
      </c>
      <c r="D51" s="11">
        <v>2.8500000000000001E-2</v>
      </c>
      <c r="E51" s="10">
        <f t="shared" si="2"/>
        <v>862985.3985960409</v>
      </c>
      <c r="F51" s="3"/>
      <c r="G51" s="26">
        <v>4.7</v>
      </c>
      <c r="H51" s="10"/>
      <c r="I51" s="10">
        <f t="shared" si="8"/>
        <v>350.30518594302094</v>
      </c>
      <c r="J51" s="10">
        <f t="shared" si="6"/>
        <v>10909615647.233522</v>
      </c>
      <c r="K51" s="11">
        <f t="shared" si="7"/>
        <v>7.6839499999999727E-2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30280189.424422514</v>
      </c>
      <c r="D52" s="11">
        <v>2.8400000000000002E-2</v>
      </c>
      <c r="E52" s="10">
        <f t="shared" si="2"/>
        <v>836209.04283702746</v>
      </c>
      <c r="F52" s="3"/>
      <c r="G52" s="26">
        <v>5.5</v>
      </c>
      <c r="H52" s="10"/>
      <c r="I52" s="10">
        <f t="shared" si="8"/>
        <v>334.57992926745078</v>
      </c>
      <c r="J52" s="10">
        <f t="shared" si="6"/>
        <v>10131143635.828297</v>
      </c>
      <c r="K52" s="11">
        <f t="shared" si="7"/>
        <v>8.4961999999999982E-2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29443980.381585486</v>
      </c>
      <c r="D53" s="11">
        <v>2.81E-2</v>
      </c>
      <c r="E53" s="10">
        <f t="shared" si="2"/>
        <v>804762.03552431986</v>
      </c>
      <c r="F53" s="3"/>
      <c r="G53" s="26">
        <v>2.8</v>
      </c>
      <c r="H53" s="10"/>
      <c r="I53" s="10">
        <f t="shared" si="8"/>
        <v>317.1373737132235</v>
      </c>
      <c r="J53" s="10">
        <f t="shared" si="6"/>
        <v>9337786609.8796978</v>
      </c>
      <c r="K53" s="11">
        <f t="shared" si="7"/>
        <v>5.6886800000000237E-2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28639218.346061166</v>
      </c>
      <c r="D54" s="11">
        <v>2.7900000000000001E-2</v>
      </c>
      <c r="E54" s="10">
        <f t="shared" si="2"/>
        <v>777346.23198278621</v>
      </c>
      <c r="F54" s="3"/>
      <c r="G54" s="26">
        <v>5.6</v>
      </c>
      <c r="H54" s="10"/>
      <c r="I54" s="10">
        <f t="shared" si="8"/>
        <v>308.49939077161815</v>
      </c>
      <c r="J54" s="10">
        <f t="shared" si="6"/>
        <v>8835181411.9352188</v>
      </c>
      <c r="K54" s="11">
        <f t="shared" si="7"/>
        <v>8.5462399999999938E-2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27861872.11407838</v>
      </c>
      <c r="D55" s="11">
        <v>2.7699999999999999E-2</v>
      </c>
      <c r="E55" s="10">
        <f t="shared" si="2"/>
        <v>750971.93496153876</v>
      </c>
      <c r="F55" s="3"/>
      <c r="G55" s="26">
        <v>9.1</v>
      </c>
      <c r="H55" s="10"/>
      <c r="I55" s="10">
        <f t="shared" si="8"/>
        <v>292.13957459433539</v>
      </c>
      <c r="J55" s="10">
        <f t="shared" si="6"/>
        <v>8139555466.8086338</v>
      </c>
      <c r="K55" s="11">
        <f t="shared" si="7"/>
        <v>0.12122070000000007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27110900.179116841</v>
      </c>
      <c r="D56" s="11">
        <v>2.7199999999999998E-2</v>
      </c>
      <c r="E56" s="10">
        <f t="shared" si="2"/>
        <v>717889.88013237342</v>
      </c>
      <c r="F56" s="3"/>
      <c r="G56" s="26">
        <v>3.5</v>
      </c>
      <c r="H56" s="10"/>
      <c r="I56" s="10">
        <f t="shared" si="8"/>
        <v>267.77229568683356</v>
      </c>
      <c r="J56" s="10">
        <f t="shared" si="6"/>
        <v>7259547979.0987034</v>
      </c>
      <c r="K56" s="11">
        <f t="shared" si="7"/>
        <v>6.3151999999999653E-2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26393010.298984468</v>
      </c>
      <c r="D57" s="11">
        <v>2.6800000000000001E-2</v>
      </c>
      <c r="E57" s="10">
        <f t="shared" si="2"/>
        <v>688870.934955962</v>
      </c>
      <c r="F57" s="3"/>
      <c r="G57" s="26">
        <v>1.2</v>
      </c>
      <c r="H57" s="10"/>
      <c r="I57" s="10">
        <f t="shared" si="8"/>
        <v>258.71719390032229</v>
      </c>
      <c r="J57" s="10">
        <f t="shared" si="6"/>
        <v>6828325563.1355677</v>
      </c>
      <c r="K57" s="11">
        <f t="shared" si="7"/>
        <v>3.9121599999999868E-2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25704139.364028506</v>
      </c>
      <c r="D58" s="11">
        <v>2.63E-2</v>
      </c>
      <c r="E58" s="10">
        <f t="shared" si="2"/>
        <v>658695.18198767304</v>
      </c>
      <c r="F58" s="3"/>
      <c r="G58" s="26">
        <v>5.0999999999999996</v>
      </c>
      <c r="H58" s="10"/>
      <c r="I58" s="10">
        <f t="shared" si="8"/>
        <v>255.64940108727498</v>
      </c>
      <c r="J58" s="10">
        <f t="shared" si="6"/>
        <v>6571247833.877737</v>
      </c>
      <c r="K58" s="11">
        <f t="shared" si="7"/>
        <v>7.8641299999999914E-2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25045444.182040833</v>
      </c>
      <c r="D59" s="11">
        <v>2.5700000000000001E-2</v>
      </c>
      <c r="E59" s="10">
        <f t="shared" si="2"/>
        <v>627540.13403378427</v>
      </c>
      <c r="F59" s="3"/>
      <c r="G59" s="26">
        <v>5.2</v>
      </c>
      <c r="H59" s="10"/>
      <c r="I59" s="10">
        <f t="shared" si="8"/>
        <v>243.24395916962416</v>
      </c>
      <c r="J59" s="10">
        <f t="shared" si="6"/>
        <v>6092153002.001441</v>
      </c>
      <c r="K59" s="11">
        <f t="shared" si="7"/>
        <v>7.9036400000000118E-2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24417904.048007049</v>
      </c>
      <c r="D60" s="11">
        <v>2.52E-2</v>
      </c>
      <c r="E60" s="10">
        <f t="shared" si="2"/>
        <v>600205.99103567749</v>
      </c>
      <c r="F60" s="3"/>
      <c r="G60" s="26">
        <v>3.9</v>
      </c>
      <c r="H60" s="10"/>
      <c r="I60" s="10">
        <f t="shared" si="8"/>
        <v>231.22049350724728</v>
      </c>
      <c r="J60" s="10">
        <f t="shared" si="6"/>
        <v>5645919824.3928013</v>
      </c>
      <c r="K60" s="11">
        <f t="shared" si="7"/>
        <v>6.5182799999999874E-2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23817698.056971371</v>
      </c>
      <c r="D61" s="11">
        <v>2.4899999999999999E-2</v>
      </c>
      <c r="E61" s="10">
        <f t="shared" si="2"/>
        <v>578652.24082211405</v>
      </c>
      <c r="F61" s="3"/>
      <c r="G61" s="26">
        <v>8.5</v>
      </c>
      <c r="H61" s="10"/>
      <c r="I61" s="10">
        <f t="shared" si="8"/>
        <v>222.54137969898682</v>
      </c>
      <c r="J61" s="10">
        <f t="shared" si="6"/>
        <v>5300423386.8522863</v>
      </c>
      <c r="K61" s="11">
        <f t="shared" si="7"/>
        <v>0.11201649999999974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23239045.816149257</v>
      </c>
      <c r="D62" s="11">
        <v>2.46E-2</v>
      </c>
      <c r="E62" s="10">
        <f t="shared" si="2"/>
        <v>557954.83806097135</v>
      </c>
      <c r="F62" s="3"/>
      <c r="G62" s="26">
        <v>8.6</v>
      </c>
      <c r="H62" s="10"/>
      <c r="I62" s="10">
        <f t="shared" si="8"/>
        <v>205.10726239537956</v>
      </c>
      <c r="J62" s="10">
        <f t="shared" si="6"/>
        <v>4766497068.0311737</v>
      </c>
      <c r="K62" s="11">
        <f t="shared" si="7"/>
        <v>0.11271560000000003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22681090.978088286</v>
      </c>
      <c r="D63" s="11">
        <v>2.4400000000000002E-2</v>
      </c>
      <c r="E63" s="10">
        <f t="shared" si="2"/>
        <v>540236.84094626456</v>
      </c>
      <c r="F63" s="3"/>
      <c r="G63" s="26">
        <v>12.6</v>
      </c>
      <c r="H63" s="10"/>
      <c r="I63" s="10">
        <f t="shared" si="8"/>
        <v>188.86488250034949</v>
      </c>
      <c r="J63" s="10">
        <f t="shared" si="6"/>
        <v>4283661582.5563812</v>
      </c>
      <c r="K63" s="11">
        <f t="shared" si="7"/>
        <v>0.1534743999999999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22140854.137142021</v>
      </c>
      <c r="D64" s="11">
        <v>2.4299999999999999E-2</v>
      </c>
      <c r="E64" s="10">
        <f t="shared" si="2"/>
        <v>525258.96273801848</v>
      </c>
      <c r="F64" s="3"/>
      <c r="G64" s="26">
        <v>-2.2999999999999998</v>
      </c>
      <c r="H64" s="10"/>
      <c r="I64" s="10">
        <f t="shared" si="8"/>
        <v>167.73080151007949</v>
      </c>
      <c r="J64" s="10">
        <f t="shared" si="6"/>
        <v>3713703210.5405908</v>
      </c>
      <c r="K64" s="11">
        <f t="shared" si="7"/>
        <v>7.4110000000016107E-4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21615595.174404003</v>
      </c>
      <c r="D65" s="11">
        <v>2.4199999999999999E-2</v>
      </c>
      <c r="E65" s="10">
        <f t="shared" si="2"/>
        <v>510737.55440400168</v>
      </c>
      <c r="F65" s="3"/>
      <c r="G65" s="26">
        <v>13.5</v>
      </c>
      <c r="H65" s="10"/>
      <c r="I65" s="10">
        <f t="shared" si="8"/>
        <v>171.67942836241502</v>
      </c>
      <c r="J65" s="10">
        <f t="shared" si="6"/>
        <v>3710953023.2550559</v>
      </c>
      <c r="K65" s="11">
        <f t="shared" si="7"/>
        <v>0.16246700000000014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21104857.620000001</v>
      </c>
      <c r="D66" s="11">
        <v>2.41E-2</v>
      </c>
      <c r="E66" s="10">
        <f t="shared" si="2"/>
        <v>496657.62000000104</v>
      </c>
      <c r="F66" s="23">
        <f>SUM(F2)</f>
        <v>121753072</v>
      </c>
      <c r="G66" s="26">
        <v>11.8</v>
      </c>
      <c r="H66" s="10"/>
      <c r="I66" s="10">
        <f t="shared" si="8"/>
        <v>151.2594082488238</v>
      </c>
      <c r="J66" s="10">
        <f t="shared" ref="J66:J67" si="9">IF(I66="","",I66*C66)</f>
        <v>3192308274.7768803</v>
      </c>
      <c r="K66" s="11">
        <f t="shared" ref="K66" si="10">IFERROR(J66/J67-1,"")</f>
        <v>0.14494380000000029</v>
      </c>
    </row>
    <row r="67" spans="1:11" ht="22.5" customHeight="1">
      <c r="A67" s="3">
        <f t="shared" si="0"/>
        <v>1950</v>
      </c>
      <c r="B67" s="3">
        <v>1700</v>
      </c>
      <c r="C67" s="10">
        <v>20608200</v>
      </c>
      <c r="D67" s="11">
        <v>2.4E-2</v>
      </c>
      <c r="E67" s="3" t="s">
        <v>72</v>
      </c>
      <c r="F67" s="10">
        <f>SUM(C2)</f>
        <v>121753843.02982998</v>
      </c>
      <c r="G67" s="26">
        <v>9.4</v>
      </c>
      <c r="H67" s="10"/>
      <c r="I67" s="10">
        <f t="shared" ref="I67" si="11">IF(H67&lt;&gt;"",H67,I66/(1+IF(G66="",0,G66)/100))</f>
        <v>135.29464065189964</v>
      </c>
      <c r="J67" s="10">
        <f t="shared" si="9"/>
        <v>2788179013.4824781</v>
      </c>
      <c r="K67" s="11"/>
    </row>
  </sheetData>
  <dataValidations count="1">
    <dataValidation type="custom" allowBlank="1" showDropDown="1" sqref="D2:D67" xr:uid="{00000000-0002-0000-A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M67"/>
  <sheetViews>
    <sheetView workbookViewId="0">
      <selection activeCell="L17" sqref="L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17339702.033453707</v>
      </c>
      <c r="D2" s="11">
        <v>2.2800000000000001E-2</v>
      </c>
      <c r="E2" s="10">
        <f t="shared" ref="E2:E66" si="2">SUM(C2-C3)</f>
        <v>386532.27059321851</v>
      </c>
      <c r="F2" s="14">
        <v>17339111</v>
      </c>
      <c r="G2" s="29">
        <v>0.42</v>
      </c>
      <c r="H2" s="10"/>
      <c r="I2" s="10">
        <f>IF(H2&lt;&gt;"",H2,10696)</f>
        <v>1337</v>
      </c>
      <c r="J2" s="10">
        <f t="shared" ref="J2:J33" si="3">IF(I2="","",I2*C2)</f>
        <v>23183181618.727604</v>
      </c>
      <c r="K2" s="11">
        <f t="shared" ref="K2:K33" si="4">IFERROR(J2/J3-1,"")</f>
        <v>2.7095759999999691E-2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16953169.762860488</v>
      </c>
      <c r="D3" s="11">
        <v>2.3800000000000002E-2</v>
      </c>
      <c r="E3" s="10">
        <f t="shared" si="2"/>
        <v>394105.72412197851</v>
      </c>
      <c r="F3" s="3"/>
      <c r="G3" s="29">
        <v>6.65</v>
      </c>
      <c r="H3" s="10"/>
      <c r="I3" s="10">
        <f t="shared" ref="I3:I34" si="5">IF(H3&lt;&gt;"",H3,I2/(1+IF(G2="",0,G2)/100))</f>
        <v>1331.4080860386377</v>
      </c>
      <c r="J3" s="10">
        <f t="shared" si="3"/>
        <v>22571587306.25819</v>
      </c>
      <c r="K3" s="11">
        <f t="shared" si="4"/>
        <v>9.1882700000000206E-2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16559064.03873851</v>
      </c>
      <c r="D4" s="11">
        <v>2.4500000000000001E-2</v>
      </c>
      <c r="E4" s="10">
        <f t="shared" si="2"/>
        <v>395995.18687075935</v>
      </c>
      <c r="F4" s="3"/>
      <c r="G4" s="29">
        <v>-0.71</v>
      </c>
      <c r="H4" s="10"/>
      <c r="I4" s="10">
        <f t="shared" si="5"/>
        <v>1248.3901416208512</v>
      </c>
      <c r="J4" s="10">
        <f t="shared" si="3"/>
        <v>20672172300.429512</v>
      </c>
      <c r="K4" s="11">
        <f t="shared" si="4"/>
        <v>1.7226049999999882E-2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16163068.85186775</v>
      </c>
      <c r="D5" s="11">
        <v>2.5100000000000001E-2</v>
      </c>
      <c r="E5" s="10">
        <f t="shared" si="2"/>
        <v>395759.46559543349</v>
      </c>
      <c r="F5" s="3"/>
      <c r="G5" s="29">
        <v>9.9499999999999993</v>
      </c>
      <c r="H5" s="10"/>
      <c r="I5" s="10">
        <f t="shared" si="5"/>
        <v>1257.3170929810165</v>
      </c>
      <c r="J5" s="10">
        <f t="shared" si="3"/>
        <v>20322102742.482376</v>
      </c>
      <c r="K5" s="11">
        <f t="shared" si="4"/>
        <v>0.12709744999999972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15767309.386272317</v>
      </c>
      <c r="D6" s="11">
        <v>2.5999999999999999E-2</v>
      </c>
      <c r="E6" s="10">
        <f t="shared" si="2"/>
        <v>399561.44643575139</v>
      </c>
      <c r="F6" s="3"/>
      <c r="G6" s="29">
        <v>2.21</v>
      </c>
      <c r="H6" s="10"/>
      <c r="I6" s="10">
        <f t="shared" si="5"/>
        <v>1143.5353278590419</v>
      </c>
      <c r="J6" s="10">
        <f t="shared" si="3"/>
        <v>18030475308.485863</v>
      </c>
      <c r="K6" s="11">
        <f t="shared" si="4"/>
        <v>4.8674600000000012E-2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15367747.939836565</v>
      </c>
      <c r="D7" s="11">
        <v>2.7199999999999998E-2</v>
      </c>
      <c r="E7" s="10">
        <f t="shared" si="2"/>
        <v>406934.13547853753</v>
      </c>
      <c r="F7" s="3"/>
      <c r="G7" s="29">
        <v>9.93</v>
      </c>
      <c r="H7" s="10"/>
      <c r="I7" s="10">
        <f t="shared" si="5"/>
        <v>1118.8096349271518</v>
      </c>
      <c r="J7" s="10">
        <f t="shared" si="3"/>
        <v>17193584462.221039</v>
      </c>
      <c r="K7" s="11">
        <f t="shared" si="4"/>
        <v>0.12920095999999992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14960813.804358028</v>
      </c>
      <c r="D8" s="11">
        <v>2.81E-2</v>
      </c>
      <c r="E8" s="10">
        <f t="shared" si="2"/>
        <v>408908.53798508085</v>
      </c>
      <c r="F8" s="3"/>
      <c r="G8" s="29">
        <v>11.64</v>
      </c>
      <c r="H8" s="10"/>
      <c r="I8" s="10">
        <f t="shared" si="5"/>
        <v>1017.7473255045501</v>
      </c>
      <c r="J8" s="10">
        <f t="shared" si="3"/>
        <v>15226328236.756935</v>
      </c>
      <c r="K8" s="11">
        <f t="shared" si="4"/>
        <v>0.14777083999999996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14551905.266372947</v>
      </c>
      <c r="D9" s="11">
        <v>2.8000000000000001E-2</v>
      </c>
      <c r="E9" s="10">
        <f t="shared" si="2"/>
        <v>396355.39636035264</v>
      </c>
      <c r="F9" s="3"/>
      <c r="G9" s="29">
        <v>6.31</v>
      </c>
      <c r="H9" s="10"/>
      <c r="I9" s="10">
        <f t="shared" si="5"/>
        <v>911.6332188324526</v>
      </c>
      <c r="J9" s="10">
        <f t="shared" si="3"/>
        <v>13266000238.128489</v>
      </c>
      <c r="K9" s="11">
        <f t="shared" si="4"/>
        <v>9.2866799999999916E-2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14155549.870012594</v>
      </c>
      <c r="D10" s="11">
        <v>2.7400000000000001E-2</v>
      </c>
      <c r="E10" s="10">
        <f t="shared" si="2"/>
        <v>377518.07128513418</v>
      </c>
      <c r="F10" s="3"/>
      <c r="G10" s="29">
        <v>-6.61</v>
      </c>
      <c r="H10" s="10"/>
      <c r="I10" s="10">
        <f t="shared" si="5"/>
        <v>857.52348681446017</v>
      </c>
      <c r="J10" s="10">
        <f t="shared" si="3"/>
        <v>12138716482.309179</v>
      </c>
      <c r="K10" s="11">
        <f t="shared" si="4"/>
        <v>-4.0511139999999779E-2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13778031.79872746</v>
      </c>
      <c r="D11" s="11">
        <v>2.6800000000000001E-2</v>
      </c>
      <c r="E11" s="10">
        <f t="shared" si="2"/>
        <v>359613.60752424598</v>
      </c>
      <c r="F11" s="3"/>
      <c r="G11" s="29">
        <v>7.99</v>
      </c>
      <c r="H11" s="10"/>
      <c r="I11" s="10">
        <f t="shared" si="5"/>
        <v>918.21767514130011</v>
      </c>
      <c r="J11" s="10">
        <f t="shared" si="3"/>
        <v>12651232326.250433</v>
      </c>
      <c r="K11" s="11">
        <f t="shared" si="4"/>
        <v>0.10884132000000002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13418418.191203214</v>
      </c>
      <c r="D12" s="11">
        <v>2.64E-2</v>
      </c>
      <c r="E12" s="10">
        <f t="shared" si="2"/>
        <v>345134.68457498588</v>
      </c>
      <c r="F12" s="3"/>
      <c r="G12" s="29">
        <v>7.76</v>
      </c>
      <c r="H12" s="10"/>
      <c r="I12" s="10">
        <f t="shared" si="5"/>
        <v>850.28028071238077</v>
      </c>
      <c r="J12" s="10">
        <f t="shared" si="3"/>
        <v>11409416386.332386</v>
      </c>
      <c r="K12" s="11">
        <f t="shared" si="4"/>
        <v>0.10604864000000003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13073283.506628228</v>
      </c>
      <c r="D13" s="11">
        <v>2.6599999999999999E-2</v>
      </c>
      <c r="E13" s="10">
        <f t="shared" si="2"/>
        <v>338738.88688516431</v>
      </c>
      <c r="F13" s="3"/>
      <c r="G13" s="29">
        <v>3.48</v>
      </c>
      <c r="H13" s="10"/>
      <c r="I13" s="10">
        <f t="shared" si="5"/>
        <v>789.05000066108096</v>
      </c>
      <c r="J13" s="10">
        <f t="shared" si="3"/>
        <v>10315474359.547503</v>
      </c>
      <c r="K13" s="11">
        <f t="shared" si="4"/>
        <v>6.2325679999999828E-2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12734544.619743064</v>
      </c>
      <c r="D14" s="11">
        <v>2.76E-2</v>
      </c>
      <c r="E14" s="10">
        <f t="shared" si="2"/>
        <v>342033.31209119223</v>
      </c>
      <c r="F14" s="3"/>
      <c r="G14" s="29">
        <v>0.81</v>
      </c>
      <c r="H14" s="10"/>
      <c r="I14" s="10">
        <f t="shared" si="5"/>
        <v>762.5144961935456</v>
      </c>
      <c r="J14" s="10">
        <f t="shared" si="3"/>
        <v>9710274874.9776096</v>
      </c>
      <c r="K14" s="11">
        <f t="shared" si="4"/>
        <v>3.5923560000000077E-2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12392511.307651872</v>
      </c>
      <c r="D15" s="11">
        <v>2.9000000000000001E-2</v>
      </c>
      <c r="E15" s="10">
        <f t="shared" si="2"/>
        <v>349254.44890369661</v>
      </c>
      <c r="F15" s="3"/>
      <c r="G15" s="29">
        <v>4.58</v>
      </c>
      <c r="H15" s="10"/>
      <c r="I15" s="10">
        <f t="shared" si="5"/>
        <v>756.38775537500806</v>
      </c>
      <c r="J15" s="10">
        <f t="shared" si="3"/>
        <v>9373543811.4542046</v>
      </c>
      <c r="K15" s="11">
        <f t="shared" si="4"/>
        <v>7.612820000000009E-2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12043256.858748175</v>
      </c>
      <c r="D16" s="11">
        <v>3.0300000000000001E-2</v>
      </c>
      <c r="E16" s="10">
        <f t="shared" si="2"/>
        <v>354179.05738141201</v>
      </c>
      <c r="F16" s="3"/>
      <c r="G16" s="29">
        <v>3.8</v>
      </c>
      <c r="H16" s="10"/>
      <c r="I16" s="10">
        <f t="shared" si="5"/>
        <v>723.26234019411743</v>
      </c>
      <c r="J16" s="10">
        <f t="shared" si="3"/>
        <v>8710434139.2170601</v>
      </c>
      <c r="K16" s="11">
        <f t="shared" si="4"/>
        <v>6.9451399999999941E-2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11689077.801366763</v>
      </c>
      <c r="D17" s="11">
        <v>3.1300000000000001E-2</v>
      </c>
      <c r="E17" s="10">
        <f t="shared" si="2"/>
        <v>354764.02131560259</v>
      </c>
      <c r="F17" s="3"/>
      <c r="G17" s="29">
        <v>7.58</v>
      </c>
      <c r="H17" s="10"/>
      <c r="I17" s="10">
        <f t="shared" si="5"/>
        <v>696.78452812535397</v>
      </c>
      <c r="J17" s="10">
        <f t="shared" si="3"/>
        <v>8144768560.0458899</v>
      </c>
      <c r="K17" s="11">
        <f t="shared" si="4"/>
        <v>0.10947254000000028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11334313.780051161</v>
      </c>
      <c r="D18" s="11">
        <v>3.2099999999999997E-2</v>
      </c>
      <c r="E18" s="10">
        <f t="shared" si="2"/>
        <v>352515.71779831685</v>
      </c>
      <c r="F18" s="3"/>
      <c r="G18" s="29">
        <v>-2.58</v>
      </c>
      <c r="H18" s="10"/>
      <c r="I18" s="10">
        <f t="shared" si="5"/>
        <v>647.68965246825985</v>
      </c>
      <c r="J18" s="10">
        <f t="shared" si="3"/>
        <v>7341117753.1675444</v>
      </c>
      <c r="K18" s="11">
        <f t="shared" si="4"/>
        <v>5.4718200000001271E-3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10981798.062252844</v>
      </c>
      <c r="D19" s="11">
        <v>3.2899999999999999E-2</v>
      </c>
      <c r="E19" s="10">
        <f t="shared" si="2"/>
        <v>349792.96761363</v>
      </c>
      <c r="F19" s="3"/>
      <c r="G19" s="29">
        <v>3.74</v>
      </c>
      <c r="H19" s="10"/>
      <c r="I19" s="10">
        <f t="shared" si="5"/>
        <v>664.84259132443015</v>
      </c>
      <c r="J19" s="10">
        <f t="shared" si="3"/>
        <v>7301167081.109786</v>
      </c>
      <c r="K19" s="11">
        <f t="shared" si="4"/>
        <v>7.1530460000000184E-2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10632005.094639214</v>
      </c>
      <c r="D20" s="11">
        <v>3.3099999999999997E-2</v>
      </c>
      <c r="E20" s="10">
        <f t="shared" si="2"/>
        <v>340644.0505590532</v>
      </c>
      <c r="F20" s="3"/>
      <c r="G20" s="29">
        <v>-0.62</v>
      </c>
      <c r="H20" s="10"/>
      <c r="I20" s="10">
        <f t="shared" si="5"/>
        <v>640.87390719532493</v>
      </c>
      <c r="J20" s="10">
        <f t="shared" si="3"/>
        <v>6813774646.3220329</v>
      </c>
      <c r="K20" s="11">
        <f t="shared" si="4"/>
        <v>2.6694779999999918E-2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10291361.044080161</v>
      </c>
      <c r="D21" s="11">
        <v>3.2099999999999997E-2</v>
      </c>
      <c r="E21" s="10">
        <f t="shared" si="2"/>
        <v>320078.17993893288</v>
      </c>
      <c r="F21" s="3"/>
      <c r="G21" s="29">
        <v>4.29</v>
      </c>
      <c r="H21" s="10"/>
      <c r="I21" s="10">
        <f t="shared" si="5"/>
        <v>644.87211430400976</v>
      </c>
      <c r="J21" s="10">
        <f t="shared" si="3"/>
        <v>6636611755.5618944</v>
      </c>
      <c r="K21" s="11">
        <f t="shared" si="4"/>
        <v>7.6377089999999814E-2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9971282.8641412277</v>
      </c>
      <c r="D22" s="11">
        <v>3.0300000000000001E-2</v>
      </c>
      <c r="E22" s="10">
        <f t="shared" si="2"/>
        <v>293244.56059737876</v>
      </c>
      <c r="F22" s="3"/>
      <c r="G22" s="29">
        <v>3.99</v>
      </c>
      <c r="H22" s="10"/>
      <c r="I22" s="10">
        <f t="shared" si="5"/>
        <v>618.34510912264818</v>
      </c>
      <c r="J22" s="10">
        <f t="shared" si="3"/>
        <v>6165693990.7201996</v>
      </c>
      <c r="K22" s="11">
        <f t="shared" si="4"/>
        <v>7.1408970000000238E-2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9678038.3035438489</v>
      </c>
      <c r="D23" s="11">
        <v>2.7799999999999998E-2</v>
      </c>
      <c r="E23" s="10">
        <f t="shared" si="2"/>
        <v>261772.19774131104</v>
      </c>
      <c r="F23" s="3"/>
      <c r="G23" s="29">
        <v>-5.49</v>
      </c>
      <c r="H23" s="10"/>
      <c r="I23" s="10">
        <f t="shared" si="5"/>
        <v>594.61977990446019</v>
      </c>
      <c r="J23" s="10">
        <f t="shared" si="3"/>
        <v>5754753005.9601784</v>
      </c>
      <c r="K23" s="11">
        <f t="shared" si="4"/>
        <v>-2.8626219999999925E-2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9416266.1058025379</v>
      </c>
      <c r="D24" s="11">
        <v>2.5499999999999998E-2</v>
      </c>
      <c r="E24" s="10">
        <f t="shared" si="2"/>
        <v>234144.1108707618</v>
      </c>
      <c r="F24" s="3"/>
      <c r="G24" s="29">
        <v>-0.98</v>
      </c>
      <c r="H24" s="10"/>
      <c r="I24" s="10">
        <f t="shared" si="5"/>
        <v>629.16070247006678</v>
      </c>
      <c r="J24" s="10">
        <f t="shared" si="3"/>
        <v>5924344597.7718048</v>
      </c>
      <c r="K24" s="11">
        <f t="shared" si="4"/>
        <v>1.5450100000000022E-2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9182121.9949317761</v>
      </c>
      <c r="D25" s="11">
        <v>2.3599999999999999E-2</v>
      </c>
      <c r="E25" s="10">
        <f t="shared" si="2"/>
        <v>211701.91391206533</v>
      </c>
      <c r="F25" s="3"/>
      <c r="G25" s="29">
        <v>2.61</v>
      </c>
      <c r="H25" s="10"/>
      <c r="I25" s="10">
        <f t="shared" si="5"/>
        <v>635.3874999697706</v>
      </c>
      <c r="J25" s="10">
        <f t="shared" si="3"/>
        <v>5834205538.7771435</v>
      </c>
      <c r="K25" s="11">
        <f t="shared" si="4"/>
        <v>5.0315960000000048E-2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8970420.0810197107</v>
      </c>
      <c r="D26" s="11">
        <v>2.24E-2</v>
      </c>
      <c r="E26" s="10">
        <f t="shared" si="2"/>
        <v>196535.02524925768</v>
      </c>
      <c r="F26" s="3"/>
      <c r="G26" s="29">
        <v>2.4</v>
      </c>
      <c r="H26" s="10"/>
      <c r="I26" s="10">
        <f t="shared" si="5"/>
        <v>619.22570896576417</v>
      </c>
      <c r="J26" s="10">
        <f t="shared" si="3"/>
        <v>5554714734.3901577</v>
      </c>
      <c r="K26" s="11">
        <f t="shared" si="4"/>
        <v>4.6937599999999913E-2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8773885.0557704531</v>
      </c>
      <c r="D27" s="11">
        <v>2.2200000000000001E-2</v>
      </c>
      <c r="E27" s="10">
        <f t="shared" si="2"/>
        <v>190550.03740765341</v>
      </c>
      <c r="F27" s="3"/>
      <c r="G27" s="29">
        <v>-3</v>
      </c>
      <c r="H27" s="10"/>
      <c r="I27" s="10">
        <f t="shared" si="5"/>
        <v>604.71260641187905</v>
      </c>
      <c r="J27" s="10">
        <f t="shared" si="3"/>
        <v>5305678900.4331856</v>
      </c>
      <c r="K27" s="11">
        <f t="shared" si="4"/>
        <v>-8.4660000000001956E-3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8583335.0183627997</v>
      </c>
      <c r="D28" s="11">
        <v>2.3E-2</v>
      </c>
      <c r="E28" s="10">
        <f t="shared" si="2"/>
        <v>192978.20666895807</v>
      </c>
      <c r="F28" s="3"/>
      <c r="G28" s="29">
        <v>2.6</v>
      </c>
      <c r="H28" s="10"/>
      <c r="I28" s="10">
        <f t="shared" si="5"/>
        <v>623.41505815657638</v>
      </c>
      <c r="J28" s="10">
        <f t="shared" si="3"/>
        <v>5350980299.6500235</v>
      </c>
      <c r="K28" s="11">
        <f t="shared" si="4"/>
        <v>4.9598000000000031E-2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8390356.8116938416</v>
      </c>
      <c r="D29" s="11">
        <v>2.46E-2</v>
      </c>
      <c r="E29" s="10">
        <f t="shared" si="2"/>
        <v>201447.17701314483</v>
      </c>
      <c r="F29" s="3"/>
      <c r="G29" s="29">
        <v>1.77</v>
      </c>
      <c r="H29" s="10"/>
      <c r="I29" s="10">
        <f t="shared" si="5"/>
        <v>607.6170157471505</v>
      </c>
      <c r="J29" s="10">
        <f t="shared" si="3"/>
        <v>5098123566.9751883</v>
      </c>
      <c r="K29" s="11">
        <f t="shared" si="4"/>
        <v>4.2735419999999857E-2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8188909.6346806968</v>
      </c>
      <c r="D30" s="11">
        <v>2.6700000000000002E-2</v>
      </c>
      <c r="E30" s="10">
        <f t="shared" si="2"/>
        <v>212957.91102169454</v>
      </c>
      <c r="F30" s="3"/>
      <c r="G30" s="29">
        <v>0.19</v>
      </c>
      <c r="H30" s="10"/>
      <c r="I30" s="10">
        <f t="shared" si="5"/>
        <v>597.0492441261182</v>
      </c>
      <c r="J30" s="10">
        <f t="shared" si="3"/>
        <v>4889182307.6031971</v>
      </c>
      <c r="K30" s="11">
        <f t="shared" si="4"/>
        <v>2.8650730000000069E-2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7975951.7236590022</v>
      </c>
      <c r="D31" s="11">
        <v>2.9000000000000001E-2</v>
      </c>
      <c r="E31" s="10">
        <f t="shared" si="2"/>
        <v>224783.86781934928</v>
      </c>
      <c r="F31" s="3"/>
      <c r="G31" s="29">
        <v>-6.86</v>
      </c>
      <c r="H31" s="10"/>
      <c r="I31" s="10">
        <f t="shared" si="5"/>
        <v>595.91700182265515</v>
      </c>
      <c r="J31" s="10">
        <f t="shared" si="3"/>
        <v>4753005237.8451109</v>
      </c>
      <c r="K31" s="11">
        <f t="shared" si="4"/>
        <v>-4.158940000000011E-2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7751167.8558396529</v>
      </c>
      <c r="D32" s="11">
        <v>3.09E-2</v>
      </c>
      <c r="E32" s="10">
        <f t="shared" si="2"/>
        <v>232332.0271078134</v>
      </c>
      <c r="F32" s="3"/>
      <c r="G32" s="29">
        <v>-1.19</v>
      </c>
      <c r="H32" s="10"/>
      <c r="I32" s="10">
        <f t="shared" si="5"/>
        <v>639.80781814757904</v>
      </c>
      <c r="J32" s="10">
        <f t="shared" si="3"/>
        <v>4959257793.9404173</v>
      </c>
      <c r="K32" s="11">
        <f t="shared" si="4"/>
        <v>1.8632289999999774E-2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7518835.8287318395</v>
      </c>
      <c r="D33" s="11">
        <v>3.2300000000000002E-2</v>
      </c>
      <c r="E33" s="10">
        <f t="shared" si="2"/>
        <v>235259.51493561827</v>
      </c>
      <c r="F33" s="3"/>
      <c r="G33" s="29">
        <v>6.98</v>
      </c>
      <c r="H33" s="10"/>
      <c r="I33" s="10">
        <f t="shared" si="5"/>
        <v>647.51322553140278</v>
      </c>
      <c r="J33" s="10">
        <f t="shared" si="3"/>
        <v>4868545639.7032318</v>
      </c>
      <c r="K33" s="11">
        <f t="shared" si="4"/>
        <v>0.10435454000000033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7283576.3137962213</v>
      </c>
      <c r="D34" s="11">
        <v>3.3399999999999999E-2</v>
      </c>
      <c r="E34" s="10">
        <f t="shared" si="2"/>
        <v>235408.79512366373</v>
      </c>
      <c r="F34" s="3"/>
      <c r="G34" s="29">
        <v>4.55</v>
      </c>
      <c r="H34" s="10"/>
      <c r="I34" s="10">
        <f t="shared" si="5"/>
        <v>605.26568099775909</v>
      </c>
      <c r="J34" s="10">
        <f t="shared" ref="J34:J65" si="6">IF(I34="","",I34*C34)</f>
        <v>4408498777.6690178</v>
      </c>
      <c r="K34" s="11">
        <f t="shared" ref="K34:K65" si="7">IFERROR(J34/J35-1,"")</f>
        <v>9.3853900000000046E-2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7048167.5186725575</v>
      </c>
      <c r="D35" s="11">
        <v>3.4000000000000002E-2</v>
      </c>
      <c r="E35" s="10">
        <f t="shared" si="2"/>
        <v>231757.92614590656</v>
      </c>
      <c r="F35" s="3"/>
      <c r="G35" s="29">
        <v>20.9</v>
      </c>
      <c r="H35" s="10"/>
      <c r="I35" s="10">
        <f t="shared" ref="I35:I66" si="8">IF(H35&lt;&gt;"",H35,I34/(1+IF(G34="",0,G34)/100))</f>
        <v>571.81453093789241</v>
      </c>
      <c r="J35" s="10">
        <f t="shared" si="6"/>
        <v>4030244603.6614375</v>
      </c>
      <c r="K35" s="11">
        <f t="shared" si="7"/>
        <v>0.27802400000000005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6816409.592526651</v>
      </c>
      <c r="D36" s="11">
        <v>3.4299999999999997E-2</v>
      </c>
      <c r="E36" s="10">
        <f t="shared" si="2"/>
        <v>226049.35610912088</v>
      </c>
      <c r="F36" s="3"/>
      <c r="G36" s="29">
        <v>12.82</v>
      </c>
      <c r="H36" s="10"/>
      <c r="I36" s="10">
        <f t="shared" si="8"/>
        <v>462.63311564554402</v>
      </c>
      <c r="J36" s="10">
        <f t="shared" si="6"/>
        <v>3153496807.306778</v>
      </c>
      <c r="K36" s="11">
        <f t="shared" si="7"/>
        <v>0.21654366000000014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6590360.2364175301</v>
      </c>
      <c r="D37" s="11">
        <v>3.39E-2</v>
      </c>
      <c r="E37" s="10">
        <f t="shared" si="2"/>
        <v>216087.83442746382</v>
      </c>
      <c r="F37" s="3"/>
      <c r="G37" s="29">
        <v>12.34</v>
      </c>
      <c r="H37" s="10"/>
      <c r="I37" s="10">
        <f t="shared" si="8"/>
        <v>393.32861387990476</v>
      </c>
      <c r="J37" s="10">
        <f t="shared" si="6"/>
        <v>2592177256.7593484</v>
      </c>
      <c r="K37" s="11">
        <f t="shared" si="7"/>
        <v>0.21627996000000005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6374272.4019900663</v>
      </c>
      <c r="D38" s="11">
        <v>3.3099999999999997E-2</v>
      </c>
      <c r="E38" s="10">
        <f t="shared" si="2"/>
        <v>204228.4546567332</v>
      </c>
      <c r="F38" s="3"/>
      <c r="G38" s="29">
        <v>6.11</v>
      </c>
      <c r="H38" s="10"/>
      <c r="I38" s="10">
        <f t="shared" si="8"/>
        <v>334.34938276088468</v>
      </c>
      <c r="J38" s="10">
        <f t="shared" si="6"/>
        <v>2131234043.1551204</v>
      </c>
      <c r="K38" s="11">
        <f t="shared" si="7"/>
        <v>0.13444710999999998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6170043.9473333331</v>
      </c>
      <c r="D39" s="11">
        <v>3.2399999999999998E-2</v>
      </c>
      <c r="E39" s="10">
        <f t="shared" si="2"/>
        <v>193635.62949786894</v>
      </c>
      <c r="F39" s="3"/>
      <c r="G39" s="29">
        <v>6.36</v>
      </c>
      <c r="H39" s="10"/>
      <c r="I39" s="10">
        <f t="shared" si="8"/>
        <v>304.47990416253953</v>
      </c>
      <c r="J39" s="10">
        <f t="shared" si="6"/>
        <v>1878654389.7627103</v>
      </c>
      <c r="K39" s="11">
        <f t="shared" si="7"/>
        <v>9.8060640000000143E-2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5976408.3178354641</v>
      </c>
      <c r="D40" s="11">
        <v>3.2199999999999999E-2</v>
      </c>
      <c r="E40" s="10">
        <f t="shared" si="2"/>
        <v>186437.07404989563</v>
      </c>
      <c r="F40" s="3"/>
      <c r="G40" s="29">
        <v>-8.9499999999999993</v>
      </c>
      <c r="H40" s="10"/>
      <c r="I40" s="10">
        <f t="shared" si="8"/>
        <v>286.27294486887882</v>
      </c>
      <c r="J40" s="10">
        <f t="shared" si="6"/>
        <v>1710884008.8856206</v>
      </c>
      <c r="K40" s="11">
        <f t="shared" si="7"/>
        <v>-6.018190000000001E-2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5789971.2437855685</v>
      </c>
      <c r="D41" s="11">
        <v>3.2500000000000001E-2</v>
      </c>
      <c r="E41" s="10">
        <f t="shared" si="2"/>
        <v>182250.91082133725</v>
      </c>
      <c r="F41" s="3"/>
      <c r="G41" s="29">
        <v>12.92</v>
      </c>
      <c r="H41" s="10"/>
      <c r="I41" s="10">
        <f t="shared" si="8"/>
        <v>314.41289936175599</v>
      </c>
      <c r="J41" s="10">
        <f t="shared" si="6"/>
        <v>1820441645.9798131</v>
      </c>
      <c r="K41" s="11">
        <f t="shared" si="7"/>
        <v>0.16589900000000002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5607720.3329642313</v>
      </c>
      <c r="D42" s="11">
        <v>3.2599999999999997E-2</v>
      </c>
      <c r="E42" s="10">
        <f t="shared" si="2"/>
        <v>177040.17320805136</v>
      </c>
      <c r="F42" s="3"/>
      <c r="G42" s="29">
        <v>-9.73</v>
      </c>
      <c r="H42" s="10"/>
      <c r="I42" s="10">
        <f t="shared" si="8"/>
        <v>278.43862855274176</v>
      </c>
      <c r="J42" s="10">
        <f t="shared" si="6"/>
        <v>1561405958.8178849</v>
      </c>
      <c r="K42" s="11">
        <f t="shared" si="7"/>
        <v>-6.7871979999999943E-2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5430680.1597561799</v>
      </c>
      <c r="D43" s="11">
        <v>3.2000000000000001E-2</v>
      </c>
      <c r="E43" s="10">
        <f t="shared" si="2"/>
        <v>168393.18324825354</v>
      </c>
      <c r="F43" s="3"/>
      <c r="G43" s="29">
        <v>7.89</v>
      </c>
      <c r="H43" s="10"/>
      <c r="I43" s="10">
        <f t="shared" si="8"/>
        <v>308.45090124375957</v>
      </c>
      <c r="J43" s="10">
        <f t="shared" si="6"/>
        <v>1675098189.6433978</v>
      </c>
      <c r="K43" s="11">
        <f t="shared" si="7"/>
        <v>0.11342479999999977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5262286.9765079264</v>
      </c>
      <c r="D44" s="11">
        <v>3.0800000000000001E-2</v>
      </c>
      <c r="E44" s="10">
        <f t="shared" si="2"/>
        <v>157235.58292243257</v>
      </c>
      <c r="F44" s="3"/>
      <c r="G44" s="29">
        <v>8.23</v>
      </c>
      <c r="H44" s="10"/>
      <c r="I44" s="10">
        <f t="shared" si="8"/>
        <v>285.89387454236686</v>
      </c>
      <c r="J44" s="10">
        <f t="shared" si="6"/>
        <v>1504455612.6676881</v>
      </c>
      <c r="K44" s="11">
        <f t="shared" si="7"/>
        <v>0.11563484000000002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5105051.3935854938</v>
      </c>
      <c r="D45" s="11">
        <v>2.9399999999999999E-2</v>
      </c>
      <c r="E45" s="10">
        <f t="shared" si="2"/>
        <v>145801.93410862051</v>
      </c>
      <c r="F45" s="3"/>
      <c r="G45" s="29">
        <v>8.6199999999999992</v>
      </c>
      <c r="H45" s="10"/>
      <c r="I45" s="10">
        <f t="shared" si="8"/>
        <v>264.15400031633266</v>
      </c>
      <c r="J45" s="10">
        <f t="shared" si="6"/>
        <v>1348519747.4360769</v>
      </c>
      <c r="K45" s="11">
        <f t="shared" si="7"/>
        <v>0.11813428000000026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4959249.4594768733</v>
      </c>
      <c r="D46" s="11">
        <v>2.8400000000000002E-2</v>
      </c>
      <c r="E46" s="10">
        <f t="shared" si="2"/>
        <v>136953.21338889841</v>
      </c>
      <c r="F46" s="3"/>
      <c r="G46" s="29">
        <v>7.75</v>
      </c>
      <c r="H46" s="10"/>
      <c r="I46" s="10">
        <f t="shared" si="8"/>
        <v>243.19094118609155</v>
      </c>
      <c r="J46" s="10">
        <f t="shared" si="6"/>
        <v>1206044543.6267965</v>
      </c>
      <c r="K46" s="11">
        <f t="shared" si="7"/>
        <v>0.10810099999999978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4822296.2460879749</v>
      </c>
      <c r="D47" s="11">
        <v>2.8000000000000001E-2</v>
      </c>
      <c r="E47" s="10">
        <f t="shared" si="2"/>
        <v>131346.59036037326</v>
      </c>
      <c r="F47" s="3"/>
      <c r="G47" s="29">
        <v>6.36</v>
      </c>
      <c r="H47" s="10"/>
      <c r="I47" s="10">
        <f t="shared" si="8"/>
        <v>225.69924936064183</v>
      </c>
      <c r="J47" s="10">
        <f t="shared" si="6"/>
        <v>1088388642.9366968</v>
      </c>
      <c r="K47" s="11">
        <f t="shared" si="7"/>
        <v>9.3380800000000042E-2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4690949.6557276016</v>
      </c>
      <c r="D48" s="11">
        <v>2.8199999999999999E-2</v>
      </c>
      <c r="E48" s="10">
        <f t="shared" si="2"/>
        <v>128656.66241151374</v>
      </c>
      <c r="F48" s="3"/>
      <c r="G48" s="29">
        <v>7.55</v>
      </c>
      <c r="H48" s="10"/>
      <c r="I48" s="10">
        <f t="shared" si="8"/>
        <v>212.20313027514274</v>
      </c>
      <c r="J48" s="10">
        <f t="shared" si="6"/>
        <v>995434200.90850019</v>
      </c>
      <c r="K48" s="11">
        <f t="shared" si="7"/>
        <v>0.10582909999999979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4562292.9933160879</v>
      </c>
      <c r="D49" s="11">
        <v>2.87E-2</v>
      </c>
      <c r="E49" s="10">
        <f t="shared" si="2"/>
        <v>127284.73695749138</v>
      </c>
      <c r="F49" s="3"/>
      <c r="G49" s="29">
        <v>7.63</v>
      </c>
      <c r="H49" s="10"/>
      <c r="I49" s="10">
        <f t="shared" si="8"/>
        <v>197.30649026047678</v>
      </c>
      <c r="J49" s="10">
        <f t="shared" si="6"/>
        <v>900170018.05116212</v>
      </c>
      <c r="K49" s="11">
        <f t="shared" si="7"/>
        <v>0.10718980999999994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4435008.2563585965</v>
      </c>
      <c r="D50" s="11">
        <v>2.93E-2</v>
      </c>
      <c r="E50" s="10">
        <f t="shared" si="2"/>
        <v>126246.71321413293</v>
      </c>
      <c r="F50" s="3"/>
      <c r="G50" s="29">
        <v>2.12</v>
      </c>
      <c r="H50" s="10"/>
      <c r="I50" s="10">
        <f t="shared" si="8"/>
        <v>183.31923279799014</v>
      </c>
      <c r="J50" s="10">
        <f t="shared" si="6"/>
        <v>813022311.00840986</v>
      </c>
      <c r="K50" s="11">
        <f t="shared" si="7"/>
        <v>5.1121159999999888E-2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4308761.5431444636</v>
      </c>
      <c r="D51" s="11">
        <v>2.98E-2</v>
      </c>
      <c r="E51" s="10">
        <f t="shared" si="2"/>
        <v>124685.4670671057</v>
      </c>
      <c r="F51" s="3"/>
      <c r="G51" s="29">
        <v>1.36</v>
      </c>
      <c r="H51" s="10"/>
      <c r="I51" s="10">
        <f t="shared" si="8"/>
        <v>179.51354563062097</v>
      </c>
      <c r="J51" s="10">
        <f t="shared" si="6"/>
        <v>773481061.88672853</v>
      </c>
      <c r="K51" s="11">
        <f t="shared" si="7"/>
        <v>4.3805280000000169E-2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4184076.0760773579</v>
      </c>
      <c r="D52" s="11">
        <v>3.0099999999999998E-2</v>
      </c>
      <c r="E52" s="10">
        <f t="shared" si="2"/>
        <v>122260.64449075656</v>
      </c>
      <c r="F52" s="3"/>
      <c r="G52" s="29">
        <v>3.68</v>
      </c>
      <c r="H52" s="10"/>
      <c r="I52" s="10">
        <f t="shared" si="8"/>
        <v>177.1049187358139</v>
      </c>
      <c r="J52" s="10">
        <f t="shared" si="6"/>
        <v>741020453.43814349</v>
      </c>
      <c r="K52" s="11">
        <f t="shared" si="7"/>
        <v>6.8007679999999793E-2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4061815.4315866013</v>
      </c>
      <c r="D53" s="11">
        <v>3.0300000000000001E-2</v>
      </c>
      <c r="E53" s="10">
        <f t="shared" si="2"/>
        <v>119453.56457058527</v>
      </c>
      <c r="F53" s="3"/>
      <c r="G53" s="29">
        <v>3.82</v>
      </c>
      <c r="H53" s="10"/>
      <c r="I53" s="10">
        <f t="shared" si="8"/>
        <v>170.81878736093162</v>
      </c>
      <c r="J53" s="10">
        <f t="shared" si="6"/>
        <v>693834386.50754237</v>
      </c>
      <c r="K53" s="11">
        <f t="shared" si="7"/>
        <v>6.9657459999999949E-2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3942361.867016016</v>
      </c>
      <c r="D54" s="11">
        <v>3.04E-2</v>
      </c>
      <c r="E54" s="10">
        <f t="shared" si="2"/>
        <v>116311.91843680805</v>
      </c>
      <c r="F54" s="3"/>
      <c r="G54" s="29">
        <v>-4.03</v>
      </c>
      <c r="H54" s="10"/>
      <c r="I54" s="10">
        <f t="shared" si="8"/>
        <v>164.53360369960666</v>
      </c>
      <c r="J54" s="10">
        <f t="shared" si="6"/>
        <v>648651005.06805456</v>
      </c>
      <c r="K54" s="11">
        <f t="shared" si="7"/>
        <v>-1.1125119999999988E-2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3826049.948579208</v>
      </c>
      <c r="D55" s="11">
        <v>3.0499999999999999E-2</v>
      </c>
      <c r="E55" s="10">
        <f t="shared" si="2"/>
        <v>113240.68261199957</v>
      </c>
      <c r="F55" s="3"/>
      <c r="G55" s="29">
        <v>5.2</v>
      </c>
      <c r="H55" s="10"/>
      <c r="I55" s="10">
        <f t="shared" si="8"/>
        <v>171.44274637866693</v>
      </c>
      <c r="J55" s="10">
        <f t="shared" si="6"/>
        <v>655948510.96637678</v>
      </c>
      <c r="K55" s="11">
        <f t="shared" si="7"/>
        <v>8.4085999999999883E-2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3712809.2659672084</v>
      </c>
      <c r="D56" s="11">
        <v>3.0499999999999999E-2</v>
      </c>
      <c r="E56" s="10">
        <f t="shared" si="2"/>
        <v>109889.06609606976</v>
      </c>
      <c r="F56" s="3"/>
      <c r="G56" s="29">
        <v>8.35</v>
      </c>
      <c r="H56" s="10"/>
      <c r="I56" s="10">
        <f t="shared" si="8"/>
        <v>162.96839009378985</v>
      </c>
      <c r="J56" s="10">
        <f t="shared" si="6"/>
        <v>605070548.79998159</v>
      </c>
      <c r="K56" s="11">
        <f t="shared" si="7"/>
        <v>0.11654674999999992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3602920.1998711387</v>
      </c>
      <c r="D57" s="11">
        <v>3.0499999999999999E-2</v>
      </c>
      <c r="E57" s="10">
        <f t="shared" si="2"/>
        <v>106636.64832224138</v>
      </c>
      <c r="F57" s="3"/>
      <c r="G57" s="30">
        <v>3.33</v>
      </c>
      <c r="H57" s="10"/>
      <c r="I57" s="10">
        <f t="shared" si="8"/>
        <v>150.40922020654349</v>
      </c>
      <c r="J57" s="10">
        <f t="shared" si="6"/>
        <v>541912417.72902179</v>
      </c>
      <c r="K57" s="11">
        <f t="shared" si="7"/>
        <v>6.4815650000000335E-2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3496283.5515488973</v>
      </c>
      <c r="D58" s="11">
        <v>3.0300000000000001E-2</v>
      </c>
      <c r="E58" s="10">
        <f t="shared" si="2"/>
        <v>102821.88839360513</v>
      </c>
      <c r="F58" s="3"/>
      <c r="G58" s="30">
        <v>3.77</v>
      </c>
      <c r="H58" s="10"/>
      <c r="I58" s="10">
        <f t="shared" si="8"/>
        <v>145.56200542586225</v>
      </c>
      <c r="J58" s="10">
        <f t="shared" si="6"/>
        <v>508926045.30091351</v>
      </c>
      <c r="K58" s="11">
        <f t="shared" si="7"/>
        <v>6.9142309999999929E-2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3393461.6631552922</v>
      </c>
      <c r="D59" s="11">
        <v>2.9899999999999999E-2</v>
      </c>
      <c r="E59" s="10">
        <f t="shared" si="2"/>
        <v>98518.791851969436</v>
      </c>
      <c r="F59" s="3"/>
      <c r="G59" s="30">
        <v>3.8</v>
      </c>
      <c r="H59" s="10"/>
      <c r="I59" s="10">
        <f t="shared" si="8"/>
        <v>140.2736874104869</v>
      </c>
      <c r="J59" s="10">
        <f t="shared" si="6"/>
        <v>476013380.57691646</v>
      </c>
      <c r="K59" s="11">
        <f t="shared" si="7"/>
        <v>6.9036200000000214E-2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3294942.8713033227</v>
      </c>
      <c r="D60" s="11">
        <v>2.9399999999999999E-2</v>
      </c>
      <c r="E60" s="10">
        <f t="shared" si="2"/>
        <v>94104.643886067439</v>
      </c>
      <c r="F60" s="3"/>
      <c r="G60" s="30">
        <v>3.67</v>
      </c>
      <c r="H60" s="10"/>
      <c r="I60" s="10">
        <f t="shared" si="8"/>
        <v>135.13842717773304</v>
      </c>
      <c r="J60" s="10">
        <f t="shared" si="6"/>
        <v>445273397.26841468</v>
      </c>
      <c r="K60" s="11">
        <f t="shared" si="7"/>
        <v>6.7178979999999999E-2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3200838.2274172553</v>
      </c>
      <c r="D61" s="11">
        <v>2.8799999999999999E-2</v>
      </c>
      <c r="E61" s="10">
        <f t="shared" si="2"/>
        <v>89603.558465801645</v>
      </c>
      <c r="F61" s="3"/>
      <c r="G61" s="30">
        <v>3.64</v>
      </c>
      <c r="H61" s="10"/>
      <c r="I61" s="10">
        <f t="shared" si="8"/>
        <v>130.35441996501692</v>
      </c>
      <c r="J61" s="10">
        <f t="shared" si="6"/>
        <v>417243410.53682923</v>
      </c>
      <c r="K61" s="11">
        <f t="shared" si="7"/>
        <v>6.6248319999999916E-2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3111234.6689514536</v>
      </c>
      <c r="D62" s="11">
        <v>2.8299999999999999E-2</v>
      </c>
      <c r="E62" s="10">
        <f t="shared" si="2"/>
        <v>85624.760411675554</v>
      </c>
      <c r="F62" s="3"/>
      <c r="G62" s="30">
        <v>3.72</v>
      </c>
      <c r="H62" s="10"/>
      <c r="I62" s="10">
        <f t="shared" si="8"/>
        <v>125.77616746914022</v>
      </c>
      <c r="J62" s="10">
        <f t="shared" si="6"/>
        <v>391319172.75783306</v>
      </c>
      <c r="K62" s="11">
        <f t="shared" si="7"/>
        <v>6.6552759999999767E-2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3025609.9085397781</v>
      </c>
      <c r="D63" s="11">
        <v>2.7699999999999999E-2</v>
      </c>
      <c r="E63" s="10">
        <f t="shared" si="2"/>
        <v>81550.44708237052</v>
      </c>
      <c r="F63" s="3"/>
      <c r="G63" s="30">
        <v>3.69</v>
      </c>
      <c r="H63" s="10"/>
      <c r="I63" s="10">
        <f t="shared" si="8"/>
        <v>121.26510554294276</v>
      </c>
      <c r="J63" s="10">
        <f t="shared" si="6"/>
        <v>366900904.89084959</v>
      </c>
      <c r="K63" s="11">
        <f t="shared" si="7"/>
        <v>6.5622129999999945E-2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2944059.4614574076</v>
      </c>
      <c r="D64" s="11">
        <v>2.7199999999999998E-2</v>
      </c>
      <c r="E64" s="10">
        <f t="shared" si="2"/>
        <v>77957.960817407817</v>
      </c>
      <c r="F64" s="3"/>
      <c r="G64" s="30">
        <v>3.66</v>
      </c>
      <c r="H64" s="10"/>
      <c r="I64" s="10">
        <f t="shared" si="8"/>
        <v>116.94966297901705</v>
      </c>
      <c r="J64" s="10">
        <f t="shared" si="6"/>
        <v>344306761.80763024</v>
      </c>
      <c r="K64" s="11">
        <f t="shared" si="7"/>
        <v>6.4795519999999884E-2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2866101.5006399998</v>
      </c>
      <c r="D65" s="11">
        <v>2.6800000000000001E-2</v>
      </c>
      <c r="E65" s="10">
        <f t="shared" si="2"/>
        <v>74806.700639999937</v>
      </c>
      <c r="F65" s="3"/>
      <c r="G65" s="30">
        <v>3.63</v>
      </c>
      <c r="H65" s="10"/>
      <c r="I65" s="10">
        <f t="shared" si="8"/>
        <v>112.8204350559686</v>
      </c>
      <c r="J65" s="10">
        <f t="shared" si="6"/>
        <v>323354818.21676922</v>
      </c>
      <c r="K65" s="11">
        <f t="shared" si="7"/>
        <v>6.4072839999999909E-2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2791294.8</v>
      </c>
      <c r="D66" s="11">
        <v>2.64E-2</v>
      </c>
      <c r="E66" s="10">
        <f t="shared" si="2"/>
        <v>71794.799999999814</v>
      </c>
      <c r="F66" s="23">
        <f>SUM(F2)</f>
        <v>17339111</v>
      </c>
      <c r="G66" s="30">
        <v>3.67</v>
      </c>
      <c r="H66" s="10"/>
      <c r="I66" s="10">
        <f t="shared" si="8"/>
        <v>108.86850820801756</v>
      </c>
      <c r="J66" s="10">
        <f t="shared" ref="J66:J67" si="9">IF(I66="","",I66*C66)</f>
        <v>303884100.84479672</v>
      </c>
      <c r="K66" s="11">
        <f t="shared" ref="K66" si="10">IFERROR(J66/J67-1,"")</f>
        <v>6.4068879999999773E-2</v>
      </c>
    </row>
    <row r="67" spans="1:11" ht="22.5" customHeight="1">
      <c r="A67" s="3">
        <f t="shared" si="0"/>
        <v>1950</v>
      </c>
      <c r="B67" s="3">
        <v>1700</v>
      </c>
      <c r="C67" s="10">
        <v>2719500</v>
      </c>
      <c r="D67" s="11">
        <v>2.5999999999999999E-2</v>
      </c>
      <c r="E67" s="3" t="s">
        <v>72</v>
      </c>
      <c r="F67" s="10">
        <f>SUM(C2)</f>
        <v>17339702.033453707</v>
      </c>
      <c r="G67" s="30">
        <v>3.67</v>
      </c>
      <c r="H67" s="10"/>
      <c r="I67" s="10">
        <f t="shared" ref="I67" si="11">IF(H67&lt;&gt;"",H67,I66/(1+IF(G66="",0,G66)/100))</f>
        <v>105.01447690558268</v>
      </c>
      <c r="J67" s="10">
        <f t="shared" si="9"/>
        <v>285586869.94473213</v>
      </c>
      <c r="K67" s="11"/>
    </row>
  </sheetData>
  <dataValidations count="1">
    <dataValidation type="custom" allowBlank="1" showDropDown="1" sqref="D2:D67" xr:uid="{00000000-0002-0000-A1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M67"/>
  <sheetViews>
    <sheetView workbookViewId="0">
      <selection activeCell="J21" sqref="J21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17219800.948560115</v>
      </c>
      <c r="D2" s="11">
        <v>1.49E-2</v>
      </c>
      <c r="E2" s="10">
        <f t="shared" ref="E2:E66" si="2">SUM(C2-C3)</f>
        <v>252808.19207167625</v>
      </c>
      <c r="F2" s="14">
        <v>17219177</v>
      </c>
      <c r="G2" s="29">
        <v>4.24</v>
      </c>
      <c r="H2" s="10"/>
      <c r="I2" s="10">
        <f>IF(H2&lt;&gt;"",H2,59048)</f>
        <v>7381</v>
      </c>
      <c r="J2" s="10">
        <f t="shared" ref="J2:J33" si="3">IF(I2="","",I2*C2)</f>
        <v>127099350801.3222</v>
      </c>
      <c r="K2" s="11">
        <f t="shared" ref="K2:K33" si="4">IFERROR(J2/J3-1,"")</f>
        <v>5.7931759999999999E-2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16966992.756488439</v>
      </c>
      <c r="D3" s="11">
        <v>1.5100000000000001E-2</v>
      </c>
      <c r="E3" s="10">
        <f t="shared" si="2"/>
        <v>252390.49416114017</v>
      </c>
      <c r="F3" s="3"/>
      <c r="G3" s="29">
        <v>4.24</v>
      </c>
      <c r="H3" s="10"/>
      <c r="I3" s="10">
        <f t="shared" ref="I3:I34" si="5">IF(H3&lt;&gt;"",H3,I2/(1+IF(G2="",0,G2)/100))</f>
        <v>7080.7751343054488</v>
      </c>
      <c r="J3" s="10">
        <f t="shared" si="3"/>
        <v>120139460414.084</v>
      </c>
      <c r="K3" s="11">
        <f t="shared" si="4"/>
        <v>5.8140239999999732E-2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16714602.262327299</v>
      </c>
      <c r="D4" s="11">
        <v>1.5299999999999999E-2</v>
      </c>
      <c r="E4" s="10">
        <f t="shared" si="2"/>
        <v>251879.65587866493</v>
      </c>
      <c r="F4" s="3"/>
      <c r="G4" s="29">
        <v>4.92</v>
      </c>
      <c r="H4" s="10"/>
      <c r="I4" s="10">
        <f t="shared" si="5"/>
        <v>6792.7620244680056</v>
      </c>
      <c r="J4" s="10">
        <f t="shared" si="3"/>
        <v>113538315501.62389</v>
      </c>
      <c r="K4" s="11">
        <f t="shared" si="4"/>
        <v>6.525275999999991E-2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16462722.606448634</v>
      </c>
      <c r="D5" s="11">
        <v>1.55E-2</v>
      </c>
      <c r="E5" s="10">
        <f t="shared" si="2"/>
        <v>251277.40068927035</v>
      </c>
      <c r="F5" s="3"/>
      <c r="G5" s="29">
        <v>4.42</v>
      </c>
      <c r="H5" s="10"/>
      <c r="I5" s="10">
        <f t="shared" si="5"/>
        <v>6474.2299127602046</v>
      </c>
      <c r="J5" s="10">
        <f t="shared" si="3"/>
        <v>106583451144.14339</v>
      </c>
      <c r="K5" s="11">
        <f t="shared" si="4"/>
        <v>6.0385099999999969E-2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16211445.205759363</v>
      </c>
      <c r="D6" s="11">
        <v>1.5599999999999999E-2</v>
      </c>
      <c r="E6" s="10">
        <f t="shared" si="2"/>
        <v>249013.92793407477</v>
      </c>
      <c r="F6" s="3"/>
      <c r="G6" s="29">
        <v>4.0199999999999996</v>
      </c>
      <c r="H6" s="10"/>
      <c r="I6" s="10">
        <f t="shared" si="5"/>
        <v>6200.1818739323926</v>
      </c>
      <c r="J6" s="10">
        <f t="shared" si="3"/>
        <v>100513908714.99739</v>
      </c>
      <c r="K6" s="11">
        <f t="shared" si="4"/>
        <v>5.6427119999999942E-2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15962431.277825288</v>
      </c>
      <c r="D7" s="11">
        <v>1.5800000000000002E-2</v>
      </c>
      <c r="E7" s="10">
        <f t="shared" si="2"/>
        <v>248283.53434695862</v>
      </c>
      <c r="F7" s="3"/>
      <c r="G7" s="29">
        <v>5.09</v>
      </c>
      <c r="H7" s="10"/>
      <c r="I7" s="10">
        <f t="shared" si="5"/>
        <v>5960.5670774201044</v>
      </c>
      <c r="J7" s="10">
        <f t="shared" si="3"/>
        <v>95145142350.18634</v>
      </c>
      <c r="K7" s="11">
        <f t="shared" si="4"/>
        <v>6.7504220000000004E-2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15714147.74347833</v>
      </c>
      <c r="D8" s="11">
        <v>1.61E-2</v>
      </c>
      <c r="E8" s="10">
        <f t="shared" si="2"/>
        <v>248989.05488633178</v>
      </c>
      <c r="F8" s="3"/>
      <c r="G8" s="29">
        <v>3.79</v>
      </c>
      <c r="H8" s="10"/>
      <c r="I8" s="10">
        <f t="shared" si="5"/>
        <v>5671.8689479685081</v>
      </c>
      <c r="J8" s="10">
        <f t="shared" si="3"/>
        <v>89128586630.024139</v>
      </c>
      <c r="K8" s="11">
        <f t="shared" si="4"/>
        <v>5.4610190000000003E-2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15465158.688591998</v>
      </c>
      <c r="D9" s="11">
        <v>1.6400000000000001E-2</v>
      </c>
      <c r="E9" s="10">
        <f t="shared" si="2"/>
        <v>249536.20867070928</v>
      </c>
      <c r="F9" s="3"/>
      <c r="G9" s="29">
        <v>4.91</v>
      </c>
      <c r="H9" s="10"/>
      <c r="I9" s="10">
        <f t="shared" si="5"/>
        <v>5464.7547432011834</v>
      </c>
      <c r="J9" s="10">
        <f t="shared" si="3"/>
        <v>84513299297.842117</v>
      </c>
      <c r="K9" s="11">
        <f t="shared" si="4"/>
        <v>6.6305239999999932E-2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15215622.479921289</v>
      </c>
      <c r="D10" s="11">
        <v>1.67E-2</v>
      </c>
      <c r="E10" s="10">
        <f t="shared" si="2"/>
        <v>249927.11263370141</v>
      </c>
      <c r="F10" s="3"/>
      <c r="G10" s="29">
        <v>3.44</v>
      </c>
      <c r="H10" s="10"/>
      <c r="I10" s="10">
        <f t="shared" si="5"/>
        <v>5208.9931781538307</v>
      </c>
      <c r="J10" s="10">
        <f t="shared" si="3"/>
        <v>79258073699.274063</v>
      </c>
      <c r="K10" s="11">
        <f t="shared" si="4"/>
        <v>5.1674479999999745E-2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14965695.367287587</v>
      </c>
      <c r="D11" s="11">
        <v>1.7100000000000001E-2</v>
      </c>
      <c r="E11" s="10">
        <f t="shared" si="2"/>
        <v>251610.84532555006</v>
      </c>
      <c r="F11" s="3"/>
      <c r="G11" s="29">
        <v>5.41</v>
      </c>
      <c r="H11" s="10"/>
      <c r="I11" s="10">
        <f t="shared" si="5"/>
        <v>5035.7629332500301</v>
      </c>
      <c r="J11" s="10">
        <f t="shared" si="3"/>
        <v>75363694000.898529</v>
      </c>
      <c r="K11" s="11">
        <f t="shared" si="4"/>
        <v>7.2125110000000214E-2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14714084.521962037</v>
      </c>
      <c r="D12" s="11">
        <v>1.7600000000000001E-2</v>
      </c>
      <c r="E12" s="10">
        <f t="shared" si="2"/>
        <v>254488.88324148208</v>
      </c>
      <c r="F12" s="3"/>
      <c r="G12" s="29">
        <v>11.9</v>
      </c>
      <c r="H12" s="10"/>
      <c r="I12" s="10">
        <f t="shared" si="5"/>
        <v>4777.3104385257848</v>
      </c>
      <c r="J12" s="10">
        <f t="shared" si="3"/>
        <v>70293749580.119919</v>
      </c>
      <c r="K12" s="11">
        <f t="shared" si="4"/>
        <v>0.13869440000000011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14459595.638720555</v>
      </c>
      <c r="D13" s="11">
        <v>1.8200000000000001E-2</v>
      </c>
      <c r="E13" s="10">
        <f t="shared" si="2"/>
        <v>258460.65667326003</v>
      </c>
      <c r="F13" s="3"/>
      <c r="G13" s="29">
        <v>4.83</v>
      </c>
      <c r="H13" s="10"/>
      <c r="I13" s="10">
        <f t="shared" si="5"/>
        <v>4269.2675947504777</v>
      </c>
      <c r="J13" s="10">
        <f t="shared" si="3"/>
        <v>61731883093.584999</v>
      </c>
      <c r="K13" s="11">
        <f t="shared" si="4"/>
        <v>6.7379059999999935E-2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14201134.982047295</v>
      </c>
      <c r="D14" s="11">
        <v>1.89E-2</v>
      </c>
      <c r="E14" s="10">
        <f t="shared" si="2"/>
        <v>263422.76097820513</v>
      </c>
      <c r="F14" s="3"/>
      <c r="G14" s="29">
        <v>-1.22</v>
      </c>
      <c r="H14" s="10"/>
      <c r="I14" s="10">
        <f t="shared" si="5"/>
        <v>4072.5628109801369</v>
      </c>
      <c r="J14" s="10">
        <f t="shared" si="3"/>
        <v>57835014201.594887</v>
      </c>
      <c r="K14" s="11">
        <f t="shared" si="4"/>
        <v>6.4694199999997259E-3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13937712.22106909</v>
      </c>
      <c r="D15" s="11">
        <v>1.95E-2</v>
      </c>
      <c r="E15" s="10">
        <f t="shared" si="2"/>
        <v>266586.94292383268</v>
      </c>
      <c r="F15" s="3"/>
      <c r="G15" s="29">
        <v>4.45</v>
      </c>
      <c r="H15" s="10"/>
      <c r="I15" s="10">
        <f t="shared" si="5"/>
        <v>4122.861724013097</v>
      </c>
      <c r="J15" s="10">
        <f t="shared" si="3"/>
        <v>57463260236.555321</v>
      </c>
      <c r="K15" s="11">
        <f t="shared" si="4"/>
        <v>6.4867749999999891E-2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13671125.278145257</v>
      </c>
      <c r="D16" s="11">
        <v>2.01E-2</v>
      </c>
      <c r="E16" s="10">
        <f t="shared" si="2"/>
        <v>269375.17703236826</v>
      </c>
      <c r="F16" s="3"/>
      <c r="G16" s="29">
        <v>2.06</v>
      </c>
      <c r="H16" s="10"/>
      <c r="I16" s="10">
        <f t="shared" si="5"/>
        <v>3947.2108415635203</v>
      </c>
      <c r="J16" s="10">
        <f t="shared" si="3"/>
        <v>53962813914.268059</v>
      </c>
      <c r="K16" s="11">
        <f t="shared" si="4"/>
        <v>4.1114059999999952E-2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13401750.101112889</v>
      </c>
      <c r="D17" s="11">
        <v>2.06E-2</v>
      </c>
      <c r="E17" s="10">
        <f t="shared" si="2"/>
        <v>270503.676350113</v>
      </c>
      <c r="F17" s="3"/>
      <c r="G17" s="29">
        <v>-0.86</v>
      </c>
      <c r="H17" s="10"/>
      <c r="I17" s="10">
        <f t="shared" si="5"/>
        <v>3867.5395273011172</v>
      </c>
      <c r="J17" s="10">
        <f t="shared" si="3"/>
        <v>51831798251.065842</v>
      </c>
      <c r="K17" s="11">
        <f t="shared" si="4"/>
        <v>1.1822840000000001E-2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13131246.424762776</v>
      </c>
      <c r="D18" s="11">
        <v>2.1100000000000001E-2</v>
      </c>
      <c r="E18" s="10">
        <f t="shared" si="2"/>
        <v>271343.94237831049</v>
      </c>
      <c r="F18" s="3"/>
      <c r="G18" s="29">
        <v>-1.01</v>
      </c>
      <c r="H18" s="10"/>
      <c r="I18" s="10">
        <f t="shared" si="5"/>
        <v>3901.0888917703423</v>
      </c>
      <c r="J18" s="10">
        <f t="shared" si="3"/>
        <v>51226159562.741089</v>
      </c>
      <c r="K18" s="11">
        <f t="shared" si="4"/>
        <v>1.0786889999999882E-2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12859902.482384466</v>
      </c>
      <c r="D19" s="11">
        <v>2.1600000000000001E-2</v>
      </c>
      <c r="E19" s="10">
        <f t="shared" si="2"/>
        <v>271900.83557116799</v>
      </c>
      <c r="F19" s="3"/>
      <c r="G19" s="29">
        <v>4.75</v>
      </c>
      <c r="H19" s="10"/>
      <c r="I19" s="10">
        <f t="shared" si="5"/>
        <v>3940.8918999599377</v>
      </c>
      <c r="J19" s="10">
        <f t="shared" si="3"/>
        <v>50679485527.103638</v>
      </c>
      <c r="K19" s="11">
        <f t="shared" si="4"/>
        <v>7.0126000000000133E-2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12588001.646813298</v>
      </c>
      <c r="D20" s="11">
        <v>2.2100000000000002E-2</v>
      </c>
      <c r="E20" s="10">
        <f t="shared" si="2"/>
        <v>272179.66578081809</v>
      </c>
      <c r="F20" s="3"/>
      <c r="G20" s="29">
        <v>-1.59</v>
      </c>
      <c r="H20" s="10"/>
      <c r="I20" s="10">
        <f t="shared" si="5"/>
        <v>3762.187971322136</v>
      </c>
      <c r="J20" s="10">
        <f t="shared" si="3"/>
        <v>47358428378.624229</v>
      </c>
      <c r="K20" s="11">
        <f t="shared" si="4"/>
        <v>5.8486100000001429E-3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12315821.98103248</v>
      </c>
      <c r="D21" s="11">
        <v>2.2599999999999999E-2</v>
      </c>
      <c r="E21" s="10">
        <f t="shared" si="2"/>
        <v>272186.16934415512</v>
      </c>
      <c r="F21" s="3"/>
      <c r="G21" s="29">
        <v>8</v>
      </c>
      <c r="H21" s="10"/>
      <c r="I21" s="10">
        <f t="shared" si="5"/>
        <v>3822.9732459324623</v>
      </c>
      <c r="J21" s="10">
        <f t="shared" si="3"/>
        <v>47083057935.154106</v>
      </c>
      <c r="K21" s="11">
        <f t="shared" si="4"/>
        <v>0.10440800000000006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12043635.811688324</v>
      </c>
      <c r="D22" s="11">
        <v>2.3E-2</v>
      </c>
      <c r="E22" s="10">
        <f t="shared" si="2"/>
        <v>270775.78071244434</v>
      </c>
      <c r="F22" s="3"/>
      <c r="G22" s="29">
        <v>7.92</v>
      </c>
      <c r="H22" s="10"/>
      <c r="I22" s="10">
        <f t="shared" si="5"/>
        <v>3539.7900425300572</v>
      </c>
      <c r="J22" s="10">
        <f t="shared" si="3"/>
        <v>42631942122.072731</v>
      </c>
      <c r="K22" s="11">
        <f t="shared" si="4"/>
        <v>0.10402159999999983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11772860.03097588</v>
      </c>
      <c r="D23" s="11">
        <v>2.3400000000000001E-2</v>
      </c>
      <c r="E23" s="10">
        <f t="shared" si="2"/>
        <v>269185.97295762785</v>
      </c>
      <c r="F23" s="3"/>
      <c r="G23" s="29">
        <v>3.83</v>
      </c>
      <c r="H23" s="10"/>
      <c r="I23" s="10">
        <f t="shared" si="5"/>
        <v>3280.0130119811502</v>
      </c>
      <c r="J23" s="10">
        <f t="shared" si="3"/>
        <v>38615134089.833694</v>
      </c>
      <c r="K23" s="11">
        <f t="shared" si="4"/>
        <v>6.2596220000000091E-2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11503674.058018252</v>
      </c>
      <c r="D24" s="11">
        <v>2.3699999999999999E-2</v>
      </c>
      <c r="E24" s="10">
        <f t="shared" si="2"/>
        <v>266325.16867737845</v>
      </c>
      <c r="F24" s="3"/>
      <c r="G24" s="29">
        <v>6.24</v>
      </c>
      <c r="H24" s="10"/>
      <c r="I24" s="10">
        <f t="shared" si="5"/>
        <v>3159.0224520669844</v>
      </c>
      <c r="J24" s="10">
        <f t="shared" si="3"/>
        <v>36340364630.540176</v>
      </c>
      <c r="K24" s="11">
        <f t="shared" si="4"/>
        <v>8.7578879999999915E-2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11237348.889340874</v>
      </c>
      <c r="D25" s="11">
        <v>2.3900000000000001E-2</v>
      </c>
      <c r="E25" s="10">
        <f t="shared" si="2"/>
        <v>262303.58282571286</v>
      </c>
      <c r="F25" s="3"/>
      <c r="G25" s="29">
        <v>1.01</v>
      </c>
      <c r="H25" s="10"/>
      <c r="I25" s="10">
        <f t="shared" si="5"/>
        <v>2973.4774586473873</v>
      </c>
      <c r="J25" s="10">
        <f t="shared" si="3"/>
        <v>33414003617.411343</v>
      </c>
      <c r="K25" s="11">
        <f t="shared" si="4"/>
        <v>3.424139000000026E-2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10975045.306515161</v>
      </c>
      <c r="D26" s="11">
        <v>2.41E-2</v>
      </c>
      <c r="E26" s="10">
        <f t="shared" si="2"/>
        <v>258274.1840513777</v>
      </c>
      <c r="F26" s="3"/>
      <c r="G26" s="29">
        <v>5</v>
      </c>
      <c r="H26" s="10"/>
      <c r="I26" s="10">
        <f t="shared" si="5"/>
        <v>2943.7456278065411</v>
      </c>
      <c r="J26" s="10">
        <f t="shared" si="3"/>
        <v>32307741636.032703</v>
      </c>
      <c r="K26" s="11">
        <f t="shared" si="4"/>
        <v>7.5305000000000177E-2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10716771.122463783</v>
      </c>
      <c r="D27" s="11">
        <v>2.4199999999999999E-2</v>
      </c>
      <c r="E27" s="10">
        <f t="shared" si="2"/>
        <v>253217.98590472899</v>
      </c>
      <c r="F27" s="3"/>
      <c r="G27" s="29">
        <v>-3.5</v>
      </c>
      <c r="H27" s="10"/>
      <c r="I27" s="10">
        <f t="shared" si="5"/>
        <v>2803.5672645776581</v>
      </c>
      <c r="J27" s="10">
        <f t="shared" si="3"/>
        <v>30045188700.910625</v>
      </c>
      <c r="K27" s="11">
        <f t="shared" si="4"/>
        <v>-1.1647000000000185E-2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10463553.136559054</v>
      </c>
      <c r="D28" s="11">
        <v>2.4199999999999999E-2</v>
      </c>
      <c r="E28" s="10">
        <f t="shared" si="2"/>
        <v>247234.90129342861</v>
      </c>
      <c r="F28" s="3"/>
      <c r="G28" s="29">
        <v>1.35</v>
      </c>
      <c r="H28" s="10"/>
      <c r="I28" s="10">
        <f t="shared" si="5"/>
        <v>2905.2510513758116</v>
      </c>
      <c r="J28" s="10">
        <f t="shared" si="3"/>
        <v>30399248751.114864</v>
      </c>
      <c r="K28" s="11">
        <f t="shared" si="4"/>
        <v>3.802670000000008E-2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10216318.235265626</v>
      </c>
      <c r="D29" s="11">
        <v>2.4199999999999999E-2</v>
      </c>
      <c r="E29" s="10">
        <f t="shared" si="2"/>
        <v>241393.1861876864</v>
      </c>
      <c r="F29" s="3"/>
      <c r="G29" s="29">
        <v>5.03</v>
      </c>
      <c r="H29" s="10"/>
      <c r="I29" s="10">
        <f t="shared" si="5"/>
        <v>2866.5525913920192</v>
      </c>
      <c r="J29" s="10">
        <f t="shared" si="3"/>
        <v>29285613511.786221</v>
      </c>
      <c r="K29" s="11">
        <f t="shared" si="4"/>
        <v>7.5717260000000008E-2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9974925.0490779392</v>
      </c>
      <c r="D30" s="11">
        <v>2.4199999999999999E-2</v>
      </c>
      <c r="E30" s="10">
        <f t="shared" si="2"/>
        <v>235689.50028088875</v>
      </c>
      <c r="F30" s="3"/>
      <c r="G30" s="29">
        <v>5.5</v>
      </c>
      <c r="H30" s="10"/>
      <c r="I30" s="10">
        <f t="shared" si="5"/>
        <v>2729.2702955270106</v>
      </c>
      <c r="J30" s="10">
        <f t="shared" si="3"/>
        <v>27224266636.556728</v>
      </c>
      <c r="K30" s="11">
        <f t="shared" si="4"/>
        <v>8.053100000000013E-2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9739235.5487970505</v>
      </c>
      <c r="D31" s="11">
        <v>2.4199999999999999E-2</v>
      </c>
      <c r="E31" s="10">
        <f t="shared" si="2"/>
        <v>230120.5821918454</v>
      </c>
      <c r="F31" s="3"/>
      <c r="G31" s="29">
        <v>3.25</v>
      </c>
      <c r="H31" s="10"/>
      <c r="I31" s="10">
        <f t="shared" si="5"/>
        <v>2586.9860621109106</v>
      </c>
      <c r="J31" s="10">
        <f t="shared" si="3"/>
        <v>25195266620.353073</v>
      </c>
      <c r="K31" s="11">
        <f t="shared" si="4"/>
        <v>5.7486499999999996E-2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9509114.9666052051</v>
      </c>
      <c r="D32" s="11">
        <v>2.41E-2</v>
      </c>
      <c r="E32" s="10">
        <f t="shared" si="2"/>
        <v>223776.6533494629</v>
      </c>
      <c r="F32" s="3"/>
      <c r="G32" s="29">
        <v>11.78</v>
      </c>
      <c r="H32" s="10"/>
      <c r="I32" s="10">
        <f t="shared" si="5"/>
        <v>2505.5555080977342</v>
      </c>
      <c r="J32" s="10">
        <f t="shared" si="3"/>
        <v>23825615381.712273</v>
      </c>
      <c r="K32" s="11">
        <f t="shared" si="4"/>
        <v>0.14473897999999985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9285338.3132557422</v>
      </c>
      <c r="D33" s="11">
        <v>2.4E-2</v>
      </c>
      <c r="E33" s="10">
        <f t="shared" si="2"/>
        <v>217625.11671693251</v>
      </c>
      <c r="F33" s="3"/>
      <c r="G33" s="29">
        <v>0.16</v>
      </c>
      <c r="H33" s="10"/>
      <c r="I33" s="10">
        <f t="shared" si="5"/>
        <v>2241.5060906224139</v>
      </c>
      <c r="J33" s="10">
        <f t="shared" si="3"/>
        <v>20813142382.652397</v>
      </c>
      <c r="K33" s="11">
        <f t="shared" si="4"/>
        <v>2.5638400000000061E-2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9067713.1965388097</v>
      </c>
      <c r="D34" s="11">
        <v>2.3800000000000002E-2</v>
      </c>
      <c r="E34" s="10">
        <f t="shared" si="2"/>
        <v>210794.66114243492</v>
      </c>
      <c r="F34" s="3"/>
      <c r="G34" s="29">
        <v>2.42</v>
      </c>
      <c r="H34" s="10"/>
      <c r="I34" s="10">
        <f t="shared" si="5"/>
        <v>2237.9254099664677</v>
      </c>
      <c r="J34" s="10">
        <f t="shared" ref="J34:J65" si="6">IF(I34="","",I34*C34)</f>
        <v>20292865772.822464</v>
      </c>
      <c r="K34" s="11">
        <f t="shared" ref="K34:K65" si="7">IFERROR(J34/J35-1,"")</f>
        <v>6.188536E-2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8856918.5353963748</v>
      </c>
      <c r="D35" s="11">
        <v>2.35E-2</v>
      </c>
      <c r="E35" s="10">
        <f t="shared" si="2"/>
        <v>203358.65713904798</v>
      </c>
      <c r="F35" s="3"/>
      <c r="G35" s="29">
        <v>-3.75</v>
      </c>
      <c r="H35" s="10"/>
      <c r="I35" s="10">
        <f t="shared" ref="I35:I66" si="8">IF(H35&lt;&gt;"",H35,I34/(1+IF(G34="",0,G34)/100))</f>
        <v>2157.6604415411375</v>
      </c>
      <c r="J35" s="10">
        <f t="shared" si="6"/>
        <v>19110222757.777225</v>
      </c>
      <c r="K35" s="11">
        <f t="shared" si="7"/>
        <v>1.2753250000000049E-2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8653559.8782573268</v>
      </c>
      <c r="D36" s="11">
        <v>2.3E-2</v>
      </c>
      <c r="E36" s="10">
        <f t="shared" si="2"/>
        <v>194557.06471155211</v>
      </c>
      <c r="F36" s="3"/>
      <c r="G36" s="29">
        <v>7.36</v>
      </c>
      <c r="H36" s="10"/>
      <c r="I36" s="10">
        <f t="shared" si="8"/>
        <v>2180.5562825074658</v>
      </c>
      <c r="J36" s="10">
        <f t="shared" si="6"/>
        <v>18869574358.588554</v>
      </c>
      <c r="K36" s="11">
        <f t="shared" si="7"/>
        <v>0.14739679999999988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8459002.8135457747</v>
      </c>
      <c r="D37" s="11">
        <v>2.2499999999999999E-2</v>
      </c>
      <c r="E37" s="10">
        <f t="shared" si="2"/>
        <v>186139.42621494271</v>
      </c>
      <c r="F37" s="3"/>
      <c r="G37" s="29">
        <v>-4.31</v>
      </c>
      <c r="H37" s="10"/>
      <c r="I37" s="10">
        <f t="shared" si="8"/>
        <v>1944.1478980986678</v>
      </c>
      <c r="J37" s="10">
        <f t="shared" si="6"/>
        <v>16445552539.965734</v>
      </c>
      <c r="K37" s="11">
        <f t="shared" si="7"/>
        <v>3.2622749999999812E-2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8272863.387330832</v>
      </c>
      <c r="D38" s="11">
        <v>2.1899999999999999E-2</v>
      </c>
      <c r="E38" s="10">
        <f t="shared" si="2"/>
        <v>177292.99166508019</v>
      </c>
      <c r="F38" s="3"/>
      <c r="G38" s="29">
        <v>-2.04</v>
      </c>
      <c r="H38" s="10"/>
      <c r="I38" s="10">
        <f t="shared" si="8"/>
        <v>1925.0895119305553</v>
      </c>
      <c r="J38" s="10">
        <f t="shared" si="6"/>
        <v>15926002540.584871</v>
      </c>
      <c r="K38" s="11">
        <f t="shared" si="7"/>
        <v>3.8863539999999919E-2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8095570.3956657518</v>
      </c>
      <c r="D39" s="11">
        <v>2.1499999999999998E-2</v>
      </c>
      <c r="E39" s="10">
        <f t="shared" si="2"/>
        <v>170391.34949272033</v>
      </c>
      <c r="F39" s="3"/>
      <c r="G39" s="29">
        <v>-0.94</v>
      </c>
      <c r="H39" s="10"/>
      <c r="I39" s="10">
        <f t="shared" si="8"/>
        <v>1893.6548415606487</v>
      </c>
      <c r="J39" s="10">
        <f t="shared" si="6"/>
        <v>15330216074.947508</v>
      </c>
      <c r="K39" s="11">
        <f t="shared" si="7"/>
        <v>1.1897900000000128E-2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7925179.0461730314</v>
      </c>
      <c r="D40" s="11">
        <v>2.1399999999999999E-2</v>
      </c>
      <c r="E40" s="10">
        <f t="shared" si="2"/>
        <v>166045.45877041668</v>
      </c>
      <c r="F40" s="3"/>
      <c r="G40" s="29">
        <v>11.47</v>
      </c>
      <c r="H40" s="10"/>
      <c r="I40" s="10">
        <f t="shared" si="8"/>
        <v>1911.6241081775172</v>
      </c>
      <c r="J40" s="10">
        <f t="shared" si="6"/>
        <v>15149963326.287668</v>
      </c>
      <c r="K40" s="11">
        <f t="shared" si="7"/>
        <v>0.13855458000000032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7759133.5874026148</v>
      </c>
      <c r="D41" s="11">
        <v>2.1600000000000001E-2</v>
      </c>
      <c r="E41" s="10">
        <f t="shared" si="2"/>
        <v>164053.72502730694</v>
      </c>
      <c r="F41" s="3"/>
      <c r="G41" s="29">
        <v>7.94</v>
      </c>
      <c r="H41" s="10"/>
      <c r="I41" s="10">
        <f t="shared" si="8"/>
        <v>1714.9224976922196</v>
      </c>
      <c r="J41" s="10">
        <f t="shared" si="6"/>
        <v>13306312751.636084</v>
      </c>
      <c r="K41" s="11">
        <f t="shared" si="7"/>
        <v>0.10271503999999987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7595079.8623753078</v>
      </c>
      <c r="D42" s="11">
        <v>2.2100000000000002E-2</v>
      </c>
      <c r="E42" s="10">
        <f t="shared" si="2"/>
        <v>164221.95965022407</v>
      </c>
      <c r="F42" s="3"/>
      <c r="G42" s="29">
        <v>-6.4</v>
      </c>
      <c r="H42" s="10"/>
      <c r="I42" s="10">
        <f t="shared" si="8"/>
        <v>1588.7738537078189</v>
      </c>
      <c r="J42" s="10">
        <f t="shared" si="6"/>
        <v>12066864302.164669</v>
      </c>
      <c r="K42" s="11">
        <f t="shared" si="7"/>
        <v>-4.3314400000000086E-2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7430857.9027250838</v>
      </c>
      <c r="D43" s="11">
        <v>2.2700000000000001E-2</v>
      </c>
      <c r="E43" s="10">
        <f t="shared" si="2"/>
        <v>164936.41770984512</v>
      </c>
      <c r="F43" s="3"/>
      <c r="G43" s="29">
        <v>-0.73</v>
      </c>
      <c r="H43" s="10"/>
      <c r="I43" s="10">
        <f t="shared" si="8"/>
        <v>1697.4079633630545</v>
      </c>
      <c r="J43" s="10">
        <f t="shared" si="6"/>
        <v>12613197378.704844</v>
      </c>
      <c r="K43" s="11">
        <f t="shared" si="7"/>
        <v>1.5234289999999984E-2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7265921.4850152386</v>
      </c>
      <c r="D44" s="11">
        <v>2.3400000000000001E-2</v>
      </c>
      <c r="E44" s="10">
        <f t="shared" si="2"/>
        <v>166135.00366362836</v>
      </c>
      <c r="F44" s="3"/>
      <c r="G44" s="29">
        <v>6.89</v>
      </c>
      <c r="H44" s="10"/>
      <c r="I44" s="10">
        <f t="shared" si="8"/>
        <v>1709.8901615423133</v>
      </c>
      <c r="J44" s="10">
        <f t="shared" si="6"/>
        <v>12423927661.766472</v>
      </c>
      <c r="K44" s="11">
        <f t="shared" si="7"/>
        <v>9.391225999999997E-2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7099786.4813516103</v>
      </c>
      <c r="D45" s="11">
        <v>2.4E-2</v>
      </c>
      <c r="E45" s="10">
        <f t="shared" si="2"/>
        <v>166401.24565667845</v>
      </c>
      <c r="F45" s="3"/>
      <c r="G45" s="29">
        <v>0.5</v>
      </c>
      <c r="H45" s="10"/>
      <c r="I45" s="10">
        <f t="shared" si="8"/>
        <v>1599.6727117057849</v>
      </c>
      <c r="J45" s="10">
        <f t="shared" si="6"/>
        <v>11357334693.155804</v>
      </c>
      <c r="K45" s="11">
        <f t="shared" si="7"/>
        <v>2.9119999999999813E-2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6933385.2356949318</v>
      </c>
      <c r="D46" s="11">
        <v>2.4400000000000002E-2</v>
      </c>
      <c r="E46" s="10">
        <f t="shared" si="2"/>
        <v>165145.06028012093</v>
      </c>
      <c r="F46" s="3"/>
      <c r="G46" s="29">
        <v>2.75</v>
      </c>
      <c r="H46" s="10"/>
      <c r="I46" s="10">
        <f t="shared" si="8"/>
        <v>1591.7141410007812</v>
      </c>
      <c r="J46" s="10">
        <f t="shared" si="6"/>
        <v>11035967324.661657</v>
      </c>
      <c r="K46" s="11">
        <f t="shared" si="7"/>
        <v>5.2570999999999923E-2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6768240.1754148109</v>
      </c>
      <c r="D47" s="11">
        <v>2.47E-2</v>
      </c>
      <c r="E47" s="10">
        <f t="shared" si="2"/>
        <v>163145.83032374922</v>
      </c>
      <c r="F47" s="3"/>
      <c r="G47" s="29">
        <v>21.33</v>
      </c>
      <c r="H47" s="10"/>
      <c r="I47" s="10">
        <f t="shared" si="8"/>
        <v>1549.1135192221714</v>
      </c>
      <c r="J47" s="10">
        <f t="shared" si="6"/>
        <v>10484772357.077724</v>
      </c>
      <c r="K47" s="11">
        <f t="shared" si="7"/>
        <v>0.24326851000000005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6605094.3450910617</v>
      </c>
      <c r="D48" s="11">
        <v>2.47E-2</v>
      </c>
      <c r="E48" s="10">
        <f t="shared" si="2"/>
        <v>159213.26273421384</v>
      </c>
      <c r="F48" s="3"/>
      <c r="G48" s="29">
        <v>-1.46</v>
      </c>
      <c r="H48" s="10"/>
      <c r="I48" s="10">
        <f t="shared" si="8"/>
        <v>1276.7769877377164</v>
      </c>
      <c r="J48" s="10">
        <f t="shared" si="6"/>
        <v>8433232461.6487904</v>
      </c>
      <c r="K48" s="11">
        <f t="shared" si="7"/>
        <v>9.7393800000000752E-3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6445881.0823568478</v>
      </c>
      <c r="D49" s="11">
        <v>2.4500000000000001E-2</v>
      </c>
      <c r="E49" s="10">
        <f t="shared" si="2"/>
        <v>154147.47341897804</v>
      </c>
      <c r="F49" s="3"/>
      <c r="G49" s="29">
        <v>-0.3</v>
      </c>
      <c r="H49" s="10"/>
      <c r="I49" s="10">
        <f t="shared" si="8"/>
        <v>1295.6941219177149</v>
      </c>
      <c r="J49" s="10">
        <f t="shared" si="6"/>
        <v>8351890228.990366</v>
      </c>
      <c r="K49" s="11">
        <f t="shared" si="7"/>
        <v>2.1426500000000015E-2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6291733.6089378698</v>
      </c>
      <c r="D50" s="11">
        <v>2.4199999999999999E-2</v>
      </c>
      <c r="E50" s="10">
        <f t="shared" si="2"/>
        <v>148662.32506961189</v>
      </c>
      <c r="F50" s="3"/>
      <c r="G50" s="29">
        <v>13.82</v>
      </c>
      <c r="H50" s="10"/>
      <c r="I50" s="10">
        <f t="shared" si="8"/>
        <v>1299.5929006195736</v>
      </c>
      <c r="J50" s="10">
        <f t="shared" si="6"/>
        <v>8176692330.7652245</v>
      </c>
      <c r="K50" s="11">
        <f t="shared" si="7"/>
        <v>0.16574443999999988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6143071.2838682579</v>
      </c>
      <c r="D51" s="11">
        <v>2.3800000000000002E-2</v>
      </c>
      <c r="E51" s="10">
        <f t="shared" si="2"/>
        <v>142806.30646226276</v>
      </c>
      <c r="F51" s="3"/>
      <c r="G51" s="29">
        <v>4.6100000000000003</v>
      </c>
      <c r="H51" s="10"/>
      <c r="I51" s="10">
        <f t="shared" si="8"/>
        <v>1141.7966092247177</v>
      </c>
      <c r="J51" s="10">
        <f t="shared" si="6"/>
        <v>7014137962.1465101</v>
      </c>
      <c r="K51" s="11">
        <f t="shared" si="7"/>
        <v>7.0997179999999993E-2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6000264.9774059951</v>
      </c>
      <c r="D52" s="11">
        <v>2.3300000000000001E-2</v>
      </c>
      <c r="E52" s="10">
        <f t="shared" si="2"/>
        <v>136622.8613051502</v>
      </c>
      <c r="F52" s="3"/>
      <c r="G52" s="29">
        <v>3.97</v>
      </c>
      <c r="H52" s="10"/>
      <c r="I52" s="10">
        <f t="shared" si="8"/>
        <v>1091.4794084931821</v>
      </c>
      <c r="J52" s="10">
        <f t="shared" si="6"/>
        <v>6549165668.3414516</v>
      </c>
      <c r="K52" s="11">
        <f t="shared" si="7"/>
        <v>6.3925009999999949E-2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5863642.1161008449</v>
      </c>
      <c r="D53" s="11">
        <v>2.2800000000000001E-2</v>
      </c>
      <c r="E53" s="10">
        <f t="shared" si="2"/>
        <v>130710.83324902132</v>
      </c>
      <c r="F53" s="3"/>
      <c r="G53" s="29">
        <v>6.27</v>
      </c>
      <c r="H53" s="10"/>
      <c r="I53" s="10">
        <f t="shared" si="8"/>
        <v>1049.8022588181034</v>
      </c>
      <c r="J53" s="10">
        <f t="shared" si="6"/>
        <v>6155664738.3836308</v>
      </c>
      <c r="K53" s="11">
        <f t="shared" si="7"/>
        <v>8.6929559999999961E-2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5732931.2828518236</v>
      </c>
      <c r="D54" s="11">
        <v>2.24E-2</v>
      </c>
      <c r="E54" s="10">
        <f t="shared" si="2"/>
        <v>125604.12826279458</v>
      </c>
      <c r="F54" s="3"/>
      <c r="G54" s="29">
        <v>4.1399999999999997</v>
      </c>
      <c r="H54" s="10"/>
      <c r="I54" s="10">
        <f t="shared" si="8"/>
        <v>987.86323404357142</v>
      </c>
      <c r="J54" s="10">
        <f t="shared" si="6"/>
        <v>5663352037.6275635</v>
      </c>
      <c r="K54" s="11">
        <f t="shared" si="7"/>
        <v>6.4727360000000234E-2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5607327.154589029</v>
      </c>
      <c r="D55" s="11">
        <v>2.1899999999999999E-2</v>
      </c>
      <c r="E55" s="10">
        <f t="shared" si="2"/>
        <v>120168.76865202095</v>
      </c>
      <c r="F55" s="3"/>
      <c r="G55" s="29">
        <v>9.06</v>
      </c>
      <c r="H55" s="10"/>
      <c r="I55" s="10">
        <f t="shared" si="8"/>
        <v>948.59154411712245</v>
      </c>
      <c r="J55" s="10">
        <f t="shared" si="6"/>
        <v>5319063123.9414778</v>
      </c>
      <c r="K55" s="11">
        <f t="shared" si="7"/>
        <v>0.11448414000000029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5487158.3859370081</v>
      </c>
      <c r="D56" s="11">
        <v>2.1499999999999998E-2</v>
      </c>
      <c r="E56" s="10">
        <f t="shared" si="2"/>
        <v>115490.85198007431</v>
      </c>
      <c r="F56" s="3"/>
      <c r="G56" s="29">
        <v>2</v>
      </c>
      <c r="H56" s="10"/>
      <c r="I56" s="10">
        <f t="shared" si="8"/>
        <v>869.78868890255126</v>
      </c>
      <c r="J56" s="10">
        <f t="shared" si="6"/>
        <v>4772668298.3047895</v>
      </c>
      <c r="K56" s="11">
        <f t="shared" si="7"/>
        <v>4.1930000000000023E-2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5371667.5339569338</v>
      </c>
      <c r="D57" s="11">
        <v>2.1000000000000001E-2</v>
      </c>
      <c r="E57" s="10">
        <f t="shared" si="2"/>
        <v>110484.83664358035</v>
      </c>
      <c r="F57" s="3"/>
      <c r="G57" s="30">
        <v>1.45</v>
      </c>
      <c r="H57" s="10"/>
      <c r="I57" s="10">
        <f t="shared" si="8"/>
        <v>852.73400872799141</v>
      </c>
      <c r="J57" s="10">
        <f t="shared" si="6"/>
        <v>4580603589.7851</v>
      </c>
      <c r="K57" s="11">
        <f t="shared" si="7"/>
        <v>3.5804500000000017E-2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5261182.6973133534</v>
      </c>
      <c r="D58" s="11">
        <v>2.0500000000000001E-2</v>
      </c>
      <c r="E58" s="10">
        <f t="shared" si="2"/>
        <v>105687.64850066043</v>
      </c>
      <c r="F58" s="3"/>
      <c r="G58" s="30">
        <v>5.84</v>
      </c>
      <c r="H58" s="10"/>
      <c r="I58" s="10">
        <f t="shared" si="8"/>
        <v>840.54609041694573</v>
      </c>
      <c r="J58" s="10">
        <f t="shared" si="6"/>
        <v>4422266547.1960201</v>
      </c>
      <c r="K58" s="11">
        <f t="shared" si="7"/>
        <v>8.009719999999998E-2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5155495.048812693</v>
      </c>
      <c r="D59" s="11">
        <v>2.01E-2</v>
      </c>
      <c r="E59" s="10">
        <f t="shared" si="2"/>
        <v>101583.61972466949</v>
      </c>
      <c r="F59" s="3"/>
      <c r="G59" s="30">
        <v>2.78</v>
      </c>
      <c r="H59" s="10"/>
      <c r="I59" s="10">
        <f t="shared" si="8"/>
        <v>794.16675209461994</v>
      </c>
      <c r="J59" s="10">
        <f t="shared" si="6"/>
        <v>4094322758.3554707</v>
      </c>
      <c r="K59" s="11">
        <f t="shared" si="7"/>
        <v>4.8458780000000035E-2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5053911.4290880235</v>
      </c>
      <c r="D60" s="11">
        <v>1.9599999999999999E-2</v>
      </c>
      <c r="E60" s="10">
        <f t="shared" si="2"/>
        <v>97152.475490511395</v>
      </c>
      <c r="F60" s="3"/>
      <c r="G60" s="30">
        <v>3.83</v>
      </c>
      <c r="H60" s="10"/>
      <c r="I60" s="10">
        <f t="shared" si="8"/>
        <v>772.6860790957578</v>
      </c>
      <c r="J60" s="10">
        <f t="shared" si="6"/>
        <v>3905087006.2392631</v>
      </c>
      <c r="K60" s="11">
        <f t="shared" si="7"/>
        <v>5.8650679999999955E-2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4956758.9535975121</v>
      </c>
      <c r="D61" s="11">
        <v>1.9199999999999998E-2</v>
      </c>
      <c r="E61" s="10">
        <f t="shared" si="2"/>
        <v>93376.934761648998</v>
      </c>
      <c r="F61" s="3"/>
      <c r="G61" s="30">
        <v>3.72</v>
      </c>
      <c r="H61" s="10"/>
      <c r="I61" s="10">
        <f t="shared" si="8"/>
        <v>744.1838380966559</v>
      </c>
      <c r="J61" s="10">
        <f t="shared" si="6"/>
        <v>3688739902.6081605</v>
      </c>
      <c r="K61" s="11">
        <f t="shared" si="7"/>
        <v>5.7114239999999983E-2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4863382.0188358631</v>
      </c>
      <c r="D62" s="11">
        <v>1.8800000000000001E-2</v>
      </c>
      <c r="E62" s="10">
        <f t="shared" si="2"/>
        <v>89744.387469683774</v>
      </c>
      <c r="F62" s="3"/>
      <c r="G62" s="30">
        <v>3.13</v>
      </c>
      <c r="H62" s="10"/>
      <c r="I62" s="10">
        <f t="shared" si="8"/>
        <v>717.4930949639953</v>
      </c>
      <c r="J62" s="10">
        <f t="shared" si="6"/>
        <v>3489443016.6867871</v>
      </c>
      <c r="K62" s="11">
        <f t="shared" si="7"/>
        <v>5.0688440000000057E-2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4773637.6313661793</v>
      </c>
      <c r="D63" s="11">
        <v>1.84E-2</v>
      </c>
      <c r="E63" s="10">
        <f t="shared" si="2"/>
        <v>86247.969773308374</v>
      </c>
      <c r="F63" s="3"/>
      <c r="G63" s="30">
        <v>5.56</v>
      </c>
      <c r="H63" s="10"/>
      <c r="I63" s="10">
        <f t="shared" si="8"/>
        <v>695.71714822456636</v>
      </c>
      <c r="J63" s="10">
        <f t="shared" si="6"/>
        <v>3321101559.5515518</v>
      </c>
      <c r="K63" s="11">
        <f t="shared" si="7"/>
        <v>7.5023039999999819E-2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4687389.661592871</v>
      </c>
      <c r="D64" s="11">
        <v>1.8100000000000002E-2</v>
      </c>
      <c r="E64" s="10">
        <f t="shared" si="2"/>
        <v>83333.418008870445</v>
      </c>
      <c r="F64" s="3"/>
      <c r="G64" s="30">
        <v>4.1900000000000004</v>
      </c>
      <c r="H64" s="10"/>
      <c r="I64" s="10">
        <f t="shared" si="8"/>
        <v>659.07270578302985</v>
      </c>
      <c r="J64" s="10">
        <f t="shared" si="6"/>
        <v>3089330587.3254142</v>
      </c>
      <c r="K64" s="11">
        <f t="shared" si="7"/>
        <v>6.0758390000000162E-2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4604056.2435840005</v>
      </c>
      <c r="D65" s="11">
        <v>1.78E-2</v>
      </c>
      <c r="E65" s="10">
        <f t="shared" si="2"/>
        <v>80518.963584000245</v>
      </c>
      <c r="F65" s="3"/>
      <c r="G65" s="30">
        <v>3.06</v>
      </c>
      <c r="H65" s="10"/>
      <c r="I65" s="10">
        <f t="shared" si="8"/>
        <v>632.56810229679411</v>
      </c>
      <c r="J65" s="10">
        <f t="shared" si="6"/>
        <v>2912379120.8716378</v>
      </c>
      <c r="K65" s="11">
        <f t="shared" si="7"/>
        <v>4.8944679999999963E-2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4523537.28</v>
      </c>
      <c r="D66" s="11">
        <v>1.7600000000000001E-2</v>
      </c>
      <c r="E66" s="10">
        <f t="shared" si="2"/>
        <v>78237.280000000261</v>
      </c>
      <c r="F66" s="23">
        <f>SUM(F2)</f>
        <v>17219177</v>
      </c>
      <c r="G66" s="30">
        <v>5.68</v>
      </c>
      <c r="H66" s="10"/>
      <c r="I66" s="10">
        <f t="shared" si="8"/>
        <v>613.78624325324483</v>
      </c>
      <c r="J66" s="10">
        <f t="shared" ref="J66:J67" si="9">IF(I66="","",I66*C66)</f>
        <v>2776484953.3072019</v>
      </c>
      <c r="K66" s="11">
        <f t="shared" ref="K66" si="10">IFERROR(J66/J67-1,"")</f>
        <v>7.539968000000008E-2</v>
      </c>
    </row>
    <row r="67" spans="1:11" ht="22.5" customHeight="1">
      <c r="A67" s="3">
        <f t="shared" si="0"/>
        <v>1950</v>
      </c>
      <c r="B67" s="3">
        <v>1700</v>
      </c>
      <c r="C67" s="10">
        <v>4445300</v>
      </c>
      <c r="D67" s="11">
        <v>1.7399999999999999E-2</v>
      </c>
      <c r="E67" s="3" t="s">
        <v>72</v>
      </c>
      <c r="F67" s="10">
        <f>SUM(C2)</f>
        <v>17219800.948560115</v>
      </c>
      <c r="G67" s="30">
        <v>3.06</v>
      </c>
      <c r="H67" s="10"/>
      <c r="I67" s="10">
        <f t="shared" ref="I67" si="11">IF(H67&lt;&gt;"",H67,I66/(1+IF(G66="",0,G66)/100))</f>
        <v>580.79697506930813</v>
      </c>
      <c r="J67" s="10">
        <f t="shared" si="9"/>
        <v>2581816793.2755957</v>
      </c>
      <c r="K67" s="11"/>
    </row>
  </sheetData>
  <dataValidations count="1">
    <dataValidation type="custom" allowBlank="1" showDropDown="1" sqref="D2:D67" xr:uid="{00000000-0002-0000-A2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M68"/>
  <sheetViews>
    <sheetView workbookViewId="0">
      <selection activeCell="L34" sqref="L3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730350.53362315299</v>
      </c>
      <c r="D2" s="11">
        <v>4.36E-2</v>
      </c>
      <c r="E2" s="10">
        <f t="shared" ref="E2:E66" si="2">SUM(C2-C3)</f>
        <v>30512.919955892605</v>
      </c>
      <c r="F2" s="14">
        <v>730203</v>
      </c>
      <c r="G2" s="26">
        <v>3.09</v>
      </c>
      <c r="H2" s="10"/>
      <c r="I2" s="10">
        <f>IF(H2&lt;&gt;"",H2,196824)</f>
        <v>24603</v>
      </c>
      <c r="J2" s="10">
        <f t="shared" ref="J2:J33" si="3">IF(I2="","",I2*C2)</f>
        <v>17968814178.730434</v>
      </c>
      <c r="K2" s="11">
        <f t="shared" ref="K2:K33" si="4">IFERROR(J2/J3-1,"")</f>
        <v>7.5847240000000093E-2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699837.61366726039</v>
      </c>
      <c r="D3" s="11">
        <v>6.2199999999999998E-2</v>
      </c>
      <c r="E3" s="10">
        <f t="shared" si="2"/>
        <v>40980.888316798722</v>
      </c>
      <c r="F3" s="3"/>
      <c r="G3" s="26">
        <v>4.63</v>
      </c>
      <c r="H3" s="10"/>
      <c r="I3" s="10">
        <f t="shared" ref="I3:I34" si="5">IF(H3&lt;&gt;"",H3,I2/(1+IF(G2="",0,G2)/100))</f>
        <v>23865.554369967991</v>
      </c>
      <c r="J3" s="10">
        <f t="shared" si="3"/>
        <v>16702012619.124657</v>
      </c>
      <c r="K3" s="11">
        <f t="shared" si="4"/>
        <v>0.11137986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658856.72535046167</v>
      </c>
      <c r="D4" s="11">
        <v>8.6800000000000002E-2</v>
      </c>
      <c r="E4" s="10">
        <f t="shared" si="2"/>
        <v>52621.240118163521</v>
      </c>
      <c r="F4" s="3"/>
      <c r="G4" s="26">
        <v>4.92</v>
      </c>
      <c r="H4" s="10"/>
      <c r="I4" s="10">
        <f t="shared" si="5"/>
        <v>22809.475647489238</v>
      </c>
      <c r="J4" s="10">
        <f t="shared" si="3"/>
        <v>15028176432.065861</v>
      </c>
      <c r="K4" s="11">
        <f t="shared" si="4"/>
        <v>0.14027055999999982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606235.48523229815</v>
      </c>
      <c r="D5" s="11">
        <v>0.1166</v>
      </c>
      <c r="E5" s="10">
        <f t="shared" si="2"/>
        <v>63305.622047363431</v>
      </c>
      <c r="F5" s="3"/>
      <c r="G5" s="26">
        <v>4.68</v>
      </c>
      <c r="H5" s="10"/>
      <c r="I5" s="10">
        <f t="shared" si="5"/>
        <v>21739.873853878424</v>
      </c>
      <c r="J5" s="10">
        <f t="shared" si="3"/>
        <v>13179482974.694939</v>
      </c>
      <c r="K5" s="11">
        <f t="shared" si="4"/>
        <v>0.1688568800000001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542929.86318493471</v>
      </c>
      <c r="D6" s="11">
        <v>0.1343</v>
      </c>
      <c r="E6" s="10">
        <f t="shared" si="2"/>
        <v>64282.359715892468</v>
      </c>
      <c r="F6" s="3"/>
      <c r="G6" s="26">
        <v>6.74</v>
      </c>
      <c r="H6" s="10"/>
      <c r="I6" s="10">
        <f t="shared" si="5"/>
        <v>20767.934518416532</v>
      </c>
      <c r="J6" s="10">
        <f t="shared" si="3"/>
        <v>11275531846.717571</v>
      </c>
      <c r="K6" s="11">
        <f t="shared" si="4"/>
        <v>0.21075182000000026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478647.50346904225</v>
      </c>
      <c r="D7" s="11">
        <v>0.14480000000000001</v>
      </c>
      <c r="E7" s="10">
        <f t="shared" si="2"/>
        <v>60541.717769319832</v>
      </c>
      <c r="F7" s="3"/>
      <c r="G7" s="26">
        <v>1.6</v>
      </c>
      <c r="H7" s="10"/>
      <c r="I7" s="10">
        <f t="shared" si="5"/>
        <v>19456.562224486166</v>
      </c>
      <c r="J7" s="10">
        <f t="shared" si="3"/>
        <v>9312834934.8403778</v>
      </c>
      <c r="K7" s="11">
        <f t="shared" si="4"/>
        <v>0.16311680000000006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418105.78569972242</v>
      </c>
      <c r="D8" s="11">
        <v>0.1384</v>
      </c>
      <c r="E8" s="10">
        <f t="shared" si="2"/>
        <v>50830.850967007747</v>
      </c>
      <c r="F8" s="3"/>
      <c r="G8" s="26">
        <v>2.84</v>
      </c>
      <c r="H8" s="10"/>
      <c r="I8" s="10">
        <f t="shared" si="5"/>
        <v>19150.159669769848</v>
      </c>
      <c r="J8" s="10">
        <f t="shared" si="3"/>
        <v>8006792555.0042591</v>
      </c>
      <c r="K8" s="11">
        <f t="shared" si="4"/>
        <v>0.17073055999999998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367274.93473271467</v>
      </c>
      <c r="D9" s="11">
        <v>0.1096</v>
      </c>
      <c r="E9" s="10">
        <f t="shared" si="2"/>
        <v>36277.336740001338</v>
      </c>
      <c r="F9" s="3"/>
      <c r="G9" s="26">
        <v>3.19</v>
      </c>
      <c r="H9" s="10"/>
      <c r="I9" s="10">
        <f t="shared" si="5"/>
        <v>18621.314342444428</v>
      </c>
      <c r="J9" s="10">
        <f t="shared" si="3"/>
        <v>6839142009.7586412</v>
      </c>
      <c r="K9" s="11">
        <f t="shared" si="4"/>
        <v>0.14499624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330997.59799271333</v>
      </c>
      <c r="D10" s="11">
        <v>7.7399999999999997E-2</v>
      </c>
      <c r="E10" s="10">
        <f t="shared" si="2"/>
        <v>23778.739636751416</v>
      </c>
      <c r="F10" s="3"/>
      <c r="G10" s="26">
        <v>3.18</v>
      </c>
      <c r="H10" s="10"/>
      <c r="I10" s="10">
        <f t="shared" si="5"/>
        <v>18045.657856812122</v>
      </c>
      <c r="J10" s="10">
        <f t="shared" si="3"/>
        <v>5973069404.8031473</v>
      </c>
      <c r="K10" s="11">
        <f t="shared" si="4"/>
        <v>0.11166131999999984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307218.85835596191</v>
      </c>
      <c r="D11" s="11">
        <v>5.5800000000000002E-2</v>
      </c>
      <c r="E11" s="10">
        <f t="shared" si="2"/>
        <v>16236.79891671025</v>
      </c>
      <c r="F11" s="3"/>
      <c r="G11" s="26">
        <v>9.84</v>
      </c>
      <c r="H11" s="10"/>
      <c r="I11" s="10">
        <f t="shared" si="5"/>
        <v>17489.492010866565</v>
      </c>
      <c r="J11" s="10">
        <f t="shared" si="3"/>
        <v>5373101768.804143</v>
      </c>
      <c r="K11" s="11">
        <f t="shared" si="4"/>
        <v>0.15969072000000017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290982.05943925167</v>
      </c>
      <c r="D12" s="11">
        <v>4.2900000000000001E-2</v>
      </c>
      <c r="E12" s="10">
        <f t="shared" si="2"/>
        <v>11969.633090367133</v>
      </c>
      <c r="F12" s="3"/>
      <c r="G12" s="26">
        <v>4.8600000000000003</v>
      </c>
      <c r="H12" s="10"/>
      <c r="I12" s="10">
        <f t="shared" si="5"/>
        <v>15922.698480395633</v>
      </c>
      <c r="J12" s="10">
        <f t="shared" si="3"/>
        <v>4633219595.6557646</v>
      </c>
      <c r="K12" s="11">
        <f t="shared" si="4"/>
        <v>9.358493999999995E-2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279012.42634888453</v>
      </c>
      <c r="D13" s="11">
        <v>3.5799999999999998E-2</v>
      </c>
      <c r="E13" s="10">
        <f t="shared" si="2"/>
        <v>9643.4107581483549</v>
      </c>
      <c r="F13" s="3"/>
      <c r="G13" s="26">
        <v>9.57</v>
      </c>
      <c r="H13" s="10"/>
      <c r="I13" s="10">
        <f t="shared" si="5"/>
        <v>15184.721037951205</v>
      </c>
      <c r="J13" s="10">
        <f t="shared" si="3"/>
        <v>4236725860.2297182</v>
      </c>
      <c r="K13" s="11">
        <f t="shared" si="4"/>
        <v>0.13492605999999996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269369.01559073618</v>
      </c>
      <c r="D14" s="11">
        <v>3.1699999999999999E-2</v>
      </c>
      <c r="E14" s="10">
        <f t="shared" si="2"/>
        <v>8276.6286655290751</v>
      </c>
      <c r="F14" s="3"/>
      <c r="G14" s="26">
        <v>8.8000000000000007</v>
      </c>
      <c r="H14" s="10"/>
      <c r="I14" s="10">
        <f t="shared" si="5"/>
        <v>13858.465855572882</v>
      </c>
      <c r="J14" s="10">
        <f t="shared" si="3"/>
        <v>3733041305.1134968</v>
      </c>
      <c r="K14" s="11">
        <f t="shared" si="4"/>
        <v>0.1224896000000002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261092.3869252071</v>
      </c>
      <c r="D15" s="11">
        <v>2.9899999999999999E-2</v>
      </c>
      <c r="E15" s="10">
        <f t="shared" si="2"/>
        <v>7580.0197777101712</v>
      </c>
      <c r="F15" s="3"/>
      <c r="G15" s="26">
        <v>2.4300000000000002</v>
      </c>
      <c r="H15" s="10"/>
      <c r="I15" s="10">
        <f t="shared" si="5"/>
        <v>12737.560529019192</v>
      </c>
      <c r="J15" s="10">
        <f t="shared" si="3"/>
        <v>3325680082.1259246</v>
      </c>
      <c r="K15" s="11">
        <f t="shared" si="4"/>
        <v>5.4926570000000119E-2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253512.36714749693</v>
      </c>
      <c r="D16" s="11">
        <v>2.9700000000000001E-2</v>
      </c>
      <c r="E16" s="10">
        <f t="shared" si="2"/>
        <v>7312.1465516953322</v>
      </c>
      <c r="F16" s="3"/>
      <c r="G16" s="26">
        <v>1.4</v>
      </c>
      <c r="H16" s="10"/>
      <c r="I16" s="10">
        <f t="shared" si="5"/>
        <v>12435.380776158539</v>
      </c>
      <c r="J16" s="10">
        <f t="shared" si="3"/>
        <v>3152522816.9444289</v>
      </c>
      <c r="K16" s="11">
        <f t="shared" si="4"/>
        <v>4.4115799999999927E-2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246200.2205958016</v>
      </c>
      <c r="D17" s="11">
        <v>3.0300000000000001E-2</v>
      </c>
      <c r="E17" s="10">
        <f t="shared" si="2"/>
        <v>7240.4801359339908</v>
      </c>
      <c r="F17" s="3"/>
      <c r="G17" s="26">
        <v>0.85</v>
      </c>
      <c r="H17" s="10"/>
      <c r="I17" s="10">
        <f t="shared" si="5"/>
        <v>12263.689128361479</v>
      </c>
      <c r="J17" s="10">
        <f t="shared" si="3"/>
        <v>3019322968.7209301</v>
      </c>
      <c r="K17" s="11">
        <f t="shared" si="4"/>
        <v>3.9057550000000107E-2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238959.74045986761</v>
      </c>
      <c r="D18" s="11">
        <v>3.09E-2</v>
      </c>
      <c r="E18" s="10">
        <f t="shared" si="2"/>
        <v>7162.5336892132182</v>
      </c>
      <c r="F18" s="3"/>
      <c r="G18" s="26">
        <v>2.9</v>
      </c>
      <c r="H18" s="10"/>
      <c r="I18" s="10">
        <f t="shared" si="5"/>
        <v>12160.326354349509</v>
      </c>
      <c r="J18" s="10">
        <f t="shared" si="3"/>
        <v>2905828429.5426464</v>
      </c>
      <c r="K18" s="11">
        <f t="shared" si="4"/>
        <v>6.0796099999999687E-2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231797.20677065439</v>
      </c>
      <c r="D19" s="11">
        <v>3.1199999999999999E-2</v>
      </c>
      <c r="E19" s="10">
        <f t="shared" si="2"/>
        <v>7013.2591652874253</v>
      </c>
      <c r="F19" s="3"/>
      <c r="G19" s="26">
        <v>0.28999999999999998</v>
      </c>
      <c r="H19" s="10"/>
      <c r="I19" s="10">
        <f t="shared" si="5"/>
        <v>11817.615504712838</v>
      </c>
      <c r="J19" s="10">
        <f t="shared" si="3"/>
        <v>2739290264.682013</v>
      </c>
      <c r="K19" s="11">
        <f t="shared" si="4"/>
        <v>3.419047999999969E-2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224783.94760536696</v>
      </c>
      <c r="D20" s="11">
        <v>3.1099999999999999E-2</v>
      </c>
      <c r="E20" s="10">
        <f t="shared" si="2"/>
        <v>6779.9250999194046</v>
      </c>
      <c r="F20" s="3"/>
      <c r="G20" s="26">
        <v>8.19</v>
      </c>
      <c r="H20" s="10"/>
      <c r="I20" s="10">
        <f t="shared" si="5"/>
        <v>11783.443518509162</v>
      </c>
      <c r="J20" s="10">
        <f t="shared" si="3"/>
        <v>2648728950.4753647</v>
      </c>
      <c r="K20" s="11">
        <f t="shared" si="4"/>
        <v>0.11554709000000019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218004.02250544756</v>
      </c>
      <c r="D21" s="11">
        <v>3.09E-2</v>
      </c>
      <c r="E21" s="10">
        <f t="shared" si="2"/>
        <v>6534.4109956526372</v>
      </c>
      <c r="F21" s="3"/>
      <c r="G21" s="26">
        <v>5.8</v>
      </c>
      <c r="H21" s="10"/>
      <c r="I21" s="10">
        <f t="shared" si="5"/>
        <v>10891.434992614069</v>
      </c>
      <c r="J21" s="10">
        <f t="shared" si="3"/>
        <v>2374376639.2464566</v>
      </c>
      <c r="K21" s="11">
        <f t="shared" si="4"/>
        <v>9.069219999999989E-2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211469.61150979492</v>
      </c>
      <c r="D22" s="11">
        <v>3.1199999999999999E-2</v>
      </c>
      <c r="E22" s="10">
        <f t="shared" si="2"/>
        <v>6398.2271907540562</v>
      </c>
      <c r="F22" s="3"/>
      <c r="G22" s="26">
        <v>6.69</v>
      </c>
      <c r="H22" s="10"/>
      <c r="I22" s="10">
        <f t="shared" si="5"/>
        <v>10294.361996799687</v>
      </c>
      <c r="J22" s="10">
        <f t="shared" si="3"/>
        <v>2176944732.2044268</v>
      </c>
      <c r="K22" s="11">
        <f t="shared" si="4"/>
        <v>0.10018727999999988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205071.38431904087</v>
      </c>
      <c r="D23" s="11">
        <v>3.4000000000000002E-2</v>
      </c>
      <c r="E23" s="10">
        <f t="shared" si="2"/>
        <v>6743.1596391173953</v>
      </c>
      <c r="F23" s="3"/>
      <c r="G23" s="26">
        <v>6.9</v>
      </c>
      <c r="H23" s="10"/>
      <c r="I23" s="10">
        <f t="shared" si="5"/>
        <v>9648.8536852560574</v>
      </c>
      <c r="J23" s="10">
        <f t="shared" si="3"/>
        <v>1978703782.3273387</v>
      </c>
      <c r="K23" s="11">
        <f t="shared" si="4"/>
        <v>0.10534599999999994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198328.22467992347</v>
      </c>
      <c r="D24" s="11">
        <v>0.04</v>
      </c>
      <c r="E24" s="10">
        <f t="shared" si="2"/>
        <v>7628.0086415355327</v>
      </c>
      <c r="F24" s="3"/>
      <c r="G24" s="26">
        <v>1.26</v>
      </c>
      <c r="H24" s="10"/>
      <c r="I24" s="10">
        <f t="shared" si="5"/>
        <v>9026.0558327933195</v>
      </c>
      <c r="J24" s="10">
        <f t="shared" si="3"/>
        <v>1790121629.1797671</v>
      </c>
      <c r="K24" s="11">
        <f t="shared" si="4"/>
        <v>5.3103999999999818E-2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190700.21603838794</v>
      </c>
      <c r="D25" s="11">
        <v>4.7199999999999999E-2</v>
      </c>
      <c r="E25" s="10">
        <f t="shared" si="2"/>
        <v>8595.3496915698051</v>
      </c>
      <c r="F25" s="3"/>
      <c r="G25" s="26">
        <v>3.35</v>
      </c>
      <c r="H25" s="10"/>
      <c r="I25" s="10">
        <f t="shared" si="5"/>
        <v>8913.7426750872219</v>
      </c>
      <c r="J25" s="10">
        <f t="shared" si="3"/>
        <v>1699852653.8497312</v>
      </c>
      <c r="K25" s="11">
        <f t="shared" si="4"/>
        <v>8.2281199999999943E-2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182104.86634681813</v>
      </c>
      <c r="D26" s="11">
        <v>5.3199999999999997E-2</v>
      </c>
      <c r="E26" s="10">
        <f t="shared" si="2"/>
        <v>9198.6126943132549</v>
      </c>
      <c r="F26" s="3"/>
      <c r="G26" s="26">
        <v>0.86</v>
      </c>
      <c r="H26" s="10"/>
      <c r="I26" s="10">
        <f t="shared" si="5"/>
        <v>8624.8114901666395</v>
      </c>
      <c r="J26" s="10">
        <f t="shared" si="3"/>
        <v>1570620143.6832972</v>
      </c>
      <c r="K26" s="11">
        <f t="shared" si="4"/>
        <v>6.2257519999999733E-2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172906.25365250488</v>
      </c>
      <c r="D27" s="11">
        <v>5.8099999999999999E-2</v>
      </c>
      <c r="E27" s="10">
        <f t="shared" si="2"/>
        <v>9494.2381034028367</v>
      </c>
      <c r="F27" s="3"/>
      <c r="G27" s="26">
        <v>-18.329999999999998</v>
      </c>
      <c r="H27" s="10"/>
      <c r="I27" s="10">
        <f t="shared" si="5"/>
        <v>8551.2705633220703</v>
      </c>
      <c r="J27" s="10">
        <f t="shared" si="3"/>
        <v>1478568157.0729642</v>
      </c>
      <c r="K27" s="11">
        <f t="shared" si="4"/>
        <v>-0.13584973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163412.01554910204</v>
      </c>
      <c r="D28" s="11">
        <v>6.2899999999999998E-2</v>
      </c>
      <c r="E28" s="10">
        <f t="shared" si="2"/>
        <v>9670.3507178836444</v>
      </c>
      <c r="F28" s="3"/>
      <c r="G28" s="26">
        <v>12.34</v>
      </c>
      <c r="H28" s="10"/>
      <c r="I28" s="10">
        <f t="shared" si="5"/>
        <v>10470.516178917682</v>
      </c>
      <c r="J28" s="10">
        <f t="shared" si="3"/>
        <v>1711008152.6364207</v>
      </c>
      <c r="K28" s="11">
        <f t="shared" si="4"/>
        <v>0.19406185999999992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153741.6648312184</v>
      </c>
      <c r="D29" s="11">
        <v>6.7400000000000002E-2</v>
      </c>
      <c r="E29" s="10">
        <f t="shared" si="2"/>
        <v>9707.8772808919894</v>
      </c>
      <c r="F29" s="3"/>
      <c r="G29" s="26">
        <v>-2.62</v>
      </c>
      <c r="H29" s="10"/>
      <c r="I29" s="10">
        <f t="shared" si="5"/>
        <v>9320.3811455560644</v>
      </c>
      <c r="J29" s="10">
        <f t="shared" si="3"/>
        <v>1432930914.1792879</v>
      </c>
      <c r="K29" s="11">
        <f t="shared" si="4"/>
        <v>3.9434120000000128E-2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144033.78755032641</v>
      </c>
      <c r="D30" s="11">
        <v>7.0999999999999994E-2</v>
      </c>
      <c r="E30" s="10">
        <f t="shared" si="2"/>
        <v>9548.4583716836351</v>
      </c>
      <c r="F30" s="3"/>
      <c r="G30" s="26">
        <v>3.38</v>
      </c>
      <c r="H30" s="10"/>
      <c r="I30" s="10">
        <f t="shared" si="5"/>
        <v>9571.1451484453319</v>
      </c>
      <c r="J30" s="10">
        <f t="shared" si="3"/>
        <v>1378568286.9245121</v>
      </c>
      <c r="K30" s="11">
        <f t="shared" si="4"/>
        <v>0.10719980000000007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134485.32917864277</v>
      </c>
      <c r="D31" s="11">
        <v>7.3800000000000004E-2</v>
      </c>
      <c r="E31" s="10">
        <f t="shared" si="2"/>
        <v>9242.8918731457088</v>
      </c>
      <c r="F31" s="3"/>
      <c r="G31" s="26">
        <v>23.87</v>
      </c>
      <c r="H31" s="10"/>
      <c r="I31" s="10">
        <f t="shared" si="5"/>
        <v>9258.2174003146938</v>
      </c>
      <c r="J31" s="10">
        <f t="shared" si="3"/>
        <v>1245094414.68876</v>
      </c>
      <c r="K31" s="11">
        <f t="shared" si="4"/>
        <v>0.3301160600000006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125242.43730549706</v>
      </c>
      <c r="D32" s="11">
        <v>7.5399999999999995E-2</v>
      </c>
      <c r="E32" s="10">
        <f t="shared" si="2"/>
        <v>8781.1788849120931</v>
      </c>
      <c r="F32" s="3"/>
      <c r="G32" s="26">
        <v>20.92</v>
      </c>
      <c r="H32" s="10"/>
      <c r="I32" s="10">
        <f t="shared" si="5"/>
        <v>7474.1401471822819</v>
      </c>
      <c r="J32" s="10">
        <f t="shared" si="3"/>
        <v>936079528.79597557</v>
      </c>
      <c r="K32" s="11">
        <f t="shared" si="4"/>
        <v>0.30037368000000009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116461.25842058497</v>
      </c>
      <c r="D33" s="11">
        <v>7.5800000000000006E-2</v>
      </c>
      <c r="E33" s="10">
        <f t="shared" si="2"/>
        <v>8205.7663025472721</v>
      </c>
      <c r="F33" s="3"/>
      <c r="G33" s="26">
        <v>4.0199999999999996</v>
      </c>
      <c r="H33" s="10"/>
      <c r="I33" s="10">
        <f t="shared" si="5"/>
        <v>6181.0619807991079</v>
      </c>
      <c r="J33" s="10">
        <f t="shared" si="3"/>
        <v>719854256.65949774</v>
      </c>
      <c r="K33" s="11">
        <f t="shared" si="4"/>
        <v>0.11904716000000026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108255.4921180377</v>
      </c>
      <c r="D34" s="11">
        <v>7.5499999999999998E-2</v>
      </c>
      <c r="E34" s="10">
        <f t="shared" si="2"/>
        <v>7599.5254810895713</v>
      </c>
      <c r="F34" s="3"/>
      <c r="G34" s="26">
        <v>-6.05</v>
      </c>
      <c r="H34" s="10"/>
      <c r="I34" s="10">
        <f t="shared" si="5"/>
        <v>5942.1860995953739</v>
      </c>
      <c r="J34" s="10">
        <f t="shared" ref="J34:J65" si="6">IF(I34="","",I34*C34)</f>
        <v>643274280.46866012</v>
      </c>
      <c r="K34" s="11">
        <f t="shared" ref="K34:K65" si="7">IFERROR(J34/J35-1,"")</f>
        <v>2.4413749999999901E-2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100655.96663694813</v>
      </c>
      <c r="D35" s="11">
        <v>7.4099999999999999E-2</v>
      </c>
      <c r="E35" s="10">
        <f t="shared" si="2"/>
        <v>6944.0528142611147</v>
      </c>
      <c r="F35" s="3"/>
      <c r="G35" s="26">
        <v>-9.42</v>
      </c>
      <c r="H35" s="10"/>
      <c r="I35" s="10">
        <f t="shared" ref="I35:I66" si="8">IF(H35&lt;&gt;"",H35,I34/(1+IF(G34="",0,G34)/100))</f>
        <v>6238.515590126377</v>
      </c>
      <c r="J35" s="10">
        <f t="shared" si="6"/>
        <v>627943817.1038413</v>
      </c>
      <c r="K35" s="11">
        <f t="shared" si="7"/>
        <v>1.9204799999998912E-3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93711.913822687013</v>
      </c>
      <c r="D36" s="11">
        <v>7.1099999999999997E-2</v>
      </c>
      <c r="E36" s="10">
        <f t="shared" si="2"/>
        <v>6220.6302612202853</v>
      </c>
      <c r="F36" s="3"/>
      <c r="G36" s="26">
        <v>-0.14</v>
      </c>
      <c r="H36" s="10"/>
      <c r="I36" s="10">
        <f t="shared" si="8"/>
        <v>6687.9455297238173</v>
      </c>
      <c r="J36" s="10">
        <f t="shared" si="6"/>
        <v>626740175.13230324</v>
      </c>
      <c r="K36" s="11">
        <f t="shared" si="7"/>
        <v>0.12101326000000001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87491.283561466727</v>
      </c>
      <c r="D37" s="11">
        <v>6.6699999999999995E-2</v>
      </c>
      <c r="E37" s="10">
        <f t="shared" si="2"/>
        <v>5470.7683636916045</v>
      </c>
      <c r="F37" s="3"/>
      <c r="G37" s="26">
        <v>-9.17</v>
      </c>
      <c r="H37" s="10"/>
      <c r="I37" s="10">
        <f t="shared" si="8"/>
        <v>6390.163892340739</v>
      </c>
      <c r="J37" s="10">
        <f t="shared" si="6"/>
        <v>559083641.10902953</v>
      </c>
      <c r="K37" s="11">
        <f t="shared" si="7"/>
        <v>2.5418710000000067E-2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82020.515197775123</v>
      </c>
      <c r="D38" s="11">
        <v>6.0699999999999997E-2</v>
      </c>
      <c r="E38" s="10">
        <f t="shared" si="2"/>
        <v>4693.7355260723562</v>
      </c>
      <c r="F38" s="3"/>
      <c r="G38" s="26">
        <v>-4.62</v>
      </c>
      <c r="H38" s="10"/>
      <c r="I38" s="10">
        <f t="shared" si="8"/>
        <v>6647.4190079483396</v>
      </c>
      <c r="J38" s="10">
        <f t="shared" si="6"/>
        <v>545224731.76740599</v>
      </c>
      <c r="K38" s="11">
        <f t="shared" si="7"/>
        <v>5.0941560000000052E-2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77326.779671702767</v>
      </c>
      <c r="D39" s="11">
        <v>5.3900000000000003E-2</v>
      </c>
      <c r="E39" s="10">
        <f t="shared" si="2"/>
        <v>3954.7522765962494</v>
      </c>
      <c r="F39" s="3"/>
      <c r="G39" s="26">
        <v>-1.59</v>
      </c>
      <c r="H39" s="10"/>
      <c r="I39" s="10">
        <f t="shared" si="8"/>
        <v>6709.1431246955381</v>
      </c>
      <c r="J39" s="10">
        <f t="shared" si="6"/>
        <v>518796432.1892513</v>
      </c>
      <c r="K39" s="11">
        <f t="shared" si="7"/>
        <v>3.7142989999999987E-2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73372.027395106517</v>
      </c>
      <c r="D40" s="11">
        <v>4.7800000000000002E-2</v>
      </c>
      <c r="E40" s="10">
        <f t="shared" si="2"/>
        <v>3347.1873539664957</v>
      </c>
      <c r="F40" s="3"/>
      <c r="G40" s="26">
        <v>21.44</v>
      </c>
      <c r="H40" s="10"/>
      <c r="I40" s="10">
        <f t="shared" si="8"/>
        <v>6817.542043182134</v>
      </c>
      <c r="J40" s="10">
        <f t="shared" si="6"/>
        <v>500216881.55965</v>
      </c>
      <c r="K40" s="11">
        <f t="shared" si="7"/>
        <v>0.27244832000000008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70024.840041140022</v>
      </c>
      <c r="D41" s="11">
        <v>4.2700000000000002E-2</v>
      </c>
      <c r="E41" s="10">
        <f t="shared" si="2"/>
        <v>2867.6135703046602</v>
      </c>
      <c r="F41" s="3"/>
      <c r="G41" s="26">
        <v>16.53</v>
      </c>
      <c r="H41" s="10"/>
      <c r="I41" s="10">
        <f t="shared" si="8"/>
        <v>5613.9180197481346</v>
      </c>
      <c r="J41" s="10">
        <f t="shared" si="6"/>
        <v>393113711.33693665</v>
      </c>
      <c r="K41" s="11">
        <f t="shared" si="7"/>
        <v>0.21505830999999986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67157.226470835361</v>
      </c>
      <c r="D42" s="11">
        <v>3.9100000000000003E-2</v>
      </c>
      <c r="E42" s="10">
        <f t="shared" si="2"/>
        <v>2527.0402800593365</v>
      </c>
      <c r="F42" s="3"/>
      <c r="G42" s="26">
        <v>-16.23</v>
      </c>
      <c r="H42" s="10"/>
      <c r="I42" s="10">
        <f t="shared" si="8"/>
        <v>4817.5731740737447</v>
      </c>
      <c r="J42" s="10">
        <f t="shared" si="6"/>
        <v>323534852.6910916</v>
      </c>
      <c r="K42" s="11">
        <f t="shared" si="7"/>
        <v>-0.12954593000000014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64630.186190776025</v>
      </c>
      <c r="D43" s="11">
        <v>3.8300000000000001E-2</v>
      </c>
      <c r="E43" s="10">
        <f t="shared" si="2"/>
        <v>2384.0278639186363</v>
      </c>
      <c r="F43" s="3"/>
      <c r="G43" s="26">
        <v>14.5</v>
      </c>
      <c r="H43" s="10"/>
      <c r="I43" s="10">
        <f t="shared" si="8"/>
        <v>5750.9528161319622</v>
      </c>
      <c r="J43" s="10">
        <f t="shared" si="6"/>
        <v>371685151.28097641</v>
      </c>
      <c r="K43" s="11">
        <f t="shared" si="7"/>
        <v>0.18885350000000001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62246.158326857389</v>
      </c>
      <c r="D44" s="11">
        <v>4.0399999999999998E-2</v>
      </c>
      <c r="E44" s="10">
        <f t="shared" si="2"/>
        <v>2417.094191085198</v>
      </c>
      <c r="F44" s="3"/>
      <c r="G44" s="26">
        <v>76.62</v>
      </c>
      <c r="H44" s="10"/>
      <c r="I44" s="10">
        <f t="shared" si="8"/>
        <v>5022.6662149624126</v>
      </c>
      <c r="J44" s="10">
        <f t="shared" si="6"/>
        <v>312641676.43950784</v>
      </c>
      <c r="K44" s="11">
        <f t="shared" si="7"/>
        <v>0.8375544800000001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59829.064135772191</v>
      </c>
      <c r="D45" s="11">
        <v>4.6199999999999998E-2</v>
      </c>
      <c r="E45" s="10">
        <f t="shared" si="2"/>
        <v>2642.0404923271635</v>
      </c>
      <c r="F45" s="3"/>
      <c r="G45" s="26">
        <v>39.08</v>
      </c>
      <c r="H45" s="10"/>
      <c r="I45" s="10">
        <f t="shared" si="8"/>
        <v>2843.7697967174795</v>
      </c>
      <c r="J45" s="10">
        <f t="shared" si="6"/>
        <v>170140085.55518192</v>
      </c>
      <c r="K45" s="11">
        <f t="shared" si="7"/>
        <v>0.45505496000000023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57187.023643445027</v>
      </c>
      <c r="D46" s="11">
        <v>5.5300000000000002E-2</v>
      </c>
      <c r="E46" s="10">
        <f t="shared" si="2"/>
        <v>2996.7235928006266</v>
      </c>
      <c r="F46" s="3"/>
      <c r="G46" s="26">
        <v>36.61</v>
      </c>
      <c r="H46" s="10"/>
      <c r="I46" s="10">
        <f t="shared" si="8"/>
        <v>2044.7007454108998</v>
      </c>
      <c r="J46" s="10">
        <f t="shared" si="6"/>
        <v>116930349.87158279</v>
      </c>
      <c r="K46" s="11">
        <f t="shared" si="7"/>
        <v>0.44164532999999961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54190.3000506444</v>
      </c>
      <c r="D47" s="11">
        <v>6.6299999999999998E-2</v>
      </c>
      <c r="E47" s="10">
        <f t="shared" si="2"/>
        <v>3369.4240770493561</v>
      </c>
      <c r="F47" s="3"/>
      <c r="G47" s="29">
        <v>6.05</v>
      </c>
      <c r="H47" s="10"/>
      <c r="I47" s="10">
        <f t="shared" si="8"/>
        <v>1496.7430974386209</v>
      </c>
      <c r="J47" s="10">
        <f t="shared" si="6"/>
        <v>81108957.548929751</v>
      </c>
      <c r="K47" s="11">
        <f t="shared" si="7"/>
        <v>0.13081114999999999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50820.875973595044</v>
      </c>
      <c r="D48" s="11">
        <v>7.7700000000000005E-2</v>
      </c>
      <c r="E48" s="10">
        <f t="shared" si="2"/>
        <v>3664.0828274550804</v>
      </c>
      <c r="F48" s="3"/>
      <c r="G48" s="29">
        <v>7.28</v>
      </c>
      <c r="H48" s="10"/>
      <c r="I48" s="10">
        <f t="shared" si="8"/>
        <v>1411.3560560477331</v>
      </c>
      <c r="J48" s="10">
        <f t="shared" si="6"/>
        <v>71726351.078984097</v>
      </c>
      <c r="K48" s="11">
        <f t="shared" si="7"/>
        <v>0.15615656000000011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47156.793146139964</v>
      </c>
      <c r="D49" s="11">
        <v>8.9099999999999999E-2</v>
      </c>
      <c r="E49" s="10">
        <f t="shared" si="2"/>
        <v>3857.9288121578065</v>
      </c>
      <c r="F49" s="3"/>
      <c r="G49" s="29">
        <v>7.83</v>
      </c>
      <c r="H49" s="10"/>
      <c r="I49" s="10">
        <f t="shared" si="8"/>
        <v>1315.5817077253291</v>
      </c>
      <c r="J49" s="10">
        <f t="shared" si="6"/>
        <v>62038614.45804891</v>
      </c>
      <c r="K49" s="11">
        <f t="shared" si="7"/>
        <v>0.17437652999999975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43298.864333982157</v>
      </c>
      <c r="D50" s="11">
        <v>0.10050000000000001</v>
      </c>
      <c r="E50" s="10">
        <f t="shared" si="2"/>
        <v>3954.1443576239981</v>
      </c>
      <c r="F50" s="3"/>
      <c r="G50" s="29">
        <v>5.4</v>
      </c>
      <c r="H50" s="10"/>
      <c r="I50" s="10">
        <f t="shared" si="8"/>
        <v>1220.0516625478338</v>
      </c>
      <c r="J50" s="10">
        <f t="shared" si="6"/>
        <v>52826851.417108037</v>
      </c>
      <c r="K50" s="11">
        <f t="shared" si="7"/>
        <v>0.15992700000000037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39344.719976358159</v>
      </c>
      <c r="D51" s="11">
        <v>0.1089</v>
      </c>
      <c r="E51" s="10">
        <f t="shared" si="2"/>
        <v>3863.8650964247499</v>
      </c>
      <c r="F51" s="3"/>
      <c r="G51" s="29">
        <v>2.59</v>
      </c>
      <c r="H51" s="10"/>
      <c r="I51" s="10">
        <f t="shared" si="8"/>
        <v>1157.5442718670149</v>
      </c>
      <c r="J51" s="10">
        <f t="shared" si="6"/>
        <v>45543255.236845098</v>
      </c>
      <c r="K51" s="11">
        <f t="shared" si="7"/>
        <v>0.13762051000000008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35480.854879933409</v>
      </c>
      <c r="D52" s="11">
        <v>0.10630000000000001</v>
      </c>
      <c r="E52" s="10">
        <f t="shared" si="2"/>
        <v>3409.2152885627074</v>
      </c>
      <c r="F52" s="3"/>
      <c r="G52" s="29">
        <v>3.65</v>
      </c>
      <c r="H52" s="10"/>
      <c r="I52" s="10">
        <f t="shared" si="8"/>
        <v>1128.3207640774099</v>
      </c>
      <c r="J52" s="10">
        <f t="shared" si="6"/>
        <v>40033785.288246162</v>
      </c>
      <c r="K52" s="11">
        <f t="shared" si="7"/>
        <v>0.14667995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32071.639591370702</v>
      </c>
      <c r="D53" s="11">
        <v>9.2700000000000005E-2</v>
      </c>
      <c r="E53" s="10">
        <f t="shared" si="2"/>
        <v>2720.8208933102069</v>
      </c>
      <c r="F53" s="3"/>
      <c r="G53" s="29">
        <v>4.26</v>
      </c>
      <c r="H53" s="10"/>
      <c r="I53" s="10">
        <f t="shared" si="8"/>
        <v>1088.58732665452</v>
      </c>
      <c r="J53" s="10">
        <f t="shared" si="6"/>
        <v>34912780.404197492</v>
      </c>
      <c r="K53" s="11">
        <f t="shared" si="7"/>
        <v>0.13924901999999983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29350.818698060495</v>
      </c>
      <c r="D54" s="11">
        <v>7.9600000000000004E-2</v>
      </c>
      <c r="E54" s="10">
        <f t="shared" si="2"/>
        <v>2164.0655505424402</v>
      </c>
      <c r="F54" s="3"/>
      <c r="G54" s="29">
        <v>3.66</v>
      </c>
      <c r="H54" s="10"/>
      <c r="I54" s="10">
        <f t="shared" si="8"/>
        <v>1044.1083125403031</v>
      </c>
      <c r="J54" s="10">
        <f t="shared" si="6"/>
        <v>30645433.782508321</v>
      </c>
      <c r="K54" s="11">
        <f t="shared" si="7"/>
        <v>0.11911336000000006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27186.753147518055</v>
      </c>
      <c r="D55" s="11">
        <v>6.9900000000000004E-2</v>
      </c>
      <c r="E55" s="10">
        <f t="shared" si="2"/>
        <v>1776.1978175638033</v>
      </c>
      <c r="F55" s="3"/>
      <c r="G55" s="29">
        <v>2.5499999999999998</v>
      </c>
      <c r="H55" s="10"/>
      <c r="I55" s="10">
        <f t="shared" si="8"/>
        <v>1007.2432110170781</v>
      </c>
      <c r="J55" s="10">
        <f t="shared" si="6"/>
        <v>27383672.537434742</v>
      </c>
      <c r="K55" s="11">
        <f t="shared" si="7"/>
        <v>9.7182450000000031E-2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25410.555329954252</v>
      </c>
      <c r="D56" s="11">
        <v>6.3799999999999996E-2</v>
      </c>
      <c r="E56" s="10">
        <f t="shared" si="2"/>
        <v>1523.9644952538838</v>
      </c>
      <c r="F56" s="3"/>
      <c r="G56" s="29">
        <v>1.01</v>
      </c>
      <c r="H56" s="10"/>
      <c r="I56" s="10">
        <f t="shared" si="8"/>
        <v>982.1971828542936</v>
      </c>
      <c r="J56" s="10">
        <f t="shared" si="6"/>
        <v>24958175.859844223</v>
      </c>
      <c r="K56" s="11">
        <f t="shared" si="7"/>
        <v>7.4544380000000077E-2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23886.590834700368</v>
      </c>
      <c r="D57" s="11">
        <v>6.0699999999999997E-2</v>
      </c>
      <c r="E57" s="10">
        <f t="shared" si="2"/>
        <v>1366.94264510824</v>
      </c>
      <c r="F57" s="3"/>
      <c r="G57" s="29">
        <v>4.8499999999999996</v>
      </c>
      <c r="H57" s="10"/>
      <c r="I57" s="10">
        <f t="shared" si="8"/>
        <v>972.3761834019341</v>
      </c>
      <c r="J57" s="10">
        <f t="shared" si="6"/>
        <v>23226752.030329563</v>
      </c>
      <c r="K57" s="11">
        <f t="shared" si="7"/>
        <v>0.11214394999999988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22519.648189592128</v>
      </c>
      <c r="D58" s="11">
        <v>5.9900000000000002E-2</v>
      </c>
      <c r="E58" s="10">
        <f t="shared" si="2"/>
        <v>1272.6926375663461</v>
      </c>
      <c r="F58" s="3"/>
      <c r="G58" s="29">
        <v>4.96</v>
      </c>
      <c r="H58" s="10"/>
      <c r="I58" s="10">
        <f t="shared" si="8"/>
        <v>927.39740906240741</v>
      </c>
      <c r="J58" s="10">
        <f t="shared" si="6"/>
        <v>20884663.384024672</v>
      </c>
      <c r="K58" s="11">
        <f t="shared" si="7"/>
        <v>0.11247104000000019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21246.955552025782</v>
      </c>
      <c r="D59" s="11">
        <v>6.0400000000000002E-2</v>
      </c>
      <c r="E59" s="10">
        <f t="shared" si="2"/>
        <v>1210.218894136513</v>
      </c>
      <c r="F59" s="3"/>
      <c r="G59" s="29">
        <v>3.74</v>
      </c>
      <c r="H59" s="10"/>
      <c r="I59" s="10">
        <f t="shared" si="8"/>
        <v>883.57222662195818</v>
      </c>
      <c r="J59" s="10">
        <f t="shared" si="6"/>
        <v>18773219.826041196</v>
      </c>
      <c r="K59" s="11">
        <f t="shared" si="7"/>
        <v>0.10005896000000014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20036.736657889269</v>
      </c>
      <c r="D60" s="11">
        <v>6.13E-2</v>
      </c>
      <c r="E60" s="10">
        <f t="shared" si="2"/>
        <v>1157.3089203134004</v>
      </c>
      <c r="F60" s="3"/>
      <c r="G60" s="26">
        <v>3.62</v>
      </c>
      <c r="H60" s="10"/>
      <c r="I60" s="10">
        <f t="shared" si="8"/>
        <v>851.71797438014084</v>
      </c>
      <c r="J60" s="10">
        <f t="shared" si="6"/>
        <v>17065648.75944576</v>
      </c>
      <c r="K60" s="11">
        <f t="shared" si="7"/>
        <v>9.9719059999999971E-2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18879.427737575868</v>
      </c>
      <c r="D61" s="11">
        <v>6.13E-2</v>
      </c>
      <c r="E61" s="10">
        <f t="shared" si="2"/>
        <v>1090.4635073149911</v>
      </c>
      <c r="F61" s="3"/>
      <c r="G61" s="26">
        <v>7.43</v>
      </c>
      <c r="H61" s="10"/>
      <c r="I61" s="10">
        <f t="shared" si="8"/>
        <v>821.96291679226101</v>
      </c>
      <c r="J61" s="10">
        <f t="shared" si="6"/>
        <v>15518189.490546579</v>
      </c>
      <c r="K61" s="11">
        <f t="shared" si="7"/>
        <v>0.14015458999999986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17788.964230260877</v>
      </c>
      <c r="D62" s="11">
        <v>5.96E-2</v>
      </c>
      <c r="E62" s="10">
        <f t="shared" si="2"/>
        <v>1000.5872670097669</v>
      </c>
      <c r="F62" s="3"/>
      <c r="G62" s="26">
        <v>2.41</v>
      </c>
      <c r="H62" s="10"/>
      <c r="I62" s="10">
        <f t="shared" si="8"/>
        <v>765.11488112469613</v>
      </c>
      <c r="J62" s="10">
        <f t="shared" si="6"/>
        <v>13610601.252367523</v>
      </c>
      <c r="K62" s="11">
        <f t="shared" si="7"/>
        <v>8.5136360000000133E-2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16788.37696325111</v>
      </c>
      <c r="D63" s="11">
        <v>5.6800000000000003E-2</v>
      </c>
      <c r="E63" s="10">
        <f t="shared" si="2"/>
        <v>902.32760362666886</v>
      </c>
      <c r="F63" s="3"/>
      <c r="G63" s="26">
        <v>11.4</v>
      </c>
      <c r="H63" s="10"/>
      <c r="I63" s="10">
        <f t="shared" si="8"/>
        <v>747.10954118220502</v>
      </c>
      <c r="J63" s="10">
        <f t="shared" si="6"/>
        <v>12542756.610208437</v>
      </c>
      <c r="K63" s="11">
        <f t="shared" si="7"/>
        <v>0.17727520000000019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15886.049359624441</v>
      </c>
      <c r="D64" s="11">
        <v>5.3199999999999997E-2</v>
      </c>
      <c r="E64" s="10">
        <f t="shared" si="2"/>
        <v>802.44761292443945</v>
      </c>
      <c r="F64" s="3"/>
      <c r="G64" s="26">
        <v>9.93</v>
      </c>
      <c r="H64" s="10"/>
      <c r="I64" s="10">
        <f t="shared" si="8"/>
        <v>670.65488436463636</v>
      </c>
      <c r="J64" s="10">
        <f t="shared" si="6"/>
        <v>10654056.596289836</v>
      </c>
      <c r="K64" s="11">
        <f t="shared" si="7"/>
        <v>0.15778275999999991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15083.601746700002</v>
      </c>
      <c r="D65" s="11">
        <v>5.0099999999999999E-2</v>
      </c>
      <c r="E65" s="10">
        <f t="shared" si="2"/>
        <v>719.63474670000141</v>
      </c>
      <c r="F65" s="3"/>
      <c r="G65" s="26">
        <v>6</v>
      </c>
      <c r="H65" s="10"/>
      <c r="I65" s="10">
        <f t="shared" si="8"/>
        <v>610.07448773277213</v>
      </c>
      <c r="J65" s="10">
        <f t="shared" si="6"/>
        <v>9202120.6087831501</v>
      </c>
      <c r="K65" s="11">
        <f t="shared" si="7"/>
        <v>0.11310600000000015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14363.967000000001</v>
      </c>
      <c r="D66" s="11">
        <v>4.7699999999999999E-2</v>
      </c>
      <c r="E66" s="10">
        <f t="shared" si="2"/>
        <v>653.96700000000055</v>
      </c>
      <c r="F66" s="23">
        <f>SUM(F2)</f>
        <v>730203</v>
      </c>
      <c r="G66" s="29">
        <v>1.01</v>
      </c>
      <c r="H66" s="10"/>
      <c r="I66" s="10">
        <f t="shared" si="8"/>
        <v>575.54196955921896</v>
      </c>
      <c r="J66" s="10">
        <f t="shared" ref="J66:J67" si="9">IF(I66="","",I66*C66)</f>
        <v>8267065.8578636255</v>
      </c>
      <c r="K66" s="11">
        <f t="shared" ref="K66" si="10">IFERROR(J66/J67-1,"")</f>
        <v>5.8281770000000011E-2</v>
      </c>
    </row>
    <row r="67" spans="1:11" ht="22.5" customHeight="1">
      <c r="A67" s="3">
        <f t="shared" si="0"/>
        <v>1950</v>
      </c>
      <c r="B67" s="3">
        <v>1700</v>
      </c>
      <c r="C67" s="10">
        <v>13710</v>
      </c>
      <c r="D67" s="11">
        <v>4.4900000000000002E-2</v>
      </c>
      <c r="E67" s="3" t="s">
        <v>72</v>
      </c>
      <c r="F67" s="10">
        <f>SUM(C2)</f>
        <v>730350.53362315299</v>
      </c>
      <c r="G67" s="29">
        <v>4.8499999999999996</v>
      </c>
      <c r="H67" s="10"/>
      <c r="I67" s="10">
        <f t="shared" ref="I67" si="11">IF(H67&lt;&gt;"",H67,I66/(1+IF(G66="",0,G66)/100))</f>
        <v>569.78711965074638</v>
      </c>
      <c r="J67" s="10">
        <f t="shared" si="9"/>
        <v>7811781.4104117332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M67"/>
  <sheetViews>
    <sheetView topLeftCell="A35" workbookViewId="0">
      <selection activeCell="K66" sqref="K6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19672683.488652334</v>
      </c>
      <c r="D2" s="11">
        <v>1.06E-2</v>
      </c>
      <c r="E2" s="10">
        <f t="shared" ref="E2:E66" si="2">SUM(C2-C3)</f>
        <v>206343.20698566735</v>
      </c>
      <c r="F2" s="14">
        <v>19674606</v>
      </c>
      <c r="G2" s="26">
        <v>6.95</v>
      </c>
      <c r="H2" s="10"/>
      <c r="I2" s="10">
        <f>IF(H2&lt;&gt;"",H2,1560)</f>
        <v>195</v>
      </c>
      <c r="J2" s="10">
        <f t="shared" ref="J2:J33" si="3">IF(I2="","",I2*C2)</f>
        <v>3836173280.2872052</v>
      </c>
      <c r="K2" s="11">
        <f t="shared" ref="K2:K33" si="4">IFERROR(J2/J3-1,"")</f>
        <v>8.0836700000000095E-2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19466340.281666666</v>
      </c>
      <c r="D3" s="11">
        <v>1.0800000000000001E-2</v>
      </c>
      <c r="E3" s="10">
        <f t="shared" si="2"/>
        <v>207990.18108626828</v>
      </c>
      <c r="F3" s="3"/>
      <c r="G3" s="26">
        <v>0.49</v>
      </c>
      <c r="H3" s="10"/>
      <c r="I3" s="10">
        <f t="shared" ref="I3:I34" si="5">IF(H3&lt;&gt;"",H3,I2/(1+IF(G2="",0,G2)/100))</f>
        <v>182.32819074333798</v>
      </c>
      <c r="J3" s="10">
        <f t="shared" si="3"/>
        <v>3549262603.9504437</v>
      </c>
      <c r="K3" s="11">
        <f t="shared" si="4"/>
        <v>1.5752919999999948E-2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19258350.100580398</v>
      </c>
      <c r="D4" s="11">
        <v>1.0500000000000001E-2</v>
      </c>
      <c r="E4" s="10">
        <f t="shared" si="2"/>
        <v>200111.50525095686</v>
      </c>
      <c r="F4" s="3"/>
      <c r="G4" s="26">
        <v>-1.1399999999999999</v>
      </c>
      <c r="H4" s="10"/>
      <c r="I4" s="10">
        <f t="shared" si="5"/>
        <v>181.43913896242213</v>
      </c>
      <c r="J4" s="10">
        <f t="shared" si="3"/>
        <v>3494218460.0861831</v>
      </c>
      <c r="K4" s="11">
        <f t="shared" si="4"/>
        <v>-1.0197000000001788E-3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19058238.595329441</v>
      </c>
      <c r="D5" s="11">
        <v>9.9000000000000008E-3</v>
      </c>
      <c r="E5" s="10">
        <f t="shared" si="2"/>
        <v>186826.97504085675</v>
      </c>
      <c r="F5" s="3"/>
      <c r="G5" s="26">
        <v>-3.28</v>
      </c>
      <c r="H5" s="10"/>
      <c r="I5" s="10">
        <f t="shared" si="5"/>
        <v>183.53139688693318</v>
      </c>
      <c r="J5" s="10">
        <f t="shared" si="3"/>
        <v>3497785151.6052756</v>
      </c>
      <c r="K5" s="11">
        <f t="shared" si="4"/>
        <v>-2.3224719999999865E-2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18871411.620288584</v>
      </c>
      <c r="D6" s="11">
        <v>9.4000000000000004E-3</v>
      </c>
      <c r="E6" s="10">
        <f t="shared" si="2"/>
        <v>175739.31962622702</v>
      </c>
      <c r="F6" s="3"/>
      <c r="G6" s="26">
        <v>6.74</v>
      </c>
      <c r="H6" s="10"/>
      <c r="I6" s="10">
        <f t="shared" si="5"/>
        <v>189.75537312544785</v>
      </c>
      <c r="J6" s="10">
        <f t="shared" si="3"/>
        <v>3580951753.4117727</v>
      </c>
      <c r="K6" s="11">
        <f t="shared" si="4"/>
        <v>7.7433560000000012E-2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18695672.300662357</v>
      </c>
      <c r="D7" s="11">
        <v>9.4000000000000004E-3</v>
      </c>
      <c r="E7" s="10">
        <f t="shared" si="2"/>
        <v>174102.75374106318</v>
      </c>
      <c r="F7" s="3"/>
      <c r="G7" s="26">
        <v>6.72</v>
      </c>
      <c r="H7" s="10"/>
      <c r="I7" s="10">
        <f t="shared" si="5"/>
        <v>177.77344306300157</v>
      </c>
      <c r="J7" s="10">
        <f t="shared" si="3"/>
        <v>3323594035.266335</v>
      </c>
      <c r="K7" s="11">
        <f t="shared" si="4"/>
        <v>7.7231680000000136E-2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18521569.546921294</v>
      </c>
      <c r="D8" s="11">
        <v>9.5999999999999992E-3</v>
      </c>
      <c r="E8" s="10">
        <f t="shared" si="2"/>
        <v>176116.35068387911</v>
      </c>
      <c r="F8" s="3"/>
      <c r="G8" s="26">
        <v>4.83</v>
      </c>
      <c r="H8" s="10"/>
      <c r="I8" s="10">
        <f t="shared" si="5"/>
        <v>166.5793132149565</v>
      </c>
      <c r="J8" s="10">
        <f t="shared" si="3"/>
        <v>3085310334.7892022</v>
      </c>
      <c r="K8" s="11">
        <f t="shared" si="4"/>
        <v>5.8363680000000029E-2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18345453.196237415</v>
      </c>
      <c r="D9" s="11">
        <v>9.7999999999999997E-3</v>
      </c>
      <c r="E9" s="10">
        <f t="shared" si="2"/>
        <v>178040.6430215165</v>
      </c>
      <c r="F9" s="3"/>
      <c r="G9" s="26">
        <v>5.33</v>
      </c>
      <c r="H9" s="10"/>
      <c r="I9" s="10">
        <f t="shared" si="5"/>
        <v>158.90423849561813</v>
      </c>
      <c r="J9" s="10">
        <f t="shared" si="3"/>
        <v>2915170270.0051103</v>
      </c>
      <c r="K9" s="11">
        <f t="shared" si="4"/>
        <v>6.3622339999999999E-2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18167412.553215899</v>
      </c>
      <c r="D10" s="11">
        <v>1.01E-2</v>
      </c>
      <c r="E10" s="10">
        <f t="shared" si="2"/>
        <v>181656.13977574557</v>
      </c>
      <c r="F10" s="3"/>
      <c r="G10" s="26">
        <v>3.92</v>
      </c>
      <c r="H10" s="10"/>
      <c r="I10" s="10">
        <f t="shared" si="5"/>
        <v>150.86322842079002</v>
      </c>
      <c r="J10" s="10">
        <f t="shared" si="3"/>
        <v>2740794509.8305383</v>
      </c>
      <c r="K10" s="11">
        <f t="shared" si="4"/>
        <v>4.9695920000000005E-2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17985756.413440153</v>
      </c>
      <c r="D11" s="11">
        <v>1.0500000000000001E-2</v>
      </c>
      <c r="E11" s="10">
        <f t="shared" si="2"/>
        <v>186888.11711145192</v>
      </c>
      <c r="F11" s="3"/>
      <c r="G11" s="26">
        <v>2.5</v>
      </c>
      <c r="H11" s="10"/>
      <c r="I11" s="10">
        <f t="shared" si="5"/>
        <v>145.17246768744229</v>
      </c>
      <c r="J11" s="10">
        <f t="shared" si="3"/>
        <v>2611036641.7643485</v>
      </c>
      <c r="K11" s="11">
        <f t="shared" si="4"/>
        <v>3.5762499999999919E-2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17798868.296328701</v>
      </c>
      <c r="D12" s="11">
        <v>1.0999999999999999E-2</v>
      </c>
      <c r="E12" s="10">
        <f t="shared" si="2"/>
        <v>193657.32073156536</v>
      </c>
      <c r="F12" s="3"/>
      <c r="G12" s="26">
        <v>1.68</v>
      </c>
      <c r="H12" s="10"/>
      <c r="I12" s="10">
        <f t="shared" si="5"/>
        <v>141.63167579262665</v>
      </c>
      <c r="J12" s="10">
        <f t="shared" si="3"/>
        <v>2520883544.0212874</v>
      </c>
      <c r="K12" s="11">
        <f t="shared" si="4"/>
        <v>2.798479999999981E-2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17605210.975597136</v>
      </c>
      <c r="D13" s="11">
        <v>1.1599999999999999E-2</v>
      </c>
      <c r="E13" s="10">
        <f t="shared" si="2"/>
        <v>201878.65491985902</v>
      </c>
      <c r="F13" s="3"/>
      <c r="G13" s="26">
        <v>2.92</v>
      </c>
      <c r="H13" s="10"/>
      <c r="I13" s="10">
        <f t="shared" si="5"/>
        <v>139.29157729408601</v>
      </c>
      <c r="J13" s="10">
        <f t="shared" si="3"/>
        <v>2452257605.3860798</v>
      </c>
      <c r="K13" s="11">
        <f t="shared" si="4"/>
        <v>4.1138720000000184E-2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17403332.320677277</v>
      </c>
      <c r="D14" s="11">
        <v>1.23E-2</v>
      </c>
      <c r="E14" s="10">
        <f t="shared" si="2"/>
        <v>211460.02918535098</v>
      </c>
      <c r="F14" s="3"/>
      <c r="G14" s="26">
        <v>4.2</v>
      </c>
      <c r="H14" s="10"/>
      <c r="I14" s="10">
        <f t="shared" si="5"/>
        <v>135.33965924415665</v>
      </c>
      <c r="J14" s="10">
        <f t="shared" si="3"/>
        <v>2355361065.9932804</v>
      </c>
      <c r="K14" s="11">
        <f t="shared" si="4"/>
        <v>5.4816600000000104E-2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17191872.291491926</v>
      </c>
      <c r="D15" s="11">
        <v>1.2999999999999999E-2</v>
      </c>
      <c r="E15" s="10">
        <f t="shared" si="2"/>
        <v>220626.19919979572</v>
      </c>
      <c r="F15" s="3"/>
      <c r="G15" s="26">
        <v>0.56999999999999995</v>
      </c>
      <c r="H15" s="10"/>
      <c r="I15" s="10">
        <f t="shared" si="5"/>
        <v>129.88450983124437</v>
      </c>
      <c r="J15" s="10">
        <f t="shared" si="3"/>
        <v>2232957905.6617808</v>
      </c>
      <c r="K15" s="11">
        <f t="shared" si="4"/>
        <v>1.8774099999999905E-2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16971246.09229213</v>
      </c>
      <c r="D16" s="11">
        <v>1.38E-2</v>
      </c>
      <c r="E16" s="10">
        <f t="shared" si="2"/>
        <v>231015.18649993278</v>
      </c>
      <c r="F16" s="3"/>
      <c r="G16" s="26">
        <v>3.43</v>
      </c>
      <c r="H16" s="10"/>
      <c r="I16" s="10">
        <f t="shared" si="5"/>
        <v>129.14836415555769</v>
      </c>
      <c r="J16" s="10">
        <f t="shared" si="3"/>
        <v>2191808670.5009294</v>
      </c>
      <c r="K16" s="11">
        <f t="shared" si="4"/>
        <v>4.8573339999999909E-2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16740230.905792197</v>
      </c>
      <c r="D17" s="11">
        <v>1.47E-2</v>
      </c>
      <c r="E17" s="10">
        <f t="shared" si="2"/>
        <v>242516.40318827704</v>
      </c>
      <c r="F17" s="3"/>
      <c r="G17" s="26">
        <v>2.06</v>
      </c>
      <c r="H17" s="10"/>
      <c r="I17" s="10">
        <f t="shared" si="5"/>
        <v>124.86547825153021</v>
      </c>
      <c r="J17" s="10">
        <f t="shared" si="3"/>
        <v>2090276938.0927894</v>
      </c>
      <c r="K17" s="11">
        <f t="shared" si="4"/>
        <v>3.5602820000000035E-2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16497714.50260392</v>
      </c>
      <c r="D18" s="11">
        <v>1.55E-2</v>
      </c>
      <c r="E18" s="10">
        <f t="shared" si="2"/>
        <v>251811.49659316801</v>
      </c>
      <c r="F18" s="3"/>
      <c r="G18" s="26">
        <v>5.2</v>
      </c>
      <c r="H18" s="10"/>
      <c r="I18" s="10">
        <f t="shared" si="5"/>
        <v>122.34516779495415</v>
      </c>
      <c r="J18" s="10">
        <f t="shared" si="3"/>
        <v>2018415649.0543251</v>
      </c>
      <c r="K18" s="11">
        <f t="shared" si="4"/>
        <v>6.8305999999999978E-2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16245903.006010752</v>
      </c>
      <c r="D19" s="11">
        <v>1.6199999999999999E-2</v>
      </c>
      <c r="E19" s="10">
        <f t="shared" si="2"/>
        <v>258988.02272916213</v>
      </c>
      <c r="F19" s="3"/>
      <c r="G19" s="26">
        <v>6.55</v>
      </c>
      <c r="H19" s="10"/>
      <c r="I19" s="10">
        <f t="shared" si="5"/>
        <v>116.29768801801725</v>
      </c>
      <c r="J19" s="10">
        <f t="shared" si="3"/>
        <v>1889360959.3640072</v>
      </c>
      <c r="K19" s="11">
        <f t="shared" si="4"/>
        <v>8.2761100000000143E-2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15986914.98328159</v>
      </c>
      <c r="D20" s="11">
        <v>1.6799999999999999E-2</v>
      </c>
      <c r="E20" s="10">
        <f t="shared" si="2"/>
        <v>264142.57643502206</v>
      </c>
      <c r="F20" s="3"/>
      <c r="G20" s="26">
        <v>6.55</v>
      </c>
      <c r="H20" s="10"/>
      <c r="I20" s="10">
        <f t="shared" si="5"/>
        <v>109.14846364900727</v>
      </c>
      <c r="J20" s="10">
        <f t="shared" si="3"/>
        <v>1744947208.9124804</v>
      </c>
      <c r="K20" s="11">
        <f t="shared" si="4"/>
        <v>8.3400400000000152E-2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15722772.406846568</v>
      </c>
      <c r="D21" s="11">
        <v>1.72E-2</v>
      </c>
      <c r="E21" s="10">
        <f t="shared" si="2"/>
        <v>265858.91210947931</v>
      </c>
      <c r="F21" s="3"/>
      <c r="G21" s="26">
        <v>6.06</v>
      </c>
      <c r="H21" s="10"/>
      <c r="I21" s="10">
        <f t="shared" si="5"/>
        <v>102.43872702863187</v>
      </c>
      <c r="J21" s="10">
        <f t="shared" si="3"/>
        <v>1610620790.718261</v>
      </c>
      <c r="K21" s="11">
        <f t="shared" si="4"/>
        <v>7.8842320000000132E-2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15456913.494737089</v>
      </c>
      <c r="D22" s="11">
        <v>1.7500000000000002E-2</v>
      </c>
      <c r="E22" s="10">
        <f t="shared" si="2"/>
        <v>265843.72103970498</v>
      </c>
      <c r="F22" s="3"/>
      <c r="G22" s="26">
        <v>6.01</v>
      </c>
      <c r="H22" s="10"/>
      <c r="I22" s="10">
        <f t="shared" si="5"/>
        <v>96.585637402066638</v>
      </c>
      <c r="J22" s="10">
        <f t="shared" si="3"/>
        <v>1492915842.1577871</v>
      </c>
      <c r="K22" s="11">
        <f t="shared" si="4"/>
        <v>7.8651750000000131E-2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15191069.773697384</v>
      </c>
      <c r="D23" s="11">
        <v>1.77E-2</v>
      </c>
      <c r="E23" s="10">
        <f t="shared" si="2"/>
        <v>264205.49768541194</v>
      </c>
      <c r="F23" s="3"/>
      <c r="G23" s="26">
        <v>6.52</v>
      </c>
      <c r="H23" s="10"/>
      <c r="I23" s="10">
        <f t="shared" si="5"/>
        <v>91.109930574536961</v>
      </c>
      <c r="J23" s="10">
        <f t="shared" si="3"/>
        <v>1384057312.4345155</v>
      </c>
      <c r="K23" s="11">
        <f t="shared" si="4"/>
        <v>8.4054040000000052E-2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14926864.276011972</v>
      </c>
      <c r="D24" s="11">
        <v>1.8200000000000001E-2</v>
      </c>
      <c r="E24" s="10">
        <f t="shared" si="2"/>
        <v>266812.93441702798</v>
      </c>
      <c r="F24" s="3"/>
      <c r="G24" s="26">
        <v>6.46</v>
      </c>
      <c r="H24" s="10"/>
      <c r="I24" s="10">
        <f t="shared" si="5"/>
        <v>85.533168019655434</v>
      </c>
      <c r="J24" s="10">
        <f t="shared" si="3"/>
        <v>1276741990.1267242</v>
      </c>
      <c r="K24" s="11">
        <f t="shared" si="4"/>
        <v>8.3975719999999976E-2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14660051.341594944</v>
      </c>
      <c r="D25" s="11">
        <v>1.8800000000000001E-2</v>
      </c>
      <c r="E25" s="10">
        <f t="shared" si="2"/>
        <v>270523.13037100807</v>
      </c>
      <c r="F25" s="3"/>
      <c r="G25" s="26">
        <v>7.39</v>
      </c>
      <c r="H25" s="10"/>
      <c r="I25" s="10">
        <f t="shared" si="5"/>
        <v>80.343009599526056</v>
      </c>
      <c r="J25" s="10">
        <f t="shared" si="3"/>
        <v>1177832645.6673074</v>
      </c>
      <c r="K25" s="11">
        <f t="shared" si="4"/>
        <v>9.4089319999999921E-2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14389528.211223936</v>
      </c>
      <c r="D26" s="11">
        <v>1.9599999999999999E-2</v>
      </c>
      <c r="E26" s="10">
        <f t="shared" si="2"/>
        <v>276613.13548449427</v>
      </c>
      <c r="F26" s="3"/>
      <c r="G26" s="26">
        <v>8.6999999999999993</v>
      </c>
      <c r="H26" s="10"/>
      <c r="I26" s="10">
        <f t="shared" si="5"/>
        <v>74.81423745183541</v>
      </c>
      <c r="J26" s="10">
        <f t="shared" si="3"/>
        <v>1076541580.414392</v>
      </c>
      <c r="K26" s="11">
        <f t="shared" si="4"/>
        <v>0.10830520000000021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14112915.075739441</v>
      </c>
      <c r="D27" s="11">
        <v>2.0500000000000001E-2</v>
      </c>
      <c r="E27" s="10">
        <f t="shared" si="2"/>
        <v>283502.94860623032</v>
      </c>
      <c r="F27" s="3"/>
      <c r="G27" s="26">
        <v>-13.06</v>
      </c>
      <c r="H27" s="10"/>
      <c r="I27" s="10">
        <f t="shared" si="5"/>
        <v>68.826345401872501</v>
      </c>
      <c r="J27" s="10">
        <f t="shared" si="3"/>
        <v>971340367.63013637</v>
      </c>
      <c r="K27" s="11">
        <f t="shared" si="4"/>
        <v>-0.11277730000000008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13829412.127133211</v>
      </c>
      <c r="D28" s="11">
        <v>2.1499999999999998E-2</v>
      </c>
      <c r="E28" s="10">
        <f t="shared" si="2"/>
        <v>291074.26405615732</v>
      </c>
      <c r="F28" s="3"/>
      <c r="G28" s="26">
        <v>1.66</v>
      </c>
      <c r="H28" s="10"/>
      <c r="I28" s="10">
        <f t="shared" si="5"/>
        <v>79.165338626492414</v>
      </c>
      <c r="J28" s="10">
        <f t="shared" si="3"/>
        <v>1094810094.0498214</v>
      </c>
      <c r="K28" s="11">
        <f t="shared" si="4"/>
        <v>3.8456900000000127E-2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13538337.863077054</v>
      </c>
      <c r="D29" s="11">
        <v>2.2599999999999999E-2</v>
      </c>
      <c r="E29" s="10">
        <f t="shared" si="2"/>
        <v>299204.41590606421</v>
      </c>
      <c r="F29" s="3"/>
      <c r="G29" s="26">
        <v>-0.17</v>
      </c>
      <c r="H29" s="10"/>
      <c r="I29" s="10">
        <f t="shared" si="5"/>
        <v>77.872652593441288</v>
      </c>
      <c r="J29" s="10">
        <f t="shared" si="3"/>
        <v>1054266281.1040317</v>
      </c>
      <c r="K29" s="11">
        <f t="shared" si="4"/>
        <v>2.0861579999999824E-2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13239133.44717099</v>
      </c>
      <c r="D30" s="11">
        <v>2.3699999999999999E-2</v>
      </c>
      <c r="E30" s="10">
        <f t="shared" si="2"/>
        <v>306503.33368951082</v>
      </c>
      <c r="F30" s="3"/>
      <c r="G30" s="26">
        <v>-9.7799999999999994</v>
      </c>
      <c r="H30" s="10"/>
      <c r="I30" s="10">
        <f t="shared" si="5"/>
        <v>78.00526153805599</v>
      </c>
      <c r="J30" s="10">
        <f t="shared" si="3"/>
        <v>1032722067.0837978</v>
      </c>
      <c r="K30" s="11">
        <f t="shared" si="4"/>
        <v>-7.6417859999999949E-2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12932630.113481479</v>
      </c>
      <c r="D31" s="11">
        <v>2.4500000000000001E-2</v>
      </c>
      <c r="E31" s="10">
        <f t="shared" si="2"/>
        <v>309272.26723308489</v>
      </c>
      <c r="F31" s="3"/>
      <c r="G31" s="26">
        <v>1.87</v>
      </c>
      <c r="H31" s="10"/>
      <c r="I31" s="10">
        <f t="shared" si="5"/>
        <v>86.461163309749494</v>
      </c>
      <c r="J31" s="10">
        <f t="shared" si="3"/>
        <v>1118170244.2663062</v>
      </c>
      <c r="K31" s="11">
        <f t="shared" si="4"/>
        <v>4.3658149999999729E-2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12623357.846248394</v>
      </c>
      <c r="D32" s="11">
        <v>2.4799999999999999E-2</v>
      </c>
      <c r="E32" s="10">
        <f t="shared" si="2"/>
        <v>305483.28901928104</v>
      </c>
      <c r="F32" s="3"/>
      <c r="G32" s="26">
        <v>-7.14</v>
      </c>
      <c r="H32" s="10"/>
      <c r="I32" s="10">
        <f t="shared" si="5"/>
        <v>84.874019151614306</v>
      </c>
      <c r="J32" s="10">
        <f t="shared" si="3"/>
        <v>1071395115.6001669</v>
      </c>
      <c r="K32" s="11">
        <f t="shared" si="4"/>
        <v>-4.8370719999999978E-2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12317874.557229113</v>
      </c>
      <c r="D33" s="11">
        <v>2.3699999999999999E-2</v>
      </c>
      <c r="E33" s="10">
        <f t="shared" si="2"/>
        <v>285174.9799807854</v>
      </c>
      <c r="F33" s="3"/>
      <c r="G33" s="26">
        <v>11.09</v>
      </c>
      <c r="H33" s="10"/>
      <c r="I33" s="10">
        <f t="shared" si="5"/>
        <v>91.399977548583138</v>
      </c>
      <c r="J33" s="10">
        <f t="shared" si="3"/>
        <v>1125853457.9770043</v>
      </c>
      <c r="K33" s="11">
        <f t="shared" si="4"/>
        <v>0.1372283299999999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12032699.577248327</v>
      </c>
      <c r="D34" s="11">
        <v>2.1999999999999999E-2</v>
      </c>
      <c r="E34" s="10">
        <f t="shared" si="2"/>
        <v>259020.93023430929</v>
      </c>
      <c r="F34" s="3"/>
      <c r="G34" s="26">
        <v>21.87</v>
      </c>
      <c r="H34" s="10"/>
      <c r="I34" s="10">
        <f t="shared" si="5"/>
        <v>82.275612160035237</v>
      </c>
      <c r="J34" s="10">
        <f t="shared" ref="J34:J65" si="6">IF(I34="","",I34*C34)</f>
        <v>989997723.65590334</v>
      </c>
      <c r="K34" s="11">
        <f t="shared" ref="K34:K65" si="7">IFERROR(J34/J35-1,"")</f>
        <v>0.25879740000000018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11773678.647014018</v>
      </c>
      <c r="D35" s="11">
        <v>2.1499999999999998E-2</v>
      </c>
      <c r="E35" s="10">
        <f t="shared" si="2"/>
        <v>247806.2563982401</v>
      </c>
      <c r="F35" s="3"/>
      <c r="G35" s="26">
        <v>-8.4</v>
      </c>
      <c r="H35" s="10"/>
      <c r="I35" s="10">
        <f t="shared" ref="I35:I66" si="8">IF(H35&lt;&gt;"",H35,I34/(1+IF(G34="",0,G34)/100))</f>
        <v>66.798418575980548</v>
      </c>
      <c r="J35" s="10">
        <f t="shared" si="6"/>
        <v>786463114.44232666</v>
      </c>
      <c r="K35" s="11">
        <f t="shared" si="7"/>
        <v>-3.6725500000000078E-2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11525872.390615778</v>
      </c>
      <c r="D36" s="11">
        <v>2.1700000000000001E-2</v>
      </c>
      <c r="E36" s="10">
        <f t="shared" si="2"/>
        <v>244799.28636230156</v>
      </c>
      <c r="F36" s="3"/>
      <c r="G36" s="26">
        <v>-25</v>
      </c>
      <c r="H36" s="10"/>
      <c r="I36" s="10">
        <f t="shared" si="8"/>
        <v>70.836074841973016</v>
      </c>
      <c r="J36" s="10">
        <f t="shared" si="6"/>
        <v>816447559.28068972</v>
      </c>
      <c r="K36" s="11">
        <f t="shared" si="7"/>
        <v>-0.19898719999999992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11281073.104253476</v>
      </c>
      <c r="D37" s="11">
        <v>2.24E-2</v>
      </c>
      <c r="E37" s="10">
        <f t="shared" si="2"/>
        <v>247159.66112605482</v>
      </c>
      <c r="F37" s="3"/>
      <c r="G37" s="26">
        <v>-17.32</v>
      </c>
      <c r="H37" s="10"/>
      <c r="I37" s="10">
        <f t="shared" si="8"/>
        <v>90.352136278026805</v>
      </c>
      <c r="J37" s="10">
        <f t="shared" si="6"/>
        <v>1019269054.477893</v>
      </c>
      <c r="K37" s="11">
        <f t="shared" si="7"/>
        <v>-0.10049248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11033913.443127422</v>
      </c>
      <c r="D38" s="11">
        <v>2.3599999999999999E-2</v>
      </c>
      <c r="E38" s="10">
        <f t="shared" si="2"/>
        <v>254396.59755549766</v>
      </c>
      <c r="F38" s="3"/>
      <c r="G38" s="26">
        <v>-16.54</v>
      </c>
      <c r="H38" s="10"/>
      <c r="I38" s="10">
        <f t="shared" si="8"/>
        <v>102.69622218461787</v>
      </c>
      <c r="J38" s="10">
        <f t="shared" si="6"/>
        <v>1133141226.5212557</v>
      </c>
      <c r="K38" s="11">
        <f t="shared" si="7"/>
        <v>-0.10783023999999986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10779516.845571924</v>
      </c>
      <c r="D39" s="11">
        <v>2.5000000000000001E-2</v>
      </c>
      <c r="E39" s="10">
        <f t="shared" si="2"/>
        <v>262915.04501394928</v>
      </c>
      <c r="F39" s="3"/>
      <c r="G39" s="26">
        <v>-2.77</v>
      </c>
      <c r="H39" s="10"/>
      <c r="I39" s="10">
        <f t="shared" si="8"/>
        <v>117.82494514068135</v>
      </c>
      <c r="J39" s="10">
        <f t="shared" si="6"/>
        <v>1270095980.9725623</v>
      </c>
      <c r="K39" s="11">
        <f t="shared" si="7"/>
        <v>-3.3925000000001315E-3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10516601.800557975</v>
      </c>
      <c r="D40" s="11">
        <v>2.6700000000000002E-2</v>
      </c>
      <c r="E40" s="10">
        <f t="shared" si="2"/>
        <v>273491.05685682036</v>
      </c>
      <c r="F40" s="3"/>
      <c r="G40" s="26">
        <v>18.260000000000002</v>
      </c>
      <c r="H40" s="10"/>
      <c r="I40" s="10">
        <f t="shared" si="8"/>
        <v>121.18167761049197</v>
      </c>
      <c r="J40" s="10">
        <f t="shared" si="6"/>
        <v>1274419448.953136</v>
      </c>
      <c r="K40" s="11">
        <f t="shared" si="7"/>
        <v>0.21417542000000012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10243110.743701154</v>
      </c>
      <c r="D41" s="11">
        <v>2.81E-2</v>
      </c>
      <c r="E41" s="10">
        <f t="shared" si="2"/>
        <v>279964.41192296706</v>
      </c>
      <c r="F41" s="3"/>
      <c r="G41" s="26">
        <v>-0.33</v>
      </c>
      <c r="H41" s="10"/>
      <c r="I41" s="10">
        <f t="shared" si="8"/>
        <v>102.47055438059527</v>
      </c>
      <c r="J41" s="10">
        <f t="shared" si="6"/>
        <v>1049617236.4888889</v>
      </c>
      <c r="K41" s="11">
        <f t="shared" si="7"/>
        <v>2.4707269999999948E-2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9963146.3317781873</v>
      </c>
      <c r="D42" s="11">
        <v>2.9000000000000001E-2</v>
      </c>
      <c r="E42" s="10">
        <f t="shared" si="2"/>
        <v>280788.38058461249</v>
      </c>
      <c r="F42" s="3"/>
      <c r="G42" s="26">
        <v>-4.8</v>
      </c>
      <c r="H42" s="10"/>
      <c r="I42" s="10">
        <f t="shared" si="8"/>
        <v>102.80982680906519</v>
      </c>
      <c r="J42" s="10">
        <f t="shared" si="6"/>
        <v>1024309348.8434886</v>
      </c>
      <c r="K42" s="11">
        <f t="shared" si="7"/>
        <v>-2.0392000000000077E-2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9682357.9511935748</v>
      </c>
      <c r="D43" s="11">
        <v>3.0300000000000001E-2</v>
      </c>
      <c r="E43" s="10">
        <f t="shared" si="2"/>
        <v>284747.59382817149</v>
      </c>
      <c r="F43" s="3"/>
      <c r="G43" s="26">
        <v>2.61</v>
      </c>
      <c r="H43" s="10"/>
      <c r="I43" s="10">
        <f t="shared" si="8"/>
        <v>107.99351555574074</v>
      </c>
      <c r="J43" s="10">
        <f t="shared" si="6"/>
        <v>1045631874.0184734</v>
      </c>
      <c r="K43" s="11">
        <f t="shared" si="7"/>
        <v>5.7190830000000137E-2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9397610.3573654033</v>
      </c>
      <c r="D44" s="11">
        <v>3.0200000000000001E-2</v>
      </c>
      <c r="E44" s="10">
        <f t="shared" si="2"/>
        <v>275488.09240189753</v>
      </c>
      <c r="F44" s="3"/>
      <c r="G44" s="26">
        <v>5.49</v>
      </c>
      <c r="H44" s="10"/>
      <c r="I44" s="10">
        <f t="shared" si="8"/>
        <v>105.2465798223767</v>
      </c>
      <c r="J44" s="10">
        <f t="shared" si="6"/>
        <v>989066348.61605191</v>
      </c>
      <c r="K44" s="11">
        <f t="shared" si="7"/>
        <v>8.675797999999979E-2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9122122.2649635058</v>
      </c>
      <c r="D45" s="11">
        <v>3.04E-2</v>
      </c>
      <c r="E45" s="10">
        <f t="shared" si="2"/>
        <v>269130.93638867512</v>
      </c>
      <c r="F45" s="3"/>
      <c r="G45" s="26">
        <v>6.62</v>
      </c>
      <c r="H45" s="10"/>
      <c r="I45" s="10">
        <f t="shared" si="8"/>
        <v>99.769248101598933</v>
      </c>
      <c r="J45" s="10">
        <f t="shared" si="6"/>
        <v>910107279.46626365</v>
      </c>
      <c r="K45" s="11">
        <f t="shared" si="7"/>
        <v>9.8612480000000113E-2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8852991.3285748307</v>
      </c>
      <c r="D46" s="11">
        <v>2.8799999999999999E-2</v>
      </c>
      <c r="E46" s="10">
        <f t="shared" si="2"/>
        <v>247828.68415917084</v>
      </c>
      <c r="F46" s="3"/>
      <c r="G46" s="26">
        <v>6.38</v>
      </c>
      <c r="H46" s="10"/>
      <c r="I46" s="10">
        <f t="shared" si="8"/>
        <v>93.574608986680673</v>
      </c>
      <c r="J46" s="10">
        <f t="shared" si="6"/>
        <v>828415201.93386447</v>
      </c>
      <c r="K46" s="11">
        <f t="shared" si="7"/>
        <v>9.4437440000000095E-2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8605162.6444156598</v>
      </c>
      <c r="D47" s="11">
        <v>2.6800000000000001E-2</v>
      </c>
      <c r="E47" s="10">
        <f t="shared" si="2"/>
        <v>224599.10291228909</v>
      </c>
      <c r="F47" s="3"/>
      <c r="G47" s="26">
        <v>4.74</v>
      </c>
      <c r="H47" s="10"/>
      <c r="I47" s="10">
        <f t="shared" si="8"/>
        <v>87.962595400151031</v>
      </c>
      <c r="J47" s="10">
        <f t="shared" si="6"/>
        <v>756932440.04322839</v>
      </c>
      <c r="K47" s="11">
        <f t="shared" si="7"/>
        <v>7.547031999999998E-2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8380563.5415033707</v>
      </c>
      <c r="D48" s="11">
        <v>2.69E-2</v>
      </c>
      <c r="E48" s="10">
        <f t="shared" si="2"/>
        <v>219531.75505544804</v>
      </c>
      <c r="F48" s="3"/>
      <c r="G48" s="26">
        <v>-6.08</v>
      </c>
      <c r="H48" s="10"/>
      <c r="I48" s="10">
        <f t="shared" si="8"/>
        <v>83.98185545173861</v>
      </c>
      <c r="J48" s="10">
        <f t="shared" si="6"/>
        <v>703815275.94664669</v>
      </c>
      <c r="K48" s="11">
        <f t="shared" si="7"/>
        <v>-3.5535520000000043E-2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8161031.7864479227</v>
      </c>
      <c r="D49" s="11">
        <v>2.5000000000000001E-2</v>
      </c>
      <c r="E49" s="10">
        <f t="shared" si="2"/>
        <v>199049.55576702207</v>
      </c>
      <c r="F49" s="3"/>
      <c r="G49" s="26">
        <v>-0.17</v>
      </c>
      <c r="H49" s="10"/>
      <c r="I49" s="10">
        <f t="shared" si="8"/>
        <v>89.418500268035146</v>
      </c>
      <c r="J49" s="10">
        <f t="shared" si="6"/>
        <v>729747222.98393691</v>
      </c>
      <c r="K49" s="11">
        <f t="shared" si="7"/>
        <v>2.3257499999999931E-2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7961982.2306809006</v>
      </c>
      <c r="D50" s="11">
        <v>2.35E-2</v>
      </c>
      <c r="E50" s="10">
        <f t="shared" si="2"/>
        <v>182810.5348519804</v>
      </c>
      <c r="F50" s="3"/>
      <c r="G50" s="26">
        <v>4.8499999999999996</v>
      </c>
      <c r="H50" s="10"/>
      <c r="I50" s="10">
        <f t="shared" si="8"/>
        <v>89.570770578017786</v>
      </c>
      <c r="J50" s="10">
        <f t="shared" si="6"/>
        <v>713160883.73057318</v>
      </c>
      <c r="K50" s="11">
        <f t="shared" si="7"/>
        <v>7.3139749999999948E-2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7779171.6958289202</v>
      </c>
      <c r="D51" s="11">
        <v>2.12E-2</v>
      </c>
      <c r="E51" s="10">
        <f t="shared" si="2"/>
        <v>161494.75122559164</v>
      </c>
      <c r="F51" s="3"/>
      <c r="G51" s="26">
        <v>4.96</v>
      </c>
      <c r="H51" s="10"/>
      <c r="I51" s="10">
        <f t="shared" si="8"/>
        <v>85.427535124480485</v>
      </c>
      <c r="J51" s="10">
        <f t="shared" si="6"/>
        <v>664555463.28478956</v>
      </c>
      <c r="K51" s="11">
        <f t="shared" si="7"/>
        <v>7.185152000000028E-2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7617676.9446033286</v>
      </c>
      <c r="D52" s="11">
        <v>2.12E-2</v>
      </c>
      <c r="E52" s="10">
        <f t="shared" si="2"/>
        <v>158142.13790206797</v>
      </c>
      <c r="F52" s="3"/>
      <c r="G52" s="26">
        <v>3.74</v>
      </c>
      <c r="H52" s="10"/>
      <c r="I52" s="10">
        <f t="shared" si="8"/>
        <v>81.390563190244364</v>
      </c>
      <c r="J52" s="10">
        <f t="shared" si="6"/>
        <v>620007016.72260487</v>
      </c>
      <c r="K52" s="11">
        <f t="shared" si="7"/>
        <v>5.9392880000000314E-2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7459534.8067012606</v>
      </c>
      <c r="D53" s="11">
        <v>2.1700000000000001E-2</v>
      </c>
      <c r="E53" s="10">
        <f t="shared" si="2"/>
        <v>158433.88989470247</v>
      </c>
      <c r="F53" s="3"/>
      <c r="G53" s="26">
        <v>1.76</v>
      </c>
      <c r="H53" s="10"/>
      <c r="I53" s="10">
        <f t="shared" si="8"/>
        <v>78.456297657841105</v>
      </c>
      <c r="J53" s="10">
        <f t="shared" si="6"/>
        <v>585247483.18358028</v>
      </c>
      <c r="K53" s="11">
        <f t="shared" si="7"/>
        <v>3.9681920000000037E-2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7301100.9168065581</v>
      </c>
      <c r="D54" s="11">
        <v>2.24E-2</v>
      </c>
      <c r="E54" s="10">
        <f t="shared" si="2"/>
        <v>159961.52243394591</v>
      </c>
      <c r="F54" s="3"/>
      <c r="G54" s="26">
        <v>7.71</v>
      </c>
      <c r="H54" s="10"/>
      <c r="I54" s="10">
        <f t="shared" si="8"/>
        <v>77.099349113444475</v>
      </c>
      <c r="J54" s="10">
        <f t="shared" si="6"/>
        <v>562910128.49735832</v>
      </c>
      <c r="K54" s="11">
        <f t="shared" si="7"/>
        <v>0.10122703999999971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7141139.3943726122</v>
      </c>
      <c r="D55" s="11">
        <v>2.3099999999999999E-2</v>
      </c>
      <c r="E55" s="10">
        <f t="shared" si="2"/>
        <v>161235.77363894694</v>
      </c>
      <c r="F55" s="3"/>
      <c r="G55" s="26">
        <v>5.0599999999999996</v>
      </c>
      <c r="H55" s="10"/>
      <c r="I55" s="10">
        <f t="shared" si="8"/>
        <v>71.580493095761284</v>
      </c>
      <c r="J55" s="10">
        <f t="shared" si="6"/>
        <v>511166279.11475772</v>
      </c>
      <c r="K55" s="11">
        <f t="shared" si="7"/>
        <v>7.4868859999999815E-2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6979903.6207336653</v>
      </c>
      <c r="D56" s="11">
        <v>2.3699999999999999E-2</v>
      </c>
      <c r="E56" s="10">
        <f t="shared" si="2"/>
        <v>161593.93944650609</v>
      </c>
      <c r="F56" s="3"/>
      <c r="G56" s="26">
        <v>4.46</v>
      </c>
      <c r="H56" s="10"/>
      <c r="I56" s="10">
        <f t="shared" si="8"/>
        <v>68.132965063545868</v>
      </c>
      <c r="J56" s="10">
        <f t="shared" si="6"/>
        <v>475561529.53836411</v>
      </c>
      <c r="K56" s="11">
        <f t="shared" si="7"/>
        <v>6.9357019999999991E-2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6818309.6812871592</v>
      </c>
      <c r="D57" s="11">
        <v>2.4299999999999999E-2</v>
      </c>
      <c r="E57" s="10">
        <f t="shared" si="2"/>
        <v>161754.29586574063</v>
      </c>
      <c r="F57" s="3"/>
      <c r="G57" s="26">
        <v>4.96</v>
      </c>
      <c r="H57" s="10"/>
      <c r="I57" s="10">
        <f t="shared" si="8"/>
        <v>65.223975745305253</v>
      </c>
      <c r="J57" s="10">
        <f t="shared" si="6"/>
        <v>444717265.27625364</v>
      </c>
      <c r="K57" s="11">
        <f t="shared" si="7"/>
        <v>7.5105280000000052E-2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6656555.3854214186</v>
      </c>
      <c r="D58" s="11">
        <v>2.4799999999999999E-2</v>
      </c>
      <c r="E58" s="10">
        <f t="shared" si="2"/>
        <v>161087.60105235223</v>
      </c>
      <c r="F58" s="3"/>
      <c r="G58" s="26">
        <v>7.63</v>
      </c>
      <c r="H58" s="10"/>
      <c r="I58" s="10">
        <f t="shared" si="8"/>
        <v>62.141745184170396</v>
      </c>
      <c r="J58" s="10">
        <f t="shared" si="6"/>
        <v>413649968.56517494</v>
      </c>
      <c r="K58" s="11">
        <f t="shared" si="7"/>
        <v>0.10299223999999985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6495467.7843690664</v>
      </c>
      <c r="D59" s="11">
        <v>2.5100000000000001E-2</v>
      </c>
      <c r="E59" s="10">
        <f t="shared" si="2"/>
        <v>159044.23118492123</v>
      </c>
      <c r="F59" s="3"/>
      <c r="G59" s="26">
        <v>6.45</v>
      </c>
      <c r="H59" s="10"/>
      <c r="I59" s="10">
        <f t="shared" si="8"/>
        <v>57.73645376212059</v>
      </c>
      <c r="J59" s="10">
        <f t="shared" si="6"/>
        <v>375025275.39556849</v>
      </c>
      <c r="K59" s="11">
        <f t="shared" si="7"/>
        <v>9.1218950000000021E-2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6336423.5531841451</v>
      </c>
      <c r="D60" s="11">
        <v>2.5399999999999999E-2</v>
      </c>
      <c r="E60" s="10">
        <f t="shared" si="2"/>
        <v>156958.41452201828</v>
      </c>
      <c r="F60" s="3"/>
      <c r="G60" s="26">
        <v>5.5</v>
      </c>
      <c r="H60" s="10"/>
      <c r="I60" s="10">
        <f t="shared" si="8"/>
        <v>54.238096535575941</v>
      </c>
      <c r="J60" s="10">
        <f t="shared" si="6"/>
        <v>343675552.36789876</v>
      </c>
      <c r="K60" s="11">
        <f t="shared" si="7"/>
        <v>8.1796999999999898E-2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6179465.1386621268</v>
      </c>
      <c r="D61" s="11">
        <v>2.5700000000000001E-2</v>
      </c>
      <c r="E61" s="10">
        <f t="shared" si="2"/>
        <v>154833.04481195007</v>
      </c>
      <c r="F61" s="3"/>
      <c r="G61" s="26">
        <v>7.59</v>
      </c>
      <c r="H61" s="10"/>
      <c r="I61" s="10">
        <f t="shared" si="8"/>
        <v>51.41051804319995</v>
      </c>
      <c r="J61" s="10">
        <f t="shared" si="6"/>
        <v>317689504.00851434</v>
      </c>
      <c r="K61" s="11">
        <f t="shared" si="7"/>
        <v>0.10355062999999998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6024632.0938501768</v>
      </c>
      <c r="D62" s="11">
        <v>2.63E-2</v>
      </c>
      <c r="E62" s="10">
        <f t="shared" si="2"/>
        <v>154387.43453986105</v>
      </c>
      <c r="F62" s="3"/>
      <c r="G62" s="26">
        <v>5.07</v>
      </c>
      <c r="H62" s="10"/>
      <c r="I62" s="10">
        <f t="shared" si="8"/>
        <v>47.783732729063992</v>
      </c>
      <c r="J62" s="10">
        <f t="shared" si="6"/>
        <v>287879409.76347804</v>
      </c>
      <c r="K62" s="11">
        <f t="shared" si="7"/>
        <v>7.8333409999999937E-2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5870244.6593103157</v>
      </c>
      <c r="D63" s="11">
        <v>2.6800000000000001E-2</v>
      </c>
      <c r="E63" s="10">
        <f t="shared" si="2"/>
        <v>153216.35846271552</v>
      </c>
      <c r="F63" s="3"/>
      <c r="G63" s="26">
        <v>6.78</v>
      </c>
      <c r="H63" s="10"/>
      <c r="I63" s="10">
        <f t="shared" si="8"/>
        <v>45.477998219343291</v>
      </c>
      <c r="J63" s="10">
        <f t="shared" si="6"/>
        <v>266966976.16322401</v>
      </c>
      <c r="K63" s="11">
        <f t="shared" si="7"/>
        <v>9.6417039999999954E-2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5717028.3008476002</v>
      </c>
      <c r="D64" s="11">
        <v>2.7400000000000001E-2</v>
      </c>
      <c r="E64" s="10">
        <f t="shared" si="2"/>
        <v>152468.92684760038</v>
      </c>
      <c r="F64" s="3"/>
      <c r="G64" s="26">
        <v>6.54</v>
      </c>
      <c r="H64" s="10"/>
      <c r="I64" s="10">
        <f t="shared" si="8"/>
        <v>42.590371061381617</v>
      </c>
      <c r="J64" s="10">
        <f t="shared" si="6"/>
        <v>243490356.70151934</v>
      </c>
      <c r="K64" s="11">
        <f t="shared" si="7"/>
        <v>9.4591959999999808E-2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5564559.3739999998</v>
      </c>
      <c r="D65" s="11">
        <v>2.8000000000000001E-2</v>
      </c>
      <c r="E65" s="10">
        <f t="shared" si="2"/>
        <v>151563.87399999984</v>
      </c>
      <c r="F65" s="3"/>
      <c r="G65" s="26">
        <v>7.92</v>
      </c>
      <c r="H65" s="10"/>
      <c r="I65" s="10">
        <f t="shared" si="8"/>
        <v>39.975944303906161</v>
      </c>
      <c r="J65" s="10">
        <f t="shared" si="6"/>
        <v>222448515.61080292</v>
      </c>
      <c r="K65" s="11">
        <f t="shared" si="7"/>
        <v>0.1094176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5412995.5</v>
      </c>
      <c r="D66" s="11">
        <v>2.8500000000000001E-2</v>
      </c>
      <c r="E66" s="10">
        <f t="shared" si="2"/>
        <v>149995.5</v>
      </c>
      <c r="F66" s="23">
        <f>SUM(F2)</f>
        <v>19674606</v>
      </c>
      <c r="G66" s="26">
        <v>10.220000000000001</v>
      </c>
      <c r="H66" s="10"/>
      <c r="I66" s="10">
        <f t="shared" si="8"/>
        <v>37.042201912440845</v>
      </c>
      <c r="J66" s="10">
        <f t="shared" ref="J66:J67" si="9">IF(I66="","",I66*C66)</f>
        <v>200509272.26213369</v>
      </c>
      <c r="K66" s="11">
        <f t="shared" ref="K66" si="10">IFERROR(J66/J67-1,"")</f>
        <v>0.13361270000000025</v>
      </c>
    </row>
    <row r="67" spans="1:11" ht="22.5" customHeight="1">
      <c r="A67" s="3">
        <f t="shared" si="0"/>
        <v>1950</v>
      </c>
      <c r="B67" s="3">
        <v>1700</v>
      </c>
      <c r="C67" s="10">
        <v>5263000</v>
      </c>
      <c r="D67" s="11">
        <v>2.9100000000000001E-2</v>
      </c>
      <c r="E67" s="3" t="s">
        <v>72</v>
      </c>
      <c r="F67" s="10">
        <f>SUM(C2)</f>
        <v>19672683.488652334</v>
      </c>
      <c r="G67" s="26">
        <v>3.76</v>
      </c>
      <c r="H67" s="10"/>
      <c r="I67" s="10">
        <f t="shared" ref="I67" si="11">IF(H67&lt;&gt;"",H67,I66/(1+IF(G66="",0,G66)/100))</f>
        <v>33.607513983343168</v>
      </c>
      <c r="J67" s="10">
        <f t="shared" si="9"/>
        <v>176876346.09433508</v>
      </c>
      <c r="K67" s="11"/>
    </row>
  </sheetData>
  <dataValidations count="1">
    <dataValidation type="custom" allowBlank="1" showDropDown="1" sqref="D2:D67" xr:uid="{00000000-0002-0000-A4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M72"/>
  <sheetViews>
    <sheetView workbookViewId="0">
      <selection activeCell="L33" sqref="L3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2950736.8483975697</v>
      </c>
      <c r="D2" s="11">
        <v>2.1100000000000001E-2</v>
      </c>
      <c r="E2" s="10">
        <f t="shared" ref="E2:E66" si="2">SUM(C2-C3)</f>
        <v>60973.996181753464</v>
      </c>
      <c r="F2" s="14">
        <v>2950683</v>
      </c>
      <c r="G2" s="26">
        <v>-0.1</v>
      </c>
      <c r="H2" s="10"/>
      <c r="I2" s="10">
        <f>IF(H2&lt;&gt;"",H2,1016)</f>
        <v>127</v>
      </c>
      <c r="J2" s="10">
        <f t="shared" ref="J2:J33" si="3">IF(I2="","",I2*C2)</f>
        <v>374743579.74649137</v>
      </c>
      <c r="K2" s="11">
        <f t="shared" ref="K2:K33" si="4">IFERROR(J2/J3-1,"")</f>
        <v>2.00788999999999E-2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2889762.8522158163</v>
      </c>
      <c r="D3" s="11">
        <v>2.87E-2</v>
      </c>
      <c r="E3" s="10">
        <f t="shared" si="2"/>
        <v>80622.332904241979</v>
      </c>
      <c r="F3" s="3"/>
      <c r="G3" s="26">
        <v>-0.33</v>
      </c>
      <c r="H3" s="10"/>
      <c r="I3" s="10">
        <f t="shared" ref="I3:I34" si="5">IF(H3&lt;&gt;"",H3,I2/(1+IF(G2="",0,G2)/100))</f>
        <v>127.12712712712712</v>
      </c>
      <c r="J3" s="10">
        <f t="shared" si="3"/>
        <v>367367249.48088956</v>
      </c>
      <c r="K3" s="11">
        <f t="shared" si="4"/>
        <v>2.5305290000000147E-2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2809140.5193115743</v>
      </c>
      <c r="D4" s="11">
        <v>3.85E-2</v>
      </c>
      <c r="E4" s="10">
        <f t="shared" si="2"/>
        <v>104142.42657053005</v>
      </c>
      <c r="F4" s="3"/>
      <c r="G4" s="26">
        <v>-1.97</v>
      </c>
      <c r="H4" s="10"/>
      <c r="I4" s="10">
        <f t="shared" si="5"/>
        <v>127.5480356447548</v>
      </c>
      <c r="J4" s="10">
        <f t="shared" si="3"/>
        <v>358300355.0882777</v>
      </c>
      <c r="K4" s="11">
        <f t="shared" si="4"/>
        <v>1.8041549999999962E-2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2704998.0927410442</v>
      </c>
      <c r="D5" s="11">
        <v>4.6199999999999998E-2</v>
      </c>
      <c r="E5" s="10">
        <f t="shared" si="2"/>
        <v>119452.21935063694</v>
      </c>
      <c r="F5" s="3"/>
      <c r="G5" s="26">
        <v>-8.33</v>
      </c>
      <c r="H5" s="10"/>
      <c r="I5" s="10">
        <f t="shared" si="5"/>
        <v>130.11122681297033</v>
      </c>
      <c r="J5" s="10">
        <f t="shared" si="3"/>
        <v>351950620.37328213</v>
      </c>
      <c r="K5" s="11">
        <f t="shared" si="4"/>
        <v>-4.0948459999999964E-2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2585545.8733904073</v>
      </c>
      <c r="D6" s="11">
        <v>4.4699999999999997E-2</v>
      </c>
      <c r="E6" s="10">
        <f t="shared" si="2"/>
        <v>110628.79347233754</v>
      </c>
      <c r="F6" s="3"/>
      <c r="G6" s="26">
        <v>8.57</v>
      </c>
      <c r="H6" s="10"/>
      <c r="I6" s="10">
        <f t="shared" si="5"/>
        <v>141.93435891018908</v>
      </c>
      <c r="J6" s="10">
        <f t="shared" si="3"/>
        <v>366977795.97255236</v>
      </c>
      <c r="K6" s="11">
        <f t="shared" si="4"/>
        <v>0.13423079000000016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2474917.0799180698</v>
      </c>
      <c r="D7" s="11">
        <v>3.8300000000000001E-2</v>
      </c>
      <c r="E7" s="10">
        <f t="shared" si="2"/>
        <v>91292.80955490889</v>
      </c>
      <c r="F7" s="3"/>
      <c r="G7" s="26">
        <v>4.7300000000000004</v>
      </c>
      <c r="H7" s="10"/>
      <c r="I7" s="10">
        <f t="shared" si="5"/>
        <v>130.73073492694948</v>
      </c>
      <c r="J7" s="10">
        <f t="shared" si="3"/>
        <v>323547728.74094903</v>
      </c>
      <c r="K7" s="11">
        <f t="shared" si="4"/>
        <v>8.7411589999999872E-2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2383624.2703631609</v>
      </c>
      <c r="D8" s="11">
        <v>3.4700000000000002E-2</v>
      </c>
      <c r="E8" s="10">
        <f t="shared" si="2"/>
        <v>79937.916479754262</v>
      </c>
      <c r="F8" s="3"/>
      <c r="G8" s="26">
        <v>6.93</v>
      </c>
      <c r="H8" s="10"/>
      <c r="I8" s="10">
        <f t="shared" si="5"/>
        <v>124.82644412007018</v>
      </c>
      <c r="J8" s="10">
        <f t="shared" si="3"/>
        <v>297539341.78773016</v>
      </c>
      <c r="K8" s="11">
        <f t="shared" si="4"/>
        <v>0.10640471000000007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2303686.3538834066</v>
      </c>
      <c r="D9" s="11">
        <v>3.7999999999999999E-2</v>
      </c>
      <c r="E9" s="10">
        <f t="shared" si="2"/>
        <v>84335.338581473567</v>
      </c>
      <c r="F9" s="3"/>
      <c r="G9" s="26">
        <v>1.38</v>
      </c>
      <c r="H9" s="10"/>
      <c r="I9" s="10">
        <f t="shared" si="5"/>
        <v>116.73659788653342</v>
      </c>
      <c r="J9" s="10">
        <f t="shared" si="3"/>
        <v>268924507.54998153</v>
      </c>
      <c r="K9" s="11">
        <f t="shared" si="4"/>
        <v>5.2324400000000049E-2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2219351.015301933</v>
      </c>
      <c r="D10" s="11">
        <v>4.5900000000000003E-2</v>
      </c>
      <c r="E10" s="10">
        <f t="shared" si="2"/>
        <v>97397.659051877446</v>
      </c>
      <c r="F10" s="3"/>
      <c r="G10" s="26">
        <v>-0.8</v>
      </c>
      <c r="H10" s="10"/>
      <c r="I10" s="10">
        <f t="shared" si="5"/>
        <v>115.14756153731842</v>
      </c>
      <c r="J10" s="10">
        <f t="shared" si="3"/>
        <v>255552857.60738945</v>
      </c>
      <c r="K10" s="11">
        <f t="shared" si="4"/>
        <v>3.7532799999999922E-2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2121953.3562500556</v>
      </c>
      <c r="D11" s="11">
        <v>5.0500000000000003E-2</v>
      </c>
      <c r="E11" s="10">
        <f t="shared" si="2"/>
        <v>102007.2770020254</v>
      </c>
      <c r="F11" s="3"/>
      <c r="G11" s="26">
        <v>-3.92</v>
      </c>
      <c r="H11" s="10"/>
      <c r="I11" s="10">
        <f t="shared" si="5"/>
        <v>116.07617090455486</v>
      </c>
      <c r="J11" s="10">
        <f t="shared" si="3"/>
        <v>246308220.43157524</v>
      </c>
      <c r="K11" s="11">
        <f t="shared" si="4"/>
        <v>9.3204000000000065E-3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2019946.0792480302</v>
      </c>
      <c r="D12" s="11">
        <v>4.3400000000000001E-2</v>
      </c>
      <c r="E12" s="10">
        <f t="shared" si="2"/>
        <v>84019.22545463359</v>
      </c>
      <c r="F12" s="3"/>
      <c r="G12" s="26">
        <v>3.67</v>
      </c>
      <c r="H12" s="10"/>
      <c r="I12" s="10">
        <f t="shared" si="5"/>
        <v>120.81200135777983</v>
      </c>
      <c r="J12" s="10">
        <f t="shared" si="3"/>
        <v>244033728.46875507</v>
      </c>
      <c r="K12" s="11">
        <f t="shared" si="4"/>
        <v>8.169278000000002E-2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1935926.8537933966</v>
      </c>
      <c r="D13" s="11">
        <v>3.1600000000000003E-2</v>
      </c>
      <c r="E13" s="10">
        <f t="shared" si="2"/>
        <v>59301.365432213526</v>
      </c>
      <c r="F13" s="3"/>
      <c r="G13" s="26">
        <v>2.78</v>
      </c>
      <c r="H13" s="10"/>
      <c r="I13" s="10">
        <f t="shared" si="5"/>
        <v>116.53516095088246</v>
      </c>
      <c r="J13" s="10">
        <f t="shared" si="3"/>
        <v>225603547.49594897</v>
      </c>
      <c r="K13" s="11">
        <f t="shared" si="4"/>
        <v>6.0278480000000023E-2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1876625.4883611831</v>
      </c>
      <c r="D14" s="11">
        <v>2.1499999999999998E-2</v>
      </c>
      <c r="E14" s="10">
        <f t="shared" si="2"/>
        <v>39498.235927328002</v>
      </c>
      <c r="F14" s="3"/>
      <c r="G14" s="26">
        <v>-4.04</v>
      </c>
      <c r="H14" s="10"/>
      <c r="I14" s="10">
        <f t="shared" si="5"/>
        <v>113.38311047955094</v>
      </c>
      <c r="J14" s="10">
        <f t="shared" si="3"/>
        <v>212777635.07559726</v>
      </c>
      <c r="K14" s="11">
        <f t="shared" si="4"/>
        <v>-1.9768600000000025E-2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1837127.2524338551</v>
      </c>
      <c r="D15" s="11">
        <v>1.49E-2</v>
      </c>
      <c r="E15" s="10">
        <f t="shared" si="2"/>
        <v>26971.323343446944</v>
      </c>
      <c r="F15" s="3"/>
      <c r="G15" s="26">
        <v>5.82</v>
      </c>
      <c r="H15" s="10"/>
      <c r="I15" s="10">
        <f t="shared" si="5"/>
        <v>118.15663868231653</v>
      </c>
      <c r="J15" s="10">
        <f t="shared" si="3"/>
        <v>217068780.97926393</v>
      </c>
      <c r="K15" s="11">
        <f t="shared" si="4"/>
        <v>7.396717999999991E-2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1810155.9290904081</v>
      </c>
      <c r="D16" s="11">
        <v>1.0200000000000001E-2</v>
      </c>
      <c r="E16" s="10">
        <f t="shared" si="2"/>
        <v>18277.163409940666</v>
      </c>
      <c r="F16" s="3"/>
      <c r="G16" s="26">
        <v>9.82</v>
      </c>
      <c r="H16" s="10"/>
      <c r="I16" s="10">
        <f t="shared" si="5"/>
        <v>111.65813521292432</v>
      </c>
      <c r="J16" s="10">
        <f t="shared" si="3"/>
        <v>202118635.48685345</v>
      </c>
      <c r="K16" s="11">
        <f t="shared" si="4"/>
        <v>0.10940163999999997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1791878.7656804675</v>
      </c>
      <c r="D17" s="11">
        <v>6.8999999999999999E-3</v>
      </c>
      <c r="E17" s="10">
        <f t="shared" si="2"/>
        <v>12279.236749622738</v>
      </c>
      <c r="F17" s="3"/>
      <c r="G17" s="26">
        <v>-3.06</v>
      </c>
      <c r="H17" s="10"/>
      <c r="I17" s="10">
        <f t="shared" si="5"/>
        <v>101.67377090960146</v>
      </c>
      <c r="J17" s="10">
        <f t="shared" si="3"/>
        <v>182187071.11957529</v>
      </c>
      <c r="K17" s="11">
        <f t="shared" si="4"/>
        <v>-2.3911139999999942E-2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1779599.5289308447</v>
      </c>
      <c r="D18" s="11">
        <v>5.7999999999999996E-3</v>
      </c>
      <c r="E18" s="10">
        <f t="shared" si="2"/>
        <v>10262.156758598983</v>
      </c>
      <c r="F18" s="3"/>
      <c r="G18" s="26">
        <v>2.4700000000000002</v>
      </c>
      <c r="H18" s="10"/>
      <c r="I18" s="10">
        <f t="shared" si="5"/>
        <v>104.88319672952491</v>
      </c>
      <c r="J18" s="10">
        <f t="shared" si="3"/>
        <v>186650087.49262366</v>
      </c>
      <c r="K18" s="11">
        <f t="shared" si="4"/>
        <v>3.064325999999995E-2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1769337.3721722458</v>
      </c>
      <c r="D19" s="11">
        <v>6.4000000000000003E-3</v>
      </c>
      <c r="E19" s="10">
        <f t="shared" si="2"/>
        <v>11251.74799473607</v>
      </c>
      <c r="F19" s="3"/>
      <c r="G19" s="26">
        <v>1.0900000000000001</v>
      </c>
      <c r="H19" s="10"/>
      <c r="I19" s="10">
        <f t="shared" si="5"/>
        <v>102.35502754906305</v>
      </c>
      <c r="J19" s="10">
        <f t="shared" si="3"/>
        <v>181100575.47227705</v>
      </c>
      <c r="K19" s="11">
        <f t="shared" si="4"/>
        <v>1.736975999999979E-2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1758085.6241775097</v>
      </c>
      <c r="D20" s="11">
        <v>8.3999999999999995E-3</v>
      </c>
      <c r="E20" s="10">
        <f t="shared" si="2"/>
        <v>14644.902065738803</v>
      </c>
      <c r="F20" s="3"/>
      <c r="G20" s="26">
        <v>1.03</v>
      </c>
      <c r="H20" s="10"/>
      <c r="I20" s="10">
        <f t="shared" si="5"/>
        <v>101.25138742611837</v>
      </c>
      <c r="J20" s="10">
        <f t="shared" si="3"/>
        <v>178008608.66188619</v>
      </c>
      <c r="K20" s="11">
        <f t="shared" si="4"/>
        <v>1.878652000000014E-2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1743440.7221117709</v>
      </c>
      <c r="D21" s="11">
        <v>1.14E-2</v>
      </c>
      <c r="E21" s="10">
        <f t="shared" si="2"/>
        <v>19651.200545851607</v>
      </c>
      <c r="F21" s="3"/>
      <c r="G21" s="26">
        <v>2.19</v>
      </c>
      <c r="H21" s="10"/>
      <c r="I21" s="10">
        <f t="shared" si="5"/>
        <v>100.2191303831717</v>
      </c>
      <c r="J21" s="10">
        <f t="shared" si="3"/>
        <v>174726113.04465058</v>
      </c>
      <c r="K21" s="11">
        <f t="shared" si="4"/>
        <v>3.3549660000000037E-2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1723789.5215659193</v>
      </c>
      <c r="D22" s="11">
        <v>1.52E-2</v>
      </c>
      <c r="E22" s="10">
        <f t="shared" si="2"/>
        <v>25809.299377267715</v>
      </c>
      <c r="F22" s="3"/>
      <c r="G22" s="26">
        <v>3.91</v>
      </c>
      <c r="H22" s="10"/>
      <c r="I22" s="10">
        <f t="shared" si="5"/>
        <v>98.071367436316365</v>
      </c>
      <c r="J22" s="10">
        <f t="shared" si="3"/>
        <v>169054395.55236328</v>
      </c>
      <c r="K22" s="11">
        <f t="shared" si="4"/>
        <v>5.4894320000000052E-2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1697980.2221886516</v>
      </c>
      <c r="D23" s="11">
        <v>1.9099999999999999E-2</v>
      </c>
      <c r="E23" s="10">
        <f t="shared" si="2"/>
        <v>31823.591643413762</v>
      </c>
      <c r="F23" s="3"/>
      <c r="G23" s="26">
        <v>-10.79</v>
      </c>
      <c r="H23" s="10"/>
      <c r="I23" s="10">
        <f t="shared" si="5"/>
        <v>94.381067689651019</v>
      </c>
      <c r="J23" s="10">
        <f t="shared" si="3"/>
        <v>160257186.2860758</v>
      </c>
      <c r="K23" s="11">
        <f t="shared" si="4"/>
        <v>-9.0860890000000083E-2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1666156.6305452378</v>
      </c>
      <c r="D24" s="11">
        <v>2.2800000000000001E-2</v>
      </c>
      <c r="E24" s="10">
        <f t="shared" si="2"/>
        <v>37141.543973827967</v>
      </c>
      <c r="F24" s="3"/>
      <c r="G24" s="26">
        <v>3.37</v>
      </c>
      <c r="H24" s="10"/>
      <c r="I24" s="10">
        <f t="shared" si="5"/>
        <v>105.79651125395249</v>
      </c>
      <c r="J24" s="10">
        <f t="shared" si="3"/>
        <v>176273558.7143268</v>
      </c>
      <c r="K24" s="11">
        <f t="shared" si="4"/>
        <v>5.7268359999999907E-2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1629015.0865714098</v>
      </c>
      <c r="D25" s="11">
        <v>2.5899999999999999E-2</v>
      </c>
      <c r="E25" s="10">
        <f t="shared" si="2"/>
        <v>41126.319078077329</v>
      </c>
      <c r="F25" s="3"/>
      <c r="G25" s="26">
        <v>13.13</v>
      </c>
      <c r="H25" s="10"/>
      <c r="I25" s="10">
        <f t="shared" si="5"/>
        <v>102.34740374765646</v>
      </c>
      <c r="J25" s="10">
        <f t="shared" si="3"/>
        <v>166725464.77634761</v>
      </c>
      <c r="K25" s="11">
        <f t="shared" si="4"/>
        <v>0.16060066999999978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1587888.7674933325</v>
      </c>
      <c r="D26" s="11">
        <v>2.81E-2</v>
      </c>
      <c r="E26" s="10">
        <f t="shared" si="2"/>
        <v>43400.130694059655</v>
      </c>
      <c r="F26" s="3"/>
      <c r="G26" s="26">
        <v>-46.08</v>
      </c>
      <c r="H26" s="10"/>
      <c r="I26" s="10">
        <f t="shared" si="5"/>
        <v>90.468844468891064</v>
      </c>
      <c r="J26" s="10">
        <f t="shared" si="3"/>
        <v>143654461.94025344</v>
      </c>
      <c r="K26" s="11">
        <f t="shared" si="4"/>
        <v>-0.4456484799999999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1544488.6367992728</v>
      </c>
      <c r="D27" s="11">
        <v>2.9499999999999998E-2</v>
      </c>
      <c r="E27" s="10">
        <f t="shared" si="2"/>
        <v>44256.83806272829</v>
      </c>
      <c r="F27" s="3"/>
      <c r="G27" s="26">
        <v>-4.6399999999999997</v>
      </c>
      <c r="H27" s="10"/>
      <c r="I27" s="10">
        <f t="shared" si="5"/>
        <v>167.78346526129647</v>
      </c>
      <c r="J27" s="10">
        <f t="shared" si="3"/>
        <v>259139655.53887793</v>
      </c>
      <c r="K27" s="11">
        <f t="shared" si="4"/>
        <v>-1.8268799999999863E-2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1500231.7987365446</v>
      </c>
      <c r="D28" s="11">
        <v>3.0300000000000001E-2</v>
      </c>
      <c r="E28" s="10">
        <f t="shared" si="2"/>
        <v>44120.181987496093</v>
      </c>
      <c r="F28" s="3"/>
      <c r="G28" s="26">
        <v>5.49</v>
      </c>
      <c r="H28" s="10"/>
      <c r="I28" s="10">
        <f t="shared" si="5"/>
        <v>175.94742581931257</v>
      </c>
      <c r="J28" s="10">
        <f t="shared" si="3"/>
        <v>263961923.11997205</v>
      </c>
      <c r="K28" s="11">
        <f t="shared" si="4"/>
        <v>8.6863469999999943E-2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1456111.6167490485</v>
      </c>
      <c r="D29" s="11">
        <v>3.04E-2</v>
      </c>
      <c r="E29" s="10">
        <f t="shared" si="2"/>
        <v>42959.814779863227</v>
      </c>
      <c r="F29" s="3"/>
      <c r="G29" s="26">
        <v>5.04</v>
      </c>
      <c r="H29" s="10"/>
      <c r="I29" s="10">
        <f t="shared" si="5"/>
        <v>166.79062074065084</v>
      </c>
      <c r="J29" s="10">
        <f t="shared" si="3"/>
        <v>242865760.42524648</v>
      </c>
      <c r="K29" s="11">
        <f t="shared" si="4"/>
        <v>8.2332159999999988E-2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1413151.8019691852</v>
      </c>
      <c r="D30" s="11">
        <v>2.9899999999999999E-2</v>
      </c>
      <c r="E30" s="10">
        <f t="shared" si="2"/>
        <v>41026.545178054832</v>
      </c>
      <c r="F30" s="3"/>
      <c r="G30" s="26">
        <v>5.54</v>
      </c>
      <c r="H30" s="10"/>
      <c r="I30" s="10">
        <f t="shared" si="5"/>
        <v>158.78771966931726</v>
      </c>
      <c r="J30" s="10">
        <f t="shared" si="3"/>
        <v>224391152.18127352</v>
      </c>
      <c r="K30" s="11">
        <f t="shared" si="4"/>
        <v>8.6956460000000124E-2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1372125.2567911304</v>
      </c>
      <c r="D31" s="11">
        <v>2.86E-2</v>
      </c>
      <c r="E31" s="10">
        <f t="shared" si="2"/>
        <v>38151.64528896194</v>
      </c>
      <c r="F31" s="3"/>
      <c r="G31" s="26">
        <v>-1.87</v>
      </c>
      <c r="H31" s="10"/>
      <c r="I31" s="10">
        <f t="shared" si="5"/>
        <v>150.4526432341456</v>
      </c>
      <c r="J31" s="10">
        <f t="shared" si="3"/>
        <v>206439871.73255634</v>
      </c>
      <c r="K31" s="11">
        <f t="shared" si="4"/>
        <v>9.3651799999998619E-3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1333973.6115021685</v>
      </c>
      <c r="D32" s="11">
        <v>2.6700000000000002E-2</v>
      </c>
      <c r="E32" s="10">
        <f t="shared" si="2"/>
        <v>34690.849739074474</v>
      </c>
      <c r="F32" s="3"/>
      <c r="G32" s="26">
        <v>3.35</v>
      </c>
      <c r="H32" s="10"/>
      <c r="I32" s="10">
        <f t="shared" si="5"/>
        <v>153.31972203622297</v>
      </c>
      <c r="J32" s="10">
        <f t="shared" si="3"/>
        <v>204524463.31916896</v>
      </c>
      <c r="K32" s="11">
        <f t="shared" si="4"/>
        <v>6.1094449999999911E-2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1299282.761763094</v>
      </c>
      <c r="D33" s="11">
        <v>2.4500000000000001E-2</v>
      </c>
      <c r="E33" s="10">
        <f t="shared" si="2"/>
        <v>31071.183663441334</v>
      </c>
      <c r="F33" s="3"/>
      <c r="G33" s="26">
        <v>5.54</v>
      </c>
      <c r="H33" s="10"/>
      <c r="I33" s="10">
        <f t="shared" si="5"/>
        <v>148.34999713229121</v>
      </c>
      <c r="J33" s="10">
        <f t="shared" si="3"/>
        <v>192748593.98159039</v>
      </c>
      <c r="K33" s="11">
        <f t="shared" si="4"/>
        <v>8.1257299999999644E-2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1268211.5780996527</v>
      </c>
      <c r="D34" s="11">
        <v>2.2800000000000001E-2</v>
      </c>
      <c r="E34" s="10">
        <f t="shared" si="2"/>
        <v>28270.653090215055</v>
      </c>
      <c r="F34" s="3"/>
      <c r="G34" s="26">
        <v>0.37</v>
      </c>
      <c r="H34" s="10"/>
      <c r="I34" s="10">
        <f t="shared" si="5"/>
        <v>140.56281706679101</v>
      </c>
      <c r="J34" s="10">
        <f t="shared" ref="J34:J65" si="6">IF(I34="","",I34*C34)</f>
        <v>178263392.05440781</v>
      </c>
      <c r="K34" s="11">
        <f t="shared" ref="K34:K65" si="7">IFERROR(J34/J35-1,"")</f>
        <v>3.9880759999999738E-2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1239940.9250094376</v>
      </c>
      <c r="D35" s="11">
        <v>2.1499999999999998E-2</v>
      </c>
      <c r="E35" s="10">
        <f t="shared" si="2"/>
        <v>26097.630824966123</v>
      </c>
      <c r="F35" s="3"/>
      <c r="G35" s="26">
        <v>-0.38</v>
      </c>
      <c r="H35" s="10"/>
      <c r="I35" s="10">
        <f t="shared" ref="I35:I66" si="8">IF(H35&lt;&gt;"",H35,I34/(1+IF(G34="",0,G34)/100))</f>
        <v>138.25397567305106</v>
      </c>
      <c r="J35" s="10">
        <f t="shared" si="6"/>
        <v>171426762.48227522</v>
      </c>
      <c r="K35" s="11">
        <f t="shared" si="7"/>
        <v>4.5198800000000094E-2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1213843.2941844715</v>
      </c>
      <c r="D36" s="11">
        <v>2.0899999999999998E-2</v>
      </c>
      <c r="E36" s="10">
        <f t="shared" si="2"/>
        <v>24849.960670443019</v>
      </c>
      <c r="F36" s="3"/>
      <c r="G36" s="26">
        <v>-1.39</v>
      </c>
      <c r="H36" s="10"/>
      <c r="I36" s="10">
        <f t="shared" si="8"/>
        <v>135.11921000102723</v>
      </c>
      <c r="J36" s="10">
        <f t="shared" si="6"/>
        <v>164013546.97525027</v>
      </c>
      <c r="K36" s="11">
        <f t="shared" si="7"/>
        <v>5.5712689999999787E-2</v>
      </c>
      <c r="L36" t="s">
        <v>90</v>
      </c>
      <c r="M36" t="s">
        <v>91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1188993.3335140285</v>
      </c>
      <c r="D37" s="11">
        <v>2.0899999999999998E-2</v>
      </c>
      <c r="E37" s="10">
        <f t="shared" si="2"/>
        <v>24341.228984663729</v>
      </c>
      <c r="F37" s="3"/>
      <c r="G37" s="26">
        <v>-6.78</v>
      </c>
      <c r="H37" s="10"/>
      <c r="I37" s="10">
        <f t="shared" si="8"/>
        <v>130.66358185961437</v>
      </c>
      <c r="J37" s="10">
        <f t="shared" si="6"/>
        <v>155358127.76414603</v>
      </c>
      <c r="K37" s="11">
        <f t="shared" si="7"/>
        <v>5.790680000000048E-3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1164652.1045293647</v>
      </c>
      <c r="D38" s="11">
        <v>2.1399999999999999E-2</v>
      </c>
      <c r="E38" s="10">
        <f t="shared" si="2"/>
        <v>24401.365808623843</v>
      </c>
      <c r="F38" s="3"/>
      <c r="G38" s="26">
        <v>-10.92</v>
      </c>
      <c r="H38" s="10"/>
      <c r="I38" s="10">
        <f t="shared" si="8"/>
        <v>132.6264533694827</v>
      </c>
      <c r="J38" s="10">
        <f t="shared" si="6"/>
        <v>154463678.0330337</v>
      </c>
      <c r="K38" s="11">
        <f t="shared" si="7"/>
        <v>-5.2345079999999933E-2</v>
      </c>
      <c r="L38" t="s">
        <v>111</v>
      </c>
      <c r="M38" t="s">
        <v>95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1140250.7387207409</v>
      </c>
      <c r="D39" s="11">
        <v>2.24E-2</v>
      </c>
      <c r="E39" s="10">
        <f t="shared" si="2"/>
        <v>24982.019314695382</v>
      </c>
      <c r="F39" s="3"/>
      <c r="G39" s="26">
        <v>9.32</v>
      </c>
      <c r="H39" s="10"/>
      <c r="I39" s="10">
        <f t="shared" si="8"/>
        <v>142.94724441634264</v>
      </c>
      <c r="J39" s="10">
        <f t="shared" si="6"/>
        <v>162995701.04382899</v>
      </c>
      <c r="K39" s="11">
        <f t="shared" si="7"/>
        <v>0.11768767999999996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1115268.7194060455</v>
      </c>
      <c r="D40" s="11">
        <v>2.3800000000000002E-2</v>
      </c>
      <c r="E40" s="10">
        <f t="shared" si="2"/>
        <v>25926.348429247737</v>
      </c>
      <c r="F40" s="3"/>
      <c r="G40" s="26">
        <v>3.38</v>
      </c>
      <c r="H40" s="10"/>
      <c r="I40" s="10">
        <f t="shared" si="8"/>
        <v>130.76037725607634</v>
      </c>
      <c r="J40" s="10">
        <f t="shared" si="6"/>
        <v>145832958.49143565</v>
      </c>
      <c r="K40" s="11">
        <f t="shared" si="7"/>
        <v>5.8404439999999891E-2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1089342.3709767978</v>
      </c>
      <c r="D41" s="11">
        <v>2.5000000000000001E-2</v>
      </c>
      <c r="E41" s="10">
        <f t="shared" si="2"/>
        <v>26569.326121385209</v>
      </c>
      <c r="F41" s="3"/>
      <c r="G41" s="26">
        <v>3.9</v>
      </c>
      <c r="H41" s="10"/>
      <c r="I41" s="10">
        <f t="shared" si="8"/>
        <v>126.48517823184014</v>
      </c>
      <c r="J41" s="10">
        <f t="shared" si="6"/>
        <v>137785663.9484956</v>
      </c>
      <c r="K41" s="11">
        <f t="shared" si="7"/>
        <v>6.4975000000000005E-2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1062773.0448554126</v>
      </c>
      <c r="D42" s="11">
        <v>2.5700000000000001E-2</v>
      </c>
      <c r="E42" s="10">
        <f t="shared" si="2"/>
        <v>26628.904409461073</v>
      </c>
      <c r="F42" s="3"/>
      <c r="G42" s="26">
        <v>-4.5999999999999996</v>
      </c>
      <c r="H42" s="10"/>
      <c r="I42" s="10">
        <f t="shared" si="8"/>
        <v>121.73741889493758</v>
      </c>
      <c r="J42" s="10">
        <f t="shared" si="6"/>
        <v>129379247.35181165</v>
      </c>
      <c r="K42" s="11">
        <f t="shared" si="7"/>
        <v>-2.1482199999999896E-2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1036144.1404459515</v>
      </c>
      <c r="D43" s="11">
        <v>2.6100000000000002E-2</v>
      </c>
      <c r="E43" s="10">
        <f t="shared" si="2"/>
        <v>26355.483934937511</v>
      </c>
      <c r="F43" s="3"/>
      <c r="G43" s="26">
        <v>2.6</v>
      </c>
      <c r="H43" s="10"/>
      <c r="I43" s="10">
        <f t="shared" si="8"/>
        <v>127.60735733221969</v>
      </c>
      <c r="J43" s="10">
        <f t="shared" si="6"/>
        <v>132219615.57757215</v>
      </c>
      <c r="K43" s="11">
        <f t="shared" si="7"/>
        <v>5.277860000000012E-2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1009788.656511014</v>
      </c>
      <c r="D44" s="11">
        <v>2.64E-2</v>
      </c>
      <c r="E44" s="10">
        <f t="shared" si="2"/>
        <v>25972.740190852201</v>
      </c>
      <c r="F44" s="3"/>
      <c r="G44" s="26">
        <v>4.4000000000000004</v>
      </c>
      <c r="H44" s="10"/>
      <c r="I44" s="10">
        <f t="shared" si="8"/>
        <v>124.37364262399579</v>
      </c>
      <c r="J44" s="10">
        <f t="shared" si="6"/>
        <v>125591093.49066569</v>
      </c>
      <c r="K44" s="11">
        <f t="shared" si="7"/>
        <v>7.1561599999999892E-2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983815.91632016178</v>
      </c>
      <c r="D45" s="11">
        <v>2.64E-2</v>
      </c>
      <c r="E45" s="10">
        <f t="shared" si="2"/>
        <v>25304.696210884838</v>
      </c>
      <c r="F45" s="3"/>
      <c r="G45" s="26">
        <v>0.6</v>
      </c>
      <c r="H45" s="10"/>
      <c r="I45" s="10">
        <f t="shared" si="8"/>
        <v>119.1318415938657</v>
      </c>
      <c r="J45" s="10">
        <f t="shared" si="6"/>
        <v>117203801.90057735</v>
      </c>
      <c r="K45" s="11">
        <f t="shared" si="7"/>
        <v>3.2558399999999876E-2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958511.22010927694</v>
      </c>
      <c r="D46" s="11">
        <v>2.6200000000000001E-2</v>
      </c>
      <c r="E46" s="10">
        <f t="shared" si="2"/>
        <v>24471.831969268271</v>
      </c>
      <c r="F46" s="3"/>
      <c r="G46" s="26">
        <v>3.01</v>
      </c>
      <c r="H46" s="10"/>
      <c r="I46" s="10">
        <f t="shared" si="8"/>
        <v>118.42131371159613</v>
      </c>
      <c r="J46" s="10">
        <f t="shared" si="6"/>
        <v>113508157.89264545</v>
      </c>
      <c r="K46" s="11">
        <f t="shared" si="7"/>
        <v>5.7088620000000034E-2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934039.38814000867</v>
      </c>
      <c r="D47" s="11">
        <v>2.5700000000000001E-2</v>
      </c>
      <c r="E47" s="10">
        <f t="shared" si="2"/>
        <v>23403.346275907476</v>
      </c>
      <c r="F47" s="3"/>
      <c r="G47" s="26">
        <v>-0.06</v>
      </c>
      <c r="H47" s="10"/>
      <c r="I47" s="10">
        <f t="shared" si="8"/>
        <v>114.96098797359103</v>
      </c>
      <c r="J47" s="10">
        <f t="shared" si="6"/>
        <v>107378090.86682387</v>
      </c>
      <c r="K47" s="11">
        <f t="shared" si="7"/>
        <v>2.5084580000000134E-2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910636.04186410119</v>
      </c>
      <c r="D48" s="11">
        <v>2.4799999999999999E-2</v>
      </c>
      <c r="E48" s="10">
        <f t="shared" si="2"/>
        <v>22037.250037304475</v>
      </c>
      <c r="F48" s="3"/>
      <c r="G48" s="26">
        <v>3.22</v>
      </c>
      <c r="H48" s="10"/>
      <c r="I48" s="10">
        <f t="shared" si="8"/>
        <v>115.03000597717734</v>
      </c>
      <c r="J48" s="10">
        <f t="shared" si="6"/>
        <v>104750469.33866067</v>
      </c>
      <c r="K48" s="11">
        <f t="shared" si="7"/>
        <v>5.7798559999999943E-2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888598.79182679672</v>
      </c>
      <c r="D49" s="11">
        <v>2.35E-2</v>
      </c>
      <c r="E49" s="10">
        <f t="shared" si="2"/>
        <v>20402.610266663251</v>
      </c>
      <c r="F49" s="3"/>
      <c r="G49" s="26">
        <v>10.41</v>
      </c>
      <c r="H49" s="10"/>
      <c r="I49" s="10">
        <f t="shared" si="8"/>
        <v>111.44158687965253</v>
      </c>
      <c r="J49" s="10">
        <f t="shared" si="6"/>
        <v>99026859.460520238</v>
      </c>
      <c r="K49" s="11">
        <f t="shared" si="7"/>
        <v>0.13004635000000042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868196.18156013347</v>
      </c>
      <c r="D50" s="11">
        <v>2.1899999999999999E-2</v>
      </c>
      <c r="E50" s="10">
        <f t="shared" si="2"/>
        <v>18606.024440911016</v>
      </c>
      <c r="F50" s="3"/>
      <c r="G50" s="26">
        <v>7.76</v>
      </c>
      <c r="H50" s="10"/>
      <c r="I50" s="10">
        <f t="shared" si="8"/>
        <v>100.93432377470566</v>
      </c>
      <c r="J50" s="10">
        <f t="shared" si="6"/>
        <v>87630794.489553645</v>
      </c>
      <c r="K50" s="11">
        <f t="shared" si="7"/>
        <v>0.10119944000000003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849590.15711922245</v>
      </c>
      <c r="D51" s="11">
        <v>0.02</v>
      </c>
      <c r="E51" s="10">
        <f t="shared" si="2"/>
        <v>16658.630531749455</v>
      </c>
      <c r="F51" s="3"/>
      <c r="G51" s="26">
        <v>7.23</v>
      </c>
      <c r="H51" s="10"/>
      <c r="I51" s="10">
        <f t="shared" si="8"/>
        <v>93.66585354000155</v>
      </c>
      <c r="J51" s="10">
        <f t="shared" si="6"/>
        <v>79577587.22575599</v>
      </c>
      <c r="K51" s="11">
        <f t="shared" si="7"/>
        <v>9.3745999999999885E-2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832931.526587473</v>
      </c>
      <c r="D52" s="11">
        <v>1.7999999999999999E-2</v>
      </c>
      <c r="E52" s="10">
        <f t="shared" si="2"/>
        <v>14727.669428855181</v>
      </c>
      <c r="F52" s="3"/>
      <c r="G52" s="26">
        <v>6.91</v>
      </c>
      <c r="H52" s="10"/>
      <c r="I52" s="10">
        <f t="shared" si="8"/>
        <v>87.350418297119788</v>
      </c>
      <c r="J52" s="10">
        <f t="shared" si="6"/>
        <v>72756917.260274321</v>
      </c>
      <c r="K52" s="11">
        <f t="shared" si="7"/>
        <v>8.8343800000000083E-2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818203.85715861782</v>
      </c>
      <c r="D53" s="11">
        <v>1.6199999999999999E-2</v>
      </c>
      <c r="E53" s="10">
        <f t="shared" si="2"/>
        <v>13043.596227090689</v>
      </c>
      <c r="F53" s="3"/>
      <c r="G53" s="26">
        <v>5.88</v>
      </c>
      <c r="H53" s="10"/>
      <c r="I53" s="10">
        <f t="shared" si="8"/>
        <v>81.704628469852949</v>
      </c>
      <c r="J53" s="10">
        <f t="shared" si="6"/>
        <v>66851042.161745504</v>
      </c>
      <c r="K53" s="11">
        <f t="shared" si="7"/>
        <v>7.5952559999999947E-2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805160.26093152713</v>
      </c>
      <c r="D54" s="11">
        <v>1.47E-2</v>
      </c>
      <c r="E54" s="10">
        <f t="shared" si="2"/>
        <v>11664.389312795363</v>
      </c>
      <c r="F54" s="3"/>
      <c r="G54" s="26">
        <v>6.87</v>
      </c>
      <c r="H54" s="10"/>
      <c r="I54" s="10">
        <f t="shared" si="8"/>
        <v>77.167197270356013</v>
      </c>
      <c r="J54" s="10">
        <f t="shared" si="6"/>
        <v>62131960.689554475</v>
      </c>
      <c r="K54" s="11">
        <f t="shared" si="7"/>
        <v>8.4409890000000098E-2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793495.87161873176</v>
      </c>
      <c r="D55" s="11">
        <v>1.3599999999999999E-2</v>
      </c>
      <c r="E55" s="10">
        <f t="shared" si="2"/>
        <v>10646.748080125079</v>
      </c>
      <c r="F55" s="3"/>
      <c r="G55" s="26">
        <v>4.33</v>
      </c>
      <c r="H55" s="10"/>
      <c r="I55" s="10">
        <f t="shared" si="8"/>
        <v>72.206603602840843</v>
      </c>
      <c r="J55" s="10">
        <f t="shared" si="6"/>
        <v>57295641.86246445</v>
      </c>
      <c r="K55" s="11">
        <f t="shared" si="7"/>
        <v>5.7488879999999964E-2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782849.12353860668</v>
      </c>
      <c r="D56" s="11">
        <v>1.3100000000000001E-2</v>
      </c>
      <c r="E56" s="10">
        <f t="shared" si="2"/>
        <v>10122.71593954775</v>
      </c>
      <c r="F56" s="3"/>
      <c r="G56" s="26">
        <v>3.61</v>
      </c>
      <c r="H56" s="10"/>
      <c r="I56" s="10">
        <f t="shared" si="8"/>
        <v>69.209818463376635</v>
      </c>
      <c r="J56" s="10">
        <f t="shared" si="6"/>
        <v>54180845.724320479</v>
      </c>
      <c r="K56" s="11">
        <f t="shared" si="7"/>
        <v>4.9672910000000181E-2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772726.40759905893</v>
      </c>
      <c r="D57" s="11">
        <v>1.32E-2</v>
      </c>
      <c r="E57" s="10">
        <f t="shared" si="2"/>
        <v>10067.102823043475</v>
      </c>
      <c r="F57" s="3"/>
      <c r="G57" s="26">
        <v>0.79</v>
      </c>
      <c r="H57" s="10"/>
      <c r="I57" s="10">
        <f t="shared" si="8"/>
        <v>66.798396354962492</v>
      </c>
      <c r="J57" s="10">
        <f t="shared" si="6"/>
        <v>51616884.848748237</v>
      </c>
      <c r="K57" s="11">
        <f t="shared" si="7"/>
        <v>2.1204280000000075E-2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762659.30477601546</v>
      </c>
      <c r="D58" s="11">
        <v>1.41E-2</v>
      </c>
      <c r="E58" s="10">
        <f t="shared" si="2"/>
        <v>10603.980078238645</v>
      </c>
      <c r="F58" s="3"/>
      <c r="G58" s="26">
        <v>-5.69</v>
      </c>
      <c r="H58" s="10"/>
      <c r="I58" s="10">
        <f t="shared" si="8"/>
        <v>66.274825235601242</v>
      </c>
      <c r="J58" s="10">
        <f t="shared" si="6"/>
        <v>50545112.138335571</v>
      </c>
      <c r="K58" s="11">
        <f t="shared" si="7"/>
        <v>-4.3602289999999932E-2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752055.32469777681</v>
      </c>
      <c r="D59" s="11">
        <v>1.5699999999999999E-2</v>
      </c>
      <c r="E59" s="10">
        <f t="shared" si="2"/>
        <v>11624.759867830202</v>
      </c>
      <c r="F59" s="3"/>
      <c r="G59" s="26">
        <v>-3.9</v>
      </c>
      <c r="H59" s="10"/>
      <c r="I59" s="10">
        <f t="shared" si="8"/>
        <v>70.273380591242969</v>
      </c>
      <c r="J59" s="10">
        <f t="shared" si="6"/>
        <v>52849470.058157675</v>
      </c>
      <c r="K59" s="11">
        <f t="shared" si="7"/>
        <v>-2.3912299999999997E-2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740430.56482994661</v>
      </c>
      <c r="D60" s="11">
        <v>1.7899999999999999E-2</v>
      </c>
      <c r="E60" s="10">
        <f t="shared" si="2"/>
        <v>13020.637695702957</v>
      </c>
      <c r="F60" s="3"/>
      <c r="G60" s="26">
        <v>-3.31</v>
      </c>
      <c r="H60" s="10"/>
      <c r="I60" s="10">
        <f t="shared" si="8"/>
        <v>73.125265963832433</v>
      </c>
      <c r="J60" s="10">
        <f t="shared" si="6"/>
        <v>54144181.980940521</v>
      </c>
      <c r="K60" s="11">
        <f t="shared" si="7"/>
        <v>-1.5792489999999937E-2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727409.92713424366</v>
      </c>
      <c r="D61" s="11">
        <v>2.01E-2</v>
      </c>
      <c r="E61" s="10">
        <f t="shared" si="2"/>
        <v>14332.849265168421</v>
      </c>
      <c r="F61" s="3"/>
      <c r="G61" s="26">
        <v>3.6</v>
      </c>
      <c r="H61" s="10"/>
      <c r="I61" s="10">
        <f t="shared" si="8"/>
        <v>75.628571686660905</v>
      </c>
      <c r="J61" s="10">
        <f t="shared" si="6"/>
        <v>55012973.819860935</v>
      </c>
      <c r="K61" s="11">
        <f t="shared" si="7"/>
        <v>5.6823600000000196E-2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713077.07786907523</v>
      </c>
      <c r="D62" s="11">
        <v>2.1899999999999999E-2</v>
      </c>
      <c r="E62" s="10">
        <f t="shared" si="2"/>
        <v>15281.718372964882</v>
      </c>
      <c r="F62" s="3"/>
      <c r="G62" s="26">
        <v>3.51</v>
      </c>
      <c r="H62" s="10"/>
      <c r="I62" s="10">
        <f t="shared" si="8"/>
        <v>73.000551821101254</v>
      </c>
      <c r="J62" s="10">
        <f t="shared" si="6"/>
        <v>52055020.17542088</v>
      </c>
      <c r="K62" s="11">
        <f t="shared" si="7"/>
        <v>5.7768689999999845E-2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697795.35949611035</v>
      </c>
      <c r="D63" s="11">
        <v>2.3099999999999999E-2</v>
      </c>
      <c r="E63" s="10">
        <f t="shared" si="2"/>
        <v>15755.12931713427</v>
      </c>
      <c r="F63" s="3"/>
      <c r="G63" s="26">
        <v>2.59</v>
      </c>
      <c r="H63" s="10"/>
      <c r="I63" s="10">
        <f t="shared" si="8"/>
        <v>70.525120105401669</v>
      </c>
      <c r="J63" s="10">
        <f t="shared" si="6"/>
        <v>49212101.537455119</v>
      </c>
      <c r="K63" s="11">
        <f t="shared" si="7"/>
        <v>4.9598290000000045E-2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682040.23017897608</v>
      </c>
      <c r="D64" s="11">
        <v>2.3300000000000001E-2</v>
      </c>
      <c r="E64" s="10">
        <f t="shared" si="2"/>
        <v>15529.695458976086</v>
      </c>
      <c r="F64" s="3"/>
      <c r="G64" s="26">
        <v>5.0999999999999996</v>
      </c>
      <c r="H64" s="10"/>
      <c r="I64" s="10">
        <f t="shared" si="8"/>
        <v>68.744634082660752</v>
      </c>
      <c r="J64" s="10">
        <f t="shared" si="6"/>
        <v>46886606.053307422</v>
      </c>
      <c r="K64" s="11">
        <f t="shared" si="7"/>
        <v>7.5488299999999953E-2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666510.53472</v>
      </c>
      <c r="D65" s="11">
        <v>2.24E-2</v>
      </c>
      <c r="E65" s="10">
        <f t="shared" si="2"/>
        <v>14602.734719999949</v>
      </c>
      <c r="F65" s="3"/>
      <c r="G65" s="26">
        <v>1.1000000000000001</v>
      </c>
      <c r="H65" s="10"/>
      <c r="I65" s="10">
        <f t="shared" si="8"/>
        <v>65.4087859968228</v>
      </c>
      <c r="J65" s="10">
        <f t="shared" si="6"/>
        <v>43595644.93012841</v>
      </c>
      <c r="K65" s="11">
        <f t="shared" si="7"/>
        <v>3.3646399999999854E-2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651907.80000000005</v>
      </c>
      <c r="D66" s="11">
        <v>2.0199999999999999E-2</v>
      </c>
      <c r="E66" s="10">
        <f t="shared" si="2"/>
        <v>12907.800000000047</v>
      </c>
      <c r="F66" s="23">
        <f>SUM(F2)</f>
        <v>2950683</v>
      </c>
      <c r="G66" s="26">
        <v>3.6</v>
      </c>
      <c r="H66" s="10"/>
      <c r="I66" s="10">
        <f t="shared" si="8"/>
        <v>64.697117702099703</v>
      </c>
      <c r="J66" s="10">
        <f t="shared" ref="J66:J67" si="9">IF(I66="","",I66*C66)</f>
        <v>42176555.667516872</v>
      </c>
      <c r="K66" s="11">
        <f t="shared" ref="K66" si="10">IFERROR(J66/J67-1,"")</f>
        <v>5.6927200000000067E-2</v>
      </c>
    </row>
    <row r="67" spans="1:11" ht="22.5" customHeight="1">
      <c r="A67" s="3">
        <f t="shared" si="0"/>
        <v>1950</v>
      </c>
      <c r="B67" s="3">
        <v>1700</v>
      </c>
      <c r="C67" s="10">
        <v>639000</v>
      </c>
      <c r="D67" s="11">
        <v>1.7100000000000001E-2</v>
      </c>
      <c r="E67" s="3" t="s">
        <v>72</v>
      </c>
      <c r="F67" s="10">
        <f>SUM(C2)</f>
        <v>2950736.8483975697</v>
      </c>
      <c r="G67" s="26">
        <v>0.5</v>
      </c>
      <c r="H67" s="10"/>
      <c r="I67" s="10">
        <f t="shared" ref="I67" si="11">IF(H67&lt;&gt;"",H67,I66/(1+IF(G66="",0,G66)/100))</f>
        <v>62.448955310907046</v>
      </c>
      <c r="J67" s="10">
        <f t="shared" si="9"/>
        <v>39904882.443669602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</sheetData>
  <dataValidations count="1">
    <dataValidation type="custom" allowBlank="1" showDropDown="1" sqref="D2:D67" xr:uid="{00000000-0002-0000-A5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M68"/>
  <sheetViews>
    <sheetView workbookViewId="0">
      <selection activeCell="H26" sqref="H2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140078910.17877722</v>
      </c>
      <c r="D2" s="11">
        <v>2.1100000000000001E-2</v>
      </c>
      <c r="E2" s="10">
        <f t="shared" ref="E2:E66" si="2">SUM(C2-C3)</f>
        <v>2894589.1732172966</v>
      </c>
      <c r="F2" s="14">
        <v>140080976</v>
      </c>
      <c r="G2" s="29">
        <v>4.22</v>
      </c>
      <c r="H2" s="10"/>
      <c r="I2" s="10">
        <f>IF(H2&lt;&gt;"",H2,17808)</f>
        <v>2226</v>
      </c>
      <c r="J2" s="10">
        <f t="shared" ref="J2:J33" si="3">IF(I2="","",I2*C2)</f>
        <v>311815654057.95807</v>
      </c>
      <c r="K2" s="11">
        <f t="shared" ref="K2:K33" si="4">IFERROR(J2/J3-1,"")</f>
        <v>6.4190419999999859E-2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137184321.00555992</v>
      </c>
      <c r="D3" s="11">
        <v>2.12E-2</v>
      </c>
      <c r="E3" s="10">
        <f t="shared" si="2"/>
        <v>2847931.4583998024</v>
      </c>
      <c r="F3" s="3"/>
      <c r="G3" s="29">
        <v>4.12</v>
      </c>
      <c r="H3" s="10"/>
      <c r="I3" s="10">
        <f t="shared" ref="I3:I34" si="5">IF(H3&lt;&gt;"",H3,I2/(1+IF(G2="",0,G2)/100))</f>
        <v>2135.866436384571</v>
      </c>
      <c r="J3" s="10">
        <f t="shared" si="3"/>
        <v>293007386833.9823</v>
      </c>
      <c r="K3" s="11">
        <f t="shared" si="4"/>
        <v>6.3273439999999903E-2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134336389.54716012</v>
      </c>
      <c r="D4" s="11">
        <v>2.1100000000000001E-2</v>
      </c>
      <c r="E4" s="10">
        <f t="shared" si="2"/>
        <v>2775925.7853736728</v>
      </c>
      <c r="F4" s="3"/>
      <c r="G4" s="29">
        <v>4.37</v>
      </c>
      <c r="H4" s="10"/>
      <c r="I4" s="10">
        <f t="shared" si="5"/>
        <v>2051.3507840804564</v>
      </c>
      <c r="J4" s="10">
        <f t="shared" si="3"/>
        <v>275571058028.10455</v>
      </c>
      <c r="K4" s="11">
        <f t="shared" si="4"/>
        <v>6.5722070000000077E-2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131560463.76178645</v>
      </c>
      <c r="D5" s="11">
        <v>2.12E-2</v>
      </c>
      <c r="E5" s="10">
        <f t="shared" si="2"/>
        <v>2731180.798815012</v>
      </c>
      <c r="F5" s="3"/>
      <c r="G5" s="29">
        <v>3.03</v>
      </c>
      <c r="H5" s="10"/>
      <c r="I5" s="10">
        <f t="shared" si="5"/>
        <v>1965.4601744566985</v>
      </c>
      <c r="J5" s="10">
        <f t="shared" si="3"/>
        <v>258576852056.84494</v>
      </c>
      <c r="K5" s="11">
        <f t="shared" si="4"/>
        <v>5.2142360000000165E-2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128829282.96297143</v>
      </c>
      <c r="D6" s="11">
        <v>2.2100000000000002E-2</v>
      </c>
      <c r="E6" s="10">
        <f t="shared" si="2"/>
        <v>2785566.1417490095</v>
      </c>
      <c r="F6" s="3"/>
      <c r="G6" s="29">
        <v>2.68</v>
      </c>
      <c r="H6" s="10"/>
      <c r="I6" s="10">
        <f t="shared" si="5"/>
        <v>1907.6581330260103</v>
      </c>
      <c r="J6" s="10">
        <f t="shared" si="3"/>
        <v>245762229416.22168</v>
      </c>
      <c r="K6" s="11">
        <f t="shared" si="4"/>
        <v>4.9492279999999944E-2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126043716.82122242</v>
      </c>
      <c r="D7" s="11">
        <v>2.3800000000000002E-2</v>
      </c>
      <c r="E7" s="10">
        <f t="shared" si="2"/>
        <v>2930103.9854904264</v>
      </c>
      <c r="F7" s="3"/>
      <c r="G7" s="29">
        <v>1.5</v>
      </c>
      <c r="H7" s="10"/>
      <c r="I7" s="10">
        <f t="shared" si="5"/>
        <v>1857.867289663041</v>
      </c>
      <c r="J7" s="10">
        <f t="shared" si="3"/>
        <v>234172498549.70035</v>
      </c>
      <c r="K7" s="11">
        <f t="shared" si="4"/>
        <v>3.9156999999999886E-2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123113612.835732</v>
      </c>
      <c r="D8" s="11">
        <v>2.5899999999999999E-2</v>
      </c>
      <c r="E8" s="10">
        <f t="shared" si="2"/>
        <v>3108141.7023544759</v>
      </c>
      <c r="F8" s="3"/>
      <c r="G8" s="29">
        <v>3.47</v>
      </c>
      <c r="H8" s="10"/>
      <c r="I8" s="10">
        <f t="shared" si="5"/>
        <v>1830.4111228207303</v>
      </c>
      <c r="J8" s="10">
        <f t="shared" si="3"/>
        <v>225348526305.16888</v>
      </c>
      <c r="K8" s="11">
        <f t="shared" si="4"/>
        <v>6.1498730000000057E-2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120005471.13337752</v>
      </c>
      <c r="D9" s="11">
        <v>2.7799999999999998E-2</v>
      </c>
      <c r="E9" s="10">
        <f t="shared" si="2"/>
        <v>3245915.6426424384</v>
      </c>
      <c r="F9" s="3"/>
      <c r="G9" s="29">
        <v>2.12</v>
      </c>
      <c r="H9" s="10"/>
      <c r="I9" s="10">
        <f t="shared" si="5"/>
        <v>1769.0259232828166</v>
      </c>
      <c r="J9" s="10">
        <f t="shared" si="3"/>
        <v>212292789370.71255</v>
      </c>
      <c r="K9" s="11">
        <f t="shared" si="4"/>
        <v>4.9589360000000138E-2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116759555.49073508</v>
      </c>
      <c r="D10" s="11">
        <v>2.9000000000000001E-2</v>
      </c>
      <c r="E10" s="10">
        <f t="shared" si="2"/>
        <v>3290599.7174259573</v>
      </c>
      <c r="F10" s="3"/>
      <c r="G10" s="29">
        <v>4.4400000000000004</v>
      </c>
      <c r="H10" s="10"/>
      <c r="I10" s="10">
        <f t="shared" si="5"/>
        <v>1732.3011391331927</v>
      </c>
      <c r="J10" s="10">
        <f t="shared" si="3"/>
        <v>202262710981.28561</v>
      </c>
      <c r="K10" s="11">
        <f t="shared" si="4"/>
        <v>7.4687600000000076E-2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113468955.77330913</v>
      </c>
      <c r="D11" s="11">
        <v>2.9399999999999999E-2</v>
      </c>
      <c r="E11" s="10">
        <f t="shared" si="2"/>
        <v>3240710.4135761559</v>
      </c>
      <c r="F11" s="3"/>
      <c r="G11" s="29">
        <v>6.05</v>
      </c>
      <c r="H11" s="10"/>
      <c r="I11" s="10">
        <f t="shared" si="5"/>
        <v>1658.6567781819156</v>
      </c>
      <c r="J11" s="10">
        <f t="shared" si="3"/>
        <v>188206052606.62317</v>
      </c>
      <c r="K11" s="11">
        <f t="shared" si="4"/>
        <v>9.1678699999999891E-2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110228245.35973297</v>
      </c>
      <c r="D12" s="11">
        <v>2.92E-2</v>
      </c>
      <c r="E12" s="10">
        <f t="shared" si="2"/>
        <v>3127346.2538905889</v>
      </c>
      <c r="F12" s="3"/>
      <c r="G12" s="29">
        <v>7.28</v>
      </c>
      <c r="H12" s="10"/>
      <c r="I12" s="10">
        <f t="shared" si="5"/>
        <v>1564.0327941366484</v>
      </c>
      <c r="J12" s="10">
        <f t="shared" si="3"/>
        <v>172400590582.76321</v>
      </c>
      <c r="K12" s="11">
        <f t="shared" si="4"/>
        <v>0.10412576000000007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107100899.10584238</v>
      </c>
      <c r="D13" s="11">
        <v>2.87E-2</v>
      </c>
      <c r="E13" s="10">
        <f t="shared" si="2"/>
        <v>2988039.0826651752</v>
      </c>
      <c r="F13" s="3"/>
      <c r="G13" s="29">
        <v>7.83</v>
      </c>
      <c r="H13" s="10"/>
      <c r="I13" s="10">
        <f t="shared" si="5"/>
        <v>1457.8978319692844</v>
      </c>
      <c r="J13" s="10">
        <f t="shared" si="3"/>
        <v>156142168608.36868</v>
      </c>
      <c r="K13" s="11">
        <f t="shared" si="4"/>
        <v>0.10924721000000015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104112860.02317721</v>
      </c>
      <c r="D14" s="11">
        <v>2.8400000000000002E-2</v>
      </c>
      <c r="E14" s="10">
        <f t="shared" si="2"/>
        <v>2875150.9380185008</v>
      </c>
      <c r="F14" s="3"/>
      <c r="G14" s="29">
        <v>5.4</v>
      </c>
      <c r="H14" s="10"/>
      <c r="I14" s="10">
        <f t="shared" si="5"/>
        <v>1352.0336010101867</v>
      </c>
      <c r="J14" s="10">
        <f t="shared" si="3"/>
        <v>140764085048.60577</v>
      </c>
      <c r="K14" s="11">
        <f t="shared" si="4"/>
        <v>8.393359999999972E-2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101237709.08515871</v>
      </c>
      <c r="D15" s="11">
        <v>2.8400000000000002E-2</v>
      </c>
      <c r="E15" s="10">
        <f t="shared" si="2"/>
        <v>2795751.5927834511</v>
      </c>
      <c r="F15" s="3"/>
      <c r="G15" s="29">
        <v>2.59</v>
      </c>
      <c r="H15" s="10"/>
      <c r="I15" s="10">
        <f t="shared" si="5"/>
        <v>1282.764327334143</v>
      </c>
      <c r="J15" s="10">
        <f t="shared" si="3"/>
        <v>129864121795.47327</v>
      </c>
      <c r="K15" s="11">
        <f t="shared" si="4"/>
        <v>5.5035559999999872E-2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98441957.492375255</v>
      </c>
      <c r="D16" s="11">
        <v>2.8400000000000002E-2</v>
      </c>
      <c r="E16" s="10">
        <f t="shared" si="2"/>
        <v>2718544.9171367735</v>
      </c>
      <c r="F16" s="3"/>
      <c r="G16" s="29">
        <v>3.65</v>
      </c>
      <c r="H16" s="10"/>
      <c r="I16" s="10">
        <f t="shared" si="5"/>
        <v>1250.3794983274618</v>
      </c>
      <c r="J16" s="10">
        <f t="shared" si="3"/>
        <v>123089805423.68948</v>
      </c>
      <c r="K16" s="11">
        <f t="shared" si="4"/>
        <v>6.5936599999999901E-2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95723412.575238481</v>
      </c>
      <c r="D17" s="11">
        <v>2.8299999999999999E-2</v>
      </c>
      <c r="E17" s="10">
        <f t="shared" si="2"/>
        <v>2634418.531439513</v>
      </c>
      <c r="F17" s="3"/>
      <c r="G17" s="29">
        <v>4.26</v>
      </c>
      <c r="H17" s="10"/>
      <c r="I17" s="10">
        <f t="shared" si="5"/>
        <v>1206.347803499722</v>
      </c>
      <c r="J17" s="10">
        <f t="shared" si="3"/>
        <v>115475728503.63661</v>
      </c>
      <c r="K17" s="11">
        <f t="shared" si="4"/>
        <v>7.2105579999999891E-2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93088994.043798968</v>
      </c>
      <c r="D18" s="11">
        <v>2.8199999999999999E-2</v>
      </c>
      <c r="E18" s="10">
        <f t="shared" si="2"/>
        <v>2553111.8771008849</v>
      </c>
      <c r="F18" s="3"/>
      <c r="G18" s="29">
        <v>3.66</v>
      </c>
      <c r="H18" s="10"/>
      <c r="I18" s="10">
        <f t="shared" si="5"/>
        <v>1157.0571681370823</v>
      </c>
      <c r="J18" s="10">
        <f t="shared" si="3"/>
        <v>107709287833.04776</v>
      </c>
      <c r="K18" s="11">
        <f t="shared" si="4"/>
        <v>6.5832120000000049E-2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90535882.166698083</v>
      </c>
      <c r="D19" s="11">
        <v>2.8400000000000002E-2</v>
      </c>
      <c r="E19" s="10">
        <f t="shared" si="2"/>
        <v>2500213.0042145252</v>
      </c>
      <c r="F19" s="3"/>
      <c r="G19" s="29">
        <v>2.5499999999999998</v>
      </c>
      <c r="H19" s="10"/>
      <c r="I19" s="10">
        <f t="shared" si="5"/>
        <v>1116.2040981449761</v>
      </c>
      <c r="J19" s="10">
        <f t="shared" si="3"/>
        <v>101056522703.63905</v>
      </c>
      <c r="K19" s="11">
        <f t="shared" si="4"/>
        <v>5.4624199999999901E-2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88035669.162483558</v>
      </c>
      <c r="D20" s="11">
        <v>2.8899999999999999E-2</v>
      </c>
      <c r="E20" s="10">
        <f t="shared" si="2"/>
        <v>2472767.8479888886</v>
      </c>
      <c r="F20" s="3"/>
      <c r="G20" s="29">
        <v>1.01</v>
      </c>
      <c r="H20" s="10"/>
      <c r="I20" s="10">
        <f t="shared" si="5"/>
        <v>1088.4486573817417</v>
      </c>
      <c r="J20" s="10">
        <f t="shared" si="3"/>
        <v>95822305901.608429</v>
      </c>
      <c r="K20" s="11">
        <f t="shared" si="4"/>
        <v>3.9291889999999885E-2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85562901.314494669</v>
      </c>
      <c r="D21" s="11">
        <v>2.9499999999999998E-2</v>
      </c>
      <c r="E21" s="10">
        <f t="shared" si="2"/>
        <v>2451778.1338296235</v>
      </c>
      <c r="F21" s="3"/>
      <c r="G21" s="29">
        <v>4.8499999999999996</v>
      </c>
      <c r="H21" s="10"/>
      <c r="I21" s="10">
        <f t="shared" si="5"/>
        <v>1077.5652483731726</v>
      </c>
      <c r="J21" s="10">
        <f t="shared" si="3"/>
        <v>92199609006.482712</v>
      </c>
      <c r="K21" s="11">
        <f t="shared" si="4"/>
        <v>7.9430749999999994E-2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83111123.180665046</v>
      </c>
      <c r="D22" s="11">
        <v>3.0200000000000001E-2</v>
      </c>
      <c r="E22" s="10">
        <f t="shared" si="2"/>
        <v>2436377.3248457462</v>
      </c>
      <c r="F22" s="3"/>
      <c r="G22" s="29">
        <v>4.96</v>
      </c>
      <c r="H22" s="10"/>
      <c r="I22" s="10">
        <f t="shared" si="5"/>
        <v>1027.7207900554818</v>
      </c>
      <c r="J22" s="10">
        <f t="shared" si="3"/>
        <v>85415029177.631546</v>
      </c>
      <c r="K22" s="11">
        <f t="shared" si="4"/>
        <v>8.1297920000000135E-2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80674745.8558193</v>
      </c>
      <c r="D23" s="11">
        <v>3.09E-2</v>
      </c>
      <c r="E23" s="10">
        <f t="shared" si="2"/>
        <v>2418129.4470315427</v>
      </c>
      <c r="F23" s="3"/>
      <c r="G23" s="29">
        <v>3.74</v>
      </c>
      <c r="H23" s="10"/>
      <c r="I23" s="10">
        <f t="shared" si="5"/>
        <v>979.15471613517684</v>
      </c>
      <c r="J23" s="10">
        <f t="shared" si="3"/>
        <v>78993057877.732285</v>
      </c>
      <c r="K23" s="11">
        <f t="shared" si="4"/>
        <v>6.945566000000003E-2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78256616.408787757</v>
      </c>
      <c r="D24" s="11">
        <v>3.15E-2</v>
      </c>
      <c r="E24" s="10">
        <f t="shared" si="2"/>
        <v>2389804.5728325993</v>
      </c>
      <c r="F24" s="3"/>
      <c r="G24" s="29">
        <v>1.76</v>
      </c>
      <c r="H24" s="10"/>
      <c r="I24" s="10">
        <f t="shared" si="5"/>
        <v>943.85455575012213</v>
      </c>
      <c r="J24" s="10">
        <f t="shared" si="3"/>
        <v>73862863915.024094</v>
      </c>
      <c r="K24" s="11">
        <f t="shared" si="4"/>
        <v>4.9654400000000321E-2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75866811.835955158</v>
      </c>
      <c r="D25" s="11">
        <v>3.2099999999999997E-2</v>
      </c>
      <c r="E25" s="10">
        <f t="shared" si="2"/>
        <v>2359582.0753165036</v>
      </c>
      <c r="F25" s="3"/>
      <c r="G25" s="29">
        <v>7.71</v>
      </c>
      <c r="H25" s="10"/>
      <c r="I25" s="10">
        <f t="shared" si="5"/>
        <v>927.53002727016712</v>
      </c>
      <c r="J25" s="10">
        <f t="shared" si="3"/>
        <v>70368746051.104126</v>
      </c>
      <c r="K25" s="11">
        <f t="shared" si="4"/>
        <v>0.11167491000000007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73507229.760638654</v>
      </c>
      <c r="D26" s="11">
        <v>3.2399999999999998E-2</v>
      </c>
      <c r="E26" s="10">
        <f t="shared" si="2"/>
        <v>2306890.9766027629</v>
      </c>
      <c r="F26" s="3"/>
      <c r="G26" s="29">
        <v>5.0599999999999996</v>
      </c>
      <c r="H26" s="10"/>
      <c r="I26" s="10">
        <f t="shared" si="5"/>
        <v>861.13641005493196</v>
      </c>
      <c r="J26" s="10">
        <f t="shared" si="3"/>
        <v>63299751949.159424</v>
      </c>
      <c r="K26" s="11">
        <f t="shared" si="4"/>
        <v>8.4639439999999899E-2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71200338.784035891</v>
      </c>
      <c r="D27" s="11">
        <v>3.2599999999999997E-2</v>
      </c>
      <c r="E27" s="10">
        <f t="shared" si="2"/>
        <v>2247851.0985469371</v>
      </c>
      <c r="F27" s="3"/>
      <c r="G27" s="29">
        <v>-2.46</v>
      </c>
      <c r="H27" s="10"/>
      <c r="I27" s="10">
        <f t="shared" si="5"/>
        <v>819.66153631727775</v>
      </c>
      <c r="J27" s="10">
        <f t="shared" si="3"/>
        <v>58360179074.033516</v>
      </c>
      <c r="K27" s="11">
        <f t="shared" si="4"/>
        <v>7.1980400000000166E-3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68952487.685488954</v>
      </c>
      <c r="D28" s="11">
        <v>3.2599999999999997E-2</v>
      </c>
      <c r="E28" s="10">
        <f t="shared" si="2"/>
        <v>2176884.6586741656</v>
      </c>
      <c r="F28" s="3"/>
      <c r="G28" s="29">
        <v>4.96</v>
      </c>
      <c r="H28" s="10"/>
      <c r="I28" s="10">
        <f t="shared" si="5"/>
        <v>840.33374648070298</v>
      </c>
      <c r="J28" s="10">
        <f t="shared" si="3"/>
        <v>57943102305.911469</v>
      </c>
      <c r="K28" s="11">
        <f t="shared" si="4"/>
        <v>8.3816960000000051E-2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66775603.026814789</v>
      </c>
      <c r="D29" s="11">
        <v>3.2599999999999997E-2</v>
      </c>
      <c r="E29" s="10">
        <f t="shared" si="2"/>
        <v>2108158.6855260134</v>
      </c>
      <c r="F29" s="3"/>
      <c r="G29" s="29">
        <v>7.63</v>
      </c>
      <c r="H29" s="10"/>
      <c r="I29" s="10">
        <f t="shared" si="5"/>
        <v>800.62285297323069</v>
      </c>
      <c r="J29" s="10">
        <f t="shared" si="3"/>
        <v>53462073804.336357</v>
      </c>
      <c r="K29" s="11">
        <f t="shared" si="4"/>
        <v>0.11138738000000004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64667444.341288775</v>
      </c>
      <c r="D30" s="11">
        <v>3.2599999999999997E-2</v>
      </c>
      <c r="E30" s="10">
        <f t="shared" si="2"/>
        <v>2041602.4457931519</v>
      </c>
      <c r="F30" s="3"/>
      <c r="G30" s="29">
        <v>6.45</v>
      </c>
      <c r="H30" s="10"/>
      <c r="I30" s="10">
        <f t="shared" si="5"/>
        <v>743.86588588054508</v>
      </c>
      <c r="J30" s="10">
        <f t="shared" si="3"/>
        <v>48103905772.563614</v>
      </c>
      <c r="K30" s="11">
        <f t="shared" si="4"/>
        <v>9.9202699999999977E-2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62625841.895495623</v>
      </c>
      <c r="D31" s="11">
        <v>3.2500000000000001E-2</v>
      </c>
      <c r="E31" s="10">
        <f t="shared" si="2"/>
        <v>1971273.4737080932</v>
      </c>
      <c r="F31" s="3"/>
      <c r="G31" s="29">
        <v>5.5</v>
      </c>
      <c r="H31" s="10"/>
      <c r="I31" s="10">
        <f t="shared" si="5"/>
        <v>698.79369270131053</v>
      </c>
      <c r="J31" s="10">
        <f t="shared" si="3"/>
        <v>43762543316.681824</v>
      </c>
      <c r="K31" s="11">
        <f t="shared" si="4"/>
        <v>8.9287499999999742E-2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60654568.42178753</v>
      </c>
      <c r="D32" s="11">
        <v>3.2399999999999998E-2</v>
      </c>
      <c r="E32" s="10">
        <f t="shared" si="2"/>
        <v>1903533.5304784179</v>
      </c>
      <c r="F32" s="3"/>
      <c r="G32" s="29">
        <v>7.59</v>
      </c>
      <c r="H32" s="10"/>
      <c r="I32" s="10">
        <f t="shared" si="5"/>
        <v>662.36368976427548</v>
      </c>
      <c r="J32" s="10">
        <f t="shared" si="3"/>
        <v>40175383740.914894</v>
      </c>
      <c r="K32" s="11">
        <f t="shared" si="4"/>
        <v>0.11075916000000019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58751034.891309112</v>
      </c>
      <c r="D33" s="11">
        <v>3.2000000000000001E-2</v>
      </c>
      <c r="E33" s="10">
        <f t="shared" si="2"/>
        <v>1821737.5160095841</v>
      </c>
      <c r="F33" s="3"/>
      <c r="G33" s="29">
        <v>5.07</v>
      </c>
      <c r="H33" s="10"/>
      <c r="I33" s="10">
        <f t="shared" si="5"/>
        <v>615.63685264827166</v>
      </c>
      <c r="J33" s="10">
        <f t="shared" si="3"/>
        <v>36169302210.314331</v>
      </c>
      <c r="K33" s="11">
        <f t="shared" si="4"/>
        <v>8.432240000000002E-2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56929297.375299528</v>
      </c>
      <c r="D34" s="11">
        <v>3.1199999999999999E-2</v>
      </c>
      <c r="E34" s="10">
        <f t="shared" si="2"/>
        <v>1722453.5280346572</v>
      </c>
      <c r="F34" s="3"/>
      <c r="G34" s="29">
        <v>5.48</v>
      </c>
      <c r="H34" s="10"/>
      <c r="I34" s="10">
        <f t="shared" si="5"/>
        <v>585.93019191802762</v>
      </c>
      <c r="J34" s="10">
        <f t="shared" ref="J34:J65" si="6">IF(I34="","",I34*C34)</f>
        <v>33356594136.867718</v>
      </c>
      <c r="K34" s="11">
        <f t="shared" ref="K34:K65" si="7">IFERROR(J34/J35-1,"")</f>
        <v>0.10111535999999988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55206843.847264871</v>
      </c>
      <c r="D35" s="11">
        <v>3.0300000000000001E-2</v>
      </c>
      <c r="E35" s="10">
        <f t="shared" si="2"/>
        <v>1623573.1035350114</v>
      </c>
      <c r="F35" s="3"/>
      <c r="G35" s="29">
        <v>3.84</v>
      </c>
      <c r="H35" s="10"/>
      <c r="I35" s="10">
        <f t="shared" ref="I35:I66" si="8">IF(H35&lt;&gt;"",H35,I34/(1+IF(G34="",0,G34)/100))</f>
        <v>548.72653298185764</v>
      </c>
      <c r="J35" s="10">
        <f t="shared" si="6"/>
        <v>30293460021.18045</v>
      </c>
      <c r="K35" s="11">
        <f t="shared" si="7"/>
        <v>9.7681619999999914E-2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53583270.74372986</v>
      </c>
      <c r="D36" s="11">
        <v>2.9399999999999999E-2</v>
      </c>
      <c r="E36" s="10">
        <f t="shared" si="2"/>
        <v>1530355.7022203803</v>
      </c>
      <c r="F36" s="3"/>
      <c r="G36" s="29">
        <v>3.12</v>
      </c>
      <c r="H36" s="10"/>
      <c r="I36" s="10">
        <f t="shared" si="8"/>
        <v>515.04273792177366</v>
      </c>
      <c r="J36" s="10">
        <f t="shared" si="6"/>
        <v>27597674470.654301</v>
      </c>
      <c r="K36" s="11">
        <f t="shared" si="7"/>
        <v>0.11092847999999988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52052915.041509479</v>
      </c>
      <c r="D37" s="11">
        <v>2.87E-2</v>
      </c>
      <c r="E37" s="10">
        <f t="shared" si="2"/>
        <v>1452239.391164884</v>
      </c>
      <c r="F37" s="3"/>
      <c r="G37" s="29">
        <v>4.92</v>
      </c>
      <c r="H37" s="10"/>
      <c r="I37" s="10">
        <f t="shared" si="8"/>
        <v>477.2449387711024</v>
      </c>
      <c r="J37" s="10">
        <f t="shared" si="6"/>
        <v>24841990251.842587</v>
      </c>
      <c r="K37" s="11">
        <f t="shared" si="7"/>
        <v>0.13383314000000013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50600675.650344595</v>
      </c>
      <c r="D38" s="11">
        <v>2.81E-2</v>
      </c>
      <c r="E38" s="10">
        <f t="shared" si="2"/>
        <v>1383016.2297195643</v>
      </c>
      <c r="F38" s="3"/>
      <c r="G38" s="29">
        <v>0.06</v>
      </c>
      <c r="H38" s="10"/>
      <c r="I38" s="10">
        <f t="shared" si="8"/>
        <v>432.99304914816037</v>
      </c>
      <c r="J38" s="10">
        <f t="shared" si="6"/>
        <v>21909740838.799778</v>
      </c>
      <c r="K38" s="11">
        <f t="shared" si="7"/>
        <v>6.6756559999999965E-2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49217659.420625031</v>
      </c>
      <c r="D39" s="11">
        <v>2.76E-2</v>
      </c>
      <c r="E39" s="10">
        <f t="shared" si="2"/>
        <v>1321922.3433332592</v>
      </c>
      <c r="F39" s="3"/>
      <c r="G39" s="29">
        <v>8.0500000000000007</v>
      </c>
      <c r="H39" s="10"/>
      <c r="I39" s="10">
        <f t="shared" si="8"/>
        <v>417.30247604872818</v>
      </c>
      <c r="J39" s="10">
        <f t="shared" si="6"/>
        <v>20538651141.549839</v>
      </c>
      <c r="K39" s="11">
        <f t="shared" si="7"/>
        <v>0.11032180000000036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47895737.077291772</v>
      </c>
      <c r="D40" s="11">
        <v>2.7099999999999999E-2</v>
      </c>
      <c r="E40" s="10">
        <f t="shared" si="2"/>
        <v>1263727.4606120139</v>
      </c>
      <c r="F40" s="3"/>
      <c r="G40" s="29">
        <v>3.95</v>
      </c>
      <c r="H40" s="10"/>
      <c r="I40" s="10">
        <f t="shared" si="8"/>
        <v>386.21237949905429</v>
      </c>
      <c r="J40" s="10">
        <f t="shared" si="6"/>
        <v>18497926584.481934</v>
      </c>
      <c r="K40" s="11">
        <f t="shared" si="7"/>
        <v>6.7670449999999827E-2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46632009.616679758</v>
      </c>
      <c r="D41" s="11">
        <v>2.6700000000000002E-2</v>
      </c>
      <c r="E41" s="10">
        <f t="shared" si="2"/>
        <v>1212695.6820544899</v>
      </c>
      <c r="F41" s="3"/>
      <c r="G41" s="29">
        <v>5.16</v>
      </c>
      <c r="H41" s="10"/>
      <c r="I41" s="10">
        <f t="shared" si="8"/>
        <v>371.53668061477083</v>
      </c>
      <c r="J41" s="10">
        <f t="shared" si="6"/>
        <v>17325502063.37727</v>
      </c>
      <c r="K41" s="11">
        <f t="shared" si="7"/>
        <v>7.9677720000000063E-2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45419313.934625268</v>
      </c>
      <c r="D42" s="11">
        <v>2.64E-2</v>
      </c>
      <c r="E42" s="10">
        <f t="shared" si="2"/>
        <v>1168228.6514751613</v>
      </c>
      <c r="F42" s="3"/>
      <c r="G42" s="29">
        <v>1.21</v>
      </c>
      <c r="H42" s="10"/>
      <c r="I42" s="10">
        <f t="shared" si="8"/>
        <v>353.30608654885015</v>
      </c>
      <c r="J42" s="10">
        <f t="shared" si="6"/>
        <v>16046920059.97611</v>
      </c>
      <c r="K42" s="11">
        <f t="shared" si="7"/>
        <v>3.8819439999999927E-2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44251085.283150107</v>
      </c>
      <c r="D43" s="11">
        <v>2.63E-2</v>
      </c>
      <c r="E43" s="10">
        <f t="shared" si="2"/>
        <v>1133979.8723052219</v>
      </c>
      <c r="F43" s="3"/>
      <c r="G43" s="29">
        <v>3.54</v>
      </c>
      <c r="H43" s="10"/>
      <c r="I43" s="10">
        <f t="shared" si="8"/>
        <v>349.08219202534349</v>
      </c>
      <c r="J43" s="10">
        <f t="shared" si="6"/>
        <v>15447265850.142456</v>
      </c>
      <c r="K43" s="11">
        <f t="shared" si="7"/>
        <v>6.2631020000000204E-2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43117105.410844885</v>
      </c>
      <c r="D44" s="11">
        <v>2.63E-2</v>
      </c>
      <c r="E44" s="10">
        <f t="shared" si="2"/>
        <v>1104920.4640994072</v>
      </c>
      <c r="F44" s="3"/>
      <c r="G44" s="29">
        <v>7.06</v>
      </c>
      <c r="H44" s="10"/>
      <c r="I44" s="10">
        <f t="shared" si="8"/>
        <v>337.14718178997822</v>
      </c>
      <c r="J44" s="10">
        <f t="shared" si="6"/>
        <v>14536810576.207773</v>
      </c>
      <c r="K44" s="11">
        <f t="shared" si="7"/>
        <v>9.8756779999999988E-2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42012184.946745478</v>
      </c>
      <c r="D45" s="11">
        <v>2.63E-2</v>
      </c>
      <c r="E45" s="10">
        <f t="shared" si="2"/>
        <v>1076605.7333132699</v>
      </c>
      <c r="F45" s="3"/>
      <c r="G45" s="29">
        <v>0.81</v>
      </c>
      <c r="H45" s="10"/>
      <c r="I45" s="10">
        <f t="shared" si="8"/>
        <v>314.91423668034582</v>
      </c>
      <c r="J45" s="10">
        <f t="shared" si="6"/>
        <v>13230235153.777866</v>
      </c>
      <c r="K45" s="11">
        <f t="shared" si="7"/>
        <v>3.4613030000000045E-2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40935579.213432208</v>
      </c>
      <c r="D46" s="11">
        <v>2.6200000000000001E-2</v>
      </c>
      <c r="E46" s="10">
        <f t="shared" si="2"/>
        <v>1045129.7752795964</v>
      </c>
      <c r="F46" s="3"/>
      <c r="G46" s="29">
        <v>0.47</v>
      </c>
      <c r="H46" s="10"/>
      <c r="I46" s="10">
        <f t="shared" si="8"/>
        <v>312.38392687267714</v>
      </c>
      <c r="J46" s="10">
        <f t="shared" si="6"/>
        <v>12787616983.499489</v>
      </c>
      <c r="K46" s="11">
        <f t="shared" si="7"/>
        <v>3.1023139999999838E-2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39890449.438152611</v>
      </c>
      <c r="D47" s="11">
        <v>2.5899999999999999E-2</v>
      </c>
      <c r="E47" s="10">
        <f t="shared" si="2"/>
        <v>1007079.286917001</v>
      </c>
      <c r="F47" s="3"/>
      <c r="G47" s="29">
        <v>11.35</v>
      </c>
      <c r="H47" s="10"/>
      <c r="I47" s="10">
        <f t="shared" si="8"/>
        <v>310.92259069640409</v>
      </c>
      <c r="J47" s="10">
        <f t="shared" si="6"/>
        <v>12402841883.354326</v>
      </c>
      <c r="K47" s="11">
        <f t="shared" si="7"/>
        <v>0.14233964999999982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38883370.15123561</v>
      </c>
      <c r="D48" s="11">
        <v>2.53E-2</v>
      </c>
      <c r="E48" s="10">
        <f t="shared" si="2"/>
        <v>959474.55849631131</v>
      </c>
      <c r="F48" s="3"/>
      <c r="G48" s="29">
        <v>5.51</v>
      </c>
      <c r="H48" s="10"/>
      <c r="I48" s="10">
        <f t="shared" si="8"/>
        <v>279.22998715438177</v>
      </c>
      <c r="J48" s="10">
        <f t="shared" si="6"/>
        <v>10857402947.848591</v>
      </c>
      <c r="K48" s="11">
        <f t="shared" si="7"/>
        <v>8.1794029999999962E-2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37923895.592739299</v>
      </c>
      <c r="D49" s="11">
        <v>2.4500000000000001E-2</v>
      </c>
      <c r="E49" s="10">
        <f t="shared" si="2"/>
        <v>906916.00002158433</v>
      </c>
      <c r="F49" s="3"/>
      <c r="G49" s="29">
        <v>7.23</v>
      </c>
      <c r="H49" s="10"/>
      <c r="I49" s="10">
        <f t="shared" si="8"/>
        <v>264.64788849813459</v>
      </c>
      <c r="J49" s="10">
        <f t="shared" si="6"/>
        <v>10036478892.242168</v>
      </c>
      <c r="K49" s="11">
        <f t="shared" si="7"/>
        <v>9.857135000000028E-2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37016979.592717715</v>
      </c>
      <c r="D50" s="11">
        <v>2.3400000000000001E-2</v>
      </c>
      <c r="E50" s="10">
        <f t="shared" si="2"/>
        <v>846391.75539339334</v>
      </c>
      <c r="F50" s="3"/>
      <c r="G50" s="29">
        <v>5.4</v>
      </c>
      <c r="H50" s="10"/>
      <c r="I50" s="10">
        <f t="shared" si="8"/>
        <v>246.80396204246441</v>
      </c>
      <c r="J50" s="10">
        <f t="shared" si="6"/>
        <v>9135937226.3277817</v>
      </c>
      <c r="K50" s="11">
        <f t="shared" si="7"/>
        <v>7.8663600000000056E-2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36170587.837324321</v>
      </c>
      <c r="D51" s="11">
        <v>2.2200000000000001E-2</v>
      </c>
      <c r="E51" s="10">
        <f t="shared" si="2"/>
        <v>785547.88689943403</v>
      </c>
      <c r="F51" s="3"/>
      <c r="G51" s="29">
        <v>5.79</v>
      </c>
      <c r="H51" s="10"/>
      <c r="I51" s="10">
        <f t="shared" si="8"/>
        <v>234.15935677653169</v>
      </c>
      <c r="J51" s="10">
        <f t="shared" si="6"/>
        <v>8469681582.2169037</v>
      </c>
      <c r="K51" s="11">
        <f t="shared" si="7"/>
        <v>8.1385380000000174E-2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35385039.950424887</v>
      </c>
      <c r="D52" s="11">
        <v>2.12E-2</v>
      </c>
      <c r="E52" s="10">
        <f t="shared" si="2"/>
        <v>734589.54852037877</v>
      </c>
      <c r="F52" s="3"/>
      <c r="G52" s="29">
        <v>10.42</v>
      </c>
      <c r="H52" s="10"/>
      <c r="I52" s="10">
        <f t="shared" si="8"/>
        <v>221.34356439789363</v>
      </c>
      <c r="J52" s="10">
        <f t="shared" si="6"/>
        <v>7832250868.9889097</v>
      </c>
      <c r="K52" s="11">
        <f t="shared" si="7"/>
        <v>0.12760904000000006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34650450.401904508</v>
      </c>
      <c r="D53" s="11">
        <v>2.0500000000000001E-2</v>
      </c>
      <c r="E53" s="10">
        <f t="shared" si="2"/>
        <v>696064.90273301303</v>
      </c>
      <c r="F53" s="3"/>
      <c r="G53" s="29">
        <v>7.57</v>
      </c>
      <c r="H53" s="10"/>
      <c r="I53" s="10">
        <f t="shared" si="8"/>
        <v>200.45604455523784</v>
      </c>
      <c r="J53" s="10">
        <f t="shared" si="6"/>
        <v>6945892229.623229</v>
      </c>
      <c r="K53" s="11">
        <f t="shared" si="7"/>
        <v>9.7751850000000085E-2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33954385.499171495</v>
      </c>
      <c r="D54" s="11">
        <v>2.01E-2</v>
      </c>
      <c r="E54" s="10">
        <f t="shared" si="2"/>
        <v>669035.53429403529</v>
      </c>
      <c r="F54" s="3"/>
      <c r="G54" s="29">
        <v>8.69</v>
      </c>
      <c r="H54" s="10"/>
      <c r="I54" s="10">
        <f t="shared" si="8"/>
        <v>186.34939532884431</v>
      </c>
      <c r="J54" s="10">
        <f t="shared" si="6"/>
        <v>6327379206.5330877</v>
      </c>
      <c r="K54" s="11">
        <f t="shared" si="7"/>
        <v>0.10874668999999981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33285349.96487746</v>
      </c>
      <c r="D55" s="11">
        <v>1.9699999999999999E-2</v>
      </c>
      <c r="E55" s="10">
        <f t="shared" si="2"/>
        <v>643053.2453742139</v>
      </c>
      <c r="F55" s="3"/>
      <c r="G55" s="29">
        <v>4.4800000000000004</v>
      </c>
      <c r="H55" s="10"/>
      <c r="I55" s="10">
        <f t="shared" si="8"/>
        <v>171.45035912121108</v>
      </c>
      <c r="J55" s="10">
        <f t="shared" si="6"/>
        <v>5706785204.9534311</v>
      </c>
      <c r="K55" s="11">
        <f t="shared" si="7"/>
        <v>6.5382559999999756E-2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32642296.719503246</v>
      </c>
      <c r="D56" s="11">
        <v>1.9199999999999998E-2</v>
      </c>
      <c r="E56" s="10">
        <f t="shared" si="2"/>
        <v>614925.52689802274</v>
      </c>
      <c r="F56" s="3"/>
      <c r="G56" s="29">
        <v>5.99</v>
      </c>
      <c r="H56" s="10"/>
      <c r="I56" s="10">
        <f t="shared" si="8"/>
        <v>164.09873575919897</v>
      </c>
      <c r="J56" s="10">
        <f t="shared" si="6"/>
        <v>5356559623.9471312</v>
      </c>
      <c r="K56" s="11">
        <f t="shared" si="7"/>
        <v>8.0250080000000112E-2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32027371.192605224</v>
      </c>
      <c r="D57" s="11">
        <v>1.8499999999999999E-2</v>
      </c>
      <c r="E57" s="10">
        <f t="shared" si="2"/>
        <v>581744.10119115934</v>
      </c>
      <c r="F57" s="3"/>
      <c r="G57" s="30">
        <v>4.8499999999999996</v>
      </c>
      <c r="H57" s="10"/>
      <c r="I57" s="10">
        <f t="shared" si="8"/>
        <v>154.82473418171429</v>
      </c>
      <c r="J57" s="10">
        <f t="shared" si="6"/>
        <v>4958629231.4341974</v>
      </c>
      <c r="K57" s="11">
        <f t="shared" si="7"/>
        <v>6.7897249999999909E-2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31445627.091414064</v>
      </c>
      <c r="D58" s="11">
        <v>1.7600000000000001E-2</v>
      </c>
      <c r="E58" s="10">
        <f t="shared" si="2"/>
        <v>543870.90881376714</v>
      </c>
      <c r="F58" s="3"/>
      <c r="G58" s="30">
        <v>0.98</v>
      </c>
      <c r="H58" s="10"/>
      <c r="I58" s="10">
        <f t="shared" si="8"/>
        <v>147.66307504216908</v>
      </c>
      <c r="J58" s="10">
        <f t="shared" si="6"/>
        <v>4643357992.9475403</v>
      </c>
      <c r="K58" s="11">
        <f t="shared" si="7"/>
        <v>2.7572480000000121E-2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30901756.182600297</v>
      </c>
      <c r="D59" s="11">
        <v>1.67E-2</v>
      </c>
      <c r="E59" s="10">
        <f t="shared" si="2"/>
        <v>507582.69720607996</v>
      </c>
      <c r="F59" s="3"/>
      <c r="G59" s="30">
        <v>1.46</v>
      </c>
      <c r="H59" s="10"/>
      <c r="I59" s="10">
        <f t="shared" si="8"/>
        <v>146.23002083795711</v>
      </c>
      <c r="J59" s="10">
        <f t="shared" si="6"/>
        <v>4518764450.5111113</v>
      </c>
      <c r="K59" s="11">
        <f t="shared" si="7"/>
        <v>3.1543819999999778E-2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30394173.485394217</v>
      </c>
      <c r="D60" s="11">
        <v>1.5900000000000001E-2</v>
      </c>
      <c r="E60" s="10">
        <f t="shared" si="2"/>
        <v>475703.67006375641</v>
      </c>
      <c r="F60" s="3"/>
      <c r="G60" s="30">
        <v>4.43</v>
      </c>
      <c r="H60" s="10"/>
      <c r="I60" s="10">
        <f t="shared" si="8"/>
        <v>144.12578438592266</v>
      </c>
      <c r="J60" s="10">
        <f t="shared" si="6"/>
        <v>4380584094.3442545</v>
      </c>
      <c r="K60" s="11">
        <f t="shared" si="7"/>
        <v>6.0904370000000041E-2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29918469.815330461</v>
      </c>
      <c r="D61" s="11">
        <v>1.52E-2</v>
      </c>
      <c r="E61" s="10">
        <f t="shared" si="2"/>
        <v>447951.87272756547</v>
      </c>
      <c r="F61" s="3"/>
      <c r="G61" s="30">
        <v>2.98</v>
      </c>
      <c r="H61" s="10"/>
      <c r="I61" s="10">
        <f t="shared" si="8"/>
        <v>138.01185903085576</v>
      </c>
      <c r="J61" s="10">
        <f t="shared" si="6"/>
        <v>4129103638.5723009</v>
      </c>
      <c r="K61" s="11">
        <f t="shared" si="7"/>
        <v>4.5452959999999987E-2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29470517.942602895</v>
      </c>
      <c r="D62" s="11">
        <v>1.47E-2</v>
      </c>
      <c r="E62" s="10">
        <f t="shared" si="2"/>
        <v>426940.58712551743</v>
      </c>
      <c r="F62" s="3"/>
      <c r="G62" s="30">
        <v>2.25</v>
      </c>
      <c r="H62" s="10"/>
      <c r="I62" s="10">
        <f t="shared" si="8"/>
        <v>134.01811908220603</v>
      </c>
      <c r="J62" s="10">
        <f t="shared" si="6"/>
        <v>3949583383.0460443</v>
      </c>
      <c r="K62" s="11">
        <f t="shared" si="7"/>
        <v>3.7530749999999946E-2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29043577.355477378</v>
      </c>
      <c r="D63" s="11">
        <v>1.4500000000000001E-2</v>
      </c>
      <c r="E63" s="10">
        <f t="shared" si="2"/>
        <v>415112.73696837947</v>
      </c>
      <c r="F63" s="3"/>
      <c r="G63" s="30">
        <v>2.33</v>
      </c>
      <c r="H63" s="10"/>
      <c r="I63" s="10">
        <f t="shared" si="8"/>
        <v>131.06906511707191</v>
      </c>
      <c r="J63" s="10">
        <f t="shared" si="6"/>
        <v>3806714531.6377797</v>
      </c>
      <c r="K63" s="11">
        <f t="shared" si="7"/>
        <v>3.8137850000000029E-2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28628464.618508998</v>
      </c>
      <c r="D64" s="11">
        <v>1.46E-2</v>
      </c>
      <c r="E64" s="10">
        <f t="shared" si="2"/>
        <v>411960.9535089992</v>
      </c>
      <c r="F64" s="3"/>
      <c r="G64" s="30">
        <v>9.42</v>
      </c>
      <c r="H64" s="10"/>
      <c r="I64" s="10">
        <f t="shared" si="8"/>
        <v>128.08469179817445</v>
      </c>
      <c r="J64" s="10">
        <f t="shared" si="6"/>
        <v>3666868067.3166666</v>
      </c>
      <c r="K64" s="11">
        <f t="shared" si="7"/>
        <v>0.11017531999999997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28216503.664999999</v>
      </c>
      <c r="D65" s="11">
        <v>1.4999999999999999E-2</v>
      </c>
      <c r="E65" s="10">
        <f t="shared" si="2"/>
        <v>416992.66499999911</v>
      </c>
      <c r="F65" s="3"/>
      <c r="G65" s="30">
        <v>0.38</v>
      </c>
      <c r="H65" s="10"/>
      <c r="I65" s="10">
        <f t="shared" si="8"/>
        <v>117.05784298864415</v>
      </c>
      <c r="J65" s="10">
        <f t="shared" si="6"/>
        <v>3302963055.7060723</v>
      </c>
      <c r="K65" s="11">
        <f t="shared" si="7"/>
        <v>1.8856999999999902E-2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27799511</v>
      </c>
      <c r="D66" s="11">
        <v>1.5599999999999999E-2</v>
      </c>
      <c r="E66" s="10">
        <f t="shared" si="2"/>
        <v>427011</v>
      </c>
      <c r="F66" s="23">
        <f>SUM(F2)</f>
        <v>140080976</v>
      </c>
      <c r="G66" s="30">
        <v>-3.23</v>
      </c>
      <c r="H66" s="10"/>
      <c r="I66" s="10">
        <f t="shared" si="8"/>
        <v>116.61470710165786</v>
      </c>
      <c r="J66" s="10">
        <f t="shared" ref="J66:J67" si="9">IF(I66="","",I66*C66)</f>
        <v>3241831832.8343158</v>
      </c>
      <c r="K66" s="11">
        <f t="shared" ref="K66" si="10">IFERROR(J66/J67-1,"")</f>
        <v>-1.7203879999999949E-2</v>
      </c>
    </row>
    <row r="67" spans="1:11" ht="22.5" customHeight="1">
      <c r="A67" s="3">
        <f t="shared" si="0"/>
        <v>1950</v>
      </c>
      <c r="B67" s="3">
        <v>1700</v>
      </c>
      <c r="C67" s="10">
        <v>27372500</v>
      </c>
      <c r="D67" s="11">
        <v>1.6199999999999999E-2</v>
      </c>
      <c r="E67" s="3" t="s">
        <v>72</v>
      </c>
      <c r="F67" s="10">
        <f>SUM(C2)</f>
        <v>140078910.17877722</v>
      </c>
      <c r="G67" s="30">
        <v>2.25</v>
      </c>
      <c r="H67" s="10"/>
      <c r="I67" s="10">
        <f t="shared" ref="I67" si="11">IF(H67&lt;&gt;"",H67,I66/(1+IF(G66="",0,G66)/100))</f>
        <v>120.5070859787722</v>
      </c>
      <c r="J67" s="10">
        <f t="shared" si="9"/>
        <v>3298580210.9539418</v>
      </c>
      <c r="K67" s="11"/>
    </row>
    <row r="68" spans="1:11" ht="15.75" customHeight="1">
      <c r="G68" s="10"/>
    </row>
  </sheetData>
  <dataValidations count="1">
    <dataValidation type="custom" allowBlank="1" showDropDown="1" sqref="D2:D67" xr:uid="{00000000-0002-0000-A6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M67"/>
  <sheetViews>
    <sheetView topLeftCell="A36" workbookViewId="0">
      <selection activeCell="I67" sqref="I6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18401603.813197922</v>
      </c>
      <c r="D2" s="11">
        <v>5.0000000000000001E-3</v>
      </c>
      <c r="E2" s="10">
        <f t="shared" ref="E2:E66" si="2">SUM(C2-C3)</f>
        <v>91550.267727352679</v>
      </c>
      <c r="F2" s="14">
        <v>18401158</v>
      </c>
      <c r="G2" s="26">
        <v>0.89</v>
      </c>
      <c r="H2" s="10"/>
      <c r="I2" s="10">
        <f>IF(H2&lt;&gt;"",H2,147936)</f>
        <v>18492</v>
      </c>
      <c r="J2" s="10">
        <f t="shared" ref="J2:J33" si="3">IF(I2="","",I2*C2)</f>
        <v>340282457713.65594</v>
      </c>
      <c r="K2" s="11">
        <f t="shared" ref="K2:K33" si="4">IFERROR(J2/J3-1,"")</f>
        <v>1.3944499999999804E-2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18310053.545470569</v>
      </c>
      <c r="D3" s="11">
        <v>5.4000000000000003E-3</v>
      </c>
      <c r="E3" s="10">
        <f t="shared" si="2"/>
        <v>98343.235672909766</v>
      </c>
      <c r="F3" s="3"/>
      <c r="G3" s="26">
        <v>0</v>
      </c>
      <c r="H3" s="10"/>
      <c r="I3" s="10">
        <f t="shared" ref="I3:I34" si="5">IF(H3&lt;&gt;"",H3,I2/(1+IF(G2="",0,G2)/100))</f>
        <v>18328.873030032712</v>
      </c>
      <c r="J3" s="10">
        <f t="shared" si="3"/>
        <v>335602646608.03033</v>
      </c>
      <c r="K3" s="11">
        <f t="shared" si="4"/>
        <v>5.4000000000000714E-3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18211710.30979766</v>
      </c>
      <c r="D4" s="11">
        <v>5.8999999999999999E-3</v>
      </c>
      <c r="E4" s="10">
        <f t="shared" si="2"/>
        <v>106818.85955642536</v>
      </c>
      <c r="F4" s="3"/>
      <c r="G4" s="26">
        <v>-1.82</v>
      </c>
      <c r="H4" s="10"/>
      <c r="I4" s="10">
        <f t="shared" si="5"/>
        <v>18328.873030032712</v>
      </c>
      <c r="J4" s="10">
        <f t="shared" si="3"/>
        <v>333800125928.01898</v>
      </c>
      <c r="K4" s="11">
        <f t="shared" si="4"/>
        <v>-1.2407379999999968E-2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18104891.450241234</v>
      </c>
      <c r="D5" s="11">
        <v>5.3E-3</v>
      </c>
      <c r="E5" s="10">
        <f t="shared" si="2"/>
        <v>95450.039477050304</v>
      </c>
      <c r="F5" s="3"/>
      <c r="G5" s="26">
        <v>-3.13</v>
      </c>
      <c r="H5" s="10"/>
      <c r="I5" s="10">
        <f t="shared" si="5"/>
        <v>18668.642320261471</v>
      </c>
      <c r="J5" s="10">
        <f t="shared" si="3"/>
        <v>337993742731.71356</v>
      </c>
      <c r="K5" s="11">
        <f t="shared" si="4"/>
        <v>-2.6165890000000136E-2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18009441.410764184</v>
      </c>
      <c r="D6" s="11">
        <v>6.3E-3</v>
      </c>
      <c r="E6" s="10">
        <f t="shared" si="2"/>
        <v>112749.16117242724</v>
      </c>
      <c r="F6" s="3"/>
      <c r="G6" s="26">
        <v>0.7</v>
      </c>
      <c r="H6" s="10"/>
      <c r="I6" s="10">
        <f t="shared" si="5"/>
        <v>19271.851264851317</v>
      </c>
      <c r="J6" s="10">
        <f t="shared" si="3"/>
        <v>347075276231.30145</v>
      </c>
      <c r="K6" s="11">
        <f t="shared" si="4"/>
        <v>1.3344099999999859E-2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17896692.249591757</v>
      </c>
      <c r="D7" s="11">
        <v>5.7000000000000002E-3</v>
      </c>
      <c r="E7" s="10">
        <f t="shared" si="2"/>
        <v>101432.97784893587</v>
      </c>
      <c r="F7" s="3"/>
      <c r="G7" s="26">
        <v>1.53</v>
      </c>
      <c r="H7" s="10"/>
      <c r="I7" s="10">
        <f t="shared" si="5"/>
        <v>19137.886062414418</v>
      </c>
      <c r="J7" s="10">
        <f t="shared" si="3"/>
        <v>342504857166.78223</v>
      </c>
      <c r="K7" s="11">
        <f t="shared" si="4"/>
        <v>2.1087210000000134E-2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17795259.271742821</v>
      </c>
      <c r="D8" s="11">
        <v>4.7999999999999996E-3</v>
      </c>
      <c r="E8" s="10">
        <f t="shared" si="2"/>
        <v>85009.200342718512</v>
      </c>
      <c r="F8" s="3"/>
      <c r="G8" s="26">
        <v>3.3</v>
      </c>
      <c r="H8" s="10"/>
      <c r="I8" s="10">
        <f t="shared" si="5"/>
        <v>18849.488882511982</v>
      </c>
      <c r="J8" s="10">
        <f t="shared" si="3"/>
        <v>335431541804.13458</v>
      </c>
      <c r="K8" s="11">
        <f t="shared" si="4"/>
        <v>3.7958399999999948E-2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17710250.071400102</v>
      </c>
      <c r="D9" s="11">
        <v>4.0000000000000001E-3</v>
      </c>
      <c r="E9" s="10">
        <f t="shared" si="2"/>
        <v>70558.765224702656</v>
      </c>
      <c r="F9" s="3"/>
      <c r="G9" s="26">
        <v>-1.02</v>
      </c>
      <c r="H9" s="10"/>
      <c r="I9" s="10">
        <f t="shared" si="5"/>
        <v>18247.327088588561</v>
      </c>
      <c r="J9" s="10">
        <f t="shared" si="3"/>
        <v>323164725873.53656</v>
      </c>
      <c r="K9" s="11">
        <f t="shared" si="4"/>
        <v>-6.2407999999999353E-3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17639691.3061754</v>
      </c>
      <c r="D10" s="11">
        <v>1.1999999999999999E-3</v>
      </c>
      <c r="E10" s="10">
        <f t="shared" si="2"/>
        <v>21142.258856784552</v>
      </c>
      <c r="F10" s="3"/>
      <c r="G10" s="26">
        <v>1.46</v>
      </c>
      <c r="H10" s="10"/>
      <c r="I10" s="10">
        <f t="shared" si="5"/>
        <v>18435.367840562296</v>
      </c>
      <c r="J10" s="10">
        <f t="shared" si="3"/>
        <v>325194197823.31226</v>
      </c>
      <c r="K10" s="11">
        <f t="shared" si="4"/>
        <v>1.5817519999999918E-2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17618549.047318615</v>
      </c>
      <c r="D11" s="11">
        <v>-1E-3</v>
      </c>
      <c r="E11" s="10">
        <f t="shared" si="2"/>
        <v>-17636.185232549906</v>
      </c>
      <c r="F11" s="3"/>
      <c r="G11" s="26">
        <v>1.8</v>
      </c>
      <c r="H11" s="10"/>
      <c r="I11" s="10">
        <f t="shared" si="5"/>
        <v>18170.084605324559</v>
      </c>
      <c r="J11" s="10">
        <f t="shared" si="3"/>
        <v>320130526812.83966</v>
      </c>
      <c r="K11" s="11">
        <f t="shared" si="4"/>
        <v>1.6982000000000053E-2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17636185.232551165</v>
      </c>
      <c r="D12" s="11">
        <v>-2.0999999999999999E-3</v>
      </c>
      <c r="E12" s="10">
        <f t="shared" si="2"/>
        <v>-37113.928237657994</v>
      </c>
      <c r="F12" s="3"/>
      <c r="G12" s="26">
        <v>0.76</v>
      </c>
      <c r="H12" s="10"/>
      <c r="I12" s="10">
        <f t="shared" si="5"/>
        <v>17848.806095603693</v>
      </c>
      <c r="J12" s="10">
        <f t="shared" si="3"/>
        <v>314784850481.95508</v>
      </c>
      <c r="K12" s="11">
        <f t="shared" si="4"/>
        <v>5.4840400000000233E-3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17673299.160788823</v>
      </c>
      <c r="D13" s="11">
        <v>-3.8E-3</v>
      </c>
      <c r="E13" s="10">
        <f t="shared" si="2"/>
        <v>-67414.712719332427</v>
      </c>
      <c r="F13" s="3"/>
      <c r="G13" s="26">
        <v>1.47</v>
      </c>
      <c r="H13" s="10"/>
      <c r="I13" s="10">
        <f t="shared" si="5"/>
        <v>17714.178340218037</v>
      </c>
      <c r="J13" s="10">
        <f t="shared" si="3"/>
        <v>313067973194.23895</v>
      </c>
      <c r="K13" s="11">
        <f t="shared" si="4"/>
        <v>1.0844139999999669E-2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17740713.873508155</v>
      </c>
      <c r="D14" s="11">
        <v>-5.8999999999999999E-3</v>
      </c>
      <c r="E14" s="10">
        <f t="shared" si="2"/>
        <v>-105291.43129836023</v>
      </c>
      <c r="F14" s="3"/>
      <c r="G14" s="26">
        <v>7.0000000000000007E-2</v>
      </c>
      <c r="H14" s="10"/>
      <c r="I14" s="10">
        <f t="shared" si="5"/>
        <v>17457.552321097901</v>
      </c>
      <c r="J14" s="10">
        <f t="shared" si="3"/>
        <v>309709440660.39606</v>
      </c>
      <c r="K14" s="11">
        <f t="shared" si="4"/>
        <v>-5.2041300000000845E-3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17846005.304806516</v>
      </c>
      <c r="D15" s="11">
        <v>-8.3999999999999995E-3</v>
      </c>
      <c r="E15" s="10">
        <f t="shared" si="2"/>
        <v>-151176.32569622248</v>
      </c>
      <c r="F15" s="3"/>
      <c r="G15" s="26">
        <v>0.27</v>
      </c>
      <c r="H15" s="10"/>
      <c r="I15" s="10">
        <f t="shared" si="5"/>
        <v>17445.34058269002</v>
      </c>
      <c r="J15" s="10">
        <f t="shared" si="3"/>
        <v>311329640582.84247</v>
      </c>
      <c r="K15" s="11">
        <f t="shared" si="4"/>
        <v>-5.722680000000091E-3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17997181.630502738</v>
      </c>
      <c r="D16" s="11">
        <v>-1.0200000000000001E-2</v>
      </c>
      <c r="E16" s="10">
        <f t="shared" si="2"/>
        <v>-185462.97497588024</v>
      </c>
      <c r="F16" s="3"/>
      <c r="G16" s="26">
        <v>2.0099999999999998</v>
      </c>
      <c r="H16" s="10"/>
      <c r="I16" s="10">
        <f t="shared" si="5"/>
        <v>17398.364997197586</v>
      </c>
      <c r="J16" s="10">
        <f t="shared" si="3"/>
        <v>313121534928.34625</v>
      </c>
      <c r="K16" s="11">
        <f t="shared" si="4"/>
        <v>9.6949800000001307E-3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18182644.605478618</v>
      </c>
      <c r="D17" s="11">
        <v>-9.7999999999999997E-3</v>
      </c>
      <c r="E17" s="10">
        <f t="shared" si="2"/>
        <v>-179953.46105200052</v>
      </c>
      <c r="F17" s="3"/>
      <c r="G17" s="26">
        <v>3.88</v>
      </c>
      <c r="H17" s="10"/>
      <c r="I17" s="10">
        <f t="shared" si="5"/>
        <v>17055.548472892449</v>
      </c>
      <c r="J17" s="10">
        <f t="shared" si="3"/>
        <v>310114976434.117</v>
      </c>
      <c r="K17" s="11">
        <f t="shared" si="4"/>
        <v>2.8619759999999994E-2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18362598.066530619</v>
      </c>
      <c r="D18" s="11">
        <v>-1.0699999999999999E-2</v>
      </c>
      <c r="E18" s="10">
        <f t="shared" si="2"/>
        <v>-198604.87143624574</v>
      </c>
      <c r="F18" s="3"/>
      <c r="G18" s="26">
        <v>1.68</v>
      </c>
      <c r="H18" s="10"/>
      <c r="I18" s="10">
        <f t="shared" si="5"/>
        <v>16418.510274251494</v>
      </c>
      <c r="J18" s="10">
        <f t="shared" si="3"/>
        <v>301486505017.28357</v>
      </c>
      <c r="K18" s="11">
        <f t="shared" si="4"/>
        <v>5.920239999999799E-3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18561202.937966865</v>
      </c>
      <c r="D19" s="11">
        <v>-1.21E-2</v>
      </c>
      <c r="E19" s="10">
        <f t="shared" si="2"/>
        <v>-227341.38632391766</v>
      </c>
      <c r="F19" s="3"/>
      <c r="G19" s="26">
        <v>1.8</v>
      </c>
      <c r="H19" s="10"/>
      <c r="I19" s="10">
        <f t="shared" si="5"/>
        <v>16147.236697729637</v>
      </c>
      <c r="J19" s="10">
        <f t="shared" si="3"/>
        <v>299712137233.94574</v>
      </c>
      <c r="K19" s="11">
        <f t="shared" si="4"/>
        <v>5.6822000000000816E-3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18788544.324290782</v>
      </c>
      <c r="D20" s="11">
        <v>-1.2999999999999999E-2</v>
      </c>
      <c r="E20" s="10">
        <f t="shared" si="2"/>
        <v>-247468.16232601926</v>
      </c>
      <c r="F20" s="3"/>
      <c r="G20" s="26">
        <v>1.93</v>
      </c>
      <c r="H20" s="10"/>
      <c r="I20" s="10">
        <f t="shared" si="5"/>
        <v>15861.725636276657</v>
      </c>
      <c r="J20" s="10">
        <f t="shared" si="3"/>
        <v>298018735176.9234</v>
      </c>
      <c r="K20" s="11">
        <f t="shared" si="4"/>
        <v>6.0491000000000295E-3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19036012.486616801</v>
      </c>
      <c r="D21" s="11">
        <v>-1.4500000000000001E-2</v>
      </c>
      <c r="E21" s="10">
        <f t="shared" si="2"/>
        <v>-280083.39021404833</v>
      </c>
      <c r="F21" s="3"/>
      <c r="G21" s="26">
        <v>1.35</v>
      </c>
      <c r="H21" s="10"/>
      <c r="I21" s="10">
        <f t="shared" si="5"/>
        <v>15561.390793953355</v>
      </c>
      <c r="J21" s="10">
        <f t="shared" si="3"/>
        <v>296226829462.81982</v>
      </c>
      <c r="K21" s="11">
        <f t="shared" si="4"/>
        <v>-1.1957500000000509E-3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19316095.87683085</v>
      </c>
      <c r="D22" s="11">
        <v>-1.26E-2</v>
      </c>
      <c r="E22" s="10">
        <f t="shared" si="2"/>
        <v>-246488.56395388767</v>
      </c>
      <c r="F22" s="3"/>
      <c r="G22" s="26">
        <v>2.89</v>
      </c>
      <c r="H22" s="10"/>
      <c r="I22" s="10">
        <f t="shared" si="5"/>
        <v>15354.110304838041</v>
      </c>
      <c r="J22" s="10">
        <f t="shared" si="3"/>
        <v>296581466751.68817</v>
      </c>
      <c r="K22" s="11">
        <f t="shared" si="4"/>
        <v>1.5935859999999913E-2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19562584.440784737</v>
      </c>
      <c r="D23" s="11">
        <v>-1.0699999999999999E-2</v>
      </c>
      <c r="E23" s="10">
        <f t="shared" si="2"/>
        <v>-211583.59801515937</v>
      </c>
      <c r="F23" s="3"/>
      <c r="G23" s="26">
        <v>2.15</v>
      </c>
      <c r="H23" s="10"/>
      <c r="I23" s="10">
        <f t="shared" si="5"/>
        <v>14922.840222410383</v>
      </c>
      <c r="J23" s="10">
        <f t="shared" si="3"/>
        <v>291929321947.242</v>
      </c>
      <c r="K23" s="11">
        <f t="shared" si="4"/>
        <v>1.056995000000005E-2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19774168.038799897</v>
      </c>
      <c r="D24" s="11">
        <v>-2.8E-3</v>
      </c>
      <c r="E24" s="10">
        <f t="shared" si="2"/>
        <v>-55523.135287445039</v>
      </c>
      <c r="F24" s="3"/>
      <c r="G24" s="26">
        <v>-0.85</v>
      </c>
      <c r="H24" s="10"/>
      <c r="I24" s="10">
        <f t="shared" si="5"/>
        <v>14608.75205326518</v>
      </c>
      <c r="J24" s="10">
        <f t="shared" si="3"/>
        <v>288875917938.42871</v>
      </c>
      <c r="K24" s="11">
        <f t="shared" si="4"/>
        <v>-1.1276199999999847E-2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19829691.174087342</v>
      </c>
      <c r="D25" s="11">
        <v>-2.9999999999999997E-4</v>
      </c>
      <c r="E25" s="10">
        <f t="shared" si="2"/>
        <v>-5950.6925599947572</v>
      </c>
      <c r="F25" s="3"/>
      <c r="G25" s="26">
        <v>0.83</v>
      </c>
      <c r="H25" s="10"/>
      <c r="I25" s="10">
        <f t="shared" si="5"/>
        <v>14733.99097656599</v>
      </c>
      <c r="J25" s="10">
        <f t="shared" si="3"/>
        <v>292170490827.09314</v>
      </c>
      <c r="K25" s="11">
        <f t="shared" si="4"/>
        <v>7.997510000000041E-3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19835641.866647337</v>
      </c>
      <c r="D26" s="11">
        <v>2E-3</v>
      </c>
      <c r="E26" s="10">
        <f t="shared" si="2"/>
        <v>39592.099534224719</v>
      </c>
      <c r="F26" s="3"/>
      <c r="G26" s="26">
        <v>1.54</v>
      </c>
      <c r="H26" s="10"/>
      <c r="I26" s="10">
        <f t="shared" si="5"/>
        <v>14612.705520743817</v>
      </c>
      <c r="J26" s="10">
        <f t="shared" si="3"/>
        <v>289852393412.2547</v>
      </c>
      <c r="K26" s="11">
        <f t="shared" si="4"/>
        <v>1.7430799999999858E-2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19796049.767113112</v>
      </c>
      <c r="D27" s="11">
        <v>3.3E-3</v>
      </c>
      <c r="E27" s="10">
        <f t="shared" si="2"/>
        <v>65112.09432021901</v>
      </c>
      <c r="F27" s="3"/>
      <c r="G27" s="26">
        <v>-2.8</v>
      </c>
      <c r="H27" s="10"/>
      <c r="I27" s="10">
        <f t="shared" si="5"/>
        <v>14391.082844931865</v>
      </c>
      <c r="J27" s="10">
        <f t="shared" si="3"/>
        <v>284886592200.91895</v>
      </c>
      <c r="K27" s="11">
        <f t="shared" si="4"/>
        <v>-2.4792399999999937E-2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19730937.672792893</v>
      </c>
      <c r="D28" s="11">
        <v>4.1000000000000003E-3</v>
      </c>
      <c r="E28" s="10">
        <f t="shared" si="2"/>
        <v>80566.52171939984</v>
      </c>
      <c r="F28" s="3"/>
      <c r="G28" s="26">
        <v>3.39</v>
      </c>
      <c r="H28" s="10"/>
      <c r="I28" s="10">
        <f t="shared" si="5"/>
        <v>14805.64078696694</v>
      </c>
      <c r="J28" s="10">
        <f t="shared" si="3"/>
        <v>292129175573.40503</v>
      </c>
      <c r="K28" s="11">
        <f t="shared" si="4"/>
        <v>3.8138989999999984E-2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19650371.151073493</v>
      </c>
      <c r="D29" s="11">
        <v>4.4000000000000003E-3</v>
      </c>
      <c r="E29" s="10">
        <f t="shared" si="2"/>
        <v>86082.868443571031</v>
      </c>
      <c r="F29" s="3"/>
      <c r="G29" s="26">
        <v>4.1900000000000004</v>
      </c>
      <c r="H29" s="10"/>
      <c r="I29" s="10">
        <f t="shared" si="5"/>
        <v>14320.186465777097</v>
      </c>
      <c r="J29" s="10">
        <f t="shared" si="3"/>
        <v>281396979005.09937</v>
      </c>
      <c r="K29" s="11">
        <f t="shared" si="4"/>
        <v>4.6484360000000002E-2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19564288.282629922</v>
      </c>
      <c r="D30" s="11">
        <v>5.7000000000000002E-3</v>
      </c>
      <c r="E30" s="10">
        <f t="shared" si="2"/>
        <v>110884.40211891383</v>
      </c>
      <c r="F30" s="3"/>
      <c r="G30" s="26">
        <v>3.19</v>
      </c>
      <c r="H30" s="10"/>
      <c r="I30" s="10">
        <f t="shared" si="5"/>
        <v>13744.300283882423</v>
      </c>
      <c r="J30" s="10">
        <f t="shared" si="3"/>
        <v>268897452996.90799</v>
      </c>
      <c r="K30" s="11">
        <f t="shared" si="4"/>
        <v>3.7781830000000127E-2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19453403.880511008</v>
      </c>
      <c r="D31" s="11">
        <v>6.8999999999999999E-3</v>
      </c>
      <c r="E31" s="10">
        <f t="shared" si="2"/>
        <v>133308.65704193339</v>
      </c>
      <c r="F31" s="3"/>
      <c r="G31" s="26">
        <v>2.86</v>
      </c>
      <c r="H31" s="10"/>
      <c r="I31" s="10">
        <f t="shared" si="5"/>
        <v>13319.411070726255</v>
      </c>
      <c r="J31" s="10">
        <f t="shared" si="3"/>
        <v>259107883009.38742</v>
      </c>
      <c r="K31" s="11">
        <f t="shared" si="4"/>
        <v>3.56973399999998E-2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19320095.223469075</v>
      </c>
      <c r="D32" s="11">
        <v>7.7999999999999996E-3</v>
      </c>
      <c r="E32" s="10">
        <f t="shared" si="2"/>
        <v>149530.40557953715</v>
      </c>
      <c r="F32" s="3"/>
      <c r="G32" s="26">
        <v>2.8</v>
      </c>
      <c r="H32" s="10"/>
      <c r="I32" s="10">
        <f t="shared" si="5"/>
        <v>12949.067733546817</v>
      </c>
      <c r="J32" s="10">
        <f t="shared" si="3"/>
        <v>250177221667.27539</v>
      </c>
      <c r="K32" s="11">
        <f t="shared" si="4"/>
        <v>3.6018400000000117E-2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19170564.817889538</v>
      </c>
      <c r="D33" s="11">
        <v>8.3999999999999995E-3</v>
      </c>
      <c r="E33" s="10">
        <f t="shared" si="2"/>
        <v>159691.3372374773</v>
      </c>
      <c r="F33" s="3"/>
      <c r="G33" s="26">
        <v>3.23</v>
      </c>
      <c r="H33" s="10"/>
      <c r="I33" s="10">
        <f t="shared" si="5"/>
        <v>12596.369390609743</v>
      </c>
      <c r="J33" s="10">
        <f t="shared" si="3"/>
        <v>241479515872.76382</v>
      </c>
      <c r="K33" s="11">
        <f t="shared" si="4"/>
        <v>4.0971320000000144E-2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19010873.48065206</v>
      </c>
      <c r="D34" s="11">
        <v>8.9999999999999993E-3</v>
      </c>
      <c r="E34" s="10">
        <f t="shared" si="2"/>
        <v>169571.71588291973</v>
      </c>
      <c r="F34" s="3"/>
      <c r="G34" s="26">
        <v>-0.13</v>
      </c>
      <c r="H34" s="10"/>
      <c r="I34" s="10">
        <f t="shared" si="5"/>
        <v>12202.237131269731</v>
      </c>
      <c r="J34" s="10">
        <f t="shared" ref="J34:J65" si="6">IF(I34="","",I34*C34)</f>
        <v>231975186283.48358</v>
      </c>
      <c r="K34" s="11">
        <f t="shared" ref="K34:K65" si="7">IFERROR(J34/J35-1,"")</f>
        <v>2.0805299999999916E-2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18841301.764769141</v>
      </c>
      <c r="D35" s="11">
        <v>9.4000000000000004E-3</v>
      </c>
      <c r="E35" s="10">
        <f t="shared" si="2"/>
        <v>175458.92271530628</v>
      </c>
      <c r="F35" s="3"/>
      <c r="G35" s="26">
        <v>-2.29</v>
      </c>
      <c r="H35" s="10"/>
      <c r="I35" s="10">
        <f t="shared" ref="I35:I66" si="8">IF(H35&lt;&gt;"",H35,I34/(1+IF(G34="",0,G34)/100))</f>
        <v>12061.122003824978</v>
      </c>
      <c r="J35" s="10">
        <f t="shared" si="6"/>
        <v>227247239295.76346</v>
      </c>
      <c r="K35" s="11">
        <f t="shared" si="7"/>
        <v>1.3538539999999877E-2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18665842.842053834</v>
      </c>
      <c r="D36" s="11">
        <v>9.4999999999999998E-3</v>
      </c>
      <c r="E36" s="10">
        <f t="shared" si="2"/>
        <v>175656.76770630106</v>
      </c>
      <c r="F36" s="3"/>
      <c r="G36" s="26">
        <v>-3.96</v>
      </c>
      <c r="H36" s="10"/>
      <c r="I36" s="10">
        <f t="shared" si="8"/>
        <v>12011.873323199858</v>
      </c>
      <c r="J36" s="10">
        <f t="shared" si="6"/>
        <v>224211739689.50748</v>
      </c>
      <c r="K36" s="11">
        <f t="shared" si="7"/>
        <v>1.797979999999999E-2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18490186.074347533</v>
      </c>
      <c r="D37" s="11">
        <v>9.7000000000000003E-3</v>
      </c>
      <c r="E37" s="10">
        <f t="shared" si="2"/>
        <v>177631.77668730542</v>
      </c>
      <c r="F37" s="3"/>
      <c r="G37" s="26">
        <v>-8.5</v>
      </c>
      <c r="H37" s="10"/>
      <c r="I37" s="10">
        <f t="shared" si="8"/>
        <v>11911.81408488681</v>
      </c>
      <c r="J37" s="10">
        <f t="shared" si="6"/>
        <v>220251658912.59088</v>
      </c>
      <c r="K37" s="11">
        <f t="shared" si="7"/>
        <v>-2.261040000000003E-2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18312554.297660228</v>
      </c>
      <c r="D38" s="11">
        <v>1.03E-2</v>
      </c>
      <c r="E38" s="10">
        <f t="shared" si="2"/>
        <v>186696.33699485287</v>
      </c>
      <c r="F38" s="3"/>
      <c r="G38" s="26">
        <v>2.26</v>
      </c>
      <c r="H38" s="10"/>
      <c r="I38" s="10">
        <f t="shared" si="8"/>
        <v>12305.593062899597</v>
      </c>
      <c r="J38" s="10">
        <f t="shared" si="6"/>
        <v>225346841129.25992</v>
      </c>
      <c r="K38" s="11">
        <f t="shared" si="7"/>
        <v>7.0513880000000029E-2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18125857.960665375</v>
      </c>
      <c r="D39" s="11">
        <v>1.11E-2</v>
      </c>
      <c r="E39" s="10">
        <f t="shared" si="2"/>
        <v>198988.2537467964</v>
      </c>
      <c r="F39" s="3"/>
      <c r="G39" s="26">
        <v>3.24</v>
      </c>
      <c r="H39" s="10"/>
      <c r="I39" s="10">
        <f t="shared" si="8"/>
        <v>11613.432486692711</v>
      </c>
      <c r="J39" s="10">
        <f t="shared" si="6"/>
        <v>210503427689.56897</v>
      </c>
      <c r="K39" s="11">
        <f t="shared" si="7"/>
        <v>4.3859639999999978E-2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17926869.706918579</v>
      </c>
      <c r="D40" s="11">
        <v>1.15E-2</v>
      </c>
      <c r="E40" s="10">
        <f t="shared" si="2"/>
        <v>203815.12766145915</v>
      </c>
      <c r="F40" s="3"/>
      <c r="G40" s="26">
        <v>2.56</v>
      </c>
      <c r="H40" s="10"/>
      <c r="I40" s="10">
        <f t="shared" si="8"/>
        <v>11248.965988660124</v>
      </c>
      <c r="J40" s="10">
        <f t="shared" si="6"/>
        <v>201658747616.26859</v>
      </c>
      <c r="K40" s="11">
        <f t="shared" si="7"/>
        <v>3.7394400000000161E-2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17723054.579257119</v>
      </c>
      <c r="D41" s="11">
        <v>1.1299999999999999E-2</v>
      </c>
      <c r="E41" s="10">
        <f t="shared" si="2"/>
        <v>198032.74670780823</v>
      </c>
      <c r="F41" s="3"/>
      <c r="G41" s="26">
        <v>7.13</v>
      </c>
      <c r="H41" s="10"/>
      <c r="I41" s="10">
        <f t="shared" si="8"/>
        <v>10968.180566166267</v>
      </c>
      <c r="J41" s="10">
        <f t="shared" si="6"/>
        <v>194389662809.31201</v>
      </c>
      <c r="K41" s="11">
        <f t="shared" si="7"/>
        <v>8.3405689999999977E-2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17525021.832549311</v>
      </c>
      <c r="D42" s="11">
        <v>1.0200000000000001E-2</v>
      </c>
      <c r="E42" s="10">
        <f t="shared" si="2"/>
        <v>176950.3293328099</v>
      </c>
      <c r="F42" s="3"/>
      <c r="G42" s="26">
        <v>-4.09</v>
      </c>
      <c r="H42" s="10"/>
      <c r="I42" s="10">
        <f t="shared" si="8"/>
        <v>10238.197112075299</v>
      </c>
      <c r="J42" s="10">
        <f t="shared" si="6"/>
        <v>179424627915.06293</v>
      </c>
      <c r="K42" s="11">
        <f t="shared" si="7"/>
        <v>-3.1117179999999967E-2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17348071.503216501</v>
      </c>
      <c r="D43" s="11">
        <v>8.3999999999999995E-3</v>
      </c>
      <c r="E43" s="10">
        <f t="shared" si="2"/>
        <v>144509.91732151806</v>
      </c>
      <c r="F43" s="3"/>
      <c r="G43" s="26">
        <v>5.5</v>
      </c>
      <c r="H43" s="10"/>
      <c r="I43" s="10">
        <f t="shared" si="8"/>
        <v>10674.7962799242</v>
      </c>
      <c r="J43" s="10">
        <f t="shared" si="6"/>
        <v>185187129146.39453</v>
      </c>
      <c r="K43" s="11">
        <f t="shared" si="7"/>
        <v>6.3861999999999863E-2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17203561.585894983</v>
      </c>
      <c r="D44" s="11">
        <v>8.6999999999999994E-3</v>
      </c>
      <c r="E44" s="10">
        <f t="shared" si="2"/>
        <v>148380.07910903543</v>
      </c>
      <c r="F44" s="3"/>
      <c r="G44" s="26">
        <v>7.13</v>
      </c>
      <c r="H44" s="10"/>
      <c r="I44" s="10">
        <f t="shared" si="8"/>
        <v>10118.290312724361</v>
      </c>
      <c r="J44" s="10">
        <f t="shared" si="6"/>
        <v>174070630538.91815</v>
      </c>
      <c r="K44" s="11">
        <f t="shared" si="7"/>
        <v>8.0620309999999806E-2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17055181.506785948</v>
      </c>
      <c r="D45" s="11">
        <v>9.7999999999999997E-3</v>
      </c>
      <c r="E45" s="10">
        <f t="shared" si="2"/>
        <v>165518.69555011019</v>
      </c>
      <c r="F45" s="3"/>
      <c r="G45" s="26">
        <v>3.69</v>
      </c>
      <c r="H45" s="10"/>
      <c r="I45" s="10">
        <f t="shared" si="8"/>
        <v>9444.871009730572</v>
      </c>
      <c r="J45" s="10">
        <f t="shared" si="6"/>
        <v>161083989379.13556</v>
      </c>
      <c r="K45" s="11">
        <f t="shared" si="7"/>
        <v>4.7061619999999804E-2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16889662.811235838</v>
      </c>
      <c r="D46" s="11">
        <v>1.09E-2</v>
      </c>
      <c r="E46" s="10">
        <f t="shared" si="2"/>
        <v>182112.30056629516</v>
      </c>
      <c r="F46" s="3"/>
      <c r="G46" s="26">
        <v>1.82</v>
      </c>
      <c r="H46" s="10"/>
      <c r="I46" s="10">
        <f t="shared" si="8"/>
        <v>9108.7578452411726</v>
      </c>
      <c r="J46" s="10">
        <f t="shared" si="6"/>
        <v>153843848635.32251</v>
      </c>
      <c r="K46" s="11">
        <f t="shared" si="7"/>
        <v>2.9298379999999735E-2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16707550.510669542</v>
      </c>
      <c r="D47" s="11">
        <v>1.14E-2</v>
      </c>
      <c r="E47" s="10">
        <f t="shared" si="2"/>
        <v>188319.23652524687</v>
      </c>
      <c r="F47" s="3"/>
      <c r="G47" s="26">
        <v>5.31</v>
      </c>
      <c r="H47" s="10"/>
      <c r="I47" s="10">
        <f t="shared" si="8"/>
        <v>8945.9417061885415</v>
      </c>
      <c r="J47" s="10">
        <f t="shared" si="6"/>
        <v>149464772921.65033</v>
      </c>
      <c r="K47" s="11">
        <f t="shared" si="7"/>
        <v>6.5105340000000123E-2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16519231.274144296</v>
      </c>
      <c r="D48" s="11">
        <v>1.23E-2</v>
      </c>
      <c r="E48" s="10">
        <f t="shared" si="2"/>
        <v>200717.71675587632</v>
      </c>
      <c r="F48" s="3"/>
      <c r="G48" s="26">
        <v>6.1</v>
      </c>
      <c r="H48" s="10"/>
      <c r="I48" s="10">
        <f t="shared" si="8"/>
        <v>8494.8644062183484</v>
      </c>
      <c r="J48" s="10">
        <f t="shared" si="6"/>
        <v>140328629768.81735</v>
      </c>
      <c r="K48" s="11">
        <f t="shared" si="7"/>
        <v>7.4050299999999902E-2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16318513.557388419</v>
      </c>
      <c r="D49" s="11">
        <v>1.34E-2</v>
      </c>
      <c r="E49" s="10">
        <f t="shared" si="2"/>
        <v>215776.67423426732</v>
      </c>
      <c r="F49" s="3"/>
      <c r="G49" s="26">
        <v>6.54</v>
      </c>
      <c r="H49" s="10"/>
      <c r="I49" s="10">
        <f t="shared" si="8"/>
        <v>8006.4697513839292</v>
      </c>
      <c r="J49" s="10">
        <f t="shared" si="6"/>
        <v>130653685184.77893</v>
      </c>
      <c r="K49" s="11">
        <f t="shared" si="7"/>
        <v>7.9676359999999891E-2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16102736.883154152</v>
      </c>
      <c r="D50" s="11">
        <v>1.47E-2</v>
      </c>
      <c r="E50" s="10">
        <f t="shared" si="2"/>
        <v>233281.00146088935</v>
      </c>
      <c r="F50" s="3"/>
      <c r="G50" s="26">
        <v>7.18</v>
      </c>
      <c r="H50" s="10"/>
      <c r="I50" s="10">
        <f t="shared" si="8"/>
        <v>7514.9894418846725</v>
      </c>
      <c r="J50" s="10">
        <f t="shared" si="6"/>
        <v>121011897662.35036</v>
      </c>
      <c r="K50" s="11">
        <f t="shared" si="7"/>
        <v>8.7555459999999918E-2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15869455.881693263</v>
      </c>
      <c r="D51" s="11">
        <v>1.61E-2</v>
      </c>
      <c r="E51" s="10">
        <f t="shared" si="2"/>
        <v>251449.89636380412</v>
      </c>
      <c r="F51" s="3"/>
      <c r="G51" s="26">
        <v>5.98</v>
      </c>
      <c r="H51" s="10"/>
      <c r="I51" s="10">
        <f t="shared" si="8"/>
        <v>7011.5594718088005</v>
      </c>
      <c r="J51" s="10">
        <f t="shared" si="6"/>
        <v>111269633699.73828</v>
      </c>
      <c r="K51" s="11">
        <f t="shared" si="7"/>
        <v>7.686278000000013E-2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15618005.985329458</v>
      </c>
      <c r="D52" s="11">
        <v>1.7399999999999999E-2</v>
      </c>
      <c r="E52" s="10">
        <f t="shared" si="2"/>
        <v>267105.66556392238</v>
      </c>
      <c r="F52" s="3"/>
      <c r="G52" s="26">
        <v>3.27</v>
      </c>
      <c r="H52" s="10"/>
      <c r="I52" s="10">
        <f t="shared" si="8"/>
        <v>6615.9270351092655</v>
      </c>
      <c r="J52" s="10">
        <f t="shared" si="6"/>
        <v>103327588032.83949</v>
      </c>
      <c r="K52" s="11">
        <f t="shared" si="7"/>
        <v>5.0668980000000197E-2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15350900.319765536</v>
      </c>
      <c r="D53" s="11">
        <v>1.84E-2</v>
      </c>
      <c r="E53" s="10">
        <f t="shared" si="2"/>
        <v>277353.26579309255</v>
      </c>
      <c r="F53" s="3"/>
      <c r="G53" s="26">
        <v>2.8</v>
      </c>
      <c r="H53" s="10"/>
      <c r="I53" s="10">
        <f t="shared" si="8"/>
        <v>6406.4365596100179</v>
      </c>
      <c r="J53" s="10">
        <f t="shared" si="6"/>
        <v>98344569031.475052</v>
      </c>
      <c r="K53" s="11">
        <f t="shared" si="7"/>
        <v>4.6915199999999935E-2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15073547.053972444</v>
      </c>
      <c r="D54" s="11">
        <v>1.8100000000000002E-2</v>
      </c>
      <c r="E54" s="10">
        <f t="shared" si="2"/>
        <v>267980.75010008924</v>
      </c>
      <c r="F54" s="3"/>
      <c r="G54" s="26">
        <v>5.61</v>
      </c>
      <c r="H54" s="10"/>
      <c r="I54" s="10">
        <f t="shared" si="8"/>
        <v>6231.942178608967</v>
      </c>
      <c r="J54" s="10">
        <f t="shared" si="6"/>
        <v>93937473666.897812</v>
      </c>
      <c r="K54" s="11">
        <f t="shared" si="7"/>
        <v>7.5215409999999983E-2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14805566.303872354</v>
      </c>
      <c r="D55" s="11">
        <v>1.6299999999999999E-2</v>
      </c>
      <c r="E55" s="10">
        <f t="shared" si="2"/>
        <v>237460.13062394783</v>
      </c>
      <c r="F55" s="3"/>
      <c r="G55" s="26">
        <v>6.2</v>
      </c>
      <c r="H55" s="10"/>
      <c r="I55" s="10">
        <f t="shared" si="8"/>
        <v>5900.9015989101099</v>
      </c>
      <c r="J55" s="10">
        <f t="shared" si="6"/>
        <v>87366189875.290024</v>
      </c>
      <c r="K55" s="11">
        <f t="shared" si="7"/>
        <v>7.9310599999999898E-2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14568106.173248406</v>
      </c>
      <c r="D56" s="11">
        <v>1.3299999999999999E-2</v>
      </c>
      <c r="E56" s="10">
        <f t="shared" si="2"/>
        <v>191212.68341478892</v>
      </c>
      <c r="F56" s="3"/>
      <c r="G56" s="26">
        <v>8.2100000000000009</v>
      </c>
      <c r="H56" s="10"/>
      <c r="I56" s="10">
        <f t="shared" si="8"/>
        <v>5556.4045187477495</v>
      </c>
      <c r="J56" s="10">
        <f t="shared" si="6"/>
        <v>80946290970.63443</v>
      </c>
      <c r="K56" s="11">
        <f t="shared" si="7"/>
        <v>9.6491930000000226E-2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14376893.489833618</v>
      </c>
      <c r="D57" s="11">
        <v>1.0200000000000001E-2</v>
      </c>
      <c r="E57" s="10">
        <f t="shared" si="2"/>
        <v>145163.64442318678</v>
      </c>
      <c r="F57" s="3"/>
      <c r="G57" s="26">
        <v>5.42</v>
      </c>
      <c r="H57" s="10"/>
      <c r="I57" s="10">
        <f t="shared" si="8"/>
        <v>5134.8345982328337</v>
      </c>
      <c r="J57" s="10">
        <f t="shared" si="6"/>
        <v>73822970106.706039</v>
      </c>
      <c r="K57" s="11">
        <f t="shared" si="7"/>
        <v>6.4952840000000123E-2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14231729.845410431</v>
      </c>
      <c r="D58" s="11">
        <v>8.5000000000000006E-3</v>
      </c>
      <c r="E58" s="10">
        <f t="shared" si="2"/>
        <v>119950.1276013758</v>
      </c>
      <c r="F58" s="3"/>
      <c r="G58" s="26">
        <v>6.22</v>
      </c>
      <c r="H58" s="10"/>
      <c r="I58" s="10">
        <f t="shared" si="8"/>
        <v>4870.8353236888952</v>
      </c>
      <c r="J58" s="10">
        <f t="shared" si="6"/>
        <v>69320412448.222626</v>
      </c>
      <c r="K58" s="11">
        <f t="shared" si="7"/>
        <v>7.1228699999999812E-2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14111779.717809055</v>
      </c>
      <c r="D59" s="11">
        <v>8.5000000000000006E-3</v>
      </c>
      <c r="E59" s="10">
        <f t="shared" si="2"/>
        <v>118939.14486998133</v>
      </c>
      <c r="F59" s="3"/>
      <c r="G59" s="26">
        <v>5.36</v>
      </c>
      <c r="H59" s="10"/>
      <c r="I59" s="10">
        <f t="shared" si="8"/>
        <v>4585.6103593380676</v>
      </c>
      <c r="J59" s="10">
        <f t="shared" si="6"/>
        <v>64711123262.682037</v>
      </c>
      <c r="K59" s="11">
        <f t="shared" si="7"/>
        <v>6.2555600000000045E-2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13992840.572939074</v>
      </c>
      <c r="D60" s="11">
        <v>9.7000000000000003E-3</v>
      </c>
      <c r="E60" s="10">
        <f t="shared" si="2"/>
        <v>134426.61538824439</v>
      </c>
      <c r="F60" s="3"/>
      <c r="G60" s="26">
        <v>5.89</v>
      </c>
      <c r="H60" s="10"/>
      <c r="I60" s="10">
        <f t="shared" si="8"/>
        <v>4352.3257017255764</v>
      </c>
      <c r="J60" s="10">
        <f t="shared" si="6"/>
        <v>60901399665.751167</v>
      </c>
      <c r="K60" s="11">
        <f t="shared" si="7"/>
        <v>6.9171330000000086E-2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13858413.957550829</v>
      </c>
      <c r="D61" s="11">
        <v>1.1599999999999999E-2</v>
      </c>
      <c r="E61" s="10">
        <f t="shared" si="2"/>
        <v>158914.19721983932</v>
      </c>
      <c r="F61" s="3"/>
      <c r="G61" s="26">
        <v>4.53</v>
      </c>
      <c r="H61" s="10"/>
      <c r="I61" s="10">
        <f t="shared" si="8"/>
        <v>4110.2329792478768</v>
      </c>
      <c r="J61" s="10">
        <f t="shared" si="6"/>
        <v>56961310088.394501</v>
      </c>
      <c r="K61" s="11">
        <f t="shared" si="7"/>
        <v>5.7425479999999807E-2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13699499.76033099</v>
      </c>
      <c r="D62" s="11">
        <v>1.35E-2</v>
      </c>
      <c r="E62" s="10">
        <f t="shared" si="2"/>
        <v>182479.76987120882</v>
      </c>
      <c r="F62" s="3"/>
      <c r="G62" s="26">
        <v>5.82</v>
      </c>
      <c r="H62" s="10"/>
      <c r="I62" s="10">
        <f t="shared" si="8"/>
        <v>3932.108465749428</v>
      </c>
      <c r="J62" s="10">
        <f t="shared" si="6"/>
        <v>53867918984.129745</v>
      </c>
      <c r="K62" s="11">
        <f t="shared" si="7"/>
        <v>7.2485700000000097E-2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13517019.990459781</v>
      </c>
      <c r="D63" s="11">
        <v>1.47E-2</v>
      </c>
      <c r="E63" s="10">
        <f t="shared" si="2"/>
        <v>195821.61610304378</v>
      </c>
      <c r="F63" s="3"/>
      <c r="G63" s="26">
        <v>5.19</v>
      </c>
      <c r="H63" s="10"/>
      <c r="I63" s="10">
        <f t="shared" si="8"/>
        <v>3715.8462159794253</v>
      </c>
      <c r="J63" s="10">
        <f t="shared" si="6"/>
        <v>50227167582.868225</v>
      </c>
      <c r="K63" s="11">
        <f t="shared" si="7"/>
        <v>6.7362930000000043E-2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13321198.374356737</v>
      </c>
      <c r="D64" s="11">
        <v>1.52E-2</v>
      </c>
      <c r="E64" s="10">
        <f t="shared" si="2"/>
        <v>199450.56667673774</v>
      </c>
      <c r="F64" s="3"/>
      <c r="G64" s="26">
        <v>7.23</v>
      </c>
      <c r="H64" s="10"/>
      <c r="I64" s="10">
        <f t="shared" si="8"/>
        <v>3532.5089989347134</v>
      </c>
      <c r="J64" s="10">
        <f t="shared" si="6"/>
        <v>47057253134.009651</v>
      </c>
      <c r="K64" s="11">
        <f t="shared" si="7"/>
        <v>8.8598960000000115E-2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13121747.80768</v>
      </c>
      <c r="D65" s="11">
        <v>1.5599999999999999E-2</v>
      </c>
      <c r="E65" s="10">
        <f t="shared" si="2"/>
        <v>201555.00768000074</v>
      </c>
      <c r="F65" s="3"/>
      <c r="G65" s="26">
        <v>7.49</v>
      </c>
      <c r="H65" s="10"/>
      <c r="I65" s="10">
        <f t="shared" si="8"/>
        <v>3294.3290114097858</v>
      </c>
      <c r="J65" s="10">
        <f t="shared" si="6"/>
        <v>43227354483.242981</v>
      </c>
      <c r="K65" s="11">
        <f t="shared" si="7"/>
        <v>9.1668440000000073E-2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12920192.799999999</v>
      </c>
      <c r="D66" s="11">
        <v>1.5100000000000001E-2</v>
      </c>
      <c r="E66" s="10">
        <f t="shared" si="2"/>
        <v>192192.79999999888</v>
      </c>
      <c r="F66" s="23">
        <f>SUM(F2)</f>
        <v>18401158</v>
      </c>
      <c r="G66" s="26">
        <v>7.45</v>
      </c>
      <c r="H66" s="10"/>
      <c r="I66" s="10">
        <f t="shared" si="8"/>
        <v>3064.7771991904233</v>
      </c>
      <c r="J66" s="10">
        <f t="shared" ref="J66:J67" si="9">IF(I66="","",I66*C66)</f>
        <v>39597512302.584267</v>
      </c>
      <c r="K66" s="11">
        <f t="shared" ref="K66" si="10">IFERROR(J66/J67-1,"")</f>
        <v>9.0724949999999804E-2</v>
      </c>
    </row>
    <row r="67" spans="1:11" ht="22.5" customHeight="1">
      <c r="A67" s="3">
        <f t="shared" si="0"/>
        <v>1950</v>
      </c>
      <c r="B67" s="3">
        <v>1700</v>
      </c>
      <c r="C67" s="10">
        <v>12728000</v>
      </c>
      <c r="D67" s="11">
        <v>1.35E-2</v>
      </c>
      <c r="E67" s="3" t="s">
        <v>72</v>
      </c>
      <c r="F67" s="10">
        <f>SUM(C2)</f>
        <v>18401603.813197922</v>
      </c>
      <c r="G67" s="26">
        <v>8.4499999999999993</v>
      </c>
      <c r="H67" s="10"/>
      <c r="I67" s="10">
        <f t="shared" ref="I67" si="11">IF(H67&lt;&gt;"",H67,I66/(1+IF(G66="",0,G66)/100))</f>
        <v>2852.2821770036512</v>
      </c>
      <c r="J67" s="10">
        <f t="shared" si="9"/>
        <v>36303847548.902473</v>
      </c>
      <c r="K67" s="11"/>
    </row>
  </sheetData>
  <dataValidations count="1">
    <dataValidation type="custom" allowBlank="1" showDropDown="1" sqref="D2:D67" xr:uid="{00000000-0002-0000-A7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M76"/>
  <sheetViews>
    <sheetView workbookViewId="0">
      <selection activeCell="L16" sqref="L16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8714392.4416103438</v>
      </c>
      <c r="D2" s="11">
        <v>-1.1999999999999999E-3</v>
      </c>
      <c r="E2" s="10">
        <f t="shared" ref="E2:E66" si="2">SUM(C2-C3)</f>
        <v>-10469.834731610492</v>
      </c>
      <c r="F2" s="14">
        <v>8714286</v>
      </c>
      <c r="G2" s="26">
        <v>6.46</v>
      </c>
      <c r="H2" s="10"/>
      <c r="I2" s="10">
        <f>IF(H2&lt;&gt;"",H2,13648)</f>
        <v>1706</v>
      </c>
      <c r="J2" s="10">
        <f t="shared" ref="J2:J33" si="3">IF(I2="","",I2*C2)</f>
        <v>14866753505.387247</v>
      </c>
      <c r="K2" s="11">
        <f t="shared" ref="K2:K33" si="4">IFERROR(J2/J3-1,"")</f>
        <v>6.3322479999999848E-2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8724862.2763419542</v>
      </c>
      <c r="D3" s="11">
        <v>1.14E-2</v>
      </c>
      <c r="E3" s="10">
        <f t="shared" si="2"/>
        <v>98342.327417736873</v>
      </c>
      <c r="F3" s="3"/>
      <c r="G3" s="26">
        <v>5.57</v>
      </c>
      <c r="H3" s="10"/>
      <c r="I3" s="10">
        <f t="shared" ref="I3:I34" si="5">IF(H3&lt;&gt;"",H3,I2/(1+IF(G2="",0,G2)/100))</f>
        <v>1602.4798046214542</v>
      </c>
      <c r="J3" s="10">
        <f t="shared" si="3"/>
        <v>13981415595.941551</v>
      </c>
      <c r="K3" s="11">
        <f t="shared" si="4"/>
        <v>6.7734980000000444E-2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8626519.9489242174</v>
      </c>
      <c r="D4" s="11">
        <v>1.55E-2</v>
      </c>
      <c r="E4" s="10">
        <f t="shared" si="2"/>
        <v>131670.17154931091</v>
      </c>
      <c r="F4" s="3"/>
      <c r="G4" s="26">
        <v>5.05</v>
      </c>
      <c r="H4" s="10"/>
      <c r="I4" s="10">
        <f t="shared" si="5"/>
        <v>1517.9310453930605</v>
      </c>
      <c r="J4" s="10">
        <f t="shared" si="3"/>
        <v>13094462444.174627</v>
      </c>
      <c r="K4" s="11">
        <f t="shared" si="4"/>
        <v>6.6782750000000002E-2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8494849.7773749065</v>
      </c>
      <c r="D5" s="11">
        <v>1.23E-2</v>
      </c>
      <c r="E5" s="10">
        <f t="shared" si="2"/>
        <v>103217.08215125091</v>
      </c>
      <c r="F5" s="3"/>
      <c r="G5" s="26">
        <v>6.01</v>
      </c>
      <c r="H5" s="10"/>
      <c r="I5" s="10">
        <f t="shared" si="5"/>
        <v>1444.9605382132893</v>
      </c>
      <c r="J5" s="10">
        <f t="shared" si="3"/>
        <v>12274722706.356686</v>
      </c>
      <c r="K5" s="11">
        <f t="shared" si="4"/>
        <v>7.3139230000000222E-2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8391632.6952236556</v>
      </c>
      <c r="D6" s="11">
        <v>1.21E-2</v>
      </c>
      <c r="E6" s="10">
        <f t="shared" si="2"/>
        <v>100324.82522695977</v>
      </c>
      <c r="F6" s="3"/>
      <c r="G6" s="26">
        <v>7.06</v>
      </c>
      <c r="H6" s="10"/>
      <c r="I6" s="10">
        <f t="shared" si="5"/>
        <v>1363.0417302266665</v>
      </c>
      <c r="J6" s="10">
        <f t="shared" si="3"/>
        <v>11438145548.324316</v>
      </c>
      <c r="K6" s="11">
        <f t="shared" si="4"/>
        <v>8.355425999999988E-2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8291307.8699966958</v>
      </c>
      <c r="D7" s="11">
        <v>1.2E-2</v>
      </c>
      <c r="E7" s="10">
        <f t="shared" si="2"/>
        <v>98315.903596798889</v>
      </c>
      <c r="F7" s="3"/>
      <c r="G7" s="26">
        <v>6.67</v>
      </c>
      <c r="H7" s="10"/>
      <c r="I7" s="10">
        <f t="shared" si="5"/>
        <v>1273.1568561803349</v>
      </c>
      <c r="J7" s="10">
        <f t="shared" si="3"/>
        <v>10556135461.388262</v>
      </c>
      <c r="K7" s="11">
        <f t="shared" si="4"/>
        <v>7.9500399999999694E-2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8192991.9663998969</v>
      </c>
      <c r="D8" s="11">
        <v>1.3599999999999999E-2</v>
      </c>
      <c r="E8" s="10">
        <f t="shared" si="2"/>
        <v>109929.64753654227</v>
      </c>
      <c r="F8" s="3"/>
      <c r="G8" s="26">
        <v>6.54</v>
      </c>
      <c r="H8" s="10"/>
      <c r="I8" s="10">
        <f t="shared" si="5"/>
        <v>1193.5472543173667</v>
      </c>
      <c r="J8" s="10">
        <f t="shared" si="3"/>
        <v>9778723066.1408405</v>
      </c>
      <c r="K8" s="11">
        <f t="shared" si="4"/>
        <v>7.9889439999999867E-2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8083062.3188633546</v>
      </c>
      <c r="D9" s="11">
        <v>1.4200000000000001E-2</v>
      </c>
      <c r="E9" s="10">
        <f t="shared" si="2"/>
        <v>113172.43633194547</v>
      </c>
      <c r="F9" s="3"/>
      <c r="G9" s="26">
        <v>5.24</v>
      </c>
      <c r="H9" s="10"/>
      <c r="I9" s="10">
        <f t="shared" si="5"/>
        <v>1120.2808844728429</v>
      </c>
      <c r="J9" s="10">
        <f t="shared" si="3"/>
        <v>9055300203.8253479</v>
      </c>
      <c r="K9" s="11">
        <f t="shared" si="4"/>
        <v>6.7344080000000028E-2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7969889.8825314092</v>
      </c>
      <c r="D10" s="11">
        <v>1.46E-2</v>
      </c>
      <c r="E10" s="10">
        <f t="shared" si="2"/>
        <v>114685.97702045925</v>
      </c>
      <c r="F10" s="3"/>
      <c r="G10" s="26">
        <v>4.74</v>
      </c>
      <c r="H10" s="10"/>
      <c r="I10" s="10">
        <f t="shared" si="5"/>
        <v>1064.5010304759055</v>
      </c>
      <c r="J10" s="10">
        <f t="shared" si="3"/>
        <v>8483955992.7341785</v>
      </c>
      <c r="K10" s="11">
        <f t="shared" si="4"/>
        <v>6.2692039999999949E-2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7855203.9055109499</v>
      </c>
      <c r="D11" s="11">
        <v>1.4999999999999999E-2</v>
      </c>
      <c r="E11" s="10">
        <f t="shared" si="2"/>
        <v>116086.75722429901</v>
      </c>
      <c r="F11" s="3"/>
      <c r="G11" s="26">
        <v>3.83</v>
      </c>
      <c r="H11" s="10"/>
      <c r="I11" s="10">
        <f t="shared" si="5"/>
        <v>1016.3271247621782</v>
      </c>
      <c r="J11" s="10">
        <f t="shared" si="3"/>
        <v>7983456799.7085762</v>
      </c>
      <c r="K11" s="11">
        <f t="shared" si="4"/>
        <v>5.3874499999999825E-2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7739117.1482866509</v>
      </c>
      <c r="D12" s="11">
        <v>1.5299999999999999E-2</v>
      </c>
      <c r="E12" s="10">
        <f t="shared" si="2"/>
        <v>116624.1429811744</v>
      </c>
      <c r="F12" s="3"/>
      <c r="G12" s="26">
        <v>5.08</v>
      </c>
      <c r="H12" s="10"/>
      <c r="I12" s="10">
        <f t="shared" si="5"/>
        <v>978.83764303397686</v>
      </c>
      <c r="J12" s="10">
        <f t="shared" si="3"/>
        <v>7575339188.5927382</v>
      </c>
      <c r="K12" s="11">
        <f t="shared" si="4"/>
        <v>6.6877240000000171E-2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7622493.0053054765</v>
      </c>
      <c r="D13" s="11">
        <v>1.5599999999999999E-2</v>
      </c>
      <c r="E13" s="10">
        <f t="shared" si="2"/>
        <v>117084.37463840656</v>
      </c>
      <c r="F13" s="3"/>
      <c r="G13" s="26">
        <v>5.29</v>
      </c>
      <c r="H13" s="10"/>
      <c r="I13" s="10">
        <f t="shared" si="5"/>
        <v>931.51659976587064</v>
      </c>
      <c r="J13" s="10">
        <f t="shared" si="3"/>
        <v>7100478766.0412903</v>
      </c>
      <c r="K13" s="11">
        <f t="shared" si="4"/>
        <v>6.9325239999999955E-2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7505408.6306670699</v>
      </c>
      <c r="D14" s="11">
        <v>1.54E-2</v>
      </c>
      <c r="E14" s="10">
        <f t="shared" si="2"/>
        <v>113830.30619684234</v>
      </c>
      <c r="F14" s="3"/>
      <c r="G14" s="26">
        <v>4.67</v>
      </c>
      <c r="H14" s="10"/>
      <c r="I14" s="10">
        <f t="shared" si="5"/>
        <v>884.71516740988761</v>
      </c>
      <c r="J14" s="10">
        <f t="shared" si="3"/>
        <v>6640148853.1602325</v>
      </c>
      <c r="K14" s="11">
        <f t="shared" si="4"/>
        <v>6.2819179999999974E-2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7391578.3244702276</v>
      </c>
      <c r="D15" s="11">
        <v>1.47E-2</v>
      </c>
      <c r="E15" s="10">
        <f t="shared" si="2"/>
        <v>107082.09457939491</v>
      </c>
      <c r="F15" s="3"/>
      <c r="G15" s="26">
        <v>5.18</v>
      </c>
      <c r="H15" s="10"/>
      <c r="I15" s="10">
        <f t="shared" si="5"/>
        <v>845.24234967983921</v>
      </c>
      <c r="J15" s="10">
        <f t="shared" si="3"/>
        <v>6247675030.8177843</v>
      </c>
      <c r="K15" s="11">
        <f t="shared" si="4"/>
        <v>6.7261460000000106E-2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7284496.2298908327</v>
      </c>
      <c r="D16" s="11">
        <v>1.43E-2</v>
      </c>
      <c r="E16" s="10">
        <f t="shared" si="2"/>
        <v>102699.69051310141</v>
      </c>
      <c r="F16" s="3"/>
      <c r="G16" s="26">
        <v>4.49</v>
      </c>
      <c r="H16" s="10"/>
      <c r="I16" s="10">
        <f t="shared" si="5"/>
        <v>803.61508811545843</v>
      </c>
      <c r="J16" s="10">
        <f t="shared" si="3"/>
        <v>5853931079.6604462</v>
      </c>
      <c r="K16" s="11">
        <f t="shared" si="4"/>
        <v>5.9842069999999747E-2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7181796.5393777313</v>
      </c>
      <c r="D17" s="11">
        <v>1.43E-2</v>
      </c>
      <c r="E17" s="10">
        <f t="shared" si="2"/>
        <v>101251.78991728462</v>
      </c>
      <c r="F17" s="3"/>
      <c r="G17" s="26">
        <v>4.5199999999999996</v>
      </c>
      <c r="H17" s="10"/>
      <c r="I17" s="10">
        <f t="shared" si="5"/>
        <v>769.08325018227436</v>
      </c>
      <c r="J17" s="10">
        <f t="shared" si="3"/>
        <v>5523399424.6524363</v>
      </c>
      <c r="K17" s="11">
        <f t="shared" si="4"/>
        <v>6.0146360000000065E-2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7080544.7494604466</v>
      </c>
      <c r="D18" s="11">
        <v>1.5599999999999999E-2</v>
      </c>
      <c r="E18" s="10">
        <f t="shared" si="2"/>
        <v>108759.84451711643</v>
      </c>
      <c r="F18" s="3"/>
      <c r="G18" s="26">
        <v>5.12</v>
      </c>
      <c r="H18" s="10"/>
      <c r="I18" s="10">
        <f t="shared" si="5"/>
        <v>735.82400514951632</v>
      </c>
      <c r="J18" s="10">
        <f t="shared" si="3"/>
        <v>5210034796.188364</v>
      </c>
      <c r="K18" s="11">
        <f t="shared" si="4"/>
        <v>6.7598719999999668E-2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6971784.9049433302</v>
      </c>
      <c r="D19" s="11">
        <v>1.7399999999999999E-2</v>
      </c>
      <c r="E19" s="10">
        <f t="shared" si="2"/>
        <v>119234.37914882507</v>
      </c>
      <c r="F19" s="3"/>
      <c r="G19" s="26">
        <v>3.89</v>
      </c>
      <c r="H19" s="10"/>
      <c r="I19" s="10">
        <f t="shared" si="5"/>
        <v>699.98478419855064</v>
      </c>
      <c r="J19" s="10">
        <f t="shared" si="3"/>
        <v>4880143352.1654701</v>
      </c>
      <c r="K19" s="11">
        <f t="shared" si="4"/>
        <v>5.697686000000024E-2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6852550.5257945051</v>
      </c>
      <c r="D20" s="11">
        <v>1.89E-2</v>
      </c>
      <c r="E20" s="10">
        <f t="shared" si="2"/>
        <v>127110.81061685737</v>
      </c>
      <c r="F20" s="3"/>
      <c r="G20" s="26">
        <v>1.9</v>
      </c>
      <c r="H20" s="10"/>
      <c r="I20" s="10">
        <f t="shared" si="5"/>
        <v>673.77493906877532</v>
      </c>
      <c r="J20" s="10">
        <f t="shared" si="3"/>
        <v>4617076812.9828968</v>
      </c>
      <c r="K20" s="11">
        <f t="shared" si="4"/>
        <v>3.8259099999999879E-2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6725439.7151776478</v>
      </c>
      <c r="D21" s="11">
        <v>1.95E-2</v>
      </c>
      <c r="E21" s="10">
        <f t="shared" si="2"/>
        <v>128637.64045705181</v>
      </c>
      <c r="F21" s="3"/>
      <c r="G21" s="26">
        <v>4.5</v>
      </c>
      <c r="H21" s="10"/>
      <c r="I21" s="10">
        <f t="shared" si="5"/>
        <v>661.21191272696308</v>
      </c>
      <c r="J21" s="10">
        <f t="shared" si="3"/>
        <v>4446940858.0024939</v>
      </c>
      <c r="K21" s="11">
        <f t="shared" si="4"/>
        <v>6.5377499999999866E-2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6596802.074720596</v>
      </c>
      <c r="D22" s="11">
        <v>1.9599999999999999E-2</v>
      </c>
      <c r="E22" s="10">
        <f t="shared" si="2"/>
        <v>126811.80920412298</v>
      </c>
      <c r="F22" s="3"/>
      <c r="G22" s="26">
        <v>-3.91</v>
      </c>
      <c r="H22" s="10"/>
      <c r="I22" s="10">
        <f t="shared" si="5"/>
        <v>632.73867246599343</v>
      </c>
      <c r="J22" s="10">
        <f t="shared" si="3"/>
        <v>4174051787.2796211</v>
      </c>
      <c r="K22" s="11">
        <f t="shared" si="4"/>
        <v>-2.0266359999999928E-2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6469990.265516473</v>
      </c>
      <c r="D23" s="11">
        <v>2.0299999999999999E-2</v>
      </c>
      <c r="E23" s="10">
        <f t="shared" si="2"/>
        <v>128727.63147112075</v>
      </c>
      <c r="F23" s="3"/>
      <c r="G23" s="26">
        <v>-5.52</v>
      </c>
      <c r="H23" s="10"/>
      <c r="I23" s="10">
        <f t="shared" si="5"/>
        <v>658.48545370589386</v>
      </c>
      <c r="J23" s="10">
        <f t="shared" si="3"/>
        <v>4260394475.4613314</v>
      </c>
      <c r="K23" s="11">
        <f t="shared" si="4"/>
        <v>-3.602056000000009E-2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6341262.6340453522</v>
      </c>
      <c r="D24" s="11">
        <v>2.1499999999999998E-2</v>
      </c>
      <c r="E24" s="10">
        <f t="shared" si="2"/>
        <v>133467.59337442555</v>
      </c>
      <c r="F24" s="3"/>
      <c r="G24" s="26">
        <v>9.31</v>
      </c>
      <c r="H24" s="10"/>
      <c r="I24" s="10">
        <f t="shared" si="5"/>
        <v>696.9575081561112</v>
      </c>
      <c r="J24" s="10">
        <f t="shared" si="3"/>
        <v>4419590603.9877071</v>
      </c>
      <c r="K24" s="11">
        <f t="shared" si="4"/>
        <v>0.11660165000000022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6207795.0406709267</v>
      </c>
      <c r="D25" s="11">
        <v>2.24E-2</v>
      </c>
      <c r="E25" s="10">
        <f t="shared" si="2"/>
        <v>136008.02906008251</v>
      </c>
      <c r="F25" s="3"/>
      <c r="G25" s="26">
        <v>7.23</v>
      </c>
      <c r="H25" s="10"/>
      <c r="I25" s="10">
        <f t="shared" si="5"/>
        <v>637.59720808353416</v>
      </c>
      <c r="J25" s="10">
        <f t="shared" si="3"/>
        <v>3958072786.286592</v>
      </c>
      <c r="K25" s="11">
        <f t="shared" si="4"/>
        <v>9.631951999999977E-2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6071787.0116108442</v>
      </c>
      <c r="D26" s="11">
        <v>2.2700000000000001E-2</v>
      </c>
      <c r="E26" s="10">
        <f t="shared" si="2"/>
        <v>134770.27981183678</v>
      </c>
      <c r="F26" s="3"/>
      <c r="G26" s="26">
        <v>8.0299999999999994</v>
      </c>
      <c r="H26" s="10"/>
      <c r="I26" s="10">
        <f t="shared" si="5"/>
        <v>594.60711375877474</v>
      </c>
      <c r="J26" s="10">
        <f t="shared" si="3"/>
        <v>3610327750.3319402</v>
      </c>
      <c r="K26" s="11">
        <f t="shared" si="4"/>
        <v>0.10482280999999993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5937016.7317990074</v>
      </c>
      <c r="D27" s="11">
        <v>2.2200000000000001E-2</v>
      </c>
      <c r="E27" s="10">
        <f t="shared" si="2"/>
        <v>128939.31857360434</v>
      </c>
      <c r="F27" s="3"/>
      <c r="G27" s="26">
        <v>-4.67</v>
      </c>
      <c r="H27" s="10"/>
      <c r="I27" s="10">
        <f t="shared" si="5"/>
        <v>550.40925091064958</v>
      </c>
      <c r="J27" s="10">
        <f t="shared" si="3"/>
        <v>3267788931.9934845</v>
      </c>
      <c r="K27" s="11">
        <f t="shared" si="4"/>
        <v>-2.5536739999999836E-2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5808077.4132254031</v>
      </c>
      <c r="D28" s="11">
        <v>2.1700000000000001E-2</v>
      </c>
      <c r="E28" s="10">
        <f t="shared" si="2"/>
        <v>123358.40253204573</v>
      </c>
      <c r="F28" s="3"/>
      <c r="G28" s="26">
        <v>10.43</v>
      </c>
      <c r="H28" s="10"/>
      <c r="I28" s="10">
        <f t="shared" si="5"/>
        <v>577.37254894644866</v>
      </c>
      <c r="J28" s="10">
        <f t="shared" si="3"/>
        <v>3353424460.552247</v>
      </c>
      <c r="K28" s="11">
        <f t="shared" si="4"/>
        <v>0.12826331000000013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5684719.0106933573</v>
      </c>
      <c r="D29" s="11">
        <v>2.1499999999999998E-2</v>
      </c>
      <c r="E29" s="10">
        <f t="shared" si="2"/>
        <v>119649.0051198313</v>
      </c>
      <c r="F29" s="3"/>
      <c r="G29" s="26">
        <v>2.34</v>
      </c>
      <c r="H29" s="10"/>
      <c r="I29" s="10">
        <f t="shared" si="5"/>
        <v>522.84030512220284</v>
      </c>
      <c r="J29" s="10">
        <f t="shared" si="3"/>
        <v>2972200222.0849018</v>
      </c>
      <c r="K29" s="11">
        <f t="shared" si="4"/>
        <v>4.5403100000000141E-2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5565070.005573526</v>
      </c>
      <c r="D30" s="11">
        <v>2.1999999999999999E-2</v>
      </c>
      <c r="E30" s="10">
        <f t="shared" si="2"/>
        <v>119796.02751723863</v>
      </c>
      <c r="F30" s="3"/>
      <c r="G30" s="26">
        <v>5.7</v>
      </c>
      <c r="H30" s="10"/>
      <c r="I30" s="10">
        <f t="shared" si="5"/>
        <v>510.88558249189248</v>
      </c>
      <c r="J30" s="10">
        <f t="shared" si="3"/>
        <v>2843114031.4055901</v>
      </c>
      <c r="K30" s="11">
        <f t="shared" si="4"/>
        <v>8.0253999999999825E-2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5445273.9780562874</v>
      </c>
      <c r="D31" s="11">
        <v>2.29E-2</v>
      </c>
      <c r="E31" s="10">
        <f t="shared" si="2"/>
        <v>121905.14624840021</v>
      </c>
      <c r="F31" s="3"/>
      <c r="G31" s="26">
        <v>5.22</v>
      </c>
      <c r="H31" s="10"/>
      <c r="I31" s="10">
        <f t="shared" si="5"/>
        <v>483.33546120330419</v>
      </c>
      <c r="J31" s="10">
        <f t="shared" si="3"/>
        <v>2631894009.5621867</v>
      </c>
      <c r="K31" s="11">
        <f t="shared" si="4"/>
        <v>7.6295379999999913E-2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5323368.8318078872</v>
      </c>
      <c r="D32" s="11">
        <v>2.3800000000000002E-2</v>
      </c>
      <c r="E32" s="10">
        <f t="shared" si="2"/>
        <v>123750.90661948454</v>
      </c>
      <c r="F32" s="3"/>
      <c r="G32" s="26">
        <v>2.46</v>
      </c>
      <c r="H32" s="10"/>
      <c r="I32" s="10">
        <f t="shared" si="5"/>
        <v>459.3570245231935</v>
      </c>
      <c r="J32" s="10">
        <f t="shared" si="3"/>
        <v>2445326867.0187798</v>
      </c>
      <c r="K32" s="11">
        <f t="shared" si="4"/>
        <v>4.8985480000000026E-2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5199617.9251884026</v>
      </c>
      <c r="D33" s="11">
        <v>2.4500000000000001E-2</v>
      </c>
      <c r="E33" s="10">
        <f t="shared" si="2"/>
        <v>124344.20611724351</v>
      </c>
      <c r="F33" s="3"/>
      <c r="G33" s="26">
        <v>-0.38</v>
      </c>
      <c r="H33" s="10"/>
      <c r="I33" s="10">
        <f t="shared" si="5"/>
        <v>448.32815198437783</v>
      </c>
      <c r="J33" s="10">
        <f t="shared" si="3"/>
        <v>2331135095.4245615</v>
      </c>
      <c r="K33" s="11">
        <f t="shared" si="4"/>
        <v>2.0606899999999984E-2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5075273.7190711591</v>
      </c>
      <c r="D34" s="11">
        <v>2.4899999999999999E-2</v>
      </c>
      <c r="E34" s="10">
        <f t="shared" si="2"/>
        <v>123304.04488718044</v>
      </c>
      <c r="F34" s="3"/>
      <c r="G34" s="26">
        <v>-3.33</v>
      </c>
      <c r="H34" s="10"/>
      <c r="I34" s="10">
        <f t="shared" si="5"/>
        <v>450.03829751493458</v>
      </c>
      <c r="J34" s="10">
        <f t="shared" ref="J34:J65" si="6">IF(I34="","",I34*C34)</f>
        <v>2284067543.9530749</v>
      </c>
      <c r="K34" s="11">
        <f t="shared" ref="K34:K65" si="7">IFERROR(J34/J35-1,"")</f>
        <v>4.0945299999999296E-3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4951969.6741839787</v>
      </c>
      <c r="D35" s="11">
        <v>2.5000000000000001E-2</v>
      </c>
      <c r="E35" s="10">
        <f t="shared" si="2"/>
        <v>120779.74815082829</v>
      </c>
      <c r="F35" s="3"/>
      <c r="G35" s="26">
        <v>-7.55</v>
      </c>
      <c r="H35" s="10"/>
      <c r="I35" s="10">
        <f t="shared" ref="I35:I66" si="8">IF(H35&lt;&gt;"",H35,I34/(1+IF(G34="",0,G34)/100))</f>
        <v>459.3633740072824</v>
      </c>
      <c r="J35" s="10">
        <f t="shared" si="6"/>
        <v>2274753497.5148954</v>
      </c>
      <c r="K35" s="11">
        <f t="shared" si="7"/>
        <v>-2.4712500000000137E-2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4831189.9260331504</v>
      </c>
      <c r="D36" s="11">
        <v>2.47E-2</v>
      </c>
      <c r="E36" s="10">
        <f t="shared" si="2"/>
        <v>116453.97791843303</v>
      </c>
      <c r="F36" s="3"/>
      <c r="G36" s="26">
        <v>-0.89</v>
      </c>
      <c r="H36" s="10"/>
      <c r="I36" s="10">
        <f t="shared" si="8"/>
        <v>482.77811246167357</v>
      </c>
      <c r="J36" s="10">
        <f t="shared" si="6"/>
        <v>2332392753.4341369</v>
      </c>
      <c r="K36" s="11">
        <f t="shared" si="7"/>
        <v>6.4765769999999723E-2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4714735.9481147174</v>
      </c>
      <c r="D37" s="11">
        <v>2.41E-2</v>
      </c>
      <c r="E37" s="10">
        <f t="shared" si="2"/>
        <v>110951.21213706117</v>
      </c>
      <c r="F37" s="3"/>
      <c r="G37" s="26">
        <v>0.93</v>
      </c>
      <c r="H37" s="10"/>
      <c r="I37" s="10">
        <f t="shared" si="8"/>
        <v>464.61179141725881</v>
      </c>
      <c r="J37" s="10">
        <f t="shared" si="6"/>
        <v>2190521914.9129272</v>
      </c>
      <c r="K37" s="11">
        <f t="shared" si="7"/>
        <v>8.7901430000000058E-2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4603784.7359776562</v>
      </c>
      <c r="D38" s="11">
        <v>2.35E-2</v>
      </c>
      <c r="E38" s="10">
        <f t="shared" si="2"/>
        <v>105704.87669318542</v>
      </c>
      <c r="F38" s="3"/>
      <c r="G38" s="26">
        <v>0.23</v>
      </c>
      <c r="H38" s="10"/>
      <c r="I38" s="10">
        <f t="shared" si="8"/>
        <v>437.36401338346872</v>
      </c>
      <c r="J38" s="10">
        <f t="shared" si="6"/>
        <v>2013529768.8807406</v>
      </c>
      <c r="K38" s="11">
        <f t="shared" si="7"/>
        <v>6.3723549999999962E-2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4498079.8592844708</v>
      </c>
      <c r="D39" s="11">
        <v>2.2800000000000001E-2</v>
      </c>
      <c r="E39" s="10">
        <f t="shared" si="2"/>
        <v>100270.06334736571</v>
      </c>
      <c r="F39" s="3"/>
      <c r="G39" s="26">
        <v>1.53</v>
      </c>
      <c r="H39" s="10"/>
      <c r="I39" s="10">
        <f t="shared" si="8"/>
        <v>420.82556853985255</v>
      </c>
      <c r="J39" s="10">
        <f t="shared" si="6"/>
        <v>1892907014.1210475</v>
      </c>
      <c r="K39" s="11">
        <f t="shared" si="7"/>
        <v>3.844884000000004E-2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4397809.7959371051</v>
      </c>
      <c r="D40" s="11">
        <v>2.2100000000000002E-2</v>
      </c>
      <c r="E40" s="10">
        <f t="shared" si="2"/>
        <v>95090.105166040361</v>
      </c>
      <c r="F40" s="3"/>
      <c r="G40" s="29">
        <v>9.43</v>
      </c>
      <c r="H40" s="10"/>
      <c r="I40" s="10">
        <f t="shared" si="8"/>
        <v>414.48396389230032</v>
      </c>
      <c r="J40" s="10">
        <f t="shared" si="6"/>
        <v>1822821636.6643996</v>
      </c>
      <c r="K40" s="11">
        <f t="shared" si="7"/>
        <v>0.11848402999999985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4302719.6907710647</v>
      </c>
      <c r="D41" s="11">
        <v>2.1499999999999998E-2</v>
      </c>
      <c r="E41" s="10">
        <f t="shared" si="2"/>
        <v>90561.403183140792</v>
      </c>
      <c r="F41" s="3"/>
      <c r="G41" s="29">
        <v>3.1</v>
      </c>
      <c r="H41" s="10"/>
      <c r="I41" s="10">
        <f t="shared" si="8"/>
        <v>378.76630164698923</v>
      </c>
      <c r="J41" s="10">
        <f t="shared" si="6"/>
        <v>1629725224.2970333</v>
      </c>
      <c r="K41" s="11">
        <f t="shared" si="7"/>
        <v>5.3166499999999894E-2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4212158.2875879239</v>
      </c>
      <c r="D42" s="11">
        <v>2.1000000000000001E-2</v>
      </c>
      <c r="E42" s="10">
        <f t="shared" si="2"/>
        <v>86635.968696714845</v>
      </c>
      <c r="F42" s="3"/>
      <c r="G42" s="26">
        <v>12.92</v>
      </c>
      <c r="H42" s="10"/>
      <c r="I42" s="10">
        <f t="shared" si="8"/>
        <v>367.37759616584799</v>
      </c>
      <c r="J42" s="10">
        <f t="shared" si="6"/>
        <v>1547452586.3641062</v>
      </c>
      <c r="K42" s="11">
        <f t="shared" si="7"/>
        <v>0.15291319999999997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4125522.3188912091</v>
      </c>
      <c r="D43" s="11">
        <v>2.06E-2</v>
      </c>
      <c r="E43" s="10">
        <f t="shared" si="2"/>
        <v>83270.389740504324</v>
      </c>
      <c r="F43" s="3"/>
      <c r="G43" s="26">
        <v>9.1300000000000008</v>
      </c>
      <c r="H43" s="10"/>
      <c r="I43" s="10">
        <f t="shared" si="8"/>
        <v>325.34324846426495</v>
      </c>
      <c r="J43" s="10">
        <f t="shared" si="6"/>
        <v>1342210832.8398931</v>
      </c>
      <c r="K43" s="11">
        <f t="shared" si="7"/>
        <v>0.11378077999999991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4042251.9291507048</v>
      </c>
      <c r="D44" s="11">
        <v>2.06E-2</v>
      </c>
      <c r="E44" s="10">
        <f t="shared" si="2"/>
        <v>81589.643092792947</v>
      </c>
      <c r="F44" s="3"/>
      <c r="G44" s="26">
        <v>8.52</v>
      </c>
      <c r="H44" s="10"/>
      <c r="I44" s="10">
        <f t="shared" si="8"/>
        <v>298.1244831524466</v>
      </c>
      <c r="J44" s="10">
        <f t="shared" si="6"/>
        <v>1205094267.150034</v>
      </c>
      <c r="K44" s="11">
        <f t="shared" si="7"/>
        <v>0.10755511999999978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3960662.2860579118</v>
      </c>
      <c r="D45" s="11">
        <v>2.12E-2</v>
      </c>
      <c r="E45" s="10">
        <f t="shared" si="2"/>
        <v>82222.91467335308</v>
      </c>
      <c r="F45" s="3"/>
      <c r="G45" s="26">
        <v>7.53</v>
      </c>
      <c r="H45" s="10"/>
      <c r="I45" s="10">
        <f t="shared" si="8"/>
        <v>274.71846954703892</v>
      </c>
      <c r="J45" s="10">
        <f t="shared" si="6"/>
        <v>1088067081.618506</v>
      </c>
      <c r="K45" s="11">
        <f t="shared" si="7"/>
        <v>9.8096359999999994E-2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3878439.3713845587</v>
      </c>
      <c r="D46" s="11">
        <v>2.2200000000000001E-2</v>
      </c>
      <c r="E46" s="10">
        <f t="shared" si="2"/>
        <v>84231.416596299503</v>
      </c>
      <c r="F46" s="3"/>
      <c r="G46" s="26">
        <v>6.29</v>
      </c>
      <c r="H46" s="10"/>
      <c r="I46" s="10">
        <f t="shared" si="8"/>
        <v>255.48076773648185</v>
      </c>
      <c r="J46" s="10">
        <f t="shared" si="6"/>
        <v>990866668.22072518</v>
      </c>
      <c r="K46" s="11">
        <f t="shared" si="7"/>
        <v>8.6496380000000039E-2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3794207.9547882592</v>
      </c>
      <c r="D47" s="11">
        <v>2.3400000000000001E-2</v>
      </c>
      <c r="E47" s="10">
        <f t="shared" si="2"/>
        <v>86754.412880638614</v>
      </c>
      <c r="F47" s="3"/>
      <c r="G47" s="26">
        <v>4.96</v>
      </c>
      <c r="H47" s="10"/>
      <c r="I47" s="10">
        <f t="shared" si="8"/>
        <v>240.36199805859616</v>
      </c>
      <c r="J47" s="10">
        <f t="shared" si="6"/>
        <v>911983405.06272566</v>
      </c>
      <c r="K47" s="11">
        <f t="shared" si="7"/>
        <v>7.4160640000000111E-2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3707453.5419076206</v>
      </c>
      <c r="D48" s="11">
        <v>2.46E-2</v>
      </c>
      <c r="E48" s="10">
        <f t="shared" si="2"/>
        <v>89013.622029013466</v>
      </c>
      <c r="F48" s="3"/>
      <c r="G48" s="26">
        <v>4.17</v>
      </c>
      <c r="H48" s="10"/>
      <c r="I48" s="10">
        <f t="shared" si="8"/>
        <v>229.0034280283881</v>
      </c>
      <c r="J48" s="10">
        <f t="shared" si="6"/>
        <v>849019570.35283434</v>
      </c>
      <c r="K48" s="11">
        <f t="shared" si="7"/>
        <v>6.7325819999999981E-2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3618439.9198786072</v>
      </c>
      <c r="D49" s="11">
        <v>2.5499999999999998E-2</v>
      </c>
      <c r="E49" s="10">
        <f t="shared" si="2"/>
        <v>89975.834185182583</v>
      </c>
      <c r="F49" s="3"/>
      <c r="G49" s="26">
        <v>5.45</v>
      </c>
      <c r="H49" s="10"/>
      <c r="I49" s="10">
        <f t="shared" si="8"/>
        <v>219.83625614705585</v>
      </c>
      <c r="J49" s="10">
        <f t="shared" si="6"/>
        <v>795464285.0791657</v>
      </c>
      <c r="K49" s="11">
        <f t="shared" si="7"/>
        <v>8.1389749999999816E-2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3528464.0856934246</v>
      </c>
      <c r="D50" s="11">
        <v>2.5899999999999999E-2</v>
      </c>
      <c r="E50" s="10">
        <f t="shared" si="2"/>
        <v>89080.046612203587</v>
      </c>
      <c r="F50" s="3"/>
      <c r="G50" s="26">
        <v>0.62</v>
      </c>
      <c r="H50" s="10"/>
      <c r="I50" s="10">
        <f t="shared" si="8"/>
        <v>208.47440127743562</v>
      </c>
      <c r="J50" s="10">
        <f t="shared" si="6"/>
        <v>735594437.69387102</v>
      </c>
      <c r="K50" s="11">
        <f t="shared" si="7"/>
        <v>3.2260580000000205E-2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3439384.039081221</v>
      </c>
      <c r="D51" s="11">
        <v>2.58E-2</v>
      </c>
      <c r="E51" s="10">
        <f t="shared" si="2"/>
        <v>86504.29733700119</v>
      </c>
      <c r="F51" s="3"/>
      <c r="G51" s="26">
        <v>2.69</v>
      </c>
      <c r="H51" s="10"/>
      <c r="I51" s="10">
        <f t="shared" si="8"/>
        <v>207.18982436636415</v>
      </c>
      <c r="J51" s="10">
        <f t="shared" si="6"/>
        <v>712605374.98571432</v>
      </c>
      <c r="K51" s="11">
        <f t="shared" si="7"/>
        <v>5.3394020000000042E-2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3352879.7417442198</v>
      </c>
      <c r="D52" s="11">
        <v>2.5000000000000001E-2</v>
      </c>
      <c r="E52" s="10">
        <f t="shared" si="2"/>
        <v>81777.554676687811</v>
      </c>
      <c r="F52" s="3"/>
      <c r="G52" s="26">
        <v>1.49</v>
      </c>
      <c r="H52" s="10"/>
      <c r="I52" s="10">
        <f t="shared" si="8"/>
        <v>201.762415392311</v>
      </c>
      <c r="J52" s="10">
        <f t="shared" si="6"/>
        <v>676485115.21426165</v>
      </c>
      <c r="K52" s="11">
        <f t="shared" si="7"/>
        <v>4.0272499999999933E-2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3271102.187067532</v>
      </c>
      <c r="D53" s="11">
        <v>2.35E-2</v>
      </c>
      <c r="E53" s="10">
        <f t="shared" si="2"/>
        <v>75105.912453431636</v>
      </c>
      <c r="F53" s="3"/>
      <c r="G53" s="26">
        <v>5.55</v>
      </c>
      <c r="H53" s="10"/>
      <c r="I53" s="10">
        <f t="shared" si="8"/>
        <v>198.80029105558282</v>
      </c>
      <c r="J53" s="10">
        <f t="shared" si="6"/>
        <v>650296066.86157882</v>
      </c>
      <c r="K53" s="11">
        <f t="shared" si="7"/>
        <v>8.0304250000000188E-2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3195996.2746141003</v>
      </c>
      <c r="D54" s="11">
        <v>2.1399999999999999E-2</v>
      </c>
      <c r="E54" s="10">
        <f t="shared" si="2"/>
        <v>66961.347441493999</v>
      </c>
      <c r="F54" s="3"/>
      <c r="G54" s="26">
        <v>5.94</v>
      </c>
      <c r="H54" s="10"/>
      <c r="I54" s="10">
        <f t="shared" si="8"/>
        <v>188.34703084375442</v>
      </c>
      <c r="J54" s="10">
        <f t="shared" si="6"/>
        <v>601956408.91126621</v>
      </c>
      <c r="K54" s="11">
        <f t="shared" si="7"/>
        <v>8.2071160000000143E-2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3129034.9271726063</v>
      </c>
      <c r="D55" s="11">
        <v>1.8599999999999998E-2</v>
      </c>
      <c r="E55" s="10">
        <f t="shared" si="2"/>
        <v>57137.295940909535</v>
      </c>
      <c r="F55" s="3"/>
      <c r="G55" s="26">
        <v>4.09</v>
      </c>
      <c r="H55" s="10"/>
      <c r="I55" s="10">
        <f t="shared" si="8"/>
        <v>177.78651202921884</v>
      </c>
      <c r="J55" s="10">
        <f t="shared" si="6"/>
        <v>556300205.71961844</v>
      </c>
      <c r="K55" s="11">
        <f t="shared" si="7"/>
        <v>6.0260739999999924E-2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3071897.6312316968</v>
      </c>
      <c r="D56" s="11">
        <v>1.52E-2</v>
      </c>
      <c r="E56" s="10">
        <f t="shared" si="2"/>
        <v>45993.739159497898</v>
      </c>
      <c r="F56" s="3"/>
      <c r="G56" s="26">
        <v>-2.64</v>
      </c>
      <c r="H56" s="10"/>
      <c r="I56" s="10">
        <f t="shared" si="8"/>
        <v>170.80076090807844</v>
      </c>
      <c r="J56" s="10">
        <f t="shared" si="6"/>
        <v>524682452.84609759</v>
      </c>
      <c r="K56" s="11">
        <f t="shared" si="7"/>
        <v>-1.1601279999999825E-2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3025903.8920721989</v>
      </c>
      <c r="D57" s="11">
        <v>1.1299999999999999E-2</v>
      </c>
      <c r="E57" s="10">
        <f t="shared" si="2"/>
        <v>33810.653594795149</v>
      </c>
      <c r="F57" s="3"/>
      <c r="G57" s="26">
        <v>0.35</v>
      </c>
      <c r="H57" s="10"/>
      <c r="I57" s="10">
        <f t="shared" si="8"/>
        <v>175.43217020139528</v>
      </c>
      <c r="J57" s="10">
        <f t="shared" si="6"/>
        <v>530840886.60707444</v>
      </c>
      <c r="K57" s="11">
        <f t="shared" si="7"/>
        <v>1.4839550000000257E-2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2992093.2384774038</v>
      </c>
      <c r="D58" s="11">
        <v>7.1999999999999998E-3</v>
      </c>
      <c r="E58" s="10">
        <f t="shared" si="2"/>
        <v>21389.070012944285</v>
      </c>
      <c r="F58" s="3"/>
      <c r="G58" s="26">
        <v>1.45</v>
      </c>
      <c r="H58" s="10"/>
      <c r="I58" s="10">
        <f t="shared" si="8"/>
        <v>174.82029915435504</v>
      </c>
      <c r="J58" s="10">
        <f t="shared" si="6"/>
        <v>523078635.0483427</v>
      </c>
      <c r="K58" s="11">
        <f t="shared" si="7"/>
        <v>2.1804399999999946E-2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2970704.1684644595</v>
      </c>
      <c r="D59" s="11">
        <v>3.3999999999999998E-3</v>
      </c>
      <c r="E59" s="10">
        <f t="shared" si="2"/>
        <v>10066.169197507668</v>
      </c>
      <c r="F59" s="3"/>
      <c r="G59" s="26">
        <v>4.3</v>
      </c>
      <c r="H59" s="10"/>
      <c r="I59" s="10">
        <f t="shared" si="8"/>
        <v>172.32163544046827</v>
      </c>
      <c r="J59" s="10">
        <f t="shared" si="6"/>
        <v>511916600.719612</v>
      </c>
      <c r="K59" s="11">
        <f t="shared" si="7"/>
        <v>4.6546199999999871E-2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2960637.9992669518</v>
      </c>
      <c r="D60" s="11">
        <v>1E-4</v>
      </c>
      <c r="E60" s="10">
        <f t="shared" si="2"/>
        <v>296.0341965071857</v>
      </c>
      <c r="F60" s="3"/>
      <c r="G60" s="26">
        <v>9.39</v>
      </c>
      <c r="H60" s="10"/>
      <c r="I60" s="10">
        <f t="shared" si="8"/>
        <v>165.21729188923135</v>
      </c>
      <c r="J60" s="10">
        <f t="shared" si="6"/>
        <v>489148592.5032379</v>
      </c>
      <c r="K60" s="11">
        <f t="shared" si="7"/>
        <v>9.4009390000000081E-2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2960341.9650704446</v>
      </c>
      <c r="D61" s="11">
        <v>-2.7000000000000001E-3</v>
      </c>
      <c r="E61" s="10">
        <f t="shared" si="2"/>
        <v>-8014.5626247772016</v>
      </c>
      <c r="F61" s="3"/>
      <c r="G61" s="26">
        <v>6.28</v>
      </c>
      <c r="H61" s="10"/>
      <c r="I61" s="10">
        <f t="shared" si="8"/>
        <v>151.03509634265595</v>
      </c>
      <c r="J61" s="10">
        <f t="shared" si="6"/>
        <v>447115533.90162206</v>
      </c>
      <c r="K61" s="11">
        <f t="shared" si="7"/>
        <v>5.9930440000000029E-2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2968356.5276952218</v>
      </c>
      <c r="D62" s="11">
        <v>-4.8999999999999998E-3</v>
      </c>
      <c r="E62" s="10">
        <f t="shared" si="2"/>
        <v>-14616.568169738166</v>
      </c>
      <c r="F62" s="3"/>
      <c r="G62" s="26">
        <v>3.48</v>
      </c>
      <c r="H62" s="10"/>
      <c r="I62" s="10">
        <f t="shared" si="8"/>
        <v>142.11055357796005</v>
      </c>
      <c r="J62" s="10">
        <f t="shared" si="6"/>
        <v>421834789.36751926</v>
      </c>
      <c r="K62" s="11">
        <f t="shared" si="7"/>
        <v>2.9729479999999864E-2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2982973.09586496</v>
      </c>
      <c r="D63" s="11">
        <v>-6.4999999999999997E-3</v>
      </c>
      <c r="E63" s="10">
        <f t="shared" si="2"/>
        <v>-19516.1802950399</v>
      </c>
      <c r="F63" s="3"/>
      <c r="G63" s="26">
        <v>4.59</v>
      </c>
      <c r="H63" s="10"/>
      <c r="I63" s="10">
        <f t="shared" si="8"/>
        <v>137.33142015651339</v>
      </c>
      <c r="J63" s="10">
        <f t="shared" si="6"/>
        <v>409655931.54380631</v>
      </c>
      <c r="K63" s="11">
        <f t="shared" si="7"/>
        <v>3.9101650000000099E-2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3002489.2761599999</v>
      </c>
      <c r="D64" s="11">
        <v>-7.4999999999999997E-3</v>
      </c>
      <c r="E64" s="10">
        <f t="shared" si="2"/>
        <v>-22688.83583999984</v>
      </c>
      <c r="F64" s="3"/>
      <c r="G64" s="26">
        <v>3.37</v>
      </c>
      <c r="H64" s="10"/>
      <c r="I64" s="10">
        <f t="shared" si="8"/>
        <v>131.30454169281325</v>
      </c>
      <c r="J64" s="10">
        <f t="shared" si="6"/>
        <v>394240478.34377539</v>
      </c>
      <c r="K64" s="11">
        <f t="shared" si="7"/>
        <v>2.5947250000000199E-2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3025178.1119999997</v>
      </c>
      <c r="D65" s="11">
        <v>-7.7999999999999996E-3</v>
      </c>
      <c r="E65" s="10">
        <f t="shared" si="2"/>
        <v>-23781.888000000268</v>
      </c>
      <c r="F65" s="3"/>
      <c r="G65" s="26">
        <v>3.51</v>
      </c>
      <c r="H65" s="10"/>
      <c r="I65" s="10">
        <f t="shared" si="8"/>
        <v>127.02383834073062</v>
      </c>
      <c r="J65" s="10">
        <f t="shared" si="6"/>
        <v>384269735.45060462</v>
      </c>
      <c r="K65" s="11">
        <f t="shared" si="7"/>
        <v>2.7026219999999768E-2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3048960</v>
      </c>
      <c r="D66" s="11">
        <v>-7.4999999999999997E-3</v>
      </c>
      <c r="E66" s="10">
        <f t="shared" si="2"/>
        <v>-23040</v>
      </c>
      <c r="F66" s="23">
        <f>SUM(F2)</f>
        <v>8714286</v>
      </c>
      <c r="G66" s="26">
        <v>0.15</v>
      </c>
      <c r="H66" s="10"/>
      <c r="I66" s="10">
        <f t="shared" si="8"/>
        <v>122.71648955727044</v>
      </c>
      <c r="J66" s="10">
        <f t="shared" ref="J66:J67" si="9">IF(I66="","",I66*C66)</f>
        <v>374157668.00053525</v>
      </c>
      <c r="K66" s="11">
        <f t="shared" ref="K66" si="10">IFERROR(J66/J67-1,"")</f>
        <v>-6.0112500000000235E-3</v>
      </c>
    </row>
    <row r="67" spans="1:11" ht="22.5" customHeight="1">
      <c r="A67" s="3">
        <f t="shared" si="0"/>
        <v>1950</v>
      </c>
      <c r="B67" s="3">
        <v>1700</v>
      </c>
      <c r="C67" s="10">
        <v>3072000</v>
      </c>
      <c r="D67" s="11">
        <v>-6.6E-3</v>
      </c>
      <c r="E67" s="3" t="s">
        <v>72</v>
      </c>
      <c r="F67" s="10">
        <f>SUM(C2)</f>
        <v>8714392.4416103438</v>
      </c>
      <c r="G67" s="26">
        <v>3.85</v>
      </c>
      <c r="H67" s="10"/>
      <c r="I67" s="10">
        <f t="shared" ref="I67" si="11">IF(H67&lt;&gt;"",H67,I66/(1+IF(G66="",0,G66)/100))</f>
        <v>122.53269052148819</v>
      </c>
      <c r="J67" s="10">
        <f t="shared" si="9"/>
        <v>376420425.28201175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</sheetData>
  <dataValidations count="1">
    <dataValidation type="custom" allowBlank="1" showDropDown="1" sqref="D2:D67" xr:uid="{00000000-0002-0000-A8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M69"/>
  <sheetViews>
    <sheetView workbookViewId="0">
      <selection activeCell="J12" sqref="J12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5131526.1085583651</v>
      </c>
      <c r="D2" s="11">
        <v>2.3800000000000002E-2</v>
      </c>
      <c r="E2" s="10">
        <f t="shared" ref="E2:E66" si="2">SUM(C2-C3)</f>
        <v>119291.19103700854</v>
      </c>
      <c r="F2" s="14">
        <v>5131190</v>
      </c>
      <c r="G2" s="29">
        <v>0.1</v>
      </c>
      <c r="H2" s="10"/>
      <c r="I2" s="10">
        <f>IF(H2&lt;&gt;"",H2,1272)</f>
        <v>159</v>
      </c>
      <c r="J2" s="10">
        <f t="shared" ref="J2:J33" si="3">IF(I2="","",I2*C2)</f>
        <v>815912651.2607801</v>
      </c>
      <c r="K2" s="11">
        <f t="shared" ref="K2:K33" si="4">IFERROR(J2/J3-1,"")</f>
        <v>2.4823800000000062E-2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5012234.9175213566</v>
      </c>
      <c r="D3" s="11">
        <v>2.4500000000000001E-2</v>
      </c>
      <c r="E3" s="10">
        <f t="shared" si="2"/>
        <v>119863.1093013892</v>
      </c>
      <c r="F3" s="3"/>
      <c r="G3" s="29">
        <v>1.33</v>
      </c>
      <c r="H3" s="10"/>
      <c r="I3" s="10">
        <f t="shared" ref="I3:I34" si="5">IF(H3&lt;&gt;"",H3,I2/(1+IF(G2="",0,G2)/100))</f>
        <v>158.84115884115886</v>
      </c>
      <c r="J3" s="10">
        <f t="shared" si="3"/>
        <v>796149202.68321252</v>
      </c>
      <c r="K3" s="11">
        <f t="shared" si="4"/>
        <v>3.8125850000000128E-2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4892371.8082199674</v>
      </c>
      <c r="D4" s="11">
        <v>2.52E-2</v>
      </c>
      <c r="E4" s="10">
        <f t="shared" si="2"/>
        <v>120257.28596092761</v>
      </c>
      <c r="F4" s="3"/>
      <c r="G4" s="29">
        <v>-1.82</v>
      </c>
      <c r="H4" s="10"/>
      <c r="I4" s="10">
        <f t="shared" si="5"/>
        <v>156.75630005048737</v>
      </c>
      <c r="J4" s="10">
        <f t="shared" si="3"/>
        <v>766910103.12787461</v>
      </c>
      <c r="K4" s="11">
        <f t="shared" si="4"/>
        <v>6.5413599999997185E-3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4772114.5222590398</v>
      </c>
      <c r="D5" s="11">
        <v>2.5600000000000001E-2</v>
      </c>
      <c r="E5" s="10">
        <f t="shared" si="2"/>
        <v>119116.74314531218</v>
      </c>
      <c r="F5" s="3"/>
      <c r="G5" s="29">
        <v>-0.11</v>
      </c>
      <c r="H5" s="10"/>
      <c r="I5" s="10">
        <f t="shared" si="5"/>
        <v>159.66215120237052</v>
      </c>
      <c r="J5" s="10">
        <f t="shared" si="3"/>
        <v>761926070.407951</v>
      </c>
      <c r="K5" s="11">
        <f t="shared" si="4"/>
        <v>2.4471840000000356E-2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4652997.7791137276</v>
      </c>
      <c r="D6" s="11">
        <v>2.5399999999999999E-2</v>
      </c>
      <c r="E6" s="10">
        <f t="shared" si="2"/>
        <v>115258.57576505654</v>
      </c>
      <c r="F6" s="3"/>
      <c r="G6" s="29">
        <v>4.33</v>
      </c>
      <c r="H6" s="10"/>
      <c r="I6" s="10">
        <f t="shared" si="5"/>
        <v>159.83797297264042</v>
      </c>
      <c r="J6" s="10">
        <f t="shared" si="3"/>
        <v>743725733.25973582</v>
      </c>
      <c r="K6" s="11">
        <f t="shared" si="4"/>
        <v>6.9799819999999846E-2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4537739.2033486711</v>
      </c>
      <c r="D7" s="11">
        <v>2.4799999999999999E-2</v>
      </c>
      <c r="E7" s="10">
        <f t="shared" si="2"/>
        <v>109812.58025277779</v>
      </c>
      <c r="F7" s="3"/>
      <c r="G7" s="29">
        <v>0.33</v>
      </c>
      <c r="H7" s="10"/>
      <c r="I7" s="10">
        <f t="shared" si="5"/>
        <v>153.20422982137489</v>
      </c>
      <c r="J7" s="10">
        <f t="shared" si="3"/>
        <v>695200839.77929246</v>
      </c>
      <c r="K7" s="11">
        <f t="shared" si="4"/>
        <v>2.8181840000000236E-2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4427926.6230958933</v>
      </c>
      <c r="D8" s="11">
        <v>2.4199999999999999E-2</v>
      </c>
      <c r="E8" s="10">
        <f t="shared" si="2"/>
        <v>104623.92528697569</v>
      </c>
      <c r="F8" s="3"/>
      <c r="G8" s="29">
        <v>-2.83</v>
      </c>
      <c r="H8" s="10"/>
      <c r="I8" s="10">
        <f t="shared" si="5"/>
        <v>152.70031876943574</v>
      </c>
      <c r="J8" s="10">
        <f t="shared" si="3"/>
        <v>676145806.83441401</v>
      </c>
      <c r="K8" s="11">
        <f t="shared" si="4"/>
        <v>-4.7848600000002239E-3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4323302.6978089176</v>
      </c>
      <c r="D9" s="11">
        <v>2.3699999999999999E-2</v>
      </c>
      <c r="E9" s="10">
        <f t="shared" si="2"/>
        <v>100090.13767516986</v>
      </c>
      <c r="F9" s="3"/>
      <c r="G9" s="29">
        <v>4.95</v>
      </c>
      <c r="H9" s="10"/>
      <c r="I9" s="10">
        <f t="shared" si="5"/>
        <v>157.14759572855382</v>
      </c>
      <c r="J9" s="10">
        <f t="shared" si="3"/>
        <v>679396624.56744194</v>
      </c>
      <c r="K9" s="11">
        <f t="shared" si="4"/>
        <v>7.4373150000000221E-2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4223212.5601337478</v>
      </c>
      <c r="D10" s="11">
        <v>2.3400000000000001E-2</v>
      </c>
      <c r="E10" s="10">
        <f t="shared" si="2"/>
        <v>96563.585994850844</v>
      </c>
      <c r="F10" s="3"/>
      <c r="G10" s="29">
        <v>1.69</v>
      </c>
      <c r="H10" s="10"/>
      <c r="I10" s="10">
        <f t="shared" si="5"/>
        <v>149.73567958890311</v>
      </c>
      <c r="J10" s="10">
        <f t="shared" si="3"/>
        <v>632365602.74001801</v>
      </c>
      <c r="K10" s="11">
        <f t="shared" si="4"/>
        <v>4.0695460000000017E-2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4126648.9741388969</v>
      </c>
      <c r="D11" s="11">
        <v>2.35E-2</v>
      </c>
      <c r="E11" s="10">
        <f t="shared" si="2"/>
        <v>94749.634481939021</v>
      </c>
      <c r="F11" s="3"/>
      <c r="G11" s="29">
        <v>6.2</v>
      </c>
      <c r="H11" s="10"/>
      <c r="I11" s="10">
        <f t="shared" si="5"/>
        <v>147.24720187717881</v>
      </c>
      <c r="J11" s="10">
        <f t="shared" si="3"/>
        <v>607637514.57128298</v>
      </c>
      <c r="K11" s="11">
        <f t="shared" si="4"/>
        <v>8.6957000000000173E-2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4031899.3396569579</v>
      </c>
      <c r="D12" s="11">
        <v>2.4E-2</v>
      </c>
      <c r="E12" s="10">
        <f t="shared" si="2"/>
        <v>94497.640773210209</v>
      </c>
      <c r="F12" s="3"/>
      <c r="G12" s="29">
        <v>-0.41</v>
      </c>
      <c r="H12" s="10"/>
      <c r="I12" s="10">
        <f t="shared" si="5"/>
        <v>138.65084922521544</v>
      </c>
      <c r="J12" s="10">
        <f t="shared" si="3"/>
        <v>559026267.43402255</v>
      </c>
      <c r="K12" s="11">
        <f t="shared" si="4"/>
        <v>1.9801599999999864E-2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3937401.6988837477</v>
      </c>
      <c r="D13" s="11">
        <v>2.4899999999999999E-2</v>
      </c>
      <c r="E13" s="10">
        <f t="shared" si="2"/>
        <v>95659.38364933664</v>
      </c>
      <c r="F13" s="3"/>
      <c r="G13" s="29">
        <v>7.27</v>
      </c>
      <c r="H13" s="10"/>
      <c r="I13" s="10">
        <f t="shared" si="5"/>
        <v>139.22165802311019</v>
      </c>
      <c r="J13" s="10">
        <f t="shared" si="3"/>
        <v>548171592.82160628</v>
      </c>
      <c r="K13" s="11">
        <f t="shared" si="4"/>
        <v>9.9410230000000155E-2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3841742.315234411</v>
      </c>
      <c r="D14" s="11">
        <v>2.5899999999999999E-2</v>
      </c>
      <c r="E14" s="10">
        <f t="shared" si="2"/>
        <v>96989.108065670356</v>
      </c>
      <c r="F14" s="3"/>
      <c r="G14" s="29">
        <v>4.26</v>
      </c>
      <c r="H14" s="10"/>
      <c r="I14" s="10">
        <f t="shared" si="5"/>
        <v>129.78620119615007</v>
      </c>
      <c r="J14" s="10">
        <f t="shared" si="3"/>
        <v>498605141.06877667</v>
      </c>
      <c r="K14" s="11">
        <f t="shared" si="4"/>
        <v>6.9603339999999791E-2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3744753.2071687407</v>
      </c>
      <c r="D15" s="11">
        <v>2.6800000000000001E-2</v>
      </c>
      <c r="E15" s="10">
        <f t="shared" si="2"/>
        <v>97739.955153994728</v>
      </c>
      <c r="F15" s="3"/>
      <c r="G15" s="29">
        <v>0.42</v>
      </c>
      <c r="H15" s="10"/>
      <c r="I15" s="10">
        <f t="shared" si="5"/>
        <v>124.48321618660088</v>
      </c>
      <c r="J15" s="10">
        <f t="shared" si="3"/>
        <v>466158923.05345339</v>
      </c>
      <c r="K15" s="11">
        <f t="shared" si="4"/>
        <v>3.1112559999999956E-2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3647013.252014746</v>
      </c>
      <c r="D16" s="11">
        <v>2.75E-2</v>
      </c>
      <c r="E16" s="10">
        <f t="shared" si="2"/>
        <v>97608.627182876691</v>
      </c>
      <c r="F16" s="3"/>
      <c r="G16" s="29">
        <v>-3.41</v>
      </c>
      <c r="H16" s="10"/>
      <c r="I16" s="10">
        <f t="shared" si="5"/>
        <v>123.96257337841156</v>
      </c>
      <c r="J16" s="10">
        <f t="shared" si="3"/>
        <v>452093147.86491734</v>
      </c>
      <c r="K16" s="11">
        <f t="shared" si="4"/>
        <v>-7.5377500000000097E-3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3549404.6248318693</v>
      </c>
      <c r="D17" s="11">
        <v>2.7900000000000001E-2</v>
      </c>
      <c r="E17" s="10">
        <f t="shared" si="2"/>
        <v>96340.489379131701</v>
      </c>
      <c r="F17" s="3"/>
      <c r="G17" s="29">
        <v>0.05</v>
      </c>
      <c r="H17" s="10"/>
      <c r="I17" s="10">
        <f t="shared" si="5"/>
        <v>128.33893092288184</v>
      </c>
      <c r="J17" s="10">
        <f t="shared" si="3"/>
        <v>455526794.96365464</v>
      </c>
      <c r="K17" s="11">
        <f t="shared" si="4"/>
        <v>2.8413950000000021E-2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3453064.1354527376</v>
      </c>
      <c r="D18" s="11">
        <v>2.81E-2</v>
      </c>
      <c r="E18" s="10">
        <f t="shared" si="2"/>
        <v>94379.050876589958</v>
      </c>
      <c r="F18" s="3"/>
      <c r="G18" s="29">
        <v>2.67</v>
      </c>
      <c r="H18" s="10"/>
      <c r="I18" s="10">
        <f t="shared" si="5"/>
        <v>128.2747935261188</v>
      </c>
      <c r="J18" s="10">
        <f t="shared" si="3"/>
        <v>442941089.00764585</v>
      </c>
      <c r="K18" s="11">
        <f t="shared" si="4"/>
        <v>5.5550270000000124E-2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3358685.0845761476</v>
      </c>
      <c r="D19" s="11">
        <v>2.8000000000000001E-2</v>
      </c>
      <c r="E19" s="10">
        <f t="shared" si="2"/>
        <v>91481.694910634309</v>
      </c>
      <c r="F19" s="3"/>
      <c r="G19" s="29">
        <v>6.29</v>
      </c>
      <c r="H19" s="10"/>
      <c r="I19" s="10">
        <f t="shared" si="5"/>
        <v>124.93892424867907</v>
      </c>
      <c r="J19" s="10">
        <f t="shared" si="3"/>
        <v>419630501.35702759</v>
      </c>
      <c r="K19" s="11">
        <f t="shared" si="4"/>
        <v>9.2661199999999999E-2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3267203.3896655133</v>
      </c>
      <c r="D20" s="11">
        <v>2.7799999999999998E-2</v>
      </c>
      <c r="E20" s="10">
        <f t="shared" si="2"/>
        <v>88371.525815043133</v>
      </c>
      <c r="F20" s="3"/>
      <c r="G20" s="29">
        <v>-0.69</v>
      </c>
      <c r="H20" s="10"/>
      <c r="I20" s="10">
        <f t="shared" si="5"/>
        <v>117.54532340641553</v>
      </c>
      <c r="J20" s="10">
        <f t="shared" si="3"/>
        <v>384044479.07276982</v>
      </c>
      <c r="K20" s="11">
        <f t="shared" si="4"/>
        <v>2.0708179999999965E-2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3178831.8638504702</v>
      </c>
      <c r="D21" s="11">
        <v>2.75E-2</v>
      </c>
      <c r="E21" s="10">
        <f t="shared" si="2"/>
        <v>85078.225066557992</v>
      </c>
      <c r="F21" s="3"/>
      <c r="G21" s="29">
        <v>2.92</v>
      </c>
      <c r="H21" s="10"/>
      <c r="I21" s="10">
        <f t="shared" si="5"/>
        <v>118.36202135375646</v>
      </c>
      <c r="J21" s="10">
        <f t="shared" si="3"/>
        <v>376252964.94907081</v>
      </c>
      <c r="K21" s="11">
        <f t="shared" si="4"/>
        <v>5.7503000000000082E-2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3093753.6387839122</v>
      </c>
      <c r="D22" s="11">
        <v>2.7300000000000001E-2</v>
      </c>
      <c r="E22" s="10">
        <f t="shared" si="2"/>
        <v>82215.00471021235</v>
      </c>
      <c r="F22" s="3"/>
      <c r="G22" s="29">
        <v>1.75</v>
      </c>
      <c r="H22" s="10"/>
      <c r="I22" s="10">
        <f t="shared" si="5"/>
        <v>115.00390726171442</v>
      </c>
      <c r="J22" s="10">
        <f t="shared" si="3"/>
        <v>355793756.56529653</v>
      </c>
      <c r="K22" s="11">
        <f t="shared" si="4"/>
        <v>4.5277750000000117E-2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3011538.6340736998</v>
      </c>
      <c r="D23" s="11">
        <v>2.7E-2</v>
      </c>
      <c r="E23" s="10">
        <f t="shared" si="2"/>
        <v>79173.849191810936</v>
      </c>
      <c r="F23" s="3"/>
      <c r="G23" s="29">
        <v>1.6</v>
      </c>
      <c r="H23" s="10"/>
      <c r="I23" s="10">
        <f t="shared" si="5"/>
        <v>113.02595308276601</v>
      </c>
      <c r="J23" s="10">
        <f t="shared" si="3"/>
        <v>340382024.3617512</v>
      </c>
      <c r="K23" s="11">
        <f t="shared" si="4"/>
        <v>4.3431999999999915E-2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2932364.7848818889</v>
      </c>
      <c r="D24" s="11">
        <v>2.69E-2</v>
      </c>
      <c r="E24" s="10">
        <f t="shared" si="2"/>
        <v>76814.307832624763</v>
      </c>
      <c r="F24" s="3"/>
      <c r="G24" s="29">
        <v>0.57999999999999996</v>
      </c>
      <c r="H24" s="10"/>
      <c r="I24" s="10">
        <f t="shared" si="5"/>
        <v>111.24601681374607</v>
      </c>
      <c r="J24" s="10">
        <f t="shared" si="3"/>
        <v>326213902.1630075</v>
      </c>
      <c r="K24" s="11">
        <f t="shared" si="4"/>
        <v>3.2856019999999875E-2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2855550.4770492641</v>
      </c>
      <c r="D25" s="11">
        <v>2.7199999999999998E-2</v>
      </c>
      <c r="E25" s="10">
        <f t="shared" si="2"/>
        <v>75614.264968594071</v>
      </c>
      <c r="F25" s="3"/>
      <c r="G25" s="29">
        <v>7.95</v>
      </c>
      <c r="H25" s="10"/>
      <c r="I25" s="10">
        <f t="shared" si="5"/>
        <v>110.60451065196467</v>
      </c>
      <c r="J25" s="10">
        <f t="shared" si="3"/>
        <v>315836763.15601814</v>
      </c>
      <c r="K25" s="11">
        <f t="shared" si="4"/>
        <v>0.1088623999999998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2779936.2120806701</v>
      </c>
      <c r="D26" s="11">
        <v>2.75E-2</v>
      </c>
      <c r="E26" s="10">
        <f t="shared" si="2"/>
        <v>74402.185724786948</v>
      </c>
      <c r="F26" s="3"/>
      <c r="G26" s="29">
        <v>0.38</v>
      </c>
      <c r="H26" s="10"/>
      <c r="I26" s="10">
        <f t="shared" si="5"/>
        <v>102.45901866786909</v>
      </c>
      <c r="J26" s="10">
        <f t="shared" si="3"/>
        <v>284829536.24905866</v>
      </c>
      <c r="K26" s="11">
        <f t="shared" si="4"/>
        <v>3.1404500000000057E-2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2705534.0263558831</v>
      </c>
      <c r="D27" s="11">
        <v>2.81E-2</v>
      </c>
      <c r="E27" s="10">
        <f t="shared" si="2"/>
        <v>73947.579166034702</v>
      </c>
      <c r="F27" s="3"/>
      <c r="G27" s="29">
        <v>-9.89</v>
      </c>
      <c r="H27" s="10"/>
      <c r="I27" s="10">
        <f t="shared" si="5"/>
        <v>102.0711483043127</v>
      </c>
      <c r="J27" s="10">
        <f t="shared" si="3"/>
        <v>276156964.84653562</v>
      </c>
      <c r="K27" s="11">
        <f t="shared" si="4"/>
        <v>-7.3579090000000069E-2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2631586.4471898484</v>
      </c>
      <c r="D28" s="11">
        <v>2.87E-2</v>
      </c>
      <c r="E28" s="10">
        <f t="shared" si="2"/>
        <v>73419.394414647948</v>
      </c>
      <c r="F28" s="3"/>
      <c r="G28" s="29">
        <v>8.98</v>
      </c>
      <c r="H28" s="10"/>
      <c r="I28" s="10">
        <f t="shared" si="5"/>
        <v>113.27394107680912</v>
      </c>
      <c r="J28" s="10">
        <f t="shared" si="3"/>
        <v>298090168.15751237</v>
      </c>
      <c r="K28" s="11">
        <f t="shared" si="4"/>
        <v>0.12107726000000008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2558167.0527752005</v>
      </c>
      <c r="D29" s="11">
        <v>2.9100000000000001E-2</v>
      </c>
      <c r="E29" s="10">
        <f t="shared" si="2"/>
        <v>72337.636027361732</v>
      </c>
      <c r="F29" s="3"/>
      <c r="G29" s="29">
        <v>13.9</v>
      </c>
      <c r="H29" s="10"/>
      <c r="I29" s="10">
        <f t="shared" si="5"/>
        <v>103.94011844082318</v>
      </c>
      <c r="J29" s="10">
        <f t="shared" si="3"/>
        <v>265896186.45686591</v>
      </c>
      <c r="K29" s="11">
        <f t="shared" si="4"/>
        <v>0.17214489999999971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2485829.4167478387</v>
      </c>
      <c r="D30" s="11">
        <v>2.9499999999999998E-2</v>
      </c>
      <c r="E30" s="10">
        <f t="shared" si="2"/>
        <v>71230.663228811696</v>
      </c>
      <c r="F30" s="3"/>
      <c r="G30" s="29">
        <v>3.92</v>
      </c>
      <c r="H30" s="10"/>
      <c r="I30" s="10">
        <f t="shared" si="5"/>
        <v>91.255591256209996</v>
      </c>
      <c r="J30" s="10">
        <f t="shared" si="3"/>
        <v>226845833.18740368</v>
      </c>
      <c r="K30" s="11">
        <f t="shared" si="4"/>
        <v>6.9856400000000152E-2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2414598.753519027</v>
      </c>
      <c r="D31" s="11">
        <v>2.9899999999999999E-2</v>
      </c>
      <c r="E31" s="10">
        <f t="shared" si="2"/>
        <v>70100.497844663449</v>
      </c>
      <c r="F31" s="3"/>
      <c r="G31" s="29">
        <v>14.4</v>
      </c>
      <c r="H31" s="10"/>
      <c r="I31" s="10">
        <f t="shared" si="5"/>
        <v>87.813309522911865</v>
      </c>
      <c r="J31" s="10">
        <f t="shared" si="3"/>
        <v>212033907.71640348</v>
      </c>
      <c r="K31" s="11">
        <f t="shared" si="4"/>
        <v>0.17820560000000008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2344498.2556743636</v>
      </c>
      <c r="D32" s="11">
        <v>3.0300000000000001E-2</v>
      </c>
      <c r="E32" s="10">
        <f t="shared" si="2"/>
        <v>68949.138257724233</v>
      </c>
      <c r="F32" s="3"/>
      <c r="G32" s="29">
        <v>8.2899999999999991</v>
      </c>
      <c r="H32" s="10"/>
      <c r="I32" s="10">
        <f t="shared" si="5"/>
        <v>76.759885946601273</v>
      </c>
      <c r="J32" s="10">
        <f t="shared" si="3"/>
        <v>179963418.70756978</v>
      </c>
      <c r="K32" s="11">
        <f t="shared" si="4"/>
        <v>0.11571187000000016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2275549.1174166393</v>
      </c>
      <c r="D33" s="11">
        <v>3.0700000000000002E-2</v>
      </c>
      <c r="E33" s="10">
        <f t="shared" si="2"/>
        <v>67778.556228476577</v>
      </c>
      <c r="F33" s="3"/>
      <c r="G33" s="29">
        <v>7.27</v>
      </c>
      <c r="H33" s="10"/>
      <c r="I33" s="10">
        <f t="shared" si="5"/>
        <v>70.883632788439627</v>
      </c>
      <c r="J33" s="10">
        <f t="shared" si="3"/>
        <v>161299188.03101894</v>
      </c>
      <c r="K33" s="11">
        <f t="shared" si="4"/>
        <v>0.10563188999999973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2207770.5611881628</v>
      </c>
      <c r="D34" s="11">
        <v>3.1E-2</v>
      </c>
      <c r="E34" s="10">
        <f t="shared" si="2"/>
        <v>66383.013963950332</v>
      </c>
      <c r="F34" s="3"/>
      <c r="G34" s="29">
        <v>3.67</v>
      </c>
      <c r="H34" s="10"/>
      <c r="I34" s="10">
        <f t="shared" si="5"/>
        <v>66.079642759802027</v>
      </c>
      <c r="J34" s="10">
        <f t="shared" ref="J34:J65" si="6">IF(I34="","",I34*C34)</f>
        <v>145888689.97892144</v>
      </c>
      <c r="K34" s="11">
        <f t="shared" ref="K34:K65" si="7">IFERROR(J34/J35-1,"")</f>
        <v>8.2240699999999833E-2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2141387.5472242124</v>
      </c>
      <c r="D35" s="11">
        <v>3.1199999999999999E-2</v>
      </c>
      <c r="E35" s="10">
        <f t="shared" si="2"/>
        <v>64789.848209266318</v>
      </c>
      <c r="F35" s="3"/>
      <c r="G35" s="29">
        <v>-0.61</v>
      </c>
      <c r="H35" s="10"/>
      <c r="I35" s="10">
        <f t="shared" ref="I35:I66" si="8">IF(H35&lt;&gt;"",H35,I34/(1+IF(G34="",0,G34)/100))</f>
        <v>62.950979098601529</v>
      </c>
      <c r="J35" s="10">
        <f t="shared" si="6"/>
        <v>134802442.72731701</v>
      </c>
      <c r="K35" s="11">
        <f t="shared" si="7"/>
        <v>5.275208000000009E-2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2076597.6990149461</v>
      </c>
      <c r="D36" s="11">
        <v>3.1199999999999999E-2</v>
      </c>
      <c r="E36" s="10">
        <f t="shared" si="2"/>
        <v>62829.565757628065</v>
      </c>
      <c r="F36" s="3"/>
      <c r="G36" s="29">
        <v>1.51</v>
      </c>
      <c r="H36" s="10"/>
      <c r="I36" s="10">
        <f t="shared" si="8"/>
        <v>61.662238317760341</v>
      </c>
      <c r="J36" s="10">
        <f t="shared" si="6"/>
        <v>128047662.20677237</v>
      </c>
      <c r="K36" s="11">
        <f t="shared" si="7"/>
        <v>9.6268719999999863E-2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2013768.1332573181</v>
      </c>
      <c r="D37" s="11">
        <v>3.1E-2</v>
      </c>
      <c r="E37" s="10">
        <f t="shared" si="2"/>
        <v>60549.769283197587</v>
      </c>
      <c r="F37" s="3"/>
      <c r="G37" s="29">
        <v>-7.52</v>
      </c>
      <c r="H37" s="10"/>
      <c r="I37" s="10">
        <f t="shared" si="8"/>
        <v>58.002293592098901</v>
      </c>
      <c r="J37" s="10">
        <f t="shared" si="6"/>
        <v>116803170.49160391</v>
      </c>
      <c r="K37" s="11">
        <f t="shared" si="7"/>
        <v>8.1118000000000023E-3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1953218.3639741205</v>
      </c>
      <c r="D38" s="11">
        <v>3.0599999999999999E-2</v>
      </c>
      <c r="E38" s="10">
        <f t="shared" si="2"/>
        <v>57993.869529990247</v>
      </c>
      <c r="F38" s="3"/>
      <c r="G38" s="29">
        <v>0.09</v>
      </c>
      <c r="H38" s="10"/>
      <c r="I38" s="10">
        <f t="shared" si="8"/>
        <v>59.319179374206279</v>
      </c>
      <c r="J38" s="10">
        <f t="shared" si="6"/>
        <v>115863310.48957458</v>
      </c>
      <c r="K38" s="11">
        <f t="shared" si="7"/>
        <v>6.9659739999999859E-2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1895224.4944441302</v>
      </c>
      <c r="D39" s="11">
        <v>3.0099999999999998E-2</v>
      </c>
      <c r="E39" s="10">
        <f t="shared" si="2"/>
        <v>55379.339173641754</v>
      </c>
      <c r="F39" s="3"/>
      <c r="G39" s="29">
        <v>10.31</v>
      </c>
      <c r="H39" s="10"/>
      <c r="I39" s="10">
        <f t="shared" si="8"/>
        <v>57.153077728303572</v>
      </c>
      <c r="J39" s="10">
        <f t="shared" si="6"/>
        <v>108317912.84355022</v>
      </c>
      <c r="K39" s="11">
        <f t="shared" si="7"/>
        <v>0.13630330999999996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1839845.1552704885</v>
      </c>
      <c r="D40" s="11">
        <v>2.9499999999999998E-2</v>
      </c>
      <c r="E40" s="10">
        <f t="shared" si="2"/>
        <v>52720.186576473527</v>
      </c>
      <c r="F40" s="3"/>
      <c r="G40" s="29">
        <v>3.61</v>
      </c>
      <c r="H40" s="10"/>
      <c r="I40" s="10">
        <f t="shared" si="8"/>
        <v>51.811329642193428</v>
      </c>
      <c r="J40" s="10">
        <f t="shared" si="6"/>
        <v>95324823.830311835</v>
      </c>
      <c r="K40" s="11">
        <f t="shared" si="7"/>
        <v>6.6664950000000056E-2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1787124.9686940149</v>
      </c>
      <c r="D41" s="11">
        <v>2.8799999999999999E-2</v>
      </c>
      <c r="E41" s="10">
        <f t="shared" si="2"/>
        <v>50028.381705275504</v>
      </c>
      <c r="F41" s="3"/>
      <c r="G41" s="29">
        <v>1.43</v>
      </c>
      <c r="H41" s="10"/>
      <c r="I41" s="10">
        <f t="shared" si="8"/>
        <v>50.00610910355509</v>
      </c>
      <c r="J41" s="10">
        <f t="shared" si="6"/>
        <v>89367166.166200384</v>
      </c>
      <c r="K41" s="11">
        <f t="shared" si="7"/>
        <v>4.3511839999999857E-2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1737096.5869887394</v>
      </c>
      <c r="D42" s="11">
        <v>2.8199999999999999E-2</v>
      </c>
      <c r="E42" s="10">
        <f t="shared" si="2"/>
        <v>47642.60236635129</v>
      </c>
      <c r="F42" s="3"/>
      <c r="G42" s="29">
        <v>-6.43</v>
      </c>
      <c r="H42" s="10"/>
      <c r="I42" s="10">
        <f t="shared" si="8"/>
        <v>49.301103325993388</v>
      </c>
      <c r="J42" s="10">
        <f t="shared" si="6"/>
        <v>85640778.322362304</v>
      </c>
      <c r="K42" s="11">
        <f t="shared" si="7"/>
        <v>-3.791326000000006E-2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1689453.9846223881</v>
      </c>
      <c r="D43" s="11">
        <v>2.7799999999999998E-2</v>
      </c>
      <c r="E43" s="10">
        <f t="shared" si="2"/>
        <v>45696.459206560161</v>
      </c>
      <c r="F43" s="3"/>
      <c r="G43" s="29">
        <v>-1.04</v>
      </c>
      <c r="H43" s="10"/>
      <c r="I43" s="10">
        <f t="shared" si="8"/>
        <v>52.689006440091255</v>
      </c>
      <c r="J43" s="10">
        <f t="shared" si="6"/>
        <v>89015651.876006842</v>
      </c>
      <c r="K43" s="11">
        <f t="shared" si="7"/>
        <v>1.7110880000000162E-2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1643757.525415828</v>
      </c>
      <c r="D44" s="11">
        <v>2.75E-2</v>
      </c>
      <c r="E44" s="10">
        <f t="shared" si="2"/>
        <v>43993.510412589181</v>
      </c>
      <c r="F44" s="3"/>
      <c r="G44" s="29">
        <v>3.37</v>
      </c>
      <c r="H44" s="10"/>
      <c r="I44" s="10">
        <f t="shared" si="8"/>
        <v>53.242730840835947</v>
      </c>
      <c r="J44" s="10">
        <f t="shared" si="6"/>
        <v>87518139.493313476</v>
      </c>
      <c r="K44" s="11">
        <f t="shared" si="7"/>
        <v>6.2126750000000008E-2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1599764.0150032388</v>
      </c>
      <c r="D45" s="11">
        <v>2.75E-2</v>
      </c>
      <c r="E45" s="10">
        <f t="shared" si="2"/>
        <v>42816.068528067321</v>
      </c>
      <c r="F45" s="3"/>
      <c r="G45" s="29">
        <v>-2.73</v>
      </c>
      <c r="H45" s="10"/>
      <c r="I45" s="10">
        <f t="shared" si="8"/>
        <v>51.506946735838198</v>
      </c>
      <c r="J45" s="10">
        <f t="shared" si="6"/>
        <v>82398959.910682485</v>
      </c>
      <c r="K45" s="11">
        <f t="shared" si="7"/>
        <v>-5.5074999999982222E-4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1556947.9464751715</v>
      </c>
      <c r="D46" s="11">
        <v>2.7699999999999999E-2</v>
      </c>
      <c r="E46" s="10">
        <f t="shared" si="2"/>
        <v>41965.026872980874</v>
      </c>
      <c r="F46" s="3"/>
      <c r="G46" s="29">
        <v>-11.68</v>
      </c>
      <c r="H46" s="10"/>
      <c r="I46" s="10">
        <f t="shared" si="8"/>
        <v>52.952551388751104</v>
      </c>
      <c r="J46" s="10">
        <f t="shared" si="6"/>
        <v>82444366.145337015</v>
      </c>
      <c r="K46" s="11">
        <f t="shared" si="7"/>
        <v>-9.2335359999999977E-2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1514982.9196021906</v>
      </c>
      <c r="D47" s="11">
        <v>2.8199999999999999E-2</v>
      </c>
      <c r="E47" s="10">
        <f t="shared" si="2"/>
        <v>41550.786162985489</v>
      </c>
      <c r="F47" s="3"/>
      <c r="G47" s="29">
        <v>1.84</v>
      </c>
      <c r="H47" s="10"/>
      <c r="I47" s="10">
        <f t="shared" si="8"/>
        <v>59.955334452843189</v>
      </c>
      <c r="J47" s="10">
        <f t="shared" si="6"/>
        <v>90831307.635094181</v>
      </c>
      <c r="K47" s="11">
        <f t="shared" si="7"/>
        <v>4.7118879999999974E-2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1473432.1334392051</v>
      </c>
      <c r="D48" s="11">
        <v>2.87E-2</v>
      </c>
      <c r="E48" s="10">
        <f t="shared" si="2"/>
        <v>41107.710926125292</v>
      </c>
      <c r="F48" s="3"/>
      <c r="G48" s="29">
        <v>3.09</v>
      </c>
      <c r="H48" s="10"/>
      <c r="I48" s="10">
        <f t="shared" si="8"/>
        <v>58.87208803303534</v>
      </c>
      <c r="J48" s="10">
        <f t="shared" si="6"/>
        <v>86744026.270535961</v>
      </c>
      <c r="K48" s="11">
        <f t="shared" si="7"/>
        <v>6.048682999999988E-2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1432324.4225130798</v>
      </c>
      <c r="D49" s="11">
        <v>2.9100000000000001E-2</v>
      </c>
      <c r="E49" s="10">
        <f t="shared" si="2"/>
        <v>40502.03157626139</v>
      </c>
      <c r="F49" s="3"/>
      <c r="G49" s="29">
        <v>1.1299999999999999</v>
      </c>
      <c r="H49" s="10"/>
      <c r="I49" s="10">
        <f t="shared" si="8"/>
        <v>57.107467293661209</v>
      </c>
      <c r="J49" s="10">
        <f t="shared" si="6"/>
        <v>81796420.112577885</v>
      </c>
      <c r="K49" s="11">
        <f t="shared" si="7"/>
        <v>4.0728829999999938E-2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1391822.3909368184</v>
      </c>
      <c r="D50" s="11">
        <v>2.9399999999999999E-2</v>
      </c>
      <c r="E50" s="10">
        <f t="shared" si="2"/>
        <v>39750.901781175984</v>
      </c>
      <c r="F50" s="3"/>
      <c r="G50" s="29">
        <v>-0.38</v>
      </c>
      <c r="H50" s="10"/>
      <c r="I50" s="10">
        <f t="shared" si="8"/>
        <v>56.469363486266396</v>
      </c>
      <c r="J50" s="10">
        <f t="shared" si="6"/>
        <v>78595324.502135575</v>
      </c>
      <c r="K50" s="11">
        <f t="shared" si="7"/>
        <v>2.548828000000003E-2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1352071.4891556425</v>
      </c>
      <c r="D51" s="11">
        <v>2.9600000000000001E-2</v>
      </c>
      <c r="E51" s="10">
        <f t="shared" si="2"/>
        <v>38870.742112477776</v>
      </c>
      <c r="F51" s="3"/>
      <c r="G51" s="29">
        <v>7.29</v>
      </c>
      <c r="H51" s="10"/>
      <c r="I51" s="10">
        <f t="shared" si="8"/>
        <v>56.684765595529406</v>
      </c>
      <c r="J51" s="10">
        <f t="shared" si="6"/>
        <v>76641855.431185976</v>
      </c>
      <c r="K51" s="11">
        <f t="shared" si="7"/>
        <v>0.10465784000000022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1313200.7470431647</v>
      </c>
      <c r="D52" s="11">
        <v>2.9600000000000001E-2</v>
      </c>
      <c r="E52" s="10">
        <f t="shared" si="2"/>
        <v>37753.246029990027</v>
      </c>
      <c r="F52" s="3"/>
      <c r="G52" s="29">
        <v>1.1100000000000001</v>
      </c>
      <c r="H52" s="10"/>
      <c r="I52" s="10">
        <f t="shared" si="8"/>
        <v>52.833223595423064</v>
      </c>
      <c r="J52" s="10">
        <f t="shared" si="6"/>
        <v>69380628.694208115</v>
      </c>
      <c r="K52" s="11">
        <f t="shared" si="7"/>
        <v>4.1028559999999992E-2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1275447.5010131747</v>
      </c>
      <c r="D53" s="11">
        <v>2.9499999999999998E-2</v>
      </c>
      <c r="E53" s="10">
        <f t="shared" si="2"/>
        <v>36547.548596297856</v>
      </c>
      <c r="F53" s="3"/>
      <c r="G53" s="29">
        <v>-0.94</v>
      </c>
      <c r="H53" s="10"/>
      <c r="I53" s="10">
        <f t="shared" si="8"/>
        <v>52.253212931879197</v>
      </c>
      <c r="J53" s="10">
        <f t="shared" si="6"/>
        <v>66646229.853874624</v>
      </c>
      <c r="K53" s="11">
        <f t="shared" si="7"/>
        <v>1.9822699999999971E-2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1238899.9524168768</v>
      </c>
      <c r="D54" s="11">
        <v>2.92E-2</v>
      </c>
      <c r="E54" s="10">
        <f t="shared" si="2"/>
        <v>35149.512835768284</v>
      </c>
      <c r="F54" s="3"/>
      <c r="G54" s="29">
        <v>4.18</v>
      </c>
      <c r="H54" s="10"/>
      <c r="I54" s="10">
        <f t="shared" si="8"/>
        <v>52.749054039853824</v>
      </c>
      <c r="J54" s="10">
        <f t="shared" si="6"/>
        <v>65350800.540010169</v>
      </c>
      <c r="K54" s="11">
        <f t="shared" si="7"/>
        <v>7.22205600000001E-2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1203750.4395811085</v>
      </c>
      <c r="D55" s="11">
        <v>2.8799999999999999E-2</v>
      </c>
      <c r="E55" s="10">
        <f t="shared" si="2"/>
        <v>33697.523969611153</v>
      </c>
      <c r="F55" s="3"/>
      <c r="G55" s="29">
        <v>7.62</v>
      </c>
      <c r="H55" s="10"/>
      <c r="I55" s="10">
        <f t="shared" si="8"/>
        <v>50.632610904063945</v>
      </c>
      <c r="J55" s="10">
        <f t="shared" si="6"/>
        <v>60949027.632906199</v>
      </c>
      <c r="K55" s="11">
        <f t="shared" si="7"/>
        <v>0.10719456000000016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1170052.9156114974</v>
      </c>
      <c r="D56" s="11">
        <v>2.8299999999999999E-2</v>
      </c>
      <c r="E56" s="10">
        <f t="shared" si="2"/>
        <v>32201.203454055591</v>
      </c>
      <c r="F56" s="3"/>
      <c r="G56" s="29">
        <v>1.24</v>
      </c>
      <c r="H56" s="10"/>
      <c r="I56" s="10">
        <f t="shared" si="8"/>
        <v>47.047584932228155</v>
      </c>
      <c r="J56" s="10">
        <f t="shared" si="6"/>
        <v>55048163.922433101</v>
      </c>
      <c r="K56" s="11">
        <f t="shared" si="7"/>
        <v>4.1050919999999991E-2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1137851.7121574418</v>
      </c>
      <c r="D57" s="11">
        <v>2.76E-2</v>
      </c>
      <c r="E57" s="10">
        <f t="shared" si="2"/>
        <v>30561.21764844819</v>
      </c>
      <c r="F57" s="3"/>
      <c r="G57" s="29">
        <v>1.99</v>
      </c>
      <c r="H57" s="10"/>
      <c r="I57" s="10">
        <f t="shared" si="8"/>
        <v>46.471340312354954</v>
      </c>
      <c r="J57" s="10">
        <f t="shared" si="6"/>
        <v>52877494.140664227</v>
      </c>
      <c r="K57" s="11">
        <f t="shared" si="7"/>
        <v>4.8049239999999882E-2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1107290.4945089936</v>
      </c>
      <c r="D58" s="11">
        <v>2.69E-2</v>
      </c>
      <c r="E58" s="10">
        <f t="shared" si="2"/>
        <v>29005.856755567016</v>
      </c>
      <c r="F58" s="3"/>
      <c r="G58" s="29">
        <v>7.05</v>
      </c>
      <c r="H58" s="10"/>
      <c r="I58" s="10">
        <f t="shared" si="8"/>
        <v>45.564604679238116</v>
      </c>
      <c r="J58" s="10">
        <f t="shared" si="6"/>
        <v>50453253.647380374</v>
      </c>
      <c r="K58" s="11">
        <f t="shared" si="7"/>
        <v>9.9296449999999759E-2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1078284.6377534266</v>
      </c>
      <c r="D59" s="11">
        <v>2.6100000000000002E-2</v>
      </c>
      <c r="E59" s="10">
        <f t="shared" si="2"/>
        <v>27427.374569110572</v>
      </c>
      <c r="F59" s="3"/>
      <c r="G59" s="29">
        <v>1.19</v>
      </c>
      <c r="H59" s="10"/>
      <c r="I59" s="10">
        <f t="shared" si="8"/>
        <v>42.563853039923508</v>
      </c>
      <c r="J59" s="10">
        <f t="shared" si="6"/>
        <v>45895948.856544003</v>
      </c>
      <c r="K59" s="11">
        <f t="shared" si="7"/>
        <v>3.8310589999999811E-2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1050857.263184316</v>
      </c>
      <c r="D60" s="11">
        <v>2.5399999999999999E-2</v>
      </c>
      <c r="E60" s="10">
        <f t="shared" si="2"/>
        <v>26030.597313128295</v>
      </c>
      <c r="F60" s="3"/>
      <c r="G60" s="29">
        <v>2.5499999999999998</v>
      </c>
      <c r="H60" s="10"/>
      <c r="I60" s="10">
        <f t="shared" si="8"/>
        <v>42.063299772629222</v>
      </c>
      <c r="J60" s="10">
        <f t="shared" si="6"/>
        <v>44202524.079566605</v>
      </c>
      <c r="K60" s="11">
        <f t="shared" si="7"/>
        <v>5.1547700000000196E-2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1024826.6658711877</v>
      </c>
      <c r="D61" s="11">
        <v>2.47E-2</v>
      </c>
      <c r="E61" s="10">
        <f t="shared" si="2"/>
        <v>24703.053232183331</v>
      </c>
      <c r="F61" s="3"/>
      <c r="G61" s="29">
        <v>8.1999999999999993</v>
      </c>
      <c r="H61" s="10"/>
      <c r="I61" s="10">
        <f t="shared" si="8"/>
        <v>41.017357164923666</v>
      </c>
      <c r="J61" s="10">
        <f t="shared" si="6"/>
        <v>42035681.386176392</v>
      </c>
      <c r="K61" s="11">
        <f t="shared" si="7"/>
        <v>0.10872539999999997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1000123.6126390044</v>
      </c>
      <c r="D62" s="11">
        <v>2.4E-2</v>
      </c>
      <c r="E62" s="10">
        <f t="shared" si="2"/>
        <v>23440.397171226679</v>
      </c>
      <c r="F62" s="3"/>
      <c r="G62" s="29">
        <v>7.31</v>
      </c>
      <c r="H62" s="10"/>
      <c r="I62" s="10">
        <f t="shared" si="8"/>
        <v>37.908832869615217</v>
      </c>
      <c r="J62" s="10">
        <f t="shared" si="6"/>
        <v>37913518.880487807</v>
      </c>
      <c r="K62" s="11">
        <f t="shared" si="7"/>
        <v>9.8854400000000231E-2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976683.21546777769</v>
      </c>
      <c r="D63" s="11">
        <v>2.3300000000000001E-2</v>
      </c>
      <c r="E63" s="10">
        <f t="shared" si="2"/>
        <v>22238.560461643036</v>
      </c>
      <c r="F63" s="3"/>
      <c r="G63" s="29">
        <v>5.88</v>
      </c>
      <c r="H63" s="10"/>
      <c r="I63" s="10">
        <f t="shared" si="8"/>
        <v>35.3264680548087</v>
      </c>
      <c r="J63" s="10">
        <f t="shared" si="6"/>
        <v>34502768.410890289</v>
      </c>
      <c r="K63" s="11">
        <f t="shared" si="7"/>
        <v>8.3470039999999912E-2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954444.65500613465</v>
      </c>
      <c r="D64" s="11">
        <v>2.2599999999999999E-2</v>
      </c>
      <c r="E64" s="10">
        <f t="shared" si="2"/>
        <v>21093.730885134544</v>
      </c>
      <c r="F64" s="3"/>
      <c r="G64" s="29">
        <v>7.96</v>
      </c>
      <c r="H64" s="10"/>
      <c r="I64" s="10">
        <f t="shared" si="8"/>
        <v>33.364627932384494</v>
      </c>
      <c r="J64" s="10">
        <f t="shared" si="6"/>
        <v>31844690.796332762</v>
      </c>
      <c r="K64" s="11">
        <f t="shared" si="7"/>
        <v>0.10399895999999997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933350.92412100011</v>
      </c>
      <c r="D65" s="11">
        <v>2.1899999999999999E-2</v>
      </c>
      <c r="E65" s="10">
        <f t="shared" si="2"/>
        <v>20002.334121000022</v>
      </c>
      <c r="F65" s="3"/>
      <c r="G65" s="29">
        <v>3.96</v>
      </c>
      <c r="H65" s="10"/>
      <c r="I65" s="10">
        <f t="shared" si="8"/>
        <v>30.904620167084559</v>
      </c>
      <c r="J65" s="10">
        <f t="shared" si="6"/>
        <v>28844855.792556871</v>
      </c>
      <c r="K65" s="11">
        <f t="shared" si="7"/>
        <v>6.2367240000000157E-2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913348.59000000008</v>
      </c>
      <c r="D66" s="11">
        <v>2.1299999999999999E-2</v>
      </c>
      <c r="E66" s="10">
        <f t="shared" si="2"/>
        <v>19048.590000000084</v>
      </c>
      <c r="F66" s="23">
        <f>SUM(F2)</f>
        <v>5131190</v>
      </c>
      <c r="G66" s="29">
        <v>12.13</v>
      </c>
      <c r="H66" s="10"/>
      <c r="I66" s="10">
        <f t="shared" si="8"/>
        <v>29.727414550870101</v>
      </c>
      <c r="J66" s="10">
        <f t="shared" ref="J66:J67" si="9">IF(I66="","",I66*C66)</f>
        <v>27151492.164382692</v>
      </c>
      <c r="K66" s="11">
        <f t="shared" ref="K66" si="10">IFERROR(J66/J67-1,"")</f>
        <v>0.14518369000000009</v>
      </c>
    </row>
    <row r="67" spans="1:11" ht="22.5" customHeight="1">
      <c r="A67" s="3">
        <f t="shared" si="0"/>
        <v>1950</v>
      </c>
      <c r="B67" s="3">
        <v>1700</v>
      </c>
      <c r="C67" s="10">
        <v>894300</v>
      </c>
      <c r="D67" s="11">
        <v>2.07E-2</v>
      </c>
      <c r="E67" s="3" t="s">
        <v>72</v>
      </c>
      <c r="F67" s="10">
        <f>SUM(C2)</f>
        <v>5131526.1085583651</v>
      </c>
      <c r="G67" s="29">
        <v>18.649999999999999</v>
      </c>
      <c r="H67" s="10"/>
      <c r="I67" s="10">
        <f t="shared" ref="I67" si="11">IF(H67&lt;&gt;"",H67,I66/(1+IF(G66="",0,G66)/100))</f>
        <v>26.511562071586642</v>
      </c>
      <c r="J67" s="10">
        <f t="shared" si="9"/>
        <v>23709289.960619934</v>
      </c>
      <c r="K67" s="11"/>
    </row>
    <row r="68" spans="1:11" ht="15.75" customHeight="1">
      <c r="G68" s="10"/>
    </row>
    <row r="69" spans="1:11" ht="15.75" customHeight="1">
      <c r="G69" s="29"/>
    </row>
  </sheetData>
  <dataValidations count="1">
    <dataValidation type="custom" allowBlank="1" showDropDown="1" sqref="D2:D67" xr:uid="{00000000-0002-0000-A9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M67"/>
  <sheetViews>
    <sheetView workbookViewId="0">
      <selection activeCell="I17" sqref="I17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447989.69281208352</v>
      </c>
      <c r="D2" s="11">
        <v>1.3599999999999999E-2</v>
      </c>
      <c r="E2" s="10">
        <f t="shared" ref="E2:E66" si="2">SUM(C2-C3)</f>
        <v>6010.9114268393605</v>
      </c>
      <c r="F2" s="14">
        <v>447879</v>
      </c>
      <c r="G2" s="29">
        <v>0.1</v>
      </c>
      <c r="H2" s="10"/>
      <c r="I2" s="10">
        <f>IF(H2&lt;&gt;"",H2,147936)</f>
        <v>18492</v>
      </c>
      <c r="J2" s="10">
        <f t="shared" ref="J2:J33" si="3">IF(I2="","",I2*C2)</f>
        <v>8284225399.4810486</v>
      </c>
      <c r="K2" s="11">
        <f t="shared" ref="K2:K33" si="4">IFERROR(J2/J3-1,"")</f>
        <v>1.4613599999999893E-2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441978.78138524416</v>
      </c>
      <c r="D3" s="11">
        <v>1.43E-2</v>
      </c>
      <c r="E3" s="10">
        <f t="shared" si="2"/>
        <v>6231.1905489588971</v>
      </c>
      <c r="F3" s="3"/>
      <c r="G3" s="29">
        <v>1.33</v>
      </c>
      <c r="H3" s="10"/>
      <c r="I3" s="10">
        <f t="shared" ref="I3:I34" si="5">IF(H3&lt;&gt;"",H3,I2/(1+IF(G2="",0,G2)/100))</f>
        <v>18473.526473526475</v>
      </c>
      <c r="J3" s="10">
        <f t="shared" si="3"/>
        <v>8164906718.657279</v>
      </c>
      <c r="K3" s="11">
        <f t="shared" si="4"/>
        <v>2.7790190000000159E-2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435747.59083628526</v>
      </c>
      <c r="D4" s="11">
        <v>1.5100000000000001E-2</v>
      </c>
      <c r="E4" s="10">
        <f t="shared" si="2"/>
        <v>6481.9117541403393</v>
      </c>
      <c r="F4" s="3"/>
      <c r="G4" s="29">
        <v>-1.82</v>
      </c>
      <c r="H4" s="10"/>
      <c r="I4" s="10">
        <f t="shared" si="5"/>
        <v>18231.053462475549</v>
      </c>
      <c r="J4" s="10">
        <f t="shared" si="3"/>
        <v>7944137624.6812372</v>
      </c>
      <c r="K4" s="11">
        <f t="shared" si="4"/>
        <v>-3.3748200000001116E-3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429265.67908214492</v>
      </c>
      <c r="D5" s="11">
        <v>1.5699999999999999E-2</v>
      </c>
      <c r="E5" s="10">
        <f t="shared" si="2"/>
        <v>6635.2969987099641</v>
      </c>
      <c r="F5" s="3"/>
      <c r="G5" s="29">
        <v>-0.11</v>
      </c>
      <c r="H5" s="10"/>
      <c r="I5" s="10">
        <f t="shared" si="5"/>
        <v>18569.00943417758</v>
      </c>
      <c r="J5" s="10">
        <f t="shared" si="3"/>
        <v>7971038444.6449947</v>
      </c>
      <c r="K5" s="11">
        <f t="shared" si="4"/>
        <v>1.4582730000000099E-2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422630.38208343496</v>
      </c>
      <c r="D6" s="11">
        <v>1.6199999999999999E-2</v>
      </c>
      <c r="E6" s="10">
        <f t="shared" si="2"/>
        <v>6737.4652526585851</v>
      </c>
      <c r="F6" s="3"/>
      <c r="G6" s="29">
        <v>4.33</v>
      </c>
      <c r="H6" s="10"/>
      <c r="I6" s="10">
        <f t="shared" si="5"/>
        <v>18589.45783779916</v>
      </c>
      <c r="J6" s="10">
        <f t="shared" si="3"/>
        <v>7856469668.7129641</v>
      </c>
      <c r="K6" s="11">
        <f t="shared" si="4"/>
        <v>6.020146000000004E-2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415892.91683077638</v>
      </c>
      <c r="D7" s="11">
        <v>1.6299999999999999E-2</v>
      </c>
      <c r="E7" s="10">
        <f t="shared" si="2"/>
        <v>6670.3281947669457</v>
      </c>
      <c r="F7" s="3"/>
      <c r="G7" s="29">
        <v>0.33</v>
      </c>
      <c r="H7" s="10"/>
      <c r="I7" s="10">
        <f t="shared" si="5"/>
        <v>17817.940992810469</v>
      </c>
      <c r="J7" s="10">
        <f t="shared" si="3"/>
        <v>7410355451.4186049</v>
      </c>
      <c r="K7" s="11">
        <f t="shared" si="4"/>
        <v>1.9653789999999782E-2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409222.58863600943</v>
      </c>
      <c r="D8" s="11">
        <v>1.6199999999999999E-2</v>
      </c>
      <c r="E8" s="10">
        <f t="shared" si="2"/>
        <v>6523.7216452502762</v>
      </c>
      <c r="F8" s="3"/>
      <c r="G8" s="29">
        <v>-2.83</v>
      </c>
      <c r="H8" s="10"/>
      <c r="I8" s="10">
        <f t="shared" si="5"/>
        <v>17759.335186694378</v>
      </c>
      <c r="J8" s="10">
        <f t="shared" si="3"/>
        <v>7267521117.5536413</v>
      </c>
      <c r="K8" s="11">
        <f t="shared" si="4"/>
        <v>-1.2558459999999827E-2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402698.86699075915</v>
      </c>
      <c r="D9" s="11">
        <v>1.5900000000000001E-2</v>
      </c>
      <c r="E9" s="10">
        <f t="shared" si="2"/>
        <v>6302.6990699410089</v>
      </c>
      <c r="F9" s="3"/>
      <c r="G9" s="29">
        <v>4.95</v>
      </c>
      <c r="H9" s="10"/>
      <c r="I9" s="10">
        <f t="shared" si="5"/>
        <v>18276.56188812841</v>
      </c>
      <c r="J9" s="10">
        <f t="shared" si="3"/>
        <v>7359950764.8358002</v>
      </c>
      <c r="K9" s="11">
        <f t="shared" si="4"/>
        <v>6.6187050000000136E-2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396396.16792081814</v>
      </c>
      <c r="D10" s="11">
        <v>1.5599999999999999E-2</v>
      </c>
      <c r="E10" s="10">
        <f t="shared" si="2"/>
        <v>6088.7950172949932</v>
      </c>
      <c r="F10" s="3"/>
      <c r="G10" s="29">
        <v>1.69</v>
      </c>
      <c r="H10" s="10"/>
      <c r="I10" s="10">
        <f t="shared" si="5"/>
        <v>17414.542056339596</v>
      </c>
      <c r="J10" s="10">
        <f t="shared" si="3"/>
        <v>6903057737.22894</v>
      </c>
      <c r="K10" s="11">
        <f t="shared" si="4"/>
        <v>3.2763639999999761E-2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390307.37290352315</v>
      </c>
      <c r="D11" s="11">
        <v>1.55E-2</v>
      </c>
      <c r="E11" s="10">
        <f t="shared" si="2"/>
        <v>5957.4242048297892</v>
      </c>
      <c r="F11" s="3"/>
      <c r="G11" s="29">
        <v>6.2</v>
      </c>
      <c r="H11" s="10"/>
      <c r="I11" s="10">
        <f t="shared" si="5"/>
        <v>17125.127403225095</v>
      </c>
      <c r="J11" s="10">
        <f t="shared" si="3"/>
        <v>6684063487.3909206</v>
      </c>
      <c r="K11" s="11">
        <f t="shared" si="4"/>
        <v>7.8461000000000336E-2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384349.94869869336</v>
      </c>
      <c r="D12" s="11">
        <v>1.5900000000000001E-2</v>
      </c>
      <c r="E12" s="10">
        <f t="shared" si="2"/>
        <v>6015.5174567469512</v>
      </c>
      <c r="F12" s="3"/>
      <c r="G12" s="29">
        <v>-0.41</v>
      </c>
      <c r="H12" s="10"/>
      <c r="I12" s="10">
        <f t="shared" si="5"/>
        <v>16125.355370268449</v>
      </c>
      <c r="J12" s="10">
        <f t="shared" si="3"/>
        <v>6197779509.3108778</v>
      </c>
      <c r="K12" s="11">
        <f t="shared" si="4"/>
        <v>1.1734809999999873E-2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378334.43124194641</v>
      </c>
      <c r="D13" s="11">
        <v>1.6400000000000001E-2</v>
      </c>
      <c r="E13" s="10">
        <f t="shared" si="2"/>
        <v>6104.569728815346</v>
      </c>
      <c r="F13" s="3"/>
      <c r="G13" s="29">
        <v>7.27</v>
      </c>
      <c r="H13" s="10"/>
      <c r="I13" s="10">
        <f t="shared" si="5"/>
        <v>16191.741510461341</v>
      </c>
      <c r="J13" s="10">
        <f t="shared" si="3"/>
        <v>6125893315.1770058</v>
      </c>
      <c r="K13" s="11">
        <f t="shared" si="4"/>
        <v>9.0292279999999892E-2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372229.86151313107</v>
      </c>
      <c r="D14" s="11">
        <v>1.72E-2</v>
      </c>
      <c r="E14" s="10">
        <f t="shared" si="2"/>
        <v>6294.0951809141552</v>
      </c>
      <c r="F14" s="3"/>
      <c r="G14" s="29">
        <v>4.26</v>
      </c>
      <c r="H14" s="10"/>
      <c r="I14" s="10">
        <f t="shared" si="5"/>
        <v>15094.380078737151</v>
      </c>
      <c r="J14" s="10">
        <f t="shared" si="3"/>
        <v>5618579006.3348942</v>
      </c>
      <c r="K14" s="11">
        <f t="shared" si="4"/>
        <v>6.0532720000000095E-2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365935.76633221691</v>
      </c>
      <c r="D15" s="11">
        <v>1.7999999999999999E-2</v>
      </c>
      <c r="E15" s="10">
        <f t="shared" si="2"/>
        <v>6470.3770078388043</v>
      </c>
      <c r="F15" s="3"/>
      <c r="G15" s="29">
        <v>0.42</v>
      </c>
      <c r="H15" s="10"/>
      <c r="I15" s="10">
        <f t="shared" si="5"/>
        <v>14477.632916494485</v>
      </c>
      <c r="J15" s="10">
        <f t="shared" si="3"/>
        <v>5297883695.973938</v>
      </c>
      <c r="K15" s="11">
        <f t="shared" si="4"/>
        <v>2.2275599999999951E-2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359465.38932437811</v>
      </c>
      <c r="D16" s="11">
        <v>1.8599999999999998E-2</v>
      </c>
      <c r="E16" s="10">
        <f t="shared" si="2"/>
        <v>6563.9664651810308</v>
      </c>
      <c r="F16" s="3"/>
      <c r="G16" s="29">
        <v>-3.41</v>
      </c>
      <c r="H16" s="10"/>
      <c r="I16" s="10">
        <f t="shared" si="5"/>
        <v>14417.081175557145</v>
      </c>
      <c r="J16" s="10">
        <f t="shared" si="3"/>
        <v>5182441697.692812</v>
      </c>
      <c r="K16" s="11">
        <f t="shared" si="4"/>
        <v>-1.6134260000000178E-2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352901.42285919708</v>
      </c>
      <c r="D17" s="11">
        <v>1.9099999999999999E-2</v>
      </c>
      <c r="E17" s="10">
        <f t="shared" si="2"/>
        <v>6614.0880940149655</v>
      </c>
      <c r="F17" s="3"/>
      <c r="G17" s="29">
        <v>0.05</v>
      </c>
      <c r="H17" s="10"/>
      <c r="I17" s="10">
        <f t="shared" si="5"/>
        <v>14926.059815257424</v>
      </c>
      <c r="J17" s="10">
        <f t="shared" si="3"/>
        <v>5267427746.4858294</v>
      </c>
      <c r="K17" s="11">
        <f t="shared" si="4"/>
        <v>1.9609549999999754E-2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346287.33476518211</v>
      </c>
      <c r="D18" s="11">
        <v>1.9199999999999998E-2</v>
      </c>
      <c r="E18" s="10">
        <f t="shared" si="2"/>
        <v>6523.4662750113057</v>
      </c>
      <c r="F18" s="3"/>
      <c r="G18" s="29">
        <v>2.67</v>
      </c>
      <c r="H18" s="10"/>
      <c r="I18" s="10">
        <f t="shared" si="5"/>
        <v>14918.600514999926</v>
      </c>
      <c r="J18" s="10">
        <f t="shared" si="3"/>
        <v>5166122410.7657976</v>
      </c>
      <c r="K18" s="11">
        <f t="shared" si="4"/>
        <v>4.6412640000000005E-2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339763.8684901708</v>
      </c>
      <c r="D19" s="11">
        <v>1.9400000000000001E-2</v>
      </c>
      <c r="E19" s="10">
        <f t="shared" si="2"/>
        <v>6465.9790550415637</v>
      </c>
      <c r="F19" s="3"/>
      <c r="G19" s="29">
        <v>6.29</v>
      </c>
      <c r="H19" s="10"/>
      <c r="I19" s="10">
        <f t="shared" si="5"/>
        <v>14530.63262394071</v>
      </c>
      <c r="J19" s="10">
        <f t="shared" si="3"/>
        <v>4936983951.9195766</v>
      </c>
      <c r="K19" s="11">
        <f t="shared" si="4"/>
        <v>8.3520260000000235E-2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333297.88943512924</v>
      </c>
      <c r="D20" s="11">
        <v>1.95E-2</v>
      </c>
      <c r="E20" s="10">
        <f t="shared" si="2"/>
        <v>6374.9964139137301</v>
      </c>
      <c r="F20" s="3"/>
      <c r="G20" s="29">
        <v>-0.69</v>
      </c>
      <c r="H20" s="10"/>
      <c r="I20" s="10">
        <f t="shared" si="5"/>
        <v>13670.742895795192</v>
      </c>
      <c r="J20" s="10">
        <f t="shared" si="3"/>
        <v>4556429754.1788244</v>
      </c>
      <c r="K20" s="11">
        <f t="shared" si="4"/>
        <v>1.24654500000001E-2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326922.89302121551</v>
      </c>
      <c r="D21" s="11">
        <v>1.9900000000000001E-2</v>
      </c>
      <c r="E21" s="10">
        <f t="shared" si="2"/>
        <v>6378.8269155036542</v>
      </c>
      <c r="F21" s="3"/>
      <c r="G21" s="29">
        <v>2.92</v>
      </c>
      <c r="H21" s="10"/>
      <c r="I21" s="10">
        <f t="shared" si="5"/>
        <v>13765.726408010465</v>
      </c>
      <c r="J21" s="10">
        <f t="shared" si="3"/>
        <v>4500331101.8453264</v>
      </c>
      <c r="K21" s="11">
        <f t="shared" si="4"/>
        <v>4.9681079999999822E-2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320544.06610571186</v>
      </c>
      <c r="D22" s="11">
        <v>2.01E-2</v>
      </c>
      <c r="E22" s="10">
        <f t="shared" si="2"/>
        <v>6315.9844414516119</v>
      </c>
      <c r="F22" s="3"/>
      <c r="G22" s="29">
        <v>1.75</v>
      </c>
      <c r="H22" s="10"/>
      <c r="I22" s="10">
        <f t="shared" si="5"/>
        <v>13375.17140304165</v>
      </c>
      <c r="J22" s="10">
        <f t="shared" si="3"/>
        <v>4287331826.3918095</v>
      </c>
      <c r="K22" s="11">
        <f t="shared" si="4"/>
        <v>3.7951749999999951E-2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314228.08166426024</v>
      </c>
      <c r="D23" s="11">
        <v>2.0199999999999999E-2</v>
      </c>
      <c r="E23" s="10">
        <f t="shared" si="2"/>
        <v>6221.7283372064703</v>
      </c>
      <c r="F23" s="3"/>
      <c r="G23" s="29">
        <v>1.6</v>
      </c>
      <c r="H23" s="10"/>
      <c r="I23" s="10">
        <f t="shared" si="5"/>
        <v>13145.131600040933</v>
      </c>
      <c r="J23" s="10">
        <f t="shared" si="3"/>
        <v>4130569485.9051104</v>
      </c>
      <c r="K23" s="11">
        <f t="shared" si="4"/>
        <v>3.6523199999999978E-2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308006.35332705377</v>
      </c>
      <c r="D24" s="11">
        <v>2.0400000000000001E-2</v>
      </c>
      <c r="E24" s="10">
        <f t="shared" si="2"/>
        <v>6157.7122774126474</v>
      </c>
      <c r="F24" s="3"/>
      <c r="G24" s="29">
        <v>0.57999999999999996</v>
      </c>
      <c r="H24" s="10"/>
      <c r="I24" s="10">
        <f t="shared" si="5"/>
        <v>12938.121653583596</v>
      </c>
      <c r="J24" s="10">
        <f t="shared" si="3"/>
        <v>3985023669.4220743</v>
      </c>
      <c r="K24" s="11">
        <f t="shared" si="4"/>
        <v>2.6318319999999895E-2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301848.64104964113</v>
      </c>
      <c r="D25" s="11">
        <v>2.0500000000000001E-2</v>
      </c>
      <c r="E25" s="10">
        <f t="shared" si="2"/>
        <v>6063.5934752745088</v>
      </c>
      <c r="F25" s="3"/>
      <c r="G25" s="29">
        <v>7.95</v>
      </c>
      <c r="H25" s="10"/>
      <c r="I25" s="10">
        <f t="shared" si="5"/>
        <v>12863.513276579435</v>
      </c>
      <c r="J25" s="10">
        <f t="shared" si="3"/>
        <v>3882834001.6595187</v>
      </c>
      <c r="K25" s="11">
        <f t="shared" si="4"/>
        <v>0.10162974999999985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295785.04757436662</v>
      </c>
      <c r="D26" s="11">
        <v>2.0500000000000001E-2</v>
      </c>
      <c r="E26" s="10">
        <f t="shared" si="2"/>
        <v>5941.7868449529633</v>
      </c>
      <c r="F26" s="3"/>
      <c r="G26" s="29">
        <v>0.38</v>
      </c>
      <c r="H26" s="10"/>
      <c r="I26" s="10">
        <f t="shared" si="5"/>
        <v>11916.177189976319</v>
      </c>
      <c r="J26" s="10">
        <f t="shared" si="3"/>
        <v>3524627037.041728</v>
      </c>
      <c r="K26" s="11">
        <f t="shared" si="4"/>
        <v>2.4377899999999952E-2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289843.26072941365</v>
      </c>
      <c r="D27" s="11">
        <v>2.06E-2</v>
      </c>
      <c r="E27" s="10">
        <f t="shared" si="2"/>
        <v>5850.2558994962601</v>
      </c>
      <c r="F27" s="3"/>
      <c r="G27" s="29">
        <v>2.89</v>
      </c>
      <c r="H27" s="10"/>
      <c r="I27" s="10">
        <f t="shared" si="5"/>
        <v>11871.067134863835</v>
      </c>
      <c r="J27" s="10">
        <f t="shared" si="3"/>
        <v>3440748806.7067122</v>
      </c>
      <c r="K27" s="11">
        <f t="shared" si="4"/>
        <v>5.0095339999999711E-2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283993.00482991739</v>
      </c>
      <c r="D28" s="11">
        <v>2.0799999999999999E-2</v>
      </c>
      <c r="E28" s="10">
        <f t="shared" si="2"/>
        <v>5786.6913209857303</v>
      </c>
      <c r="F28" s="3"/>
      <c r="G28" s="29">
        <v>8.98</v>
      </c>
      <c r="H28" s="10"/>
      <c r="I28" s="10">
        <f t="shared" si="5"/>
        <v>11537.62963831649</v>
      </c>
      <c r="J28" s="10">
        <f t="shared" si="3"/>
        <v>3276606109.6002131</v>
      </c>
      <c r="K28" s="11">
        <f t="shared" si="4"/>
        <v>0.11246783999999987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278206.31350893166</v>
      </c>
      <c r="D29" s="11">
        <v>2.1100000000000001E-2</v>
      </c>
      <c r="E29" s="10">
        <f t="shared" si="2"/>
        <v>5748.8524287909386</v>
      </c>
      <c r="F29" s="3"/>
      <c r="G29" s="29">
        <v>13.9</v>
      </c>
      <c r="H29" s="10"/>
      <c r="I29" s="10">
        <f t="shared" si="5"/>
        <v>10586.92387439575</v>
      </c>
      <c r="J29" s="10">
        <f t="shared" si="3"/>
        <v>2945349062.4953375</v>
      </c>
      <c r="K29" s="11">
        <f t="shared" si="4"/>
        <v>0.16303289999999993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272457.46108014073</v>
      </c>
      <c r="D30" s="11">
        <v>2.1299999999999999E-2</v>
      </c>
      <c r="E30" s="10">
        <f t="shared" si="2"/>
        <v>5682.3107030324172</v>
      </c>
      <c r="F30" s="3"/>
      <c r="G30" s="29">
        <v>3.92</v>
      </c>
      <c r="H30" s="10"/>
      <c r="I30" s="10">
        <f t="shared" si="5"/>
        <v>9294.9287747109302</v>
      </c>
      <c r="J30" s="10">
        <f t="shared" si="3"/>
        <v>2532472694.8784833</v>
      </c>
      <c r="K30" s="11">
        <f t="shared" si="4"/>
        <v>6.1334959999999938E-2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266775.15037710831</v>
      </c>
      <c r="D31" s="11">
        <v>2.1399999999999999E-2</v>
      </c>
      <c r="E31" s="10">
        <f t="shared" si="2"/>
        <v>5589.3755806443514</v>
      </c>
      <c r="F31" s="3"/>
      <c r="G31" s="29">
        <v>14.4</v>
      </c>
      <c r="H31" s="10"/>
      <c r="I31" s="10">
        <f t="shared" si="5"/>
        <v>8944.3117539558607</v>
      </c>
      <c r="J31" s="10">
        <f t="shared" si="3"/>
        <v>2386120113.1813121</v>
      </c>
      <c r="K31" s="11">
        <f t="shared" si="4"/>
        <v>0.16848160000000023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261185.77479646396</v>
      </c>
      <c r="D32" s="11">
        <v>2.1600000000000001E-2</v>
      </c>
      <c r="E32" s="10">
        <f t="shared" si="2"/>
        <v>5522.3303989855631</v>
      </c>
      <c r="F32" s="3"/>
      <c r="G32" s="29">
        <v>8.2899999999999991</v>
      </c>
      <c r="H32" s="10"/>
      <c r="I32" s="10">
        <f t="shared" si="5"/>
        <v>7818.454330380996</v>
      </c>
      <c r="J32" s="10">
        <f t="shared" si="3"/>
        <v>2042069051.9913292</v>
      </c>
      <c r="K32" s="11">
        <f t="shared" si="4"/>
        <v>0.1062906400000001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255663.44439747839</v>
      </c>
      <c r="D33" s="11">
        <v>2.18E-2</v>
      </c>
      <c r="E33" s="10">
        <f t="shared" si="2"/>
        <v>5454.5538147044717</v>
      </c>
      <c r="F33" s="3"/>
      <c r="G33" s="29">
        <v>7.27</v>
      </c>
      <c r="H33" s="10"/>
      <c r="I33" s="10">
        <f t="shared" si="5"/>
        <v>7219.9227355997746</v>
      </c>
      <c r="J33" s="10">
        <f t="shared" si="3"/>
        <v>1845870314.8671031</v>
      </c>
      <c r="K33" s="11">
        <f t="shared" si="4"/>
        <v>9.6084859999999939E-2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250208.89058277392</v>
      </c>
      <c r="D34" s="11">
        <v>2.2200000000000001E-2</v>
      </c>
      <c r="E34" s="10">
        <f t="shared" si="2"/>
        <v>5434.0025151023001</v>
      </c>
      <c r="F34" s="3"/>
      <c r="G34" s="29">
        <v>3.67</v>
      </c>
      <c r="H34" s="10"/>
      <c r="I34" s="10">
        <f t="shared" si="5"/>
        <v>6730.6075655819659</v>
      </c>
      <c r="J34" s="10">
        <f t="shared" ref="J34:J65" si="6">IF(I34="","",I34*C34)</f>
        <v>1684057851.9322884</v>
      </c>
      <c r="K34" s="11">
        <f t="shared" ref="K34:K65" si="7">IFERROR(J34/J35-1,"")</f>
        <v>7.3003339999999861E-2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244774.88806767162</v>
      </c>
      <c r="D35" s="11">
        <v>2.2700000000000001E-2</v>
      </c>
      <c r="E35" s="10">
        <f t="shared" si="2"/>
        <v>5433.059508297767</v>
      </c>
      <c r="F35" s="3"/>
      <c r="G35" s="29">
        <v>-0.61</v>
      </c>
      <c r="H35" s="10"/>
      <c r="I35" s="10">
        <f t="shared" ref="I35:I66" si="8">IF(H35&lt;&gt;"",H35,I34/(1+IF(G34="",0,G34)/100))</f>
        <v>6411.9344246755891</v>
      </c>
      <c r="J35" s="10">
        <f t="shared" si="6"/>
        <v>1569480531.0972178</v>
      </c>
      <c r="K35" s="11">
        <f t="shared" si="7"/>
        <v>4.4074429999999776E-2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239341.82855937385</v>
      </c>
      <c r="D36" s="11">
        <v>2.35E-2</v>
      </c>
      <c r="E36" s="10">
        <f t="shared" si="2"/>
        <v>5495.3912761556567</v>
      </c>
      <c r="F36" s="3"/>
      <c r="G36" s="29">
        <v>1.51</v>
      </c>
      <c r="H36" s="10"/>
      <c r="I36" s="10">
        <f t="shared" si="8"/>
        <v>6280.6684539872558</v>
      </c>
      <c r="J36" s="10">
        <f t="shared" si="6"/>
        <v>1503226672.3524854</v>
      </c>
      <c r="K36" s="11">
        <f t="shared" si="7"/>
        <v>8.8082849999999935E-2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233846.4372832182</v>
      </c>
      <c r="D37" s="11">
        <v>2.4500000000000001E-2</v>
      </c>
      <c r="E37" s="10">
        <f t="shared" si="2"/>
        <v>5592.2281243912585</v>
      </c>
      <c r="F37" s="3"/>
      <c r="G37" s="29">
        <v>-7.52</v>
      </c>
      <c r="H37" s="10"/>
      <c r="I37" s="10">
        <f t="shared" si="8"/>
        <v>5907.8811532191294</v>
      </c>
      <c r="J37" s="10">
        <f t="shared" si="6"/>
        <v>1381536959.572964</v>
      </c>
      <c r="K37" s="11">
        <f t="shared" si="7"/>
        <v>1.7561000000001492E-3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228254.20915882694</v>
      </c>
      <c r="D38" s="11">
        <v>2.5600000000000001E-2</v>
      </c>
      <c r="E38" s="10">
        <f t="shared" si="2"/>
        <v>5697.4529587226862</v>
      </c>
      <c r="F38" s="3"/>
      <c r="G38" s="29">
        <v>0.09</v>
      </c>
      <c r="H38" s="10"/>
      <c r="I38" s="10">
        <f t="shared" si="8"/>
        <v>6042.0138609318155</v>
      </c>
      <c r="J38" s="10">
        <f t="shared" si="6"/>
        <v>1379115095.5536621</v>
      </c>
      <c r="K38" s="11">
        <f t="shared" si="7"/>
        <v>6.4470240000000123E-2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222556.75620010425</v>
      </c>
      <c r="D39" s="11">
        <v>2.6800000000000001E-2</v>
      </c>
      <c r="E39" s="10">
        <f t="shared" si="2"/>
        <v>5808.8440457370307</v>
      </c>
      <c r="F39" s="3"/>
      <c r="G39" s="29">
        <v>10.31</v>
      </c>
      <c r="H39" s="10"/>
      <c r="I39" s="10">
        <f t="shared" si="8"/>
        <v>5821.3834289737115</v>
      </c>
      <c r="J39" s="10">
        <f t="shared" si="6"/>
        <v>1295588212.5494292</v>
      </c>
      <c r="K39" s="11">
        <f t="shared" si="7"/>
        <v>0.13266307999999993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216747.91215436722</v>
      </c>
      <c r="D40" s="11">
        <v>2.81E-2</v>
      </c>
      <c r="E40" s="10">
        <f t="shared" si="2"/>
        <v>5924.1477789492346</v>
      </c>
      <c r="F40" s="3"/>
      <c r="G40" s="29">
        <v>1.74</v>
      </c>
      <c r="H40" s="10"/>
      <c r="I40" s="10">
        <f t="shared" si="8"/>
        <v>5277.2943785456546</v>
      </c>
      <c r="J40" s="10">
        <f t="shared" si="6"/>
        <v>1143842538.3737495</v>
      </c>
      <c r="K40" s="11">
        <f t="shared" si="7"/>
        <v>4.5988939999999978E-2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210823.76437541799</v>
      </c>
      <c r="D41" s="11">
        <v>2.9499999999999998E-2</v>
      </c>
      <c r="E41" s="10">
        <f t="shared" si="2"/>
        <v>6041.0889257647796</v>
      </c>
      <c r="F41" s="3"/>
      <c r="G41" s="29">
        <v>5.16</v>
      </c>
      <c r="H41" s="10"/>
      <c r="I41" s="10">
        <f t="shared" si="8"/>
        <v>5187.0398845544078</v>
      </c>
      <c r="J41" s="10">
        <f t="shared" si="6"/>
        <v>1093551274.4271939</v>
      </c>
      <c r="K41" s="11">
        <f t="shared" si="7"/>
        <v>8.262220000000009E-2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204782.67544965321</v>
      </c>
      <c r="D42" s="11">
        <v>3.0800000000000001E-2</v>
      </c>
      <c r="E42" s="10">
        <f t="shared" si="2"/>
        <v>6118.8459486314678</v>
      </c>
      <c r="F42" s="3"/>
      <c r="G42" s="29">
        <v>-8.49</v>
      </c>
      <c r="H42" s="10"/>
      <c r="I42" s="10">
        <f t="shared" si="8"/>
        <v>4932.5217616531072</v>
      </c>
      <c r="J42" s="10">
        <f t="shared" si="6"/>
        <v>1010095003.06496</v>
      </c>
      <c r="K42" s="11">
        <f t="shared" si="7"/>
        <v>-5.6714919999999891E-2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198663.82950102174</v>
      </c>
      <c r="D43" s="11">
        <v>3.1899999999999998E-2</v>
      </c>
      <c r="E43" s="10">
        <f t="shared" si="2"/>
        <v>6141.4634761920606</v>
      </c>
      <c r="F43" s="3"/>
      <c r="G43" s="29">
        <v>11.93</v>
      </c>
      <c r="H43" s="10"/>
      <c r="I43" s="10">
        <f t="shared" si="8"/>
        <v>5390.1450788472375</v>
      </c>
      <c r="J43" s="10">
        <f t="shared" si="6"/>
        <v>1070826862.929879</v>
      </c>
      <c r="K43" s="11">
        <f t="shared" si="7"/>
        <v>0.15500566999999976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192522.36602482968</v>
      </c>
      <c r="D44" s="11">
        <v>3.3000000000000002E-2</v>
      </c>
      <c r="E44" s="10">
        <f t="shared" si="2"/>
        <v>6150.2788759141986</v>
      </c>
      <c r="F44" s="3"/>
      <c r="G44" s="29">
        <v>7.67</v>
      </c>
      <c r="H44" s="10"/>
      <c r="I44" s="10">
        <f t="shared" si="8"/>
        <v>4815.6393092533172</v>
      </c>
      <c r="J44" s="10">
        <f t="shared" si="6"/>
        <v>927118273.7396251</v>
      </c>
      <c r="K44" s="11">
        <f t="shared" si="7"/>
        <v>0.11223110000000003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186372.08714891548</v>
      </c>
      <c r="D45" s="11">
        <v>3.4000000000000002E-2</v>
      </c>
      <c r="E45" s="10">
        <f t="shared" si="2"/>
        <v>6128.2891325562086</v>
      </c>
      <c r="F45" s="3"/>
      <c r="G45" s="29">
        <v>4.53</v>
      </c>
      <c r="H45" s="10"/>
      <c r="I45" s="10">
        <f t="shared" si="8"/>
        <v>4472.5915382681496</v>
      </c>
      <c r="J45" s="10">
        <f t="shared" si="6"/>
        <v>833566219.95161355</v>
      </c>
      <c r="K45" s="11">
        <f t="shared" si="7"/>
        <v>8.0840199999999918E-2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180243.79801635927</v>
      </c>
      <c r="D46" s="11">
        <v>3.5099999999999999E-2</v>
      </c>
      <c r="E46" s="10">
        <f t="shared" si="2"/>
        <v>6112.0252249774931</v>
      </c>
      <c r="F46" s="3"/>
      <c r="G46" s="29">
        <v>16.100000000000001</v>
      </c>
      <c r="H46" s="10"/>
      <c r="I46" s="10">
        <f t="shared" si="8"/>
        <v>4278.7635494768492</v>
      </c>
      <c r="J46" s="10">
        <f t="shared" si="6"/>
        <v>771220592.97166562</v>
      </c>
      <c r="K46" s="11">
        <f t="shared" si="7"/>
        <v>0.20175109999999985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174131.77279138178</v>
      </c>
      <c r="D47" s="11">
        <v>3.6200000000000003E-2</v>
      </c>
      <c r="E47" s="10">
        <f t="shared" si="2"/>
        <v>6083.352803559188</v>
      </c>
      <c r="F47" s="3"/>
      <c r="G47" s="29">
        <v>5.64</v>
      </c>
      <c r="H47" s="10"/>
      <c r="I47" s="10">
        <f t="shared" si="8"/>
        <v>3685.4121873185609</v>
      </c>
      <c r="J47" s="10">
        <f t="shared" si="6"/>
        <v>641747357.64474499</v>
      </c>
      <c r="K47" s="11">
        <f t="shared" si="7"/>
        <v>9.4641680000000061E-2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168048.41998782259</v>
      </c>
      <c r="D48" s="11">
        <v>3.73E-2</v>
      </c>
      <c r="E48" s="10">
        <f t="shared" si="2"/>
        <v>6042.8092794233235</v>
      </c>
      <c r="F48" s="3"/>
      <c r="G48" s="29">
        <v>6.94</v>
      </c>
      <c r="H48" s="10"/>
      <c r="I48" s="10">
        <f t="shared" si="8"/>
        <v>3488.6522030656579</v>
      </c>
      <c r="J48" s="10">
        <f t="shared" si="6"/>
        <v>586262490.61222017</v>
      </c>
      <c r="K48" s="11">
        <f t="shared" si="7"/>
        <v>0.10928862000000006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162005.61070839927</v>
      </c>
      <c r="D49" s="11">
        <v>3.8100000000000002E-2</v>
      </c>
      <c r="E49" s="10">
        <f t="shared" si="2"/>
        <v>5945.8758963394794</v>
      </c>
      <c r="F49" s="3"/>
      <c r="G49" s="29">
        <v>5.16</v>
      </c>
      <c r="H49" s="10"/>
      <c r="I49" s="10">
        <f t="shared" si="8"/>
        <v>3262.2519198294913</v>
      </c>
      <c r="J49" s="10">
        <f t="shared" si="6"/>
        <v>528503114.55662471</v>
      </c>
      <c r="K49" s="11">
        <f t="shared" si="7"/>
        <v>9.1665960000000046E-2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156059.73481205979</v>
      </c>
      <c r="D50" s="11">
        <v>3.8399999999999997E-2</v>
      </c>
      <c r="E50" s="10">
        <f t="shared" si="2"/>
        <v>5771.0841841131623</v>
      </c>
      <c r="F50" s="3"/>
      <c r="G50" s="29">
        <v>7.79</v>
      </c>
      <c r="H50" s="10"/>
      <c r="I50" s="10">
        <f t="shared" si="8"/>
        <v>3102.1794597085309</v>
      </c>
      <c r="J50" s="10">
        <f t="shared" si="6"/>
        <v>484125303.82153225</v>
      </c>
      <c r="K50" s="11">
        <f t="shared" si="7"/>
        <v>0.11929136000000007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150288.65062794663</v>
      </c>
      <c r="D51" s="11">
        <v>3.8199999999999998E-2</v>
      </c>
      <c r="E51" s="10">
        <f t="shared" si="2"/>
        <v>5529.7885320627538</v>
      </c>
      <c r="F51" s="3"/>
      <c r="G51" s="29">
        <v>10.44</v>
      </c>
      <c r="H51" s="10"/>
      <c r="I51" s="10">
        <f t="shared" si="8"/>
        <v>2877.9844695319889</v>
      </c>
      <c r="J51" s="10">
        <f t="shared" si="6"/>
        <v>432528402.45414937</v>
      </c>
      <c r="K51" s="11">
        <f t="shared" si="7"/>
        <v>0.1465880799999999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144758.86209588387</v>
      </c>
      <c r="D52" s="11">
        <v>3.73E-2</v>
      </c>
      <c r="E52" s="10">
        <f t="shared" si="2"/>
        <v>5205.3461449691385</v>
      </c>
      <c r="F52" s="3"/>
      <c r="G52" s="29">
        <v>5.91</v>
      </c>
      <c r="H52" s="10"/>
      <c r="I52" s="10">
        <f t="shared" si="8"/>
        <v>2605.9258144983601</v>
      </c>
      <c r="J52" s="10">
        <f t="shared" si="6"/>
        <v>377230855.61307198</v>
      </c>
      <c r="K52" s="11">
        <f t="shared" si="7"/>
        <v>9.8604430000000187E-2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139553.51595091473</v>
      </c>
      <c r="D53" s="11">
        <v>3.5999999999999997E-2</v>
      </c>
      <c r="E53" s="10">
        <f t="shared" si="2"/>
        <v>4849.3499751283089</v>
      </c>
      <c r="F53" s="3"/>
      <c r="G53" s="29">
        <v>5.37</v>
      </c>
      <c r="H53" s="10"/>
      <c r="I53" s="10">
        <f t="shared" si="8"/>
        <v>2460.5096917178362</v>
      </c>
      <c r="J53" s="10">
        <f t="shared" si="6"/>
        <v>343372778.51052535</v>
      </c>
      <c r="K53" s="11">
        <f t="shared" si="7"/>
        <v>9.163319999999997E-2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134704.16597578643</v>
      </c>
      <c r="D54" s="11">
        <v>3.4500000000000003E-2</v>
      </c>
      <c r="E54" s="10">
        <f t="shared" si="2"/>
        <v>4492.3090634747496</v>
      </c>
      <c r="F54" s="3"/>
      <c r="G54" s="29">
        <v>5.57</v>
      </c>
      <c r="H54" s="10"/>
      <c r="I54" s="10">
        <f t="shared" si="8"/>
        <v>2335.1140663545943</v>
      </c>
      <c r="J54" s="10">
        <f t="shared" si="6"/>
        <v>314549592.76662284</v>
      </c>
      <c r="K54" s="11">
        <f t="shared" si="7"/>
        <v>9.2121650000000166E-2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130211.85691231168</v>
      </c>
      <c r="D55" s="11">
        <v>3.3099999999999997E-2</v>
      </c>
      <c r="E55" s="10">
        <f t="shared" si="2"/>
        <v>4171.9218505444878</v>
      </c>
      <c r="F55" s="3"/>
      <c r="G55" s="29">
        <v>7.07</v>
      </c>
      <c r="H55" s="10"/>
      <c r="I55" s="10">
        <f t="shared" si="8"/>
        <v>2211.9106435110298</v>
      </c>
      <c r="J55" s="10">
        <f t="shared" si="6"/>
        <v>288016992.21567744</v>
      </c>
      <c r="K55" s="11">
        <f t="shared" si="7"/>
        <v>0.10614016999999998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126039.93506176719</v>
      </c>
      <c r="D56" s="11">
        <v>3.2099999999999997E-2</v>
      </c>
      <c r="E56" s="10">
        <f t="shared" si="2"/>
        <v>3920.0483630294766</v>
      </c>
      <c r="F56" s="3"/>
      <c r="G56" s="29">
        <v>4.95</v>
      </c>
      <c r="H56" s="10"/>
      <c r="I56" s="10">
        <f t="shared" si="8"/>
        <v>2065.8547151499297</v>
      </c>
      <c r="J56" s="10">
        <f t="shared" si="6"/>
        <v>260380194.14454269</v>
      </c>
      <c r="K56" s="11">
        <f t="shared" si="7"/>
        <v>8.3188950000000039E-2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122119.88669873771</v>
      </c>
      <c r="D57" s="11">
        <v>3.1300000000000001E-2</v>
      </c>
      <c r="E57" s="10">
        <f t="shared" si="2"/>
        <v>3706.3438899161265</v>
      </c>
      <c r="F57" s="3"/>
      <c r="G57" s="30">
        <v>4.1900000000000004</v>
      </c>
      <c r="H57" s="10"/>
      <c r="I57" s="10">
        <f t="shared" si="8"/>
        <v>1968.4180230108905</v>
      </c>
      <c r="J57" s="10">
        <f t="shared" si="6"/>
        <v>240382985.94584322</v>
      </c>
      <c r="K57" s="11">
        <f t="shared" si="7"/>
        <v>7.4511470000000024E-2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118413.54280882158</v>
      </c>
      <c r="D58" s="11">
        <v>3.0599999999999999E-2</v>
      </c>
      <c r="E58" s="10">
        <f t="shared" si="2"/>
        <v>3515.868823937446</v>
      </c>
      <c r="F58" s="3"/>
      <c r="G58" s="30">
        <v>5.05</v>
      </c>
      <c r="H58" s="10"/>
      <c r="I58" s="10">
        <f t="shared" si="8"/>
        <v>1889.2581082742013</v>
      </c>
      <c r="J58" s="10">
        <f t="shared" si="6"/>
        <v>223713745.88104042</v>
      </c>
      <c r="K58" s="11">
        <f t="shared" si="7"/>
        <v>8.2645300000000033E-2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114897.67398488414</v>
      </c>
      <c r="D59" s="11">
        <v>0.03</v>
      </c>
      <c r="E59" s="10">
        <f t="shared" si="2"/>
        <v>3346.5341937344929</v>
      </c>
      <c r="F59" s="3"/>
      <c r="G59" s="30">
        <v>4.46</v>
      </c>
      <c r="H59" s="10"/>
      <c r="I59" s="10">
        <f t="shared" si="8"/>
        <v>1798.437037862162</v>
      </c>
      <c r="J59" s="10">
        <f t="shared" si="6"/>
        <v>206636232.45862743</v>
      </c>
      <c r="K59" s="11">
        <f t="shared" si="7"/>
        <v>7.5938000000000061E-2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111551.13979114965</v>
      </c>
      <c r="D60" s="11">
        <v>2.92E-2</v>
      </c>
      <c r="E60" s="10">
        <f t="shared" si="2"/>
        <v>3164.8788203474105</v>
      </c>
      <c r="F60" s="3"/>
      <c r="G60" s="30">
        <v>4.4000000000000004</v>
      </c>
      <c r="H60" s="10"/>
      <c r="I60" s="10">
        <f t="shared" si="8"/>
        <v>1721.6513860445741</v>
      </c>
      <c r="J60" s="10">
        <f t="shared" si="6"/>
        <v>192052174.43628484</v>
      </c>
      <c r="K60" s="11">
        <f t="shared" si="7"/>
        <v>7.4484799999999796E-2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108386.26097080224</v>
      </c>
      <c r="D61" s="11">
        <v>2.81E-2</v>
      </c>
      <c r="E61" s="10">
        <f t="shared" si="2"/>
        <v>2962.4102064775216</v>
      </c>
      <c r="F61" s="3"/>
      <c r="G61" s="30">
        <v>3.55</v>
      </c>
      <c r="H61" s="10"/>
      <c r="I61" s="10">
        <f t="shared" si="8"/>
        <v>1649.0913659430787</v>
      </c>
      <c r="J61" s="10">
        <f t="shared" si="6"/>
        <v>178738847.15380326</v>
      </c>
      <c r="K61" s="11">
        <f t="shared" si="7"/>
        <v>6.4597550000000004E-2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105423.85076432471</v>
      </c>
      <c r="D62" s="11">
        <v>2.6700000000000002E-2</v>
      </c>
      <c r="E62" s="10">
        <f t="shared" si="2"/>
        <v>2741.6156768359506</v>
      </c>
      <c r="F62" s="3"/>
      <c r="G62" s="30">
        <v>5.08</v>
      </c>
      <c r="H62" s="10"/>
      <c r="I62" s="10">
        <f t="shared" si="8"/>
        <v>1592.5556406982894</v>
      </c>
      <c r="J62" s="10">
        <f t="shared" si="6"/>
        <v>167893348.19885999</v>
      </c>
      <c r="K62" s="11">
        <f t="shared" si="7"/>
        <v>7.8856359999999848E-2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102682.23508748876</v>
      </c>
      <c r="D63" s="11">
        <v>2.5100000000000001E-2</v>
      </c>
      <c r="E63" s="10">
        <f t="shared" si="2"/>
        <v>2514.2172477767599</v>
      </c>
      <c r="F63" s="3"/>
      <c r="G63" s="30">
        <v>4.1100000000000003</v>
      </c>
      <c r="H63" s="10"/>
      <c r="I63" s="10">
        <f t="shared" si="8"/>
        <v>1515.5649416618667</v>
      </c>
      <c r="J63" s="10">
        <f t="shared" si="6"/>
        <v>155621595.63007998</v>
      </c>
      <c r="K63" s="11">
        <f t="shared" si="7"/>
        <v>6.7231609999999886E-2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100168.017839712</v>
      </c>
      <c r="D64" s="11">
        <v>2.3599999999999999E-2</v>
      </c>
      <c r="E64" s="10">
        <f t="shared" si="2"/>
        <v>2309.4619197120046</v>
      </c>
      <c r="F64" s="3"/>
      <c r="G64" s="30">
        <v>4.21</v>
      </c>
      <c r="H64" s="10"/>
      <c r="I64" s="10">
        <f t="shared" si="8"/>
        <v>1455.7342634347006</v>
      </c>
      <c r="J64" s="10">
        <f t="shared" si="6"/>
        <v>145818015.6696071</v>
      </c>
      <c r="K64" s="11">
        <f t="shared" si="7"/>
        <v>6.6693560000000041E-2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97858.555919999999</v>
      </c>
      <c r="D65" s="11">
        <v>2.24E-2</v>
      </c>
      <c r="E65" s="10">
        <f t="shared" si="2"/>
        <v>2144.005919999996</v>
      </c>
      <c r="F65" s="3"/>
      <c r="G65" s="30">
        <v>3.98</v>
      </c>
      <c r="H65" s="10"/>
      <c r="I65" s="10">
        <f t="shared" si="8"/>
        <v>1396.9237726079075</v>
      </c>
      <c r="J65" s="10">
        <f t="shared" si="6"/>
        <v>136700943.11772829</v>
      </c>
      <c r="K65" s="11">
        <f t="shared" si="7"/>
        <v>6.3091520000000179E-2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95714.55</v>
      </c>
      <c r="D66" s="11">
        <v>2.1499999999999998E-2</v>
      </c>
      <c r="E66" s="10">
        <f t="shared" si="2"/>
        <v>2014.5500000000029</v>
      </c>
      <c r="F66" s="23">
        <f>SUM(F2)</f>
        <v>447879</v>
      </c>
      <c r="G66" s="30">
        <v>4.45</v>
      </c>
      <c r="H66" s="10"/>
      <c r="I66" s="10">
        <f t="shared" si="8"/>
        <v>1343.4542917944868</v>
      </c>
      <c r="J66" s="10">
        <f t="shared" ref="J66:J67" si="9">IF(I66="","",I66*C66)</f>
        <v>128588122.984678</v>
      </c>
      <c r="K66" s="11">
        <f t="shared" ref="K66" si="10">IFERROR(J66/J67-1,"")</f>
        <v>6.6956749999999898E-2</v>
      </c>
    </row>
    <row r="67" spans="1:11" ht="22.5" customHeight="1">
      <c r="A67" s="3">
        <f t="shared" si="0"/>
        <v>1950</v>
      </c>
      <c r="B67" s="3">
        <v>1700</v>
      </c>
      <c r="C67" s="10">
        <v>93700</v>
      </c>
      <c r="D67" s="11">
        <v>2.0899999999999998E-2</v>
      </c>
      <c r="E67" s="3" t="s">
        <v>72</v>
      </c>
      <c r="F67" s="10">
        <f>SUM(C2)</f>
        <v>447989.69281208352</v>
      </c>
      <c r="G67" s="29">
        <v>12.24</v>
      </c>
      <c r="H67" s="10"/>
      <c r="I67" s="10">
        <f t="shared" ref="I67" si="11">IF(H67&lt;&gt;"",H67,I66/(1+IF(G66="",0,G66)/100))</f>
        <v>1286.2176082283263</v>
      </c>
      <c r="J67" s="10">
        <f t="shared" si="9"/>
        <v>120518589.89099418</v>
      </c>
      <c r="K67" s="11"/>
    </row>
  </sheetData>
  <dataValidations count="1">
    <dataValidation type="custom" allowBlank="1" showDropDown="1" sqref="D2:D67" xr:uid="{00000000-0002-0000-AA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M87"/>
  <sheetViews>
    <sheetView topLeftCell="A11" zoomScale="85" zoomScaleNormal="85" workbookViewId="0">
      <selection activeCell="L43" sqref="L43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9819152.0528906826</v>
      </c>
      <c r="D2" s="11">
        <v>2.5600000000000001E-2</v>
      </c>
      <c r="E2" s="10">
        <f t="shared" ref="E2:E66" si="2">SUM(C2-C3)</f>
        <v>245095.83907371573</v>
      </c>
      <c r="F2" s="15">
        <v>9819273</v>
      </c>
      <c r="G2" s="29">
        <v>2.77</v>
      </c>
      <c r="H2" s="10"/>
      <c r="I2" s="10">
        <f>IF(H2&lt;&gt;"",H2,23176)</f>
        <v>2897</v>
      </c>
      <c r="J2" s="10">
        <f t="shared" ref="J2:J33" si="3">IF(I2="","",I2*C2)</f>
        <v>28446083497.224308</v>
      </c>
      <c r="K2" s="11">
        <f t="shared" ref="K2:K33" si="4">IFERROR(J2/J3-1,"")</f>
        <v>5.4009120000000355E-2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9574056.2138169669</v>
      </c>
      <c r="D3" s="11">
        <v>2.6700000000000002E-2</v>
      </c>
      <c r="E3" s="10">
        <f t="shared" si="2"/>
        <v>248979.54700390808</v>
      </c>
      <c r="F3" s="3"/>
      <c r="G3" s="29">
        <v>4.08</v>
      </c>
      <c r="H3" s="10"/>
      <c r="I3" s="10">
        <f t="shared" ref="I3:I34" si="5">IF(H3&lt;&gt;"",H3,I2/(1+IF(G2="",0,G2)/100))</f>
        <v>2818.9160260776489</v>
      </c>
      <c r="J3" s="10">
        <f t="shared" si="3"/>
        <v>26988460495.696945</v>
      </c>
      <c r="K3" s="11">
        <f t="shared" si="4"/>
        <v>6.8589360000000044E-2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9325076.6668130588</v>
      </c>
      <c r="D4" s="11">
        <v>2.7799999999999998E-2</v>
      </c>
      <c r="E4" s="10">
        <f t="shared" si="2"/>
        <v>252225.26886301115</v>
      </c>
      <c r="F4" s="3"/>
      <c r="G4" s="29">
        <v>7.05</v>
      </c>
      <c r="H4" s="10"/>
      <c r="I4" s="10">
        <f t="shared" si="5"/>
        <v>2708.4127844712229</v>
      </c>
      <c r="J4" s="10">
        <f t="shared" si="3"/>
        <v>25256156860.570786</v>
      </c>
      <c r="K4" s="11">
        <f t="shared" si="4"/>
        <v>0.10025989999999974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9072851.3979500476</v>
      </c>
      <c r="D5" s="11">
        <v>2.8799999999999999E-2</v>
      </c>
      <c r="E5" s="10">
        <f t="shared" si="2"/>
        <v>253983.39838740416</v>
      </c>
      <c r="F5" s="3"/>
      <c r="G5" s="29">
        <v>0.15</v>
      </c>
      <c r="H5" s="10"/>
      <c r="I5" s="10">
        <f t="shared" si="5"/>
        <v>2530.0446375256638</v>
      </c>
      <c r="J5" s="10">
        <f t="shared" si="3"/>
        <v>22954719026.450741</v>
      </c>
      <c r="K5" s="11">
        <f t="shared" si="4"/>
        <v>3.0343200000000126E-2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8818867.9995626435</v>
      </c>
      <c r="D6" s="11">
        <v>2.9700000000000001E-2</v>
      </c>
      <c r="E6" s="10">
        <f t="shared" si="2"/>
        <v>254365.71776926331</v>
      </c>
      <c r="F6" s="3"/>
      <c r="G6" s="29">
        <v>5.45</v>
      </c>
      <c r="H6" s="10"/>
      <c r="I6" s="10">
        <f t="shared" si="5"/>
        <v>2526.2552546436982</v>
      </c>
      <c r="J6" s="10">
        <f t="shared" si="3"/>
        <v>22278711623.904285</v>
      </c>
      <c r="K6" s="11">
        <f t="shared" si="4"/>
        <v>8.5818649999999774E-2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8564502.2817933802</v>
      </c>
      <c r="D7" s="11">
        <v>3.0300000000000001E-2</v>
      </c>
      <c r="E7" s="10">
        <f t="shared" si="2"/>
        <v>251872.67702449672</v>
      </c>
      <c r="F7" s="3"/>
      <c r="G7" s="29">
        <v>4.09</v>
      </c>
      <c r="H7" s="10"/>
      <c r="I7" s="10">
        <f t="shared" si="5"/>
        <v>2395.6901419096239</v>
      </c>
      <c r="J7" s="10">
        <f t="shared" si="3"/>
        <v>20517893686.854881</v>
      </c>
      <c r="K7" s="11">
        <f t="shared" si="4"/>
        <v>7.2439270000000056E-2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8312629.6047688834</v>
      </c>
      <c r="D8" s="11">
        <v>3.0800000000000001E-2</v>
      </c>
      <c r="E8" s="10">
        <f t="shared" si="2"/>
        <v>248378.92105828598</v>
      </c>
      <c r="F8" s="3"/>
      <c r="G8" s="29">
        <v>5.14</v>
      </c>
      <c r="H8" s="10"/>
      <c r="I8" s="10">
        <f t="shared" si="5"/>
        <v>2301.5564818038465</v>
      </c>
      <c r="J8" s="10">
        <f t="shared" si="3"/>
        <v>19131986547.690369</v>
      </c>
      <c r="K8" s="11">
        <f t="shared" si="4"/>
        <v>8.3783119999999878E-2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8064250.6837105975</v>
      </c>
      <c r="D9" s="11">
        <v>3.1099999999999999E-2</v>
      </c>
      <c r="E9" s="10">
        <f t="shared" si="2"/>
        <v>243233.63035922684</v>
      </c>
      <c r="F9" s="3"/>
      <c r="G9" s="29">
        <v>2.2400000000000002</v>
      </c>
      <c r="H9" s="10"/>
      <c r="I9" s="10">
        <f t="shared" si="5"/>
        <v>2189.0398343198085</v>
      </c>
      <c r="J9" s="10">
        <f t="shared" si="3"/>
        <v>17652965980.583248</v>
      </c>
      <c r="K9" s="11">
        <f t="shared" si="4"/>
        <v>5.4196639999999796E-2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7821017.0533513706</v>
      </c>
      <c r="D10" s="11">
        <v>3.2099999999999997E-2</v>
      </c>
      <c r="E10" s="10">
        <f t="shared" si="2"/>
        <v>243246.43679156993</v>
      </c>
      <c r="F10" s="3"/>
      <c r="G10" s="29">
        <v>8.2200000000000006</v>
      </c>
      <c r="H10" s="10"/>
      <c r="I10" s="10">
        <f t="shared" si="5"/>
        <v>2141.0796501563073</v>
      </c>
      <c r="J10" s="10">
        <f t="shared" si="3"/>
        <v>16745420456.456066</v>
      </c>
      <c r="K10" s="11">
        <f t="shared" si="4"/>
        <v>0.11693862000000022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7577770.6165598007</v>
      </c>
      <c r="D11" s="11">
        <v>3.4000000000000002E-2</v>
      </c>
      <c r="E11" s="10">
        <f t="shared" si="2"/>
        <v>249172.34135689866</v>
      </c>
      <c r="F11" s="3"/>
      <c r="G11" s="29">
        <v>7.57</v>
      </c>
      <c r="H11" s="10"/>
      <c r="I11" s="10">
        <f t="shared" si="5"/>
        <v>1978.4509796306663</v>
      </c>
      <c r="J11" s="10">
        <f t="shared" si="3"/>
        <v>14992247699.749216</v>
      </c>
      <c r="K11" s="11">
        <f t="shared" si="4"/>
        <v>0.11227380000000009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7328598.275202902</v>
      </c>
      <c r="D12" s="11">
        <v>3.5400000000000001E-2</v>
      </c>
      <c r="E12" s="10">
        <f t="shared" si="2"/>
        <v>250562.46758951433</v>
      </c>
      <c r="F12" s="3"/>
      <c r="G12" s="29">
        <v>3.07</v>
      </c>
      <c r="H12" s="10"/>
      <c r="I12" s="10">
        <f t="shared" si="5"/>
        <v>1839.2218830814038</v>
      </c>
      <c r="J12" s="10">
        <f t="shared" si="3"/>
        <v>13478918320.065809</v>
      </c>
      <c r="K12" s="11">
        <f t="shared" si="4"/>
        <v>6.7186780000000113E-2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7078035.8076133877</v>
      </c>
      <c r="D13" s="11">
        <v>3.6600000000000001E-2</v>
      </c>
      <c r="E13" s="10">
        <f t="shared" si="2"/>
        <v>249909.42558233626</v>
      </c>
      <c r="F13" s="3"/>
      <c r="G13" s="29">
        <v>11.8</v>
      </c>
      <c r="H13" s="10"/>
      <c r="I13" s="10">
        <f t="shared" si="5"/>
        <v>1784.4395877378518</v>
      </c>
      <c r="J13" s="10">
        <f t="shared" si="3"/>
        <v>12630327298.531385</v>
      </c>
      <c r="K13" s="11">
        <f t="shared" si="4"/>
        <v>0.15891880000000014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6828126.3820310514</v>
      </c>
      <c r="D14" s="11">
        <v>3.7199999999999997E-2</v>
      </c>
      <c r="E14" s="10">
        <f t="shared" si="2"/>
        <v>244896.16410678253</v>
      </c>
      <c r="F14" s="3"/>
      <c r="G14" s="29">
        <v>9.52</v>
      </c>
      <c r="H14" s="10"/>
      <c r="I14" s="10">
        <f t="shared" si="5"/>
        <v>1596.099810141191</v>
      </c>
      <c r="J14" s="10">
        <f t="shared" si="3"/>
        <v>10898371221.979818</v>
      </c>
      <c r="K14" s="11">
        <f t="shared" si="4"/>
        <v>0.13594143999999986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6583230.2179242689</v>
      </c>
      <c r="D15" s="11">
        <v>3.7100000000000001E-2</v>
      </c>
      <c r="E15" s="10">
        <f t="shared" si="2"/>
        <v>235500.76278564241</v>
      </c>
      <c r="F15" s="3"/>
      <c r="G15" s="29">
        <v>5.34</v>
      </c>
      <c r="H15" s="10"/>
      <c r="I15" s="10">
        <f t="shared" si="5"/>
        <v>1457.3592130580635</v>
      </c>
      <c r="J15" s="10">
        <f t="shared" si="3"/>
        <v>9594131209.7741756</v>
      </c>
      <c r="K15" s="11">
        <f t="shared" si="4"/>
        <v>9.2481139999999851E-2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6347729.4551386265</v>
      </c>
      <c r="D16" s="11">
        <v>3.5799999999999998E-2</v>
      </c>
      <c r="E16" s="10">
        <f t="shared" si="2"/>
        <v>219394.39514767658</v>
      </c>
      <c r="F16" s="3"/>
      <c r="G16" s="29">
        <v>8.8000000000000007</v>
      </c>
      <c r="H16" s="10"/>
      <c r="I16" s="10">
        <f t="shared" si="5"/>
        <v>1383.4813110480952</v>
      </c>
      <c r="J16" s="10">
        <f t="shared" si="3"/>
        <v>8781965068.773798</v>
      </c>
      <c r="K16" s="11">
        <f t="shared" si="4"/>
        <v>0.12695040000000013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6128335.0599909499</v>
      </c>
      <c r="D17" s="11">
        <v>3.3700000000000001E-2</v>
      </c>
      <c r="E17" s="10">
        <f t="shared" si="2"/>
        <v>199791.90434526</v>
      </c>
      <c r="F17" s="3"/>
      <c r="G17" s="29">
        <v>5.9</v>
      </c>
      <c r="H17" s="10"/>
      <c r="I17" s="10">
        <f t="shared" si="5"/>
        <v>1271.5820873603816</v>
      </c>
      <c r="J17" s="10">
        <f t="shared" si="3"/>
        <v>7792681087.6271019</v>
      </c>
      <c r="K17" s="11">
        <f t="shared" si="4"/>
        <v>9.4688300000000059E-2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5928543.1556456899</v>
      </c>
      <c r="D18" s="11">
        <v>3.1800000000000002E-2</v>
      </c>
      <c r="E18" s="10">
        <f t="shared" si="2"/>
        <v>182717.26337423269</v>
      </c>
      <c r="F18" s="3"/>
      <c r="G18" s="29">
        <v>-3.3</v>
      </c>
      <c r="H18" s="10"/>
      <c r="I18" s="10">
        <f t="shared" si="5"/>
        <v>1200.7385149767533</v>
      </c>
      <c r="J18" s="10">
        <f t="shared" si="3"/>
        <v>7118630104.6856003</v>
      </c>
      <c r="K18" s="11">
        <f t="shared" si="4"/>
        <v>-2.249400000000068E-3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5745825.8922714572</v>
      </c>
      <c r="D19" s="11">
        <v>3.0700000000000002E-2</v>
      </c>
      <c r="E19" s="10">
        <f t="shared" si="2"/>
        <v>171142.77179851849</v>
      </c>
      <c r="F19" s="3"/>
      <c r="G19" s="29">
        <v>-8.9</v>
      </c>
      <c r="H19" s="10"/>
      <c r="I19" s="10">
        <f t="shared" si="5"/>
        <v>1241.7151137298381</v>
      </c>
      <c r="J19" s="10">
        <f t="shared" si="3"/>
        <v>7134678851.2937012</v>
      </c>
      <c r="K19" s="11">
        <f t="shared" si="4"/>
        <v>-6.1032300000000039E-2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5574683.1204729388</v>
      </c>
      <c r="D20" s="11">
        <v>3.0499999999999999E-2</v>
      </c>
      <c r="E20" s="10">
        <f t="shared" si="2"/>
        <v>164995.47324058693</v>
      </c>
      <c r="F20" s="3"/>
      <c r="G20" s="29">
        <v>-0.7</v>
      </c>
      <c r="H20" s="10"/>
      <c r="I20" s="10">
        <f t="shared" si="5"/>
        <v>1363.0242741271547</v>
      </c>
      <c r="J20" s="10">
        <f t="shared" si="3"/>
        <v>7598428413.7715292</v>
      </c>
      <c r="K20" s="11">
        <f t="shared" si="4"/>
        <v>2.3286499999999988E-2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5409687.6472323518</v>
      </c>
      <c r="D21" s="11">
        <v>3.1099999999999999E-2</v>
      </c>
      <c r="E21" s="10">
        <f t="shared" si="2"/>
        <v>163166.79839872569</v>
      </c>
      <c r="F21" s="3"/>
      <c r="G21" s="29">
        <v>9.6999999999999993</v>
      </c>
      <c r="H21" s="10"/>
      <c r="I21" s="10">
        <f t="shared" si="5"/>
        <v>1372.6327030484942</v>
      </c>
      <c r="J21" s="10">
        <f t="shared" si="3"/>
        <v>7425514177.8685923</v>
      </c>
      <c r="K21" s="11">
        <f t="shared" si="4"/>
        <v>0.13111669999999997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5246520.8488336261</v>
      </c>
      <c r="D22" s="11">
        <v>3.2199999999999999E-2</v>
      </c>
      <c r="E22" s="10">
        <f t="shared" si="2"/>
        <v>163667.8660457693</v>
      </c>
      <c r="F22" s="3"/>
      <c r="G22" s="29">
        <v>9.6</v>
      </c>
      <c r="H22" s="10"/>
      <c r="I22" s="10">
        <f t="shared" si="5"/>
        <v>1251.260440335911</v>
      </c>
      <c r="J22" s="10">
        <f t="shared" si="3"/>
        <v>6564763987.5431004</v>
      </c>
      <c r="K22" s="11">
        <f t="shared" si="4"/>
        <v>0.13129120000000016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5082852.9827878568</v>
      </c>
      <c r="D23" s="11">
        <v>3.3599999999999998E-2</v>
      </c>
      <c r="E23" s="10">
        <f t="shared" si="2"/>
        <v>165232.06290796492</v>
      </c>
      <c r="F23" s="3"/>
      <c r="G23" s="29">
        <v>9.3000000000000007</v>
      </c>
      <c r="H23" s="10"/>
      <c r="I23" s="10">
        <f t="shared" si="5"/>
        <v>1141.6609857079479</v>
      </c>
      <c r="J23" s="10">
        <f t="shared" si="3"/>
        <v>5802894946.538168</v>
      </c>
      <c r="K23" s="11">
        <f t="shared" si="4"/>
        <v>0.1297248000000002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4917620.9198798919</v>
      </c>
      <c r="D24" s="11">
        <v>3.5299999999999998E-2</v>
      </c>
      <c r="E24" s="10">
        <f t="shared" si="2"/>
        <v>167673.15606274456</v>
      </c>
      <c r="F24" s="3"/>
      <c r="G24" s="29">
        <v>-12.6</v>
      </c>
      <c r="H24" s="10"/>
      <c r="I24" s="10">
        <f t="shared" si="5"/>
        <v>1044.5205724683879</v>
      </c>
      <c r="J24" s="10">
        <f t="shared" si="3"/>
        <v>5136556218.4154644</v>
      </c>
      <c r="K24" s="11">
        <f t="shared" si="4"/>
        <v>-9.5147800000000227E-2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4749947.7638171474</v>
      </c>
      <c r="D25" s="11">
        <v>3.73E-2</v>
      </c>
      <c r="E25" s="10">
        <f t="shared" si="2"/>
        <v>170802.13206437882</v>
      </c>
      <c r="F25" s="3"/>
      <c r="G25" s="29">
        <v>13.5</v>
      </c>
      <c r="H25" s="10"/>
      <c r="I25" s="10">
        <f t="shared" si="5"/>
        <v>1195.1036298265308</v>
      </c>
      <c r="J25" s="10">
        <f t="shared" si="3"/>
        <v>5676679814.0242853</v>
      </c>
      <c r="K25" s="11">
        <f t="shared" si="4"/>
        <v>0.17733550000000009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4579145.6317527685</v>
      </c>
      <c r="D26" s="11">
        <v>3.9399999999999998E-2</v>
      </c>
      <c r="E26" s="10">
        <f t="shared" si="2"/>
        <v>173579.31296041887</v>
      </c>
      <c r="F26" s="3"/>
      <c r="G26" s="29">
        <v>9.8000000000000007</v>
      </c>
      <c r="H26" s="10"/>
      <c r="I26" s="10">
        <f t="shared" si="5"/>
        <v>1052.9547399352693</v>
      </c>
      <c r="J26" s="10">
        <f t="shared" si="3"/>
        <v>4821633097.8079615</v>
      </c>
      <c r="K26" s="11">
        <f t="shared" si="4"/>
        <v>0.14126120000000042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4405566.3187923497</v>
      </c>
      <c r="D27" s="11">
        <v>4.1399999999999999E-2</v>
      </c>
      <c r="E27" s="10">
        <f t="shared" si="2"/>
        <v>175139.66352794692</v>
      </c>
      <c r="F27" s="3"/>
      <c r="G27" s="29">
        <v>12.7</v>
      </c>
      <c r="H27" s="10"/>
      <c r="I27" s="10">
        <f t="shared" si="5"/>
        <v>958.97517298294099</v>
      </c>
      <c r="J27" s="10">
        <f t="shared" si="3"/>
        <v>4224828722.6517119</v>
      </c>
      <c r="K27" s="11">
        <f t="shared" si="4"/>
        <v>0.1736578000000002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4230426.6552644027</v>
      </c>
      <c r="D28" s="11">
        <v>4.3200000000000002E-2</v>
      </c>
      <c r="E28" s="10">
        <f t="shared" si="2"/>
        <v>175186.37989591807</v>
      </c>
      <c r="F28" s="3"/>
      <c r="G28" s="29">
        <v>-1.9</v>
      </c>
      <c r="H28" s="10"/>
      <c r="I28" s="10">
        <f t="shared" si="5"/>
        <v>850.90964772221912</v>
      </c>
      <c r="J28" s="10">
        <f t="shared" si="3"/>
        <v>3599710854.9457188</v>
      </c>
      <c r="K28" s="11">
        <f t="shared" si="4"/>
        <v>2.3379199999999933E-2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4055240.2753684847</v>
      </c>
      <c r="D29" s="11">
        <v>4.4600000000000001E-2</v>
      </c>
      <c r="E29" s="10">
        <f t="shared" si="2"/>
        <v>173141.60088209296</v>
      </c>
      <c r="F29" s="3"/>
      <c r="G29" s="29">
        <v>1.7</v>
      </c>
      <c r="H29" s="10"/>
      <c r="I29" s="10">
        <f t="shared" si="5"/>
        <v>867.39005884018263</v>
      </c>
      <c r="J29" s="10">
        <f t="shared" si="3"/>
        <v>3517475101.0629482</v>
      </c>
      <c r="K29" s="11">
        <f t="shared" si="4"/>
        <v>6.2358199999999808E-2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3882098.6744863917</v>
      </c>
      <c r="D30" s="11">
        <v>4.53E-2</v>
      </c>
      <c r="E30" s="10">
        <f t="shared" si="2"/>
        <v>168237.89338394068</v>
      </c>
      <c r="F30" s="3"/>
      <c r="G30" s="29">
        <v>0.5</v>
      </c>
      <c r="H30" s="10"/>
      <c r="I30" s="10">
        <f t="shared" si="5"/>
        <v>852.89091331384736</v>
      </c>
      <c r="J30" s="10">
        <f t="shared" si="3"/>
        <v>3311006684.0571747</v>
      </c>
      <c r="K30" s="11">
        <f t="shared" si="4"/>
        <v>5.0526499999999697E-2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3713860.781102451</v>
      </c>
      <c r="D31" s="11">
        <v>4.48E-2</v>
      </c>
      <c r="E31" s="10">
        <f t="shared" si="2"/>
        <v>159246.7103688647</v>
      </c>
      <c r="F31" s="3"/>
      <c r="G31" s="29">
        <v>-8.1999999999999993</v>
      </c>
      <c r="H31" s="10"/>
      <c r="I31" s="10">
        <f t="shared" si="5"/>
        <v>848.64767493915167</v>
      </c>
      <c r="J31" s="10">
        <f t="shared" si="3"/>
        <v>3151759316.9302969</v>
      </c>
      <c r="K31" s="11">
        <f t="shared" si="4"/>
        <v>-4.0873599999999843E-2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3554614.0707335863</v>
      </c>
      <c r="D32" s="11">
        <v>4.2700000000000002E-2</v>
      </c>
      <c r="E32" s="10">
        <f t="shared" si="2"/>
        <v>145566.33818003628</v>
      </c>
      <c r="F32" s="3"/>
      <c r="G32" s="29">
        <v>2.6</v>
      </c>
      <c r="H32" s="10"/>
      <c r="I32" s="10">
        <f t="shared" si="5"/>
        <v>924.45280494460962</v>
      </c>
      <c r="J32" s="10">
        <f t="shared" si="3"/>
        <v>3286072948.1852407</v>
      </c>
      <c r="K32" s="11">
        <f t="shared" si="4"/>
        <v>6.9810200000000044E-2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3409047.73255355</v>
      </c>
      <c r="D33" s="11">
        <v>3.9699999999999999E-2</v>
      </c>
      <c r="E33" s="10">
        <f t="shared" si="2"/>
        <v>130171.39076885255</v>
      </c>
      <c r="F33" s="3"/>
      <c r="G33" s="29">
        <v>-9.1999999999999993</v>
      </c>
      <c r="H33" s="10"/>
      <c r="I33" s="10">
        <f t="shared" si="5"/>
        <v>901.02612567700737</v>
      </c>
      <c r="J33" s="10">
        <f t="shared" si="3"/>
        <v>3071641070.710712</v>
      </c>
      <c r="K33" s="11">
        <f t="shared" si="4"/>
        <v>-5.5952399999999902E-2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3278876.3417846975</v>
      </c>
      <c r="D34" s="11">
        <v>3.6600000000000001E-2</v>
      </c>
      <c r="E34" s="10">
        <f t="shared" si="2"/>
        <v>115769.70298024314</v>
      </c>
      <c r="F34" s="3"/>
      <c r="G34" s="29">
        <v>-6.6</v>
      </c>
      <c r="H34" s="10"/>
      <c r="I34" s="10">
        <f t="shared" si="5"/>
        <v>992.3195216707129</v>
      </c>
      <c r="J34" s="10">
        <f t="shared" ref="J34:J65" si="6">IF(I34="","",I34*C34)</f>
        <v>3253693003.097208</v>
      </c>
      <c r="K34" s="11">
        <f t="shared" ref="K34:K65" si="7">IFERROR(J34/J35-1,"")</f>
        <v>-1.8339800000000128E-2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3163106.6388044544</v>
      </c>
      <c r="D35" s="11">
        <v>3.3399999999999999E-2</v>
      </c>
      <c r="E35" s="10">
        <f t="shared" si="2"/>
        <v>102233.17373337457</v>
      </c>
      <c r="F35" s="3"/>
      <c r="G35" s="29">
        <v>-1.96</v>
      </c>
      <c r="H35" s="10"/>
      <c r="I35" s="10">
        <f t="shared" ref="I35:I66" si="8">IF(H35&lt;&gt;"",H35,I34/(1+IF(G34="",0,G34)/100))</f>
        <v>1047.8558834960011</v>
      </c>
      <c r="J35" s="10">
        <f t="shared" si="6"/>
        <v>3314479901.596508</v>
      </c>
      <c r="K35" s="11">
        <f t="shared" si="7"/>
        <v>4.1047160000000193E-2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3060873.4650710798</v>
      </c>
      <c r="D36" s="11">
        <v>3.0200000000000001E-2</v>
      </c>
      <c r="E36" s="10">
        <f t="shared" si="2"/>
        <v>89728.57566020824</v>
      </c>
      <c r="F36" s="3"/>
      <c r="G36" s="29">
        <v>-5.78</v>
      </c>
      <c r="H36" s="10"/>
      <c r="I36" s="10">
        <f t="shared" si="8"/>
        <v>1040.1587090490382</v>
      </c>
      <c r="J36" s="10">
        <f t="shared" si="6"/>
        <v>3183794191.9907908</v>
      </c>
      <c r="K36" s="11">
        <f t="shared" si="7"/>
        <v>2.0104040000000101E-2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2971144.8894108715</v>
      </c>
      <c r="D37" s="11">
        <v>2.7199999999999998E-2</v>
      </c>
      <c r="E37" s="10">
        <f t="shared" si="2"/>
        <v>78675.176199352834</v>
      </c>
      <c r="F37" s="3"/>
      <c r="G37" s="29">
        <v>-9.35</v>
      </c>
      <c r="H37" s="10"/>
      <c r="I37" s="10">
        <f t="shared" si="8"/>
        <v>1050.4531499182369</v>
      </c>
      <c r="J37" s="10">
        <f t="shared" si="6"/>
        <v>3121048507.9451218</v>
      </c>
      <c r="K37" s="11">
        <f t="shared" si="7"/>
        <v>-1.4401600000000236E-2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2892469.7132115187</v>
      </c>
      <c r="D38" s="11">
        <v>2.4500000000000001E-2</v>
      </c>
      <c r="E38" s="10">
        <f t="shared" si="2"/>
        <v>69170.822814721614</v>
      </c>
      <c r="F38" s="3"/>
      <c r="G38" s="29">
        <v>-5.41</v>
      </c>
      <c r="H38" s="10"/>
      <c r="I38" s="10">
        <f t="shared" si="8"/>
        <v>1094.7922354541292</v>
      </c>
      <c r="J38" s="10">
        <f t="shared" si="6"/>
        <v>3166653383.3102026</v>
      </c>
      <c r="K38" s="11">
        <f t="shared" si="7"/>
        <v>6.9810500000000442E-3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2823298.8903967971</v>
      </c>
      <c r="D39" s="11">
        <v>2.24E-2</v>
      </c>
      <c r="E39" s="10">
        <f t="shared" si="2"/>
        <v>61856.313717613462</v>
      </c>
      <c r="F39" s="3"/>
      <c r="G39" s="29">
        <v>1.74</v>
      </c>
      <c r="H39" s="10"/>
      <c r="I39" s="10">
        <f t="shared" si="8"/>
        <v>1113.8388803073856</v>
      </c>
      <c r="J39" s="10">
        <f t="shared" si="6"/>
        <v>3144700074.8526525</v>
      </c>
      <c r="K39" s="11">
        <f t="shared" si="7"/>
        <v>4.0189759999999852E-2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2761442.5766791836</v>
      </c>
      <c r="D40" s="11">
        <v>2.1499999999999998E-2</v>
      </c>
      <c r="E40" s="10">
        <f t="shared" si="2"/>
        <v>58121.405187080614</v>
      </c>
      <c r="F40" s="3"/>
      <c r="G40" s="29">
        <v>-3.12</v>
      </c>
      <c r="H40" s="10"/>
      <c r="I40" s="10">
        <f t="shared" si="8"/>
        <v>1094.7895422718552</v>
      </c>
      <c r="J40" s="10">
        <f t="shared" si="6"/>
        <v>3023198454.5326161</v>
      </c>
      <c r="K40" s="11">
        <f t="shared" si="7"/>
        <v>-1.0370799999999791E-2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2703321.171492103</v>
      </c>
      <c r="D41" s="11">
        <v>2.1399999999999999E-2</v>
      </c>
      <c r="E41" s="10">
        <f t="shared" si="2"/>
        <v>56638.998501988593</v>
      </c>
      <c r="F41" s="3"/>
      <c r="G41" s="29">
        <v>0.32</v>
      </c>
      <c r="H41" s="10"/>
      <c r="I41" s="10">
        <f t="shared" si="8"/>
        <v>1130.0470089511305</v>
      </c>
      <c r="J41" s="10">
        <f t="shared" si="6"/>
        <v>3054880004.078917</v>
      </c>
      <c r="K41" s="11">
        <f t="shared" si="7"/>
        <v>2.4668480000000104E-2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2646682.1729901144</v>
      </c>
      <c r="D42" s="11">
        <v>2.1899999999999999E-2</v>
      </c>
      <c r="E42" s="10">
        <f t="shared" si="2"/>
        <v>56720.167911227793</v>
      </c>
      <c r="F42" s="3"/>
      <c r="G42" s="29">
        <v>-2.5099999999999998</v>
      </c>
      <c r="H42" s="10"/>
      <c r="I42" s="10">
        <f t="shared" si="8"/>
        <v>1126.442393292594</v>
      </c>
      <c r="J42" s="10">
        <f t="shared" si="6"/>
        <v>2981335001.227828</v>
      </c>
      <c r="K42" s="11">
        <f t="shared" si="7"/>
        <v>-3.7496899999999167E-3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2589962.0050788866</v>
      </c>
      <c r="D43" s="11">
        <v>2.18E-2</v>
      </c>
      <c r="E43" s="10">
        <f t="shared" si="2"/>
        <v>55256.578303699382</v>
      </c>
      <c r="F43" s="3"/>
      <c r="G43" s="29">
        <v>1.63</v>
      </c>
      <c r="H43" s="10"/>
      <c r="I43" s="10">
        <f t="shared" si="8"/>
        <v>1155.4440386630363</v>
      </c>
      <c r="J43" s="10">
        <f t="shared" si="6"/>
        <v>2992556159.132164</v>
      </c>
      <c r="K43" s="11">
        <f t="shared" si="7"/>
        <v>3.845534000000006E-2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2534705.4267751873</v>
      </c>
      <c r="D44" s="11">
        <v>2.0199999999999999E-2</v>
      </c>
      <c r="E44" s="10">
        <f t="shared" si="2"/>
        <v>50187.266830875073</v>
      </c>
      <c r="F44" s="3"/>
      <c r="G44" s="29">
        <v>0.78</v>
      </c>
      <c r="H44" s="10"/>
      <c r="I44" s="10">
        <f t="shared" si="8"/>
        <v>1136.9123670796382</v>
      </c>
      <c r="J44" s="10">
        <f t="shared" si="6"/>
        <v>2881737946.6045828</v>
      </c>
      <c r="K44" s="11">
        <f t="shared" si="7"/>
        <v>2.8157560000000137E-2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2484518.1599443122</v>
      </c>
      <c r="D45" s="11">
        <v>1.7399999999999999E-2</v>
      </c>
      <c r="E45" s="10">
        <f t="shared" si="2"/>
        <v>42491.26792120235</v>
      </c>
      <c r="F45" s="3"/>
      <c r="G45" s="29">
        <v>1.79</v>
      </c>
      <c r="H45" s="10"/>
      <c r="I45" s="10">
        <f t="shared" si="8"/>
        <v>1128.1130850165093</v>
      </c>
      <c r="J45" s="10">
        <f t="shared" si="6"/>
        <v>2802817446.1943192</v>
      </c>
      <c r="K45" s="11">
        <f t="shared" si="7"/>
        <v>3.561146000000015E-2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2442026.8920231098</v>
      </c>
      <c r="D46" s="11">
        <v>1.47E-2</v>
      </c>
      <c r="E46" s="10">
        <f t="shared" si="2"/>
        <v>35377.742498018779</v>
      </c>
      <c r="F46" s="3"/>
      <c r="G46" s="29">
        <v>-0.93</v>
      </c>
      <c r="H46" s="10"/>
      <c r="I46" s="10">
        <f t="shared" si="8"/>
        <v>1108.2749631756649</v>
      </c>
      <c r="J46" s="10">
        <f t="shared" si="6"/>
        <v>2706437263.8308954</v>
      </c>
      <c r="K46" s="11">
        <f t="shared" si="7"/>
        <v>5.2632900000002536E-3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2406649.1495250911</v>
      </c>
      <c r="D47" s="11">
        <v>1.2999999999999999E-2</v>
      </c>
      <c r="E47" s="10">
        <f t="shared" si="2"/>
        <v>30884.93479153607</v>
      </c>
      <c r="F47" s="3"/>
      <c r="G47" s="29">
        <v>0.77</v>
      </c>
      <c r="H47" s="10"/>
      <c r="I47" s="10">
        <f t="shared" si="8"/>
        <v>1118.6786748517864</v>
      </c>
      <c r="J47" s="10">
        <f t="shared" si="6"/>
        <v>2692267081.4239073</v>
      </c>
      <c r="K47" s="11">
        <f t="shared" si="7"/>
        <v>2.0800099999999766E-2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2375764.214733555</v>
      </c>
      <c r="D48" s="11">
        <v>1.2699999999999999E-2</v>
      </c>
      <c r="E48" s="10">
        <f t="shared" si="2"/>
        <v>29793.823962788563</v>
      </c>
      <c r="F48" s="3"/>
      <c r="G48" s="29">
        <v>1.94</v>
      </c>
      <c r="H48" s="10"/>
      <c r="I48" s="10">
        <f t="shared" si="8"/>
        <v>1110.130668702775</v>
      </c>
      <c r="J48" s="10">
        <f t="shared" si="6"/>
        <v>2637408716.3822846</v>
      </c>
      <c r="K48" s="11">
        <f t="shared" si="7"/>
        <v>3.2346380000000119E-2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2345970.3907707664</v>
      </c>
      <c r="D49" s="11">
        <v>1.2800000000000001E-2</v>
      </c>
      <c r="E49" s="10">
        <f t="shared" si="2"/>
        <v>29648.914891257416</v>
      </c>
      <c r="F49" s="3"/>
      <c r="G49" s="29">
        <v>3.82</v>
      </c>
      <c r="H49" s="10"/>
      <c r="I49" s="10">
        <f t="shared" si="8"/>
        <v>1089.0039912720963</v>
      </c>
      <c r="J49" s="10">
        <f t="shared" si="6"/>
        <v>2554771118.955524</v>
      </c>
      <c r="K49" s="11">
        <f t="shared" si="7"/>
        <v>5.1488959999999917E-2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2316321.475879509</v>
      </c>
      <c r="D50" s="11">
        <v>1.3100000000000001E-2</v>
      </c>
      <c r="E50" s="10">
        <f t="shared" si="2"/>
        <v>29951.447373429779</v>
      </c>
      <c r="F50" s="3"/>
      <c r="G50" s="29">
        <v>3.91</v>
      </c>
      <c r="H50" s="10"/>
      <c r="I50" s="10">
        <f t="shared" si="8"/>
        <v>1048.934686257076</v>
      </c>
      <c r="J50" s="10">
        <f t="shared" si="6"/>
        <v>2429669940.5721998</v>
      </c>
      <c r="K50" s="11">
        <f t="shared" si="7"/>
        <v>5.2712209999999926E-2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2286370.0285060792</v>
      </c>
      <c r="D51" s="11">
        <v>1.3299999999999999E-2</v>
      </c>
      <c r="E51" s="10">
        <f t="shared" si="2"/>
        <v>30009.593781832606</v>
      </c>
      <c r="F51" s="3"/>
      <c r="G51" s="29">
        <v>-3.35</v>
      </c>
      <c r="H51" s="10"/>
      <c r="I51" s="10">
        <f t="shared" si="8"/>
        <v>1009.4646196295603</v>
      </c>
      <c r="J51" s="10">
        <f t="shared" si="6"/>
        <v>2308009651.1583161</v>
      </c>
      <c r="K51" s="11">
        <f t="shared" si="7"/>
        <v>-2.0645550000000013E-2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2256360.4347242466</v>
      </c>
      <c r="D52" s="11">
        <v>1.3299999999999999E-2</v>
      </c>
      <c r="E52" s="10">
        <f t="shared" si="2"/>
        <v>29615.704906575382</v>
      </c>
      <c r="F52" s="3"/>
      <c r="G52" s="29">
        <v>6.13</v>
      </c>
      <c r="H52" s="10"/>
      <c r="I52" s="10">
        <f t="shared" si="8"/>
        <v>1044.4538226896641</v>
      </c>
      <c r="J52" s="10">
        <f t="shared" si="6"/>
        <v>2356664281.4134517</v>
      </c>
      <c r="K52" s="11">
        <f t="shared" si="7"/>
        <v>7.5415290000000246E-2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2226744.7298176712</v>
      </c>
      <c r="D53" s="11">
        <v>1.32E-2</v>
      </c>
      <c r="E53" s="10">
        <f t="shared" si="2"/>
        <v>29010.097151197493</v>
      </c>
      <c r="F53" s="3"/>
      <c r="G53" s="29">
        <v>6.65</v>
      </c>
      <c r="H53" s="10"/>
      <c r="I53" s="10">
        <f t="shared" si="8"/>
        <v>984.12684697037992</v>
      </c>
      <c r="J53" s="10">
        <f t="shared" si="6"/>
        <v>2191399269.9633751</v>
      </c>
      <c r="K53" s="11">
        <f t="shared" si="7"/>
        <v>8.0577799999999922E-2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2197734.6326664737</v>
      </c>
      <c r="D54" s="11">
        <v>1.2999999999999999E-2</v>
      </c>
      <c r="E54" s="10">
        <f t="shared" si="2"/>
        <v>28203.899530764204</v>
      </c>
      <c r="F54" s="3"/>
      <c r="G54" s="29">
        <v>6.8</v>
      </c>
      <c r="H54" s="10"/>
      <c r="I54" s="10">
        <f t="shared" si="8"/>
        <v>922.76310076922641</v>
      </c>
      <c r="J54" s="10">
        <f t="shared" si="6"/>
        <v>2027988424.3072321</v>
      </c>
      <c r="K54" s="11">
        <f t="shared" si="7"/>
        <v>8.1884000000000068E-2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2169530.7331357095</v>
      </c>
      <c r="D55" s="11">
        <v>1.2699999999999999E-2</v>
      </c>
      <c r="E55" s="10">
        <f t="shared" si="2"/>
        <v>27207.504997356795</v>
      </c>
      <c r="F55" s="3"/>
      <c r="G55" s="29">
        <v>7.06</v>
      </c>
      <c r="H55" s="10"/>
      <c r="I55" s="10">
        <f t="shared" si="8"/>
        <v>864.01039397867635</v>
      </c>
      <c r="J55" s="10">
        <f t="shared" si="6"/>
        <v>1874497103.485431</v>
      </c>
      <c r="K55" s="11">
        <f t="shared" si="7"/>
        <v>8.4196619999999944E-2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2142323.2281383527</v>
      </c>
      <c r="D56" s="11">
        <v>1.2500000000000001E-2</v>
      </c>
      <c r="E56" s="10">
        <f t="shared" si="2"/>
        <v>26448.434915288351</v>
      </c>
      <c r="F56" s="3"/>
      <c r="G56" s="29">
        <v>6.51</v>
      </c>
      <c r="H56" s="10"/>
      <c r="I56" s="10">
        <f t="shared" si="8"/>
        <v>807.03380719099232</v>
      </c>
      <c r="J56" s="10">
        <f t="shared" si="6"/>
        <v>1728927271.0381916</v>
      </c>
      <c r="K56" s="11">
        <f t="shared" si="7"/>
        <v>7.8413749999999949E-2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2115874.7932230644</v>
      </c>
      <c r="D57" s="11">
        <v>1.2200000000000001E-2</v>
      </c>
      <c r="E57" s="10">
        <f t="shared" si="2"/>
        <v>25502.541471370729</v>
      </c>
      <c r="F57" s="3"/>
      <c r="G57" s="29">
        <v>5.24</v>
      </c>
      <c r="H57" s="10"/>
      <c r="I57" s="10">
        <f t="shared" si="8"/>
        <v>757.70707651017972</v>
      </c>
      <c r="J57" s="10">
        <f t="shared" si="6"/>
        <v>1603213303.8346291</v>
      </c>
      <c r="K57" s="11">
        <f t="shared" si="7"/>
        <v>6.52392799999999E-2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2090372.2517516937</v>
      </c>
      <c r="D58" s="11">
        <v>1.1900000000000001E-2</v>
      </c>
      <c r="E58" s="10">
        <f t="shared" si="2"/>
        <v>24582.893364804098</v>
      </c>
      <c r="F58" s="3"/>
      <c r="G58" s="29">
        <v>5.87</v>
      </c>
      <c r="H58" s="10"/>
      <c r="I58" s="10">
        <f t="shared" si="8"/>
        <v>719.98011831069914</v>
      </c>
      <c r="J58" s="10">
        <f t="shared" si="6"/>
        <v>1505026461.1295869</v>
      </c>
      <c r="K58" s="11">
        <f t="shared" si="7"/>
        <v>7.1298530000000193E-2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2065789.3583868896</v>
      </c>
      <c r="D59" s="11">
        <v>1.15E-2</v>
      </c>
      <c r="E59" s="10">
        <f t="shared" si="2"/>
        <v>23486.483066188172</v>
      </c>
      <c r="F59" s="3"/>
      <c r="G59" s="29">
        <v>3.82</v>
      </c>
      <c r="H59" s="10"/>
      <c r="I59" s="10">
        <f t="shared" si="8"/>
        <v>680.06056324803922</v>
      </c>
      <c r="J59" s="10">
        <f t="shared" si="6"/>
        <v>1404861874.6163936</v>
      </c>
      <c r="K59" s="11">
        <f t="shared" si="7"/>
        <v>5.0139300000000109E-2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2042302.8753207014</v>
      </c>
      <c r="D60" s="11">
        <v>1.0999999999999999E-2</v>
      </c>
      <c r="E60" s="10">
        <f t="shared" si="2"/>
        <v>22220.901709720492</v>
      </c>
      <c r="F60" s="3"/>
      <c r="G60" s="29">
        <v>4.59</v>
      </c>
      <c r="H60" s="10"/>
      <c r="I60" s="10">
        <f t="shared" si="8"/>
        <v>655.03810754001074</v>
      </c>
      <c r="J60" s="10">
        <f t="shared" si="6"/>
        <v>1337786210.4735947</v>
      </c>
      <c r="K60" s="11">
        <f t="shared" si="7"/>
        <v>5.7404899999999648E-2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2020081.9736109809</v>
      </c>
      <c r="D61" s="11">
        <v>1.0500000000000001E-2</v>
      </c>
      <c r="E61" s="10">
        <f t="shared" si="2"/>
        <v>20990.460883636959</v>
      </c>
      <c r="F61" s="3"/>
      <c r="G61" s="29">
        <v>-8.4</v>
      </c>
      <c r="H61" s="10"/>
      <c r="I61" s="10">
        <f t="shared" si="8"/>
        <v>626.29133525194641</v>
      </c>
      <c r="J61" s="10">
        <f t="shared" si="6"/>
        <v>1265159836.5712085</v>
      </c>
      <c r="K61" s="11">
        <f t="shared" si="7"/>
        <v>-7.4381999999999948E-2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1999091.5127273439</v>
      </c>
      <c r="D62" s="11">
        <v>0.01</v>
      </c>
      <c r="E62" s="10">
        <f t="shared" si="2"/>
        <v>19792.985274528153</v>
      </c>
      <c r="F62" s="3"/>
      <c r="G62" s="29">
        <v>3.79</v>
      </c>
      <c r="H62" s="10"/>
      <c r="I62" s="10">
        <f t="shared" si="8"/>
        <v>683.72416512221218</v>
      </c>
      <c r="J62" s="10">
        <f t="shared" si="6"/>
        <v>1366827175.5424035</v>
      </c>
      <c r="K62" s="11">
        <f t="shared" si="7"/>
        <v>4.8279000000000183E-2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1979298.5274528158</v>
      </c>
      <c r="D63" s="11">
        <v>9.5999999999999992E-3</v>
      </c>
      <c r="E63" s="10">
        <f t="shared" si="2"/>
        <v>18820.588216667064</v>
      </c>
      <c r="F63" s="3"/>
      <c r="G63" s="29">
        <v>-14.12</v>
      </c>
      <c r="H63" s="10"/>
      <c r="I63" s="10">
        <f t="shared" si="8"/>
        <v>658.75726478679269</v>
      </c>
      <c r="J63" s="10">
        <f t="shared" si="6"/>
        <v>1303877284.1413434</v>
      </c>
      <c r="K63" s="11">
        <f t="shared" si="7"/>
        <v>-0.1329555200000001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1960477.9392361487</v>
      </c>
      <c r="D64" s="11">
        <v>9.1999999999999998E-3</v>
      </c>
      <c r="E64" s="10">
        <f t="shared" si="2"/>
        <v>17871.974872149061</v>
      </c>
      <c r="F64" s="3"/>
      <c r="G64" s="29">
        <v>5.21</v>
      </c>
      <c r="H64" s="10"/>
      <c r="I64" s="10">
        <f t="shared" si="8"/>
        <v>767.06714576943727</v>
      </c>
      <c r="J64" s="10">
        <f t="shared" si="6"/>
        <v>1503818217.193821</v>
      </c>
      <c r="K64" s="11">
        <f t="shared" si="7"/>
        <v>6.1779320000000082E-2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1942605.9643639997</v>
      </c>
      <c r="D65" s="11">
        <v>8.8000000000000005E-3</v>
      </c>
      <c r="E65" s="10">
        <f t="shared" si="2"/>
        <v>16945.80936399987</v>
      </c>
      <c r="F65" s="3"/>
      <c r="G65" s="29">
        <v>2.9</v>
      </c>
      <c r="H65" s="10"/>
      <c r="I65" s="10">
        <f t="shared" si="8"/>
        <v>729.08197487827897</v>
      </c>
      <c r="J65" s="10">
        <f t="shared" si="6"/>
        <v>1416318992.9088285</v>
      </c>
      <c r="K65" s="11">
        <f t="shared" si="7"/>
        <v>3.8055199999999845E-2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1925660.1549999998</v>
      </c>
      <c r="D66" s="11">
        <v>8.5000000000000006E-3</v>
      </c>
      <c r="E66" s="10">
        <f t="shared" si="2"/>
        <v>16230.154999999795</v>
      </c>
      <c r="F66" s="23">
        <f>SUM(F2)</f>
        <v>9819273</v>
      </c>
      <c r="G66" s="29">
        <v>1.82</v>
      </c>
      <c r="H66" s="10"/>
      <c r="I66" s="10">
        <f t="shared" si="8"/>
        <v>708.53447510036835</v>
      </c>
      <c r="J66" s="10">
        <f t="shared" ref="J66:J67" si="9">IF(I66="","",I66*C66)</f>
        <v>1364396607.1446187</v>
      </c>
      <c r="K66" s="11">
        <f t="shared" ref="K66" si="10">IFERROR(J66/J67-1,"")</f>
        <v>2.6854699999999898E-2</v>
      </c>
    </row>
    <row r="67" spans="1:11" ht="22.5" customHeight="1">
      <c r="A67" s="3">
        <f t="shared" si="0"/>
        <v>1950</v>
      </c>
      <c r="B67" s="3">
        <v>1700</v>
      </c>
      <c r="C67" s="10">
        <v>1909430</v>
      </c>
      <c r="D67" s="11">
        <v>8.2000000000000007E-3</v>
      </c>
      <c r="E67" s="3" t="s">
        <v>72</v>
      </c>
      <c r="F67" s="10">
        <f>SUM(C2)</f>
        <v>9819152.0528906826</v>
      </c>
      <c r="G67" s="29">
        <v>-1.48</v>
      </c>
      <c r="H67" s="10"/>
      <c r="I67" s="10">
        <f t="shared" ref="I67" si="11">IF(H67&lt;&gt;"",H67,I66/(1+IF(G66="",0,G66)/100))</f>
        <v>695.86964751558469</v>
      </c>
      <c r="J67" s="10">
        <f t="shared" si="9"/>
        <v>1328714381.0556829</v>
      </c>
      <c r="K67" s="11"/>
    </row>
    <row r="68" spans="1:11" ht="15.75" customHeight="1">
      <c r="G68" s="10"/>
    </row>
    <row r="69" spans="1:11" ht="15.75" customHeight="1">
      <c r="G69" s="10"/>
    </row>
    <row r="70" spans="1:11" ht="15.75" customHeight="1">
      <c r="G70" s="10"/>
    </row>
    <row r="71" spans="1:11" ht="15.75" customHeight="1">
      <c r="G71" s="10"/>
    </row>
    <row r="72" spans="1:11" ht="15.75" customHeight="1">
      <c r="G72" s="10"/>
    </row>
    <row r="73" spans="1:11" ht="15.75" customHeight="1">
      <c r="G73" s="10"/>
    </row>
    <row r="74" spans="1:11" ht="15.75" customHeight="1">
      <c r="G74" s="10"/>
    </row>
    <row r="75" spans="1:11" ht="15.75" customHeight="1">
      <c r="G75" s="10"/>
    </row>
    <row r="76" spans="1:11" ht="15.75" customHeight="1">
      <c r="G76" s="10"/>
    </row>
    <row r="77" spans="1:11" ht="15.75" customHeight="1">
      <c r="G77" s="10"/>
    </row>
    <row r="78" spans="1:11" ht="15.75" customHeight="1">
      <c r="G78" s="10"/>
    </row>
    <row r="79" spans="1:11" ht="15.75" customHeight="1">
      <c r="G79" s="10"/>
    </row>
    <row r="80" spans="1:11" ht="15.75" customHeight="1">
      <c r="G80" s="10"/>
    </row>
    <row r="81" spans="7:7" ht="15.75" customHeight="1">
      <c r="G81" s="10"/>
    </row>
    <row r="82" spans="7:7" ht="15.75" customHeight="1">
      <c r="G82" s="10"/>
    </row>
    <row r="83" spans="7:7" ht="15.75" customHeight="1">
      <c r="G83" s="10"/>
    </row>
    <row r="84" spans="7:7" ht="15.75" customHeight="1">
      <c r="G84" s="10"/>
    </row>
    <row r="85" spans="7:7" ht="15.75" customHeight="1">
      <c r="G85" s="10"/>
    </row>
    <row r="86" spans="7:7" ht="15.75" customHeight="1">
      <c r="G86" s="10"/>
    </row>
    <row r="87" spans="7:7" ht="15.75" customHeight="1">
      <c r="G87" s="10"/>
    </row>
  </sheetData>
  <dataValidations count="1">
    <dataValidation type="custom" allowBlank="1" showDropDown="1" sqref="D2:D67" xr:uid="{00000000-0002-0000-AB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M67"/>
  <sheetViews>
    <sheetView workbookViewId="0">
      <selection activeCell="H8" sqref="H8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7354498.7064310331</v>
      </c>
      <c r="D2" s="11">
        <v>1.6199999999999999E-2</v>
      </c>
      <c r="E2" s="10">
        <f t="shared" ref="E2:E66" si="2">SUM(C2-C3)</f>
        <v>117243.53379667643</v>
      </c>
      <c r="F2" s="14">
        <v>7354910</v>
      </c>
      <c r="G2" s="29">
        <v>4.0599999999999996</v>
      </c>
      <c r="H2" s="10"/>
      <c r="I2" s="10">
        <f>IF(H2&lt;&gt;"",H2,2824)</f>
        <v>353</v>
      </c>
      <c r="J2" s="10">
        <f t="shared" ref="J2:J33" si="3">IF(I2="","",I2*C2)</f>
        <v>2596138043.3701549</v>
      </c>
      <c r="K2" s="11">
        <f t="shared" ref="K2:K33" si="4">IFERROR(J2/J3-1,"")</f>
        <v>5.7457720000000156E-2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7237255.1726343567</v>
      </c>
      <c r="D3" s="11">
        <v>1.9099999999999999E-2</v>
      </c>
      <c r="E3" s="10">
        <f t="shared" si="2"/>
        <v>135640.83387039136</v>
      </c>
      <c r="F3" s="3"/>
      <c r="G3" s="29">
        <v>-1.41</v>
      </c>
      <c r="H3" s="10"/>
      <c r="I3" s="10">
        <f t="shared" ref="I3:I34" si="5">IF(H3&lt;&gt;"",H3,I2/(1+IF(G2="",0,G2)/100))</f>
        <v>339.2273688256775</v>
      </c>
      <c r="J3" s="10">
        <f t="shared" si="3"/>
        <v>2455075029.7327771</v>
      </c>
      <c r="K3" s="11">
        <f t="shared" si="4"/>
        <v>4.7306899999999263E-3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7101614.3387639653</v>
      </c>
      <c r="D4" s="11">
        <v>2.24E-2</v>
      </c>
      <c r="E4" s="10">
        <f t="shared" si="2"/>
        <v>155590.9244799614</v>
      </c>
      <c r="F4" s="3"/>
      <c r="G4" s="29">
        <v>2.87</v>
      </c>
      <c r="H4" s="10"/>
      <c r="I4" s="10">
        <f t="shared" si="5"/>
        <v>344.0788810484608</v>
      </c>
      <c r="J4" s="10">
        <f t="shared" si="3"/>
        <v>2443515515.3196101</v>
      </c>
      <c r="K4" s="11">
        <f t="shared" si="4"/>
        <v>5.1742879999999936E-2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6946023.4142840039</v>
      </c>
      <c r="D5" s="11">
        <v>2.5000000000000001E-2</v>
      </c>
      <c r="E5" s="10">
        <f t="shared" si="2"/>
        <v>169415.20522643812</v>
      </c>
      <c r="F5" s="3"/>
      <c r="G5" s="29">
        <v>5.24</v>
      </c>
      <c r="H5" s="10"/>
      <c r="I5" s="10">
        <f t="shared" si="5"/>
        <v>334.47932443711562</v>
      </c>
      <c r="J5" s="10">
        <f t="shared" si="3"/>
        <v>2323301219.1341009</v>
      </c>
      <c r="K5" s="11">
        <f t="shared" si="4"/>
        <v>7.8709999999999614E-2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6776608.2090575658</v>
      </c>
      <c r="D6" s="11">
        <v>2.7400000000000001E-2</v>
      </c>
      <c r="E6" s="10">
        <f t="shared" si="2"/>
        <v>180727.14125771634</v>
      </c>
      <c r="F6" s="3"/>
      <c r="G6" s="29">
        <v>-8.1300000000000008</v>
      </c>
      <c r="H6" s="10"/>
      <c r="I6" s="10">
        <f t="shared" si="5"/>
        <v>317.82527977681076</v>
      </c>
      <c r="J6" s="10">
        <f t="shared" si="3"/>
        <v>2153777399.9815536</v>
      </c>
      <c r="K6" s="11">
        <f t="shared" si="4"/>
        <v>-5.6127619999999823E-2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6595881.0677998494</v>
      </c>
      <c r="D7" s="11">
        <v>2.87E-2</v>
      </c>
      <c r="E7" s="10">
        <f t="shared" si="2"/>
        <v>184020.40113332868</v>
      </c>
      <c r="F7" s="3"/>
      <c r="G7" s="29">
        <v>5.91</v>
      </c>
      <c r="H7" s="10"/>
      <c r="I7" s="10">
        <f t="shared" si="5"/>
        <v>345.95110457909084</v>
      </c>
      <c r="J7" s="10">
        <f t="shared" si="3"/>
        <v>2281852341.0776711</v>
      </c>
      <c r="K7" s="11">
        <f t="shared" si="4"/>
        <v>8.9496169999999653E-2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6411860.6666665208</v>
      </c>
      <c r="D8" s="11">
        <v>2.8400000000000002E-2</v>
      </c>
      <c r="E8" s="10">
        <f t="shared" si="2"/>
        <v>177068.108647733</v>
      </c>
      <c r="F8" s="3"/>
      <c r="G8" s="29">
        <v>6.67</v>
      </c>
      <c r="H8" s="10"/>
      <c r="I8" s="10">
        <f t="shared" si="5"/>
        <v>326.64630778877432</v>
      </c>
      <c r="J8" s="10">
        <f t="shared" si="3"/>
        <v>2094410612.8226881</v>
      </c>
      <c r="K8" s="11">
        <f t="shared" si="4"/>
        <v>9.6994279999999877E-2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6234792.5580187878</v>
      </c>
      <c r="D9" s="11">
        <v>2.7400000000000001E-2</v>
      </c>
      <c r="E9" s="10">
        <f t="shared" si="2"/>
        <v>166277.31758780964</v>
      </c>
      <c r="F9" s="3"/>
      <c r="G9" s="29">
        <v>6.26</v>
      </c>
      <c r="H9" s="10"/>
      <c r="I9" s="10">
        <f t="shared" si="5"/>
        <v>306.22134413497173</v>
      </c>
      <c r="J9" s="10">
        <f t="shared" si="3"/>
        <v>1909226557.5192318</v>
      </c>
      <c r="K9" s="11">
        <f t="shared" si="4"/>
        <v>9.1715240000000309E-2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6068515.2404309781</v>
      </c>
      <c r="D10" s="11">
        <v>2.6800000000000001E-2</v>
      </c>
      <c r="E10" s="10">
        <f t="shared" si="2"/>
        <v>158391.32103968598</v>
      </c>
      <c r="F10" s="3"/>
      <c r="G10" s="29">
        <v>3.04</v>
      </c>
      <c r="H10" s="10"/>
      <c r="I10" s="10">
        <f t="shared" si="5"/>
        <v>288.18120095517759</v>
      </c>
      <c r="J10" s="10">
        <f t="shared" si="3"/>
        <v>1748832010.0021975</v>
      </c>
      <c r="K10" s="11">
        <f t="shared" si="4"/>
        <v>5.8014719999999853E-2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5910123.9193912921</v>
      </c>
      <c r="D11" s="11">
        <v>2.6800000000000001E-2</v>
      </c>
      <c r="E11" s="10">
        <f t="shared" si="2"/>
        <v>154257.22734679189</v>
      </c>
      <c r="F11" s="3"/>
      <c r="G11" s="29">
        <v>-0.56000000000000005</v>
      </c>
      <c r="H11" s="10"/>
      <c r="I11" s="10">
        <f t="shared" si="5"/>
        <v>279.67896055432607</v>
      </c>
      <c r="J11" s="10">
        <f t="shared" si="3"/>
        <v>1652937314.5226161</v>
      </c>
      <c r="K11" s="11">
        <f t="shared" si="4"/>
        <v>2.1049919999999833E-2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5755866.6920445003</v>
      </c>
      <c r="D12" s="11">
        <v>2.75E-2</v>
      </c>
      <c r="E12" s="10">
        <f t="shared" si="2"/>
        <v>154049.96012771223</v>
      </c>
      <c r="F12" s="3"/>
      <c r="G12" s="29">
        <v>-2.35</v>
      </c>
      <c r="H12" s="10"/>
      <c r="I12" s="10">
        <f t="shared" si="5"/>
        <v>281.25398285833273</v>
      </c>
      <c r="J12" s="10">
        <f t="shared" si="3"/>
        <v>1618860431.9391322</v>
      </c>
      <c r="K12" s="11">
        <f t="shared" si="4"/>
        <v>3.3537500000002662E-3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5601816.731916788</v>
      </c>
      <c r="D13" s="11">
        <v>2.86E-2</v>
      </c>
      <c r="E13" s="10">
        <f t="shared" si="2"/>
        <v>155757.29975969251</v>
      </c>
      <c r="F13" s="3"/>
      <c r="G13" s="29">
        <v>7.05</v>
      </c>
      <c r="H13" s="10"/>
      <c r="I13" s="10">
        <f t="shared" si="5"/>
        <v>288.0225118876935</v>
      </c>
      <c r="J13" s="10">
        <f t="shared" si="3"/>
        <v>1613449326.2611835</v>
      </c>
      <c r="K13" s="11">
        <f t="shared" si="4"/>
        <v>0.10111629999999994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5446059.4321570955</v>
      </c>
      <c r="D14" s="11">
        <v>3.0200000000000001E-2</v>
      </c>
      <c r="E14" s="10">
        <f t="shared" si="2"/>
        <v>159649.57760740072</v>
      </c>
      <c r="F14" s="3"/>
      <c r="G14" s="29">
        <v>6.87</v>
      </c>
      <c r="H14" s="10"/>
      <c r="I14" s="10">
        <f t="shared" si="5"/>
        <v>269.05419139438908</v>
      </c>
      <c r="J14" s="10">
        <f t="shared" si="3"/>
        <v>1465285116.8048131</v>
      </c>
      <c r="K14" s="11">
        <f t="shared" si="4"/>
        <v>0.10097474000000006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5286409.8545496948</v>
      </c>
      <c r="D15" s="11">
        <v>3.2099999999999997E-2</v>
      </c>
      <c r="E15" s="10">
        <f t="shared" si="2"/>
        <v>164416.00264610536</v>
      </c>
      <c r="F15" s="3"/>
      <c r="G15" s="29">
        <v>-3.25</v>
      </c>
      <c r="H15" s="10"/>
      <c r="I15" s="10">
        <f t="shared" si="5"/>
        <v>251.7583900012998</v>
      </c>
      <c r="J15" s="10">
        <f t="shared" si="3"/>
        <v>1330898033.8684366</v>
      </c>
      <c r="K15" s="11">
        <f t="shared" si="4"/>
        <v>-1.443250000000007E-3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5121993.8519035894</v>
      </c>
      <c r="D16" s="11">
        <v>3.4000000000000002E-2</v>
      </c>
      <c r="E16" s="10">
        <f t="shared" si="2"/>
        <v>168421.46128116269</v>
      </c>
      <c r="F16" s="3"/>
      <c r="G16" s="29">
        <v>5.8</v>
      </c>
      <c r="H16" s="10"/>
      <c r="I16" s="10">
        <f t="shared" si="5"/>
        <v>260.215390182222</v>
      </c>
      <c r="J16" s="10">
        <f t="shared" si="3"/>
        <v>1332821628.6840348</v>
      </c>
      <c r="K16" s="11">
        <f t="shared" si="4"/>
        <v>9.3972000000000167E-2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4953572.3906224268</v>
      </c>
      <c r="D17" s="11">
        <v>3.5400000000000001E-2</v>
      </c>
      <c r="E17" s="10">
        <f t="shared" si="2"/>
        <v>169361.08038249426</v>
      </c>
      <c r="F17" s="3"/>
      <c r="G17" s="29">
        <v>5.5</v>
      </c>
      <c r="H17" s="10"/>
      <c r="I17" s="10">
        <f t="shared" si="5"/>
        <v>245.95027427431188</v>
      </c>
      <c r="J17" s="10">
        <f t="shared" si="3"/>
        <v>1218332488.1112447</v>
      </c>
      <c r="K17" s="11">
        <f t="shared" si="4"/>
        <v>9.2347000000000179E-2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4784211.3102399325</v>
      </c>
      <c r="D18" s="11">
        <v>3.6600000000000001E-2</v>
      </c>
      <c r="E18" s="10">
        <f t="shared" si="2"/>
        <v>168919.67389039323</v>
      </c>
      <c r="F18" s="3"/>
      <c r="G18" s="29">
        <v>6.4</v>
      </c>
      <c r="H18" s="10"/>
      <c r="I18" s="10">
        <f t="shared" si="5"/>
        <v>233.12822206095913</v>
      </c>
      <c r="J18" s="10">
        <f t="shared" si="3"/>
        <v>1115334676.7201672</v>
      </c>
      <c r="K18" s="11">
        <f t="shared" si="4"/>
        <v>0.10294239999999988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4615291.6363495393</v>
      </c>
      <c r="D19" s="11">
        <v>3.73E-2</v>
      </c>
      <c r="E19" s="10">
        <f t="shared" si="2"/>
        <v>165960.06751743797</v>
      </c>
      <c r="F19" s="3"/>
      <c r="G19" s="29">
        <v>3.5</v>
      </c>
      <c r="H19" s="10"/>
      <c r="I19" s="10">
        <f t="shared" si="5"/>
        <v>219.10547186180369</v>
      </c>
      <c r="J19" s="10">
        <f t="shared" si="3"/>
        <v>1011235651.7622019</v>
      </c>
      <c r="K19" s="11">
        <f t="shared" si="4"/>
        <v>7.360549999999999E-2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4449331.5688321013</v>
      </c>
      <c r="D20" s="11">
        <v>3.7400000000000003E-2</v>
      </c>
      <c r="E20" s="10">
        <f t="shared" si="2"/>
        <v>160405.82289793808</v>
      </c>
      <c r="F20" s="3"/>
      <c r="G20" s="29">
        <v>4.9000000000000004</v>
      </c>
      <c r="H20" s="10"/>
      <c r="I20" s="10">
        <f t="shared" si="5"/>
        <v>211.6961080790374</v>
      </c>
      <c r="J20" s="10">
        <f t="shared" si="3"/>
        <v>941906176.67495358</v>
      </c>
      <c r="K20" s="11">
        <f t="shared" si="4"/>
        <v>8.8232599999999994E-2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4288925.7459341632</v>
      </c>
      <c r="D21" s="11">
        <v>3.7100000000000001E-2</v>
      </c>
      <c r="E21" s="10">
        <f t="shared" si="2"/>
        <v>153427.00334987696</v>
      </c>
      <c r="F21" s="3"/>
      <c r="G21" s="29">
        <v>2.2200000000000002</v>
      </c>
      <c r="H21" s="10"/>
      <c r="I21" s="10">
        <f t="shared" si="5"/>
        <v>201.80753868354378</v>
      </c>
      <c r="J21" s="10">
        <f t="shared" si="3"/>
        <v>865537548.38345551</v>
      </c>
      <c r="K21" s="11">
        <f t="shared" si="4"/>
        <v>6.0123620000000155E-2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4135498.7425842863</v>
      </c>
      <c r="D22" s="11">
        <v>3.6200000000000003E-2</v>
      </c>
      <c r="E22" s="10">
        <f t="shared" si="2"/>
        <v>144475.05740354303</v>
      </c>
      <c r="F22" s="3"/>
      <c r="G22" s="29">
        <v>0.88</v>
      </c>
      <c r="H22" s="10"/>
      <c r="I22" s="10">
        <f t="shared" si="5"/>
        <v>197.4247101189041</v>
      </c>
      <c r="J22" s="10">
        <f t="shared" si="3"/>
        <v>816449640.4517951</v>
      </c>
      <c r="K22" s="11">
        <f t="shared" si="4"/>
        <v>4.5318559999999897E-2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3991023.6851807432</v>
      </c>
      <c r="D23" s="11">
        <v>3.4500000000000003E-2</v>
      </c>
      <c r="E23" s="10">
        <f t="shared" si="2"/>
        <v>133098.42159375129</v>
      </c>
      <c r="F23" s="3"/>
      <c r="G23" s="29">
        <v>0.15</v>
      </c>
      <c r="H23" s="10"/>
      <c r="I23" s="10">
        <f t="shared" si="5"/>
        <v>195.7025278736163</v>
      </c>
      <c r="J23" s="10">
        <f t="shared" si="3"/>
        <v>781053423.99334729</v>
      </c>
      <c r="K23" s="11">
        <f t="shared" si="4"/>
        <v>3.605175000000016E-2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3857925.2635869919</v>
      </c>
      <c r="D24" s="11">
        <v>3.1699999999999999E-2</v>
      </c>
      <c r="E24" s="10">
        <f t="shared" si="2"/>
        <v>118538.55854968308</v>
      </c>
      <c r="F24" s="3"/>
      <c r="G24" s="29">
        <v>3.01</v>
      </c>
      <c r="H24" s="10"/>
      <c r="I24" s="10">
        <f t="shared" si="5"/>
        <v>195.40941375298681</v>
      </c>
      <c r="J24" s="10">
        <f t="shared" si="3"/>
        <v>753874914.06037116</v>
      </c>
      <c r="K24" s="11">
        <f t="shared" si="4"/>
        <v>6.2754170000000054E-2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3739386.7050373089</v>
      </c>
      <c r="D25" s="11">
        <v>2.86E-2</v>
      </c>
      <c r="E25" s="10">
        <f t="shared" si="2"/>
        <v>103972.83663626947</v>
      </c>
      <c r="F25" s="3"/>
      <c r="G25" s="29">
        <v>3.38</v>
      </c>
      <c r="H25" s="10"/>
      <c r="I25" s="10">
        <f t="shared" si="5"/>
        <v>189.69946000678266</v>
      </c>
      <c r="J25" s="10">
        <f t="shared" si="3"/>
        <v>709359638.70211971</v>
      </c>
      <c r="K25" s="11">
        <f t="shared" si="4"/>
        <v>6.3366679999999898E-2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3635413.8684010394</v>
      </c>
      <c r="D26" s="11">
        <v>2.5499999999999998E-2</v>
      </c>
      <c r="E26" s="10">
        <f t="shared" si="2"/>
        <v>90397.907015335746</v>
      </c>
      <c r="F26" s="3"/>
      <c r="G26" s="29">
        <v>3.11</v>
      </c>
      <c r="H26" s="10"/>
      <c r="I26" s="10">
        <f t="shared" si="5"/>
        <v>183.4972528601109</v>
      </c>
      <c r="J26" s="10">
        <f t="shared" si="3"/>
        <v>667088457.86113942</v>
      </c>
      <c r="K26" s="11">
        <f t="shared" si="4"/>
        <v>5.7393049999999945E-2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3545015.9613857036</v>
      </c>
      <c r="D27" s="11">
        <v>2.4500000000000001E-2</v>
      </c>
      <c r="E27" s="10">
        <f t="shared" si="2"/>
        <v>84775.881946266163</v>
      </c>
      <c r="F27" s="3"/>
      <c r="G27" s="29">
        <v>-3.56</v>
      </c>
      <c r="H27" s="10"/>
      <c r="I27" s="10">
        <f t="shared" si="5"/>
        <v>177.96261551751616</v>
      </c>
      <c r="J27" s="10">
        <f t="shared" si="3"/>
        <v>630880312.53954184</v>
      </c>
      <c r="K27" s="11">
        <f t="shared" si="4"/>
        <v>-1.1972200000000099E-2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3460240.0794394375</v>
      </c>
      <c r="D28" s="11">
        <v>2.6800000000000001E-2</v>
      </c>
      <c r="E28" s="10">
        <f t="shared" si="2"/>
        <v>90314.018434920814</v>
      </c>
      <c r="F28" s="3"/>
      <c r="G28" s="29">
        <v>5.9</v>
      </c>
      <c r="H28" s="10"/>
      <c r="I28" s="10">
        <f t="shared" si="5"/>
        <v>184.53195304595204</v>
      </c>
      <c r="J28" s="10">
        <f t="shared" si="3"/>
        <v>638524859.86683965</v>
      </c>
      <c r="K28" s="11">
        <f t="shared" si="4"/>
        <v>8.7381200000000048E-2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3369926.0610045167</v>
      </c>
      <c r="D29" s="11">
        <v>2.8500000000000001E-2</v>
      </c>
      <c r="E29" s="10">
        <f t="shared" si="2"/>
        <v>93381.519434738439</v>
      </c>
      <c r="F29" s="3"/>
      <c r="G29" s="29">
        <v>4.4800000000000004</v>
      </c>
      <c r="H29" s="10"/>
      <c r="I29" s="10">
        <f t="shared" si="5"/>
        <v>174.25113602072904</v>
      </c>
      <c r="J29" s="10">
        <f t="shared" si="3"/>
        <v>587213444.43589759</v>
      </c>
      <c r="K29" s="11">
        <f t="shared" si="4"/>
        <v>7.4576799999999777E-2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3276544.5415697782</v>
      </c>
      <c r="D30" s="11">
        <v>2.8199999999999999E-2</v>
      </c>
      <c r="E30" s="10">
        <f t="shared" si="2"/>
        <v>89864.380541011225</v>
      </c>
      <c r="F30" s="3"/>
      <c r="G30" s="29">
        <v>2.4500000000000002</v>
      </c>
      <c r="H30" s="10"/>
      <c r="I30" s="10">
        <f t="shared" si="5"/>
        <v>166.77941809028431</v>
      </c>
      <c r="J30" s="10">
        <f t="shared" si="3"/>
        <v>546460191.989905</v>
      </c>
      <c r="K30" s="11">
        <f t="shared" si="4"/>
        <v>5.3390899999999908E-2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3186680.161028767</v>
      </c>
      <c r="D31" s="11">
        <v>2.76E-2</v>
      </c>
      <c r="E31" s="10">
        <f t="shared" si="2"/>
        <v>85590.086068892851</v>
      </c>
      <c r="F31" s="3"/>
      <c r="G31" s="29">
        <v>4.09</v>
      </c>
      <c r="H31" s="10"/>
      <c r="I31" s="10">
        <f t="shared" si="5"/>
        <v>162.79103766743222</v>
      </c>
      <c r="J31" s="10">
        <f t="shared" si="3"/>
        <v>518762970.128093</v>
      </c>
      <c r="K31" s="11">
        <f t="shared" si="4"/>
        <v>6.9628840000000025E-2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3101090.0749598742</v>
      </c>
      <c r="D32" s="11">
        <v>2.7199999999999998E-2</v>
      </c>
      <c r="E32" s="10">
        <f t="shared" si="2"/>
        <v>82116.092327597551</v>
      </c>
      <c r="F32" s="3"/>
      <c r="G32" s="29">
        <v>-0.81</v>
      </c>
      <c r="H32" s="10"/>
      <c r="I32" s="10">
        <f t="shared" si="5"/>
        <v>156.39450251458567</v>
      </c>
      <c r="J32" s="10">
        <f t="shared" si="3"/>
        <v>484993439.52626872</v>
      </c>
      <c r="K32" s="11">
        <f t="shared" si="4"/>
        <v>1.8879679999999954E-2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3018973.9826322766</v>
      </c>
      <c r="D33" s="11">
        <v>2.7099999999999999E-2</v>
      </c>
      <c r="E33" s="10">
        <f t="shared" si="2"/>
        <v>79655.530064584222</v>
      </c>
      <c r="F33" s="3"/>
      <c r="G33" s="29">
        <v>3.54</v>
      </c>
      <c r="H33" s="10"/>
      <c r="I33" s="10">
        <f t="shared" si="5"/>
        <v>157.67164282143932</v>
      </c>
      <c r="J33" s="10">
        <f t="shared" si="3"/>
        <v>476006587.47681445</v>
      </c>
      <c r="K33" s="11">
        <f t="shared" si="4"/>
        <v>6.3459339999999864E-2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2939318.4525676924</v>
      </c>
      <c r="D34" s="11">
        <v>2.7300000000000001E-2</v>
      </c>
      <c r="E34" s="10">
        <f t="shared" si="2"/>
        <v>78110.964426261373</v>
      </c>
      <c r="F34" s="3"/>
      <c r="G34" s="29">
        <v>9.58</v>
      </c>
      <c r="H34" s="10"/>
      <c r="I34" s="10">
        <f t="shared" si="5"/>
        <v>152.28089899694737</v>
      </c>
      <c r="J34" s="10">
        <f t="shared" ref="J34:J65" si="6">IF(I34="","",I34*C34)</f>
        <v>447602056.39532441</v>
      </c>
      <c r="K34" s="11">
        <f t="shared" ref="K34:K65" si="7">IFERROR(J34/J35-1,"")</f>
        <v>0.13907024000000012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2861207.488141431</v>
      </c>
      <c r="D35" s="11">
        <v>2.75E-2</v>
      </c>
      <c r="E35" s="10">
        <f t="shared" si="2"/>
        <v>76577.329366316088</v>
      </c>
      <c r="F35" s="3"/>
      <c r="G35" s="29">
        <v>-3.46</v>
      </c>
      <c r="H35" s="10"/>
      <c r="I35" s="10">
        <f t="shared" ref="I35:I66" si="8">IF(H35&lt;&gt;"",H35,I34/(1+IF(G34="",0,G34)/100))</f>
        <v>137.33847312134503</v>
      </c>
      <c r="J35" s="10">
        <f t="shared" si="6"/>
        <v>392953867.70470303</v>
      </c>
      <c r="K35" s="11">
        <f t="shared" si="7"/>
        <v>1.9691000000000125E-2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2784630.1587751149</v>
      </c>
      <c r="D36" s="11">
        <v>2.75E-2</v>
      </c>
      <c r="E36" s="10">
        <f t="shared" si="2"/>
        <v>74527.81446843408</v>
      </c>
      <c r="F36" s="3"/>
      <c r="G36" s="29">
        <v>-1.48</v>
      </c>
      <c r="H36" s="10"/>
      <c r="I36" s="10">
        <f t="shared" si="8"/>
        <v>138.39023893726826</v>
      </c>
      <c r="J36" s="10">
        <f t="shared" si="6"/>
        <v>385365633.02481145</v>
      </c>
      <c r="K36" s="11">
        <f t="shared" si="7"/>
        <v>6.1612999999999918E-2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2710102.3443066808</v>
      </c>
      <c r="D37" s="11">
        <v>2.7400000000000001E-2</v>
      </c>
      <c r="E37" s="10">
        <f t="shared" si="2"/>
        <v>72276.430050616618</v>
      </c>
      <c r="F37" s="3"/>
      <c r="G37" s="29">
        <v>0.97</v>
      </c>
      <c r="H37" s="10"/>
      <c r="I37" s="10">
        <f t="shared" si="8"/>
        <v>133.94332069034871</v>
      </c>
      <c r="J37" s="10">
        <f t="shared" si="6"/>
        <v>363000107.40713561</v>
      </c>
      <c r="K37" s="11">
        <f t="shared" si="7"/>
        <v>9.1817980000000077E-2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2637825.9142560642</v>
      </c>
      <c r="D38" s="11">
        <v>2.7300000000000001E-2</v>
      </c>
      <c r="E38" s="10">
        <f t="shared" si="2"/>
        <v>70098.946227188688</v>
      </c>
      <c r="F38" s="3"/>
      <c r="G38" s="29">
        <v>-5.03</v>
      </c>
      <c r="H38" s="10"/>
      <c r="I38" s="10">
        <f t="shared" si="8"/>
        <v>126.04057654121456</v>
      </c>
      <c r="J38" s="10">
        <f t="shared" si="6"/>
        <v>332473099.04819077</v>
      </c>
      <c r="K38" s="11">
        <f t="shared" si="7"/>
        <v>1.3636910000000224E-2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2567726.9680288755</v>
      </c>
      <c r="D39" s="11">
        <v>2.75E-2</v>
      </c>
      <c r="E39" s="10">
        <f t="shared" si="2"/>
        <v>68722.619582281448</v>
      </c>
      <c r="F39" s="3"/>
      <c r="G39" s="29">
        <v>6.32</v>
      </c>
      <c r="H39" s="10"/>
      <c r="I39" s="10">
        <f t="shared" si="8"/>
        <v>127.7395120514995</v>
      </c>
      <c r="J39" s="10">
        <f t="shared" si="6"/>
        <v>328000189.97748482</v>
      </c>
      <c r="K39" s="11">
        <f t="shared" si="7"/>
        <v>9.2437999999999798E-2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2499004.3484465941</v>
      </c>
      <c r="D40" s="11">
        <v>2.81E-2</v>
      </c>
      <c r="E40" s="10">
        <f t="shared" si="2"/>
        <v>68302.715875254478</v>
      </c>
      <c r="F40" s="3"/>
      <c r="G40" s="29">
        <v>3.44</v>
      </c>
      <c r="H40" s="10"/>
      <c r="I40" s="10">
        <f t="shared" si="8"/>
        <v>120.1462679190176</v>
      </c>
      <c r="J40" s="10">
        <f t="shared" si="6"/>
        <v>300246045.97925454</v>
      </c>
      <c r="K40" s="11">
        <f t="shared" si="7"/>
        <v>6.3466639999999908E-2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2430701.6325713396</v>
      </c>
      <c r="D41" s="11">
        <v>2.8799999999999999E-2</v>
      </c>
      <c r="E41" s="10">
        <f t="shared" si="2"/>
        <v>68044.524706507102</v>
      </c>
      <c r="F41" s="3"/>
      <c r="G41" s="29">
        <v>7.35</v>
      </c>
      <c r="H41" s="10"/>
      <c r="I41" s="10">
        <f t="shared" si="8"/>
        <v>116.15068437646714</v>
      </c>
      <c r="J41" s="10">
        <f t="shared" si="6"/>
        <v>282327658.13815707</v>
      </c>
      <c r="K41" s="11">
        <f t="shared" si="7"/>
        <v>0.10441679999999987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2362657.1078648325</v>
      </c>
      <c r="D42" s="11">
        <v>2.9399999999999999E-2</v>
      </c>
      <c r="E42" s="10">
        <f t="shared" si="2"/>
        <v>67478.258180713281</v>
      </c>
      <c r="F42" s="3"/>
      <c r="G42" s="29">
        <v>-12.39</v>
      </c>
      <c r="H42" s="10"/>
      <c r="I42" s="10">
        <f t="shared" si="8"/>
        <v>108.1981223814319</v>
      </c>
      <c r="J42" s="10">
        <f t="shared" si="6"/>
        <v>255635062.9021191</v>
      </c>
      <c r="K42" s="11">
        <f t="shared" si="7"/>
        <v>-9.8142659999999826E-2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2295178.8496841192</v>
      </c>
      <c r="D43" s="11">
        <v>2.9499999999999998E-2</v>
      </c>
      <c r="E43" s="10">
        <f t="shared" si="2"/>
        <v>65767.630952580366</v>
      </c>
      <c r="F43" s="3"/>
      <c r="G43" s="29">
        <v>5.88</v>
      </c>
      <c r="H43" s="10"/>
      <c r="I43" s="10">
        <f t="shared" si="8"/>
        <v>123.49974019111049</v>
      </c>
      <c r="J43" s="10">
        <f t="shared" si="6"/>
        <v>283453991.62812054</v>
      </c>
      <c r="K43" s="11">
        <f t="shared" si="7"/>
        <v>9.0034599999999854E-2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2229411.2187315389</v>
      </c>
      <c r="D44" s="11">
        <v>2.9399999999999999E-2</v>
      </c>
      <c r="E44" s="10">
        <f t="shared" si="2"/>
        <v>63672.712095111143</v>
      </c>
      <c r="F44" s="3"/>
      <c r="G44" s="29">
        <v>9.25</v>
      </c>
      <c r="H44" s="10"/>
      <c r="I44" s="10">
        <f t="shared" si="8"/>
        <v>116.64123554128305</v>
      </c>
      <c r="J44" s="10">
        <f t="shared" si="6"/>
        <v>260041279.08244434</v>
      </c>
      <c r="K44" s="11">
        <f t="shared" si="7"/>
        <v>0.12461950000000011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2165738.5066364277</v>
      </c>
      <c r="D45" s="11">
        <v>2.93E-2</v>
      </c>
      <c r="E45" s="10">
        <f t="shared" si="2"/>
        <v>61649.799129940104</v>
      </c>
      <c r="F45" s="3"/>
      <c r="G45" s="29">
        <v>0.24</v>
      </c>
      <c r="H45" s="10"/>
      <c r="I45" s="10">
        <f t="shared" si="8"/>
        <v>106.76543298973277</v>
      </c>
      <c r="J45" s="10">
        <f t="shared" si="6"/>
        <v>231226009.40357545</v>
      </c>
      <c r="K45" s="11">
        <f t="shared" si="7"/>
        <v>3.1770319999999908E-2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2104088.7075064876</v>
      </c>
      <c r="D46" s="11">
        <v>2.9000000000000001E-2</v>
      </c>
      <c r="E46" s="10">
        <f t="shared" si="2"/>
        <v>59298.904293185798</v>
      </c>
      <c r="F46" s="3"/>
      <c r="G46" s="29">
        <v>-7.0000000000000007E-2</v>
      </c>
      <c r="H46" s="10"/>
      <c r="I46" s="10">
        <f t="shared" si="8"/>
        <v>106.50980944705984</v>
      </c>
      <c r="J46" s="10">
        <f t="shared" si="6"/>
        <v>224106087.29622641</v>
      </c>
      <c r="K46" s="11">
        <f t="shared" si="7"/>
        <v>2.8279699999999908E-2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2044789.8032133018</v>
      </c>
      <c r="D47" s="11">
        <v>2.8799999999999999E-2</v>
      </c>
      <c r="E47" s="10">
        <f t="shared" si="2"/>
        <v>57241.394180154428</v>
      </c>
      <c r="F47" s="3"/>
      <c r="G47" s="29">
        <v>6.15</v>
      </c>
      <c r="H47" s="10"/>
      <c r="I47" s="10">
        <f t="shared" si="8"/>
        <v>106.58441854003787</v>
      </c>
      <c r="J47" s="10">
        <f t="shared" si="6"/>
        <v>217942732.21208823</v>
      </c>
      <c r="K47" s="11">
        <f t="shared" si="7"/>
        <v>9.2071200000000131E-2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1987548.4090331474</v>
      </c>
      <c r="D48" s="11">
        <v>2.86E-2</v>
      </c>
      <c r="E48" s="10">
        <f t="shared" si="2"/>
        <v>55263.35261359904</v>
      </c>
      <c r="F48" s="3"/>
      <c r="G48" s="29">
        <v>2.44</v>
      </c>
      <c r="H48" s="10"/>
      <c r="I48" s="10">
        <f t="shared" si="8"/>
        <v>100.40924968444452</v>
      </c>
      <c r="J48" s="10">
        <f t="shared" si="6"/>
        <v>199568244.46252975</v>
      </c>
      <c r="K48" s="11">
        <f t="shared" si="7"/>
        <v>5.3697839999999886E-2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1932285.0564195483</v>
      </c>
      <c r="D49" s="11">
        <v>2.8299999999999999E-2</v>
      </c>
      <c r="E49" s="10">
        <f t="shared" si="2"/>
        <v>53178.709614580497</v>
      </c>
      <c r="F49" s="3"/>
      <c r="G49" s="29">
        <v>9.58</v>
      </c>
      <c r="H49" s="10"/>
      <c r="I49" s="10">
        <f t="shared" si="8"/>
        <v>98.017619762245729</v>
      </c>
      <c r="J49" s="10">
        <f t="shared" si="6"/>
        <v>189397981.93240082</v>
      </c>
      <c r="K49" s="11">
        <f t="shared" si="7"/>
        <v>0.12681114000000004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1879106.3468049678</v>
      </c>
      <c r="D50" s="11">
        <v>2.8000000000000001E-2</v>
      </c>
      <c r="E50" s="10">
        <f t="shared" si="2"/>
        <v>51181.88493243116</v>
      </c>
      <c r="F50" s="3"/>
      <c r="G50" s="29">
        <v>0</v>
      </c>
      <c r="H50" s="10"/>
      <c r="I50" s="10">
        <f t="shared" si="8"/>
        <v>89.448457530795508</v>
      </c>
      <c r="J50" s="10">
        <f t="shared" si="6"/>
        <v>168083164.25803247</v>
      </c>
      <c r="K50" s="11">
        <f t="shared" si="7"/>
        <v>2.8000000000000025E-2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1827924.4618725367</v>
      </c>
      <c r="D51" s="11">
        <v>2.76E-2</v>
      </c>
      <c r="E51" s="10">
        <f t="shared" si="2"/>
        <v>49095.674530636519</v>
      </c>
      <c r="F51" s="3"/>
      <c r="G51" s="26">
        <v>7.95</v>
      </c>
      <c r="H51" s="10"/>
      <c r="I51" s="10">
        <f t="shared" si="8"/>
        <v>89.448457530795508</v>
      </c>
      <c r="J51" s="10">
        <f t="shared" si="6"/>
        <v>163505023.59730783</v>
      </c>
      <c r="K51" s="11">
        <f t="shared" si="7"/>
        <v>0.10929420000000012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1778828.7873419002</v>
      </c>
      <c r="D52" s="11">
        <v>2.7E-2</v>
      </c>
      <c r="E52" s="10">
        <f t="shared" si="2"/>
        <v>46765.703269942664</v>
      </c>
      <c r="F52" s="3"/>
      <c r="G52" s="26">
        <v>0.38</v>
      </c>
      <c r="H52" s="10"/>
      <c r="I52" s="10">
        <f t="shared" si="8"/>
        <v>82.86100743936592</v>
      </c>
      <c r="J52" s="10">
        <f t="shared" si="6"/>
        <v>147395545.38129544</v>
      </c>
      <c r="K52" s="11">
        <f t="shared" si="7"/>
        <v>3.0902599999999891E-2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1732063.0840719575</v>
      </c>
      <c r="D53" s="11">
        <v>2.6499999999999999E-2</v>
      </c>
      <c r="E53" s="10">
        <f t="shared" si="2"/>
        <v>44714.731347205816</v>
      </c>
      <c r="F53" s="3"/>
      <c r="G53" s="26">
        <v>9.89</v>
      </c>
      <c r="H53" s="10"/>
      <c r="I53" s="10">
        <f t="shared" si="8"/>
        <v>82.547327594506797</v>
      </c>
      <c r="J53" s="10">
        <f t="shared" si="6"/>
        <v>142977178.81523964</v>
      </c>
      <c r="K53" s="11">
        <f t="shared" si="7"/>
        <v>0.12802084999999996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1687348.3527247517</v>
      </c>
      <c r="D54" s="11">
        <v>2.5899999999999999E-2</v>
      </c>
      <c r="E54" s="10">
        <f t="shared" si="2"/>
        <v>42599.00802765484</v>
      </c>
      <c r="F54" s="3"/>
      <c r="G54" s="26">
        <v>8.98</v>
      </c>
      <c r="H54" s="10"/>
      <c r="I54" s="10">
        <f t="shared" si="8"/>
        <v>75.118143229144408</v>
      </c>
      <c r="J54" s="10">
        <f t="shared" si="6"/>
        <v>126750475.23743878</v>
      </c>
      <c r="K54" s="11">
        <f t="shared" si="7"/>
        <v>0.11802582000000039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1644749.3446970969</v>
      </c>
      <c r="D55" s="11">
        <v>2.5399999999999999E-2</v>
      </c>
      <c r="E55" s="10">
        <f t="shared" si="2"/>
        <v>40741.791842506733</v>
      </c>
      <c r="F55" s="3"/>
      <c r="G55" s="26">
        <v>13.9</v>
      </c>
      <c r="H55" s="10"/>
      <c r="I55" s="10">
        <f t="shared" si="8"/>
        <v>68.928375141442828</v>
      </c>
      <c r="J55" s="10">
        <f t="shared" si="6"/>
        <v>113369899.84492375</v>
      </c>
      <c r="K55" s="11">
        <f t="shared" si="7"/>
        <v>0.16793060000000004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1604007.5528545901</v>
      </c>
      <c r="D56" s="11">
        <v>2.4799999999999999E-2</v>
      </c>
      <c r="E56" s="10">
        <f t="shared" si="2"/>
        <v>38816.732348549645</v>
      </c>
      <c r="F56" s="3"/>
      <c r="G56" s="26">
        <v>3.92</v>
      </c>
      <c r="H56" s="10"/>
      <c r="I56" s="10">
        <f t="shared" si="8"/>
        <v>60.516571678176319</v>
      </c>
      <c r="J56" s="10">
        <f t="shared" si="6"/>
        <v>97069038.044661</v>
      </c>
      <c r="K56" s="11">
        <f t="shared" si="7"/>
        <v>6.4972159999999723E-2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1565190.8205060405</v>
      </c>
      <c r="D57" s="11">
        <v>2.4199999999999999E-2</v>
      </c>
      <c r="E57" s="10">
        <f t="shared" si="2"/>
        <v>36982.638016252778</v>
      </c>
      <c r="F57" s="3"/>
      <c r="G57" s="26">
        <v>14.4</v>
      </c>
      <c r="H57" s="10"/>
      <c r="I57" s="10">
        <f t="shared" si="8"/>
        <v>58.233806464757819</v>
      </c>
      <c r="J57" s="10">
        <f t="shared" si="6"/>
        <v>91147019.321764261</v>
      </c>
      <c r="K57" s="11">
        <f t="shared" si="7"/>
        <v>0.17168479999999997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1528208.1824897877</v>
      </c>
      <c r="D58" s="11">
        <v>2.35E-2</v>
      </c>
      <c r="E58" s="10">
        <f t="shared" si="2"/>
        <v>35088.316842706408</v>
      </c>
      <c r="F58" s="3"/>
      <c r="G58" s="26">
        <v>8.2899999999999991</v>
      </c>
      <c r="H58" s="10"/>
      <c r="I58" s="10">
        <f t="shared" si="8"/>
        <v>50.903676979683404</v>
      </c>
      <c r="J58" s="10">
        <f t="shared" si="6"/>
        <v>77791415.679169223</v>
      </c>
      <c r="K58" s="11">
        <f t="shared" si="7"/>
        <v>0.10834815000000009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1493119.8656470813</v>
      </c>
      <c r="D59" s="11">
        <v>2.29E-2</v>
      </c>
      <c r="E59" s="10">
        <f t="shared" si="2"/>
        <v>33426.967370532919</v>
      </c>
      <c r="F59" s="3"/>
      <c r="G59" s="26">
        <v>7.27</v>
      </c>
      <c r="H59" s="10"/>
      <c r="I59" s="10">
        <f t="shared" si="8"/>
        <v>47.006812244605598</v>
      </c>
      <c r="J59" s="10">
        <f t="shared" si="6"/>
        <v>70186805.183163092</v>
      </c>
      <c r="K59" s="11">
        <f t="shared" si="7"/>
        <v>9.726483000000008E-2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1459692.8982765484</v>
      </c>
      <c r="D60" s="11">
        <v>2.2200000000000001E-2</v>
      </c>
      <c r="E60" s="10">
        <f t="shared" si="2"/>
        <v>31701.411017158534</v>
      </c>
      <c r="F60" s="3"/>
      <c r="G60" s="26">
        <v>4.97</v>
      </c>
      <c r="H60" s="10"/>
      <c r="I60" s="10">
        <f t="shared" si="8"/>
        <v>43.821023813373358</v>
      </c>
      <c r="J60" s="10">
        <f t="shared" si="6"/>
        <v>63965237.255588599</v>
      </c>
      <c r="K60" s="11">
        <f t="shared" si="7"/>
        <v>7.3003340000000083E-2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1427991.4872593898</v>
      </c>
      <c r="D61" s="11">
        <v>2.1499999999999998E-2</v>
      </c>
      <c r="E61" s="10">
        <f t="shared" si="2"/>
        <v>30055.621121954871</v>
      </c>
      <c r="F61" s="3"/>
      <c r="G61" s="26">
        <v>2.09</v>
      </c>
      <c r="H61" s="10"/>
      <c r="I61" s="10">
        <f t="shared" si="8"/>
        <v>41.746235889657385</v>
      </c>
      <c r="J61" s="10">
        <f t="shared" si="6"/>
        <v>59613269.475553162</v>
      </c>
      <c r="K61" s="11">
        <f t="shared" si="7"/>
        <v>4.2849350000000008E-2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1397935.866137435</v>
      </c>
      <c r="D62" s="11">
        <v>2.0899999999999998E-2</v>
      </c>
      <c r="E62" s="10">
        <f t="shared" si="2"/>
        <v>28618.728183242492</v>
      </c>
      <c r="F62" s="3"/>
      <c r="G62" s="26">
        <v>6.31</v>
      </c>
      <c r="H62" s="10"/>
      <c r="I62" s="10">
        <f t="shared" si="8"/>
        <v>40.891601419979807</v>
      </c>
      <c r="J62" s="10">
        <f t="shared" si="6"/>
        <v>57163836.248786233</v>
      </c>
      <c r="K62" s="11">
        <f t="shared" si="7"/>
        <v>8.5318789999999867E-2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1369317.1379541925</v>
      </c>
      <c r="D63" s="11">
        <v>2.0299999999999999E-2</v>
      </c>
      <c r="E63" s="10">
        <f t="shared" si="2"/>
        <v>27244.083015260287</v>
      </c>
      <c r="F63" s="3"/>
      <c r="G63" s="26">
        <v>-2.2200000000000002</v>
      </c>
      <c r="H63" s="10"/>
      <c r="I63" s="10">
        <f t="shared" si="8"/>
        <v>38.464491976276747</v>
      </c>
      <c r="J63" s="10">
        <f t="shared" si="6"/>
        <v>52670088.065817274</v>
      </c>
      <c r="K63" s="11">
        <f t="shared" si="7"/>
        <v>-2.3506599999999489E-3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1342073.0549389322</v>
      </c>
      <c r="D64" s="11">
        <v>1.9800000000000002E-2</v>
      </c>
      <c r="E64" s="10">
        <f t="shared" si="2"/>
        <v>26057.115598932141</v>
      </c>
      <c r="F64" s="3"/>
      <c r="G64" s="26">
        <v>0.99</v>
      </c>
      <c r="H64" s="10"/>
      <c r="I64" s="10">
        <f t="shared" si="8"/>
        <v>39.337790935034512</v>
      </c>
      <c r="J64" s="10">
        <f t="shared" si="6"/>
        <v>52794189.254730798</v>
      </c>
      <c r="K64" s="11">
        <f t="shared" si="7"/>
        <v>2.9896020000000245E-2</v>
      </c>
    </row>
    <row r="65" spans="1:11" ht="22.5" customHeight="1">
      <c r="A65" s="3">
        <f t="shared" si="0"/>
        <v>1952</v>
      </c>
      <c r="B65" s="3">
        <v>1702</v>
      </c>
      <c r="C65" s="10">
        <f t="shared" si="1"/>
        <v>1316015.93934</v>
      </c>
      <c r="D65" s="11">
        <v>1.9400000000000001E-2</v>
      </c>
      <c r="E65" s="10">
        <f t="shared" si="2"/>
        <v>25044.839340000181</v>
      </c>
      <c r="F65" s="3"/>
      <c r="G65" s="26">
        <v>1.66</v>
      </c>
      <c r="H65" s="10"/>
      <c r="I65" s="10">
        <f t="shared" si="8"/>
        <v>38.952164506420942</v>
      </c>
      <c r="J65" s="10">
        <f t="shared" si="6"/>
        <v>51261669.362243764</v>
      </c>
      <c r="K65" s="11">
        <f t="shared" si="7"/>
        <v>3.6322040000000166E-2</v>
      </c>
    </row>
    <row r="66" spans="1:11" ht="22.5" customHeight="1">
      <c r="A66" s="3">
        <f t="shared" si="0"/>
        <v>1951</v>
      </c>
      <c r="B66" s="3">
        <v>1701</v>
      </c>
      <c r="C66" s="10">
        <f t="shared" si="1"/>
        <v>1290971.0999999999</v>
      </c>
      <c r="D66" s="11">
        <v>1.9E-2</v>
      </c>
      <c r="E66" s="10">
        <f t="shared" si="2"/>
        <v>24071.09999999986</v>
      </c>
      <c r="F66" s="23">
        <f>SUM(F2)</f>
        <v>7354910</v>
      </c>
      <c r="G66" s="26">
        <v>-0.94</v>
      </c>
      <c r="H66" s="10"/>
      <c r="I66" s="10">
        <f t="shared" si="8"/>
        <v>38.316116964805175</v>
      </c>
      <c r="J66" s="10">
        <f t="shared" ref="J66:J67" si="9">IF(I66="","",I66*C66)</f>
        <v>49464999.665783197</v>
      </c>
      <c r="K66" s="11">
        <f t="shared" ref="K66" si="10">IFERROR(J66/J67-1,"")</f>
        <v>9.4213999999999132E-3</v>
      </c>
    </row>
    <row r="67" spans="1:11" ht="22.5" customHeight="1">
      <c r="A67" s="3">
        <f t="shared" si="0"/>
        <v>1950</v>
      </c>
      <c r="B67" s="3">
        <v>1700</v>
      </c>
      <c r="C67" s="10">
        <v>1266900</v>
      </c>
      <c r="D67" s="11">
        <v>1.8700000000000001E-2</v>
      </c>
      <c r="E67" s="3" t="s">
        <v>72</v>
      </c>
      <c r="F67" s="10">
        <f>SUM(C2)</f>
        <v>7354498.7064310331</v>
      </c>
      <c r="G67" s="26">
        <v>11.47</v>
      </c>
      <c r="H67" s="10"/>
      <c r="I67" s="10">
        <f t="shared" ref="I67" si="11">IF(H67&lt;&gt;"",H67,I66/(1+IF(G66="",0,G66)/100))</f>
        <v>38.679706203114449</v>
      </c>
      <c r="J67" s="10">
        <f t="shared" si="9"/>
        <v>49003319.788725697</v>
      </c>
      <c r="K67" s="11"/>
    </row>
  </sheetData>
  <dataValidations count="1">
    <dataValidation type="custom" allowBlank="1" showDropDown="1" sqref="D2:D67" xr:uid="{00000000-0002-0000-AC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  <pageSetUpPr fitToPage="1"/>
  </sheetPr>
  <dimension ref="A1:M67"/>
  <sheetViews>
    <sheetView topLeftCell="A48" workbookViewId="0">
      <selection activeCell="L84" sqref="L84"/>
    </sheetView>
  </sheetViews>
  <sheetFormatPr defaultColWidth="12.6328125" defaultRowHeight="15.75" customHeight="1"/>
  <cols>
    <col min="1" max="1" width="5.7265625" customWidth="1"/>
    <col min="2" max="2" width="14.36328125" customWidth="1"/>
    <col min="3" max="3" width="13.90625" customWidth="1"/>
    <col min="4" max="4" width="14.26953125" customWidth="1"/>
    <col min="5" max="5" width="13.90625" customWidth="1"/>
    <col min="6" max="6" width="19.08984375" customWidth="1"/>
    <col min="7" max="7" width="13" customWidth="1"/>
    <col min="8" max="8" width="16" customWidth="1"/>
    <col min="9" max="9" width="15" customWidth="1"/>
    <col min="10" max="10" width="20" customWidth="1"/>
    <col min="11" max="11" width="15" customWidth="1"/>
    <col min="12" max="12" width="37.90625" customWidth="1"/>
  </cols>
  <sheetData>
    <row r="1" spans="1:13" ht="22.5" customHeight="1">
      <c r="A1" s="3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79</v>
      </c>
      <c r="H1" s="2"/>
      <c r="I1" s="2" t="s">
        <v>81</v>
      </c>
      <c r="J1" s="2" t="s">
        <v>82</v>
      </c>
      <c r="K1" s="2" t="s">
        <v>83</v>
      </c>
      <c r="L1" t="s">
        <v>84</v>
      </c>
      <c r="M1" t="s">
        <v>85</v>
      </c>
    </row>
    <row r="2" spans="1:13" ht="22.5" customHeight="1">
      <c r="A2" s="3">
        <f t="shared" ref="A2:A67" si="0">SUM(B2+250)</f>
        <v>2015</v>
      </c>
      <c r="B2" s="3">
        <v>1765</v>
      </c>
      <c r="C2" s="10">
        <f t="shared" ref="C2:C66" si="1">SUM(C3*(1+D2))</f>
        <v>425141489.37159437</v>
      </c>
      <c r="D2" s="11">
        <v>1.26E-2</v>
      </c>
      <c r="E2" s="10">
        <f t="shared" ref="E2:E66" si="2">SUM(C2-C3)</f>
        <v>5290127.1638179421</v>
      </c>
      <c r="F2" s="14">
        <f>Acetoa!C2 + Acrana!C2 + Aetintio!C2</f>
        <v>27077612.594551396</v>
      </c>
      <c r="G2" s="29">
        <v>8</v>
      </c>
      <c r="H2" s="10"/>
      <c r="I2" s="10">
        <f>IF(H2&lt;&gt;"",H2,27272)</f>
        <v>3409</v>
      </c>
      <c r="J2" s="10">
        <f t="shared" ref="J2:J33" si="3">IF(I2="","",I2*C2)</f>
        <v>1449307337267.7651</v>
      </c>
      <c r="K2" s="11">
        <f t="shared" ref="K2:K33" si="4">IFERROR(J2/J3-1,"")</f>
        <v>9.3607999999999913E-2</v>
      </c>
    </row>
    <row r="3" spans="1:13" ht="22.5" customHeight="1">
      <c r="A3" s="3">
        <f t="shared" si="0"/>
        <v>2014</v>
      </c>
      <c r="B3" s="3">
        <v>1764</v>
      </c>
      <c r="C3" s="10">
        <f t="shared" si="1"/>
        <v>419851362.20777643</v>
      </c>
      <c r="D3" s="11">
        <v>1.34E-2</v>
      </c>
      <c r="E3" s="10">
        <f t="shared" si="2"/>
        <v>5551616.5912613273</v>
      </c>
      <c r="F3" s="3"/>
      <c r="G3" s="29">
        <v>2.41</v>
      </c>
      <c r="H3" s="10"/>
      <c r="I3" s="10">
        <f t="shared" ref="I3:I34" si="5">IF(H3&lt;&gt;"",H3,I2/(1+IF(G2="",0,G2)/100))</f>
        <v>3156.4814814814813</v>
      </c>
      <c r="J3" s="10">
        <f t="shared" si="3"/>
        <v>1325253049783.6201</v>
      </c>
      <c r="K3" s="11">
        <f t="shared" si="4"/>
        <v>3.7822940000000083E-2</v>
      </c>
    </row>
    <row r="4" spans="1:13" ht="22.5" customHeight="1">
      <c r="A4" s="3">
        <f t="shared" si="0"/>
        <v>2013</v>
      </c>
      <c r="B4" s="3">
        <v>1763</v>
      </c>
      <c r="C4" s="10">
        <f t="shared" si="1"/>
        <v>414299745.6165151</v>
      </c>
      <c r="D4" s="11">
        <v>1.43E-2</v>
      </c>
      <c r="E4" s="10">
        <f t="shared" si="2"/>
        <v>5840960.6253733039</v>
      </c>
      <c r="F4" s="3"/>
      <c r="G4" s="29">
        <v>3.39</v>
      </c>
      <c r="H4" s="10"/>
      <c r="I4" s="10">
        <f t="shared" si="5"/>
        <v>3082.200450621503</v>
      </c>
      <c r="J4" s="10">
        <f t="shared" si="3"/>
        <v>1276954862631.5969</v>
      </c>
      <c r="K4" s="11">
        <f t="shared" si="4"/>
        <v>4.8684770000000155E-2</v>
      </c>
    </row>
    <row r="5" spans="1:13" ht="22.5" customHeight="1">
      <c r="A5" s="3">
        <f t="shared" si="0"/>
        <v>2012</v>
      </c>
      <c r="B5" s="3">
        <v>1762</v>
      </c>
      <c r="C5" s="10">
        <f t="shared" si="1"/>
        <v>408458784.9911418</v>
      </c>
      <c r="D5" s="11">
        <v>1.5100000000000001E-2</v>
      </c>
      <c r="E5" s="10">
        <f t="shared" si="2"/>
        <v>6075980.3500800133</v>
      </c>
      <c r="F5" s="3"/>
      <c r="G5" s="29">
        <v>5.46</v>
      </c>
      <c r="H5" s="10"/>
      <c r="I5" s="10">
        <f t="shared" si="5"/>
        <v>2981.139811027665</v>
      </c>
      <c r="J5" s="10">
        <f t="shared" si="3"/>
        <v>1217672745101.082</v>
      </c>
      <c r="K5" s="11">
        <f t="shared" si="4"/>
        <v>7.05244599999999E-2</v>
      </c>
    </row>
    <row r="6" spans="1:13" ht="22.5" customHeight="1">
      <c r="A6" s="3">
        <f t="shared" si="0"/>
        <v>2011</v>
      </c>
      <c r="B6" s="3">
        <v>1761</v>
      </c>
      <c r="C6" s="10">
        <f t="shared" si="1"/>
        <v>402382804.64106178</v>
      </c>
      <c r="D6" s="11">
        <v>1.5800000000000002E-2</v>
      </c>
      <c r="E6" s="10">
        <f t="shared" si="2"/>
        <v>6258759.906801343</v>
      </c>
      <c r="F6" s="3"/>
      <c r="G6" s="29">
        <v>5.24</v>
      </c>
      <c r="H6" s="10"/>
      <c r="I6" s="10">
        <f t="shared" si="5"/>
        <v>2826.7967106274086</v>
      </c>
      <c r="J6" s="10">
        <f t="shared" si="3"/>
        <v>1137454388572.3845</v>
      </c>
      <c r="K6" s="11">
        <f t="shared" si="4"/>
        <v>6.9027919999999909E-2</v>
      </c>
    </row>
    <row r="7" spans="1:13" ht="22.5" customHeight="1">
      <c r="A7" s="3">
        <f t="shared" si="0"/>
        <v>2010</v>
      </c>
      <c r="B7" s="3">
        <v>1760</v>
      </c>
      <c r="C7" s="10">
        <f t="shared" si="1"/>
        <v>396124044.73426044</v>
      </c>
      <c r="D7" s="11">
        <v>1.6400000000000001E-2</v>
      </c>
      <c r="E7" s="10">
        <f t="shared" si="2"/>
        <v>6391611.8985063434</v>
      </c>
      <c r="F7" s="3"/>
      <c r="G7" s="29">
        <v>2.5</v>
      </c>
      <c r="H7" s="10"/>
      <c r="I7" s="10">
        <f t="shared" si="5"/>
        <v>2686.0478056132729</v>
      </c>
      <c r="J7" s="10">
        <f t="shared" si="3"/>
        <v>1064008121109.1143</v>
      </c>
      <c r="K7" s="11">
        <f t="shared" si="4"/>
        <v>4.1809999999999903E-2</v>
      </c>
    </row>
    <row r="8" spans="1:13" ht="22.5" customHeight="1">
      <c r="A8" s="3">
        <f t="shared" si="0"/>
        <v>2009</v>
      </c>
      <c r="B8" s="3">
        <v>1759</v>
      </c>
      <c r="C8" s="10">
        <f t="shared" si="1"/>
        <v>389732432.8357541</v>
      </c>
      <c r="D8" s="11">
        <v>1.6899999999999998E-2</v>
      </c>
      <c r="E8" s="10">
        <f t="shared" si="2"/>
        <v>6477016.5354747176</v>
      </c>
      <c r="F8" s="3"/>
      <c r="G8" s="29">
        <v>7.86</v>
      </c>
      <c r="H8" s="10"/>
      <c r="I8" s="10">
        <f t="shared" si="5"/>
        <v>2620.534444500754</v>
      </c>
      <c r="J8" s="10">
        <f t="shared" si="3"/>
        <v>1021307264385.1703</v>
      </c>
      <c r="K8" s="11">
        <f t="shared" si="4"/>
        <v>9.6828340000000068E-2</v>
      </c>
    </row>
    <row r="9" spans="1:13" ht="22.5" customHeight="1">
      <c r="A9" s="3">
        <f t="shared" si="0"/>
        <v>2008</v>
      </c>
      <c r="B9" s="3">
        <v>1758</v>
      </c>
      <c r="C9" s="10">
        <f t="shared" si="1"/>
        <v>383255416.30027938</v>
      </c>
      <c r="D9" s="11">
        <v>1.7399999999999999E-2</v>
      </c>
      <c r="E9" s="10">
        <f t="shared" si="2"/>
        <v>6554594.3027569056</v>
      </c>
      <c r="F9" s="3"/>
      <c r="G9" s="29">
        <v>3.09</v>
      </c>
      <c r="H9" s="10"/>
      <c r="I9" s="10">
        <f t="shared" si="5"/>
        <v>2429.5702248291805</v>
      </c>
      <c r="J9" s="10">
        <f t="shared" si="3"/>
        <v>931145947947.6709</v>
      </c>
      <c r="K9" s="11">
        <f t="shared" si="4"/>
        <v>4.8837659999999783E-2</v>
      </c>
    </row>
    <row r="10" spans="1:13" ht="22.5" customHeight="1">
      <c r="A10" s="3">
        <f t="shared" si="0"/>
        <v>2007</v>
      </c>
      <c r="B10" s="3">
        <v>1757</v>
      </c>
      <c r="C10" s="10">
        <f t="shared" si="1"/>
        <v>376700821.99752247</v>
      </c>
      <c r="D10" s="11">
        <v>1.78E-2</v>
      </c>
      <c r="E10" s="10">
        <f t="shared" si="2"/>
        <v>6588008.0875967145</v>
      </c>
      <c r="F10" s="3"/>
      <c r="G10" s="29">
        <v>7.66</v>
      </c>
      <c r="H10" s="10"/>
      <c r="I10" s="10">
        <f t="shared" si="5"/>
        <v>2356.746750246562</v>
      </c>
      <c r="J10" s="10">
        <f t="shared" si="3"/>
        <v>887788438057.86975</v>
      </c>
      <c r="K10" s="11">
        <f t="shared" si="4"/>
        <v>9.5763480000000234E-2</v>
      </c>
    </row>
    <row r="11" spans="1:13" ht="22.5" customHeight="1">
      <c r="A11" s="3">
        <f t="shared" si="0"/>
        <v>2006</v>
      </c>
      <c r="B11" s="3">
        <v>1756</v>
      </c>
      <c r="C11" s="10">
        <f t="shared" si="1"/>
        <v>370112813.90992576</v>
      </c>
      <c r="D11" s="11">
        <v>1.8200000000000001E-2</v>
      </c>
      <c r="E11" s="10">
        <f t="shared" si="2"/>
        <v>6615648.4120611548</v>
      </c>
      <c r="F11" s="3"/>
      <c r="G11" s="29">
        <v>8.06</v>
      </c>
      <c r="H11" s="10"/>
      <c r="I11" s="10">
        <f t="shared" si="5"/>
        <v>2189.0644159823164</v>
      </c>
      <c r="J11" s="10">
        <f t="shared" si="3"/>
        <v>810200790829.30334</v>
      </c>
      <c r="K11" s="11">
        <f t="shared" si="4"/>
        <v>0.10026692000000015</v>
      </c>
    </row>
    <row r="12" spans="1:13" ht="22.5" customHeight="1">
      <c r="A12" s="3">
        <f t="shared" si="0"/>
        <v>2005</v>
      </c>
      <c r="B12" s="3">
        <v>1755</v>
      </c>
      <c r="C12" s="10">
        <f t="shared" si="1"/>
        <v>363497165.4978646</v>
      </c>
      <c r="D12" s="11">
        <v>1.8599999999999998E-2</v>
      </c>
      <c r="E12" s="10">
        <f t="shared" si="2"/>
        <v>6637588.1388771534</v>
      </c>
      <c r="F12" s="3"/>
      <c r="G12" s="29">
        <v>7.92</v>
      </c>
      <c r="H12" s="10"/>
      <c r="I12" s="10">
        <f t="shared" si="5"/>
        <v>2025.7860595801558</v>
      </c>
      <c r="J12" s="10">
        <f t="shared" si="3"/>
        <v>736367490562.47485</v>
      </c>
      <c r="K12" s="11">
        <f t="shared" si="4"/>
        <v>9.9273119999999881E-2</v>
      </c>
    </row>
    <row r="13" spans="1:13" ht="22.5" customHeight="1">
      <c r="A13" s="3">
        <f t="shared" si="0"/>
        <v>2004</v>
      </c>
      <c r="B13" s="3">
        <v>1754</v>
      </c>
      <c r="C13" s="10">
        <f t="shared" si="1"/>
        <v>356859577.35898745</v>
      </c>
      <c r="D13" s="11">
        <v>1.9099999999999999E-2</v>
      </c>
      <c r="E13" s="10">
        <f t="shared" si="2"/>
        <v>6688271.9336243868</v>
      </c>
      <c r="F13" s="3"/>
      <c r="G13" s="29">
        <v>7.92</v>
      </c>
      <c r="H13" s="10"/>
      <c r="I13" s="10">
        <f t="shared" si="5"/>
        <v>1877.1182909378761</v>
      </c>
      <c r="J13" s="10">
        <f t="shared" si="3"/>
        <v>669867639956.91528</v>
      </c>
      <c r="K13" s="11">
        <f t="shared" si="4"/>
        <v>9.9812719999999633E-2</v>
      </c>
    </row>
    <row r="14" spans="1:13" ht="22.5" customHeight="1">
      <c r="A14" s="3">
        <f t="shared" si="0"/>
        <v>2003</v>
      </c>
      <c r="B14" s="3">
        <v>1753</v>
      </c>
      <c r="C14" s="10">
        <f t="shared" si="1"/>
        <v>350171305.42536306</v>
      </c>
      <c r="D14" s="11">
        <v>1.9599999999999999E-2</v>
      </c>
      <c r="E14" s="10">
        <f t="shared" si="2"/>
        <v>6731421.720613122</v>
      </c>
      <c r="F14" s="3"/>
      <c r="G14" s="29">
        <v>7.86</v>
      </c>
      <c r="H14" s="10"/>
      <c r="I14" s="10">
        <f t="shared" si="5"/>
        <v>1739.3609070958823</v>
      </c>
      <c r="J14" s="10">
        <f t="shared" si="3"/>
        <v>609074279443.60876</v>
      </c>
      <c r="K14" s="11">
        <f t="shared" si="4"/>
        <v>9.9740560000000089E-2</v>
      </c>
    </row>
    <row r="15" spans="1:13" ht="22.5" customHeight="1">
      <c r="A15" s="3">
        <f t="shared" si="0"/>
        <v>2002</v>
      </c>
      <c r="B15" s="3">
        <v>1752</v>
      </c>
      <c r="C15" s="10">
        <f t="shared" si="1"/>
        <v>343439883.70474994</v>
      </c>
      <c r="D15" s="11">
        <v>2.01E-2</v>
      </c>
      <c r="E15" s="10">
        <f t="shared" si="2"/>
        <v>6767122.5002112389</v>
      </c>
      <c r="F15" s="3"/>
      <c r="G15" s="29">
        <v>3.8</v>
      </c>
      <c r="H15" s="10"/>
      <c r="I15" s="10">
        <f t="shared" si="5"/>
        <v>1612.609778505361</v>
      </c>
      <c r="J15" s="10">
        <f t="shared" si="3"/>
        <v>553834514791.02368</v>
      </c>
      <c r="K15" s="11">
        <f t="shared" si="4"/>
        <v>5.8863799999999911E-2</v>
      </c>
    </row>
    <row r="16" spans="1:13" ht="22.5" customHeight="1">
      <c r="A16" s="3">
        <f t="shared" si="0"/>
        <v>2001</v>
      </c>
      <c r="B16" s="3">
        <v>1751</v>
      </c>
      <c r="C16" s="10">
        <f t="shared" si="1"/>
        <v>336672761.2045387</v>
      </c>
      <c r="D16" s="11">
        <v>2.0400000000000001E-2</v>
      </c>
      <c r="E16" s="10">
        <f t="shared" si="2"/>
        <v>6730815.6885266304</v>
      </c>
      <c r="F16" s="3"/>
      <c r="G16" s="29">
        <v>4.82</v>
      </c>
      <c r="H16" s="10"/>
      <c r="I16" s="10">
        <f t="shared" si="5"/>
        <v>1553.5739677315617</v>
      </c>
      <c r="J16" s="10">
        <f t="shared" si="3"/>
        <v>523046037451.67578</v>
      </c>
      <c r="K16" s="11">
        <f t="shared" si="4"/>
        <v>6.9583280000000025E-2</v>
      </c>
    </row>
    <row r="17" spans="1:13" ht="22.5" customHeight="1">
      <c r="A17" s="3">
        <f t="shared" si="0"/>
        <v>2000</v>
      </c>
      <c r="B17" s="3">
        <v>1750</v>
      </c>
      <c r="C17" s="10">
        <f t="shared" si="1"/>
        <v>329941945.51601207</v>
      </c>
      <c r="D17" s="11">
        <v>2.07E-2</v>
      </c>
      <c r="E17" s="10">
        <f t="shared" si="2"/>
        <v>6691288.5981987119</v>
      </c>
      <c r="F17" s="3"/>
      <c r="G17" s="29">
        <v>3.84</v>
      </c>
      <c r="H17" s="10"/>
      <c r="I17" s="10">
        <f t="shared" si="5"/>
        <v>1482.1350579389064</v>
      </c>
      <c r="J17" s="10">
        <f t="shared" si="3"/>
        <v>489018524533.85004</v>
      </c>
      <c r="K17" s="11">
        <f t="shared" si="4"/>
        <v>5.9894879999999873E-2</v>
      </c>
    </row>
    <row r="18" spans="1:13" ht="22.5" customHeight="1">
      <c r="A18" s="3">
        <f t="shared" si="0"/>
        <v>1999</v>
      </c>
      <c r="B18" s="3">
        <v>1749</v>
      </c>
      <c r="C18" s="10">
        <f t="shared" si="1"/>
        <v>323250656.91781336</v>
      </c>
      <c r="D18" s="11">
        <v>2.0899999999999998E-2</v>
      </c>
      <c r="E18" s="10">
        <f t="shared" si="2"/>
        <v>6617630.2572066784</v>
      </c>
      <c r="F18" s="3"/>
      <c r="G18" s="29">
        <v>8.85</v>
      </c>
      <c r="H18" s="10"/>
      <c r="I18" s="10">
        <f t="shared" si="5"/>
        <v>1427.3257491707495</v>
      </c>
      <c r="J18" s="10">
        <f t="shared" si="3"/>
        <v>461383986055.15491</v>
      </c>
      <c r="K18" s="11">
        <f t="shared" si="4"/>
        <v>0.11124964999999998</v>
      </c>
    </row>
    <row r="19" spans="1:13" ht="22.5" customHeight="1">
      <c r="A19" s="3">
        <f t="shared" si="0"/>
        <v>1998</v>
      </c>
      <c r="B19" s="3">
        <v>1748</v>
      </c>
      <c r="C19" s="10">
        <f t="shared" si="1"/>
        <v>316633026.66060668</v>
      </c>
      <c r="D19" s="11">
        <v>2.1100000000000001E-2</v>
      </c>
      <c r="E19" s="10">
        <f t="shared" si="2"/>
        <v>6542901.6379774213</v>
      </c>
      <c r="F19" s="3"/>
      <c r="G19" s="29">
        <v>6.18</v>
      </c>
      <c r="H19" s="10"/>
      <c r="I19" s="10">
        <f t="shared" si="5"/>
        <v>1311.2776749386767</v>
      </c>
      <c r="J19" s="10">
        <f t="shared" si="3"/>
        <v>415193819008.31635</v>
      </c>
      <c r="K19" s="11">
        <f t="shared" si="4"/>
        <v>8.4203979999999845E-2</v>
      </c>
    </row>
    <row r="20" spans="1:13" ht="22.5" customHeight="1">
      <c r="A20" s="3">
        <f t="shared" si="0"/>
        <v>1997</v>
      </c>
      <c r="B20" s="3">
        <v>1747</v>
      </c>
      <c r="C20" s="10">
        <f t="shared" si="1"/>
        <v>310090125.02262926</v>
      </c>
      <c r="D20" s="11">
        <v>2.12E-2</v>
      </c>
      <c r="E20" s="10">
        <f t="shared" si="2"/>
        <v>6437436.9863687754</v>
      </c>
      <c r="F20" s="3"/>
      <c r="G20" s="29">
        <v>4.05</v>
      </c>
      <c r="H20" s="10"/>
      <c r="I20" s="10">
        <f t="shared" si="5"/>
        <v>1234.9573129955515</v>
      </c>
      <c r="J20" s="10">
        <f t="shared" si="3"/>
        <v>382948067584.40088</v>
      </c>
      <c r="K20" s="11">
        <f t="shared" si="4"/>
        <v>6.2558600000000242E-2</v>
      </c>
    </row>
    <row r="21" spans="1:13" ht="22.5" customHeight="1">
      <c r="A21" s="3">
        <f t="shared" si="0"/>
        <v>1996</v>
      </c>
      <c r="B21" s="3">
        <v>1746</v>
      </c>
      <c r="C21" s="10">
        <f t="shared" si="1"/>
        <v>303652688.03626049</v>
      </c>
      <c r="D21" s="11">
        <v>2.1399999999999999E-2</v>
      </c>
      <c r="E21" s="10">
        <f t="shared" si="2"/>
        <v>6362020.2897748351</v>
      </c>
      <c r="F21" s="3"/>
      <c r="G21" s="29">
        <v>7.55</v>
      </c>
      <c r="H21" s="10"/>
      <c r="I21" s="10">
        <f t="shared" si="5"/>
        <v>1186.8883354113902</v>
      </c>
      <c r="J21" s="10">
        <f t="shared" si="3"/>
        <v>360401833446.55139</v>
      </c>
      <c r="K21" s="11">
        <f t="shared" si="4"/>
        <v>9.8515700000000095E-2</v>
      </c>
    </row>
    <row r="22" spans="1:13" ht="22.5" customHeight="1">
      <c r="A22" s="3">
        <f t="shared" si="0"/>
        <v>1995</v>
      </c>
      <c r="B22" s="3">
        <v>1745</v>
      </c>
      <c r="C22" s="10">
        <f t="shared" si="1"/>
        <v>297290667.74648565</v>
      </c>
      <c r="D22" s="11">
        <v>2.1700000000000001E-2</v>
      </c>
      <c r="E22" s="10">
        <f t="shared" si="2"/>
        <v>6314189.5762931705</v>
      </c>
      <c r="F22" s="3"/>
      <c r="G22" s="29">
        <v>7.57</v>
      </c>
      <c r="H22" s="10"/>
      <c r="I22" s="10">
        <f t="shared" si="5"/>
        <v>1103.5688846223993</v>
      </c>
      <c r="J22" s="10">
        <f t="shared" si="3"/>
        <v>328080730613.63745</v>
      </c>
      <c r="K22" s="11">
        <f t="shared" si="4"/>
        <v>9.9042689999999878E-2</v>
      </c>
    </row>
    <row r="23" spans="1:13" ht="22.5" customHeight="1">
      <c r="A23" s="3">
        <f t="shared" si="0"/>
        <v>1994</v>
      </c>
      <c r="B23" s="3">
        <v>1744</v>
      </c>
      <c r="C23" s="10">
        <f t="shared" si="1"/>
        <v>290976478.17019248</v>
      </c>
      <c r="D23" s="11">
        <v>2.1999999999999999E-2</v>
      </c>
      <c r="E23" s="10">
        <f t="shared" si="2"/>
        <v>6263681.5261685252</v>
      </c>
      <c r="F23" s="3"/>
      <c r="G23" s="29">
        <v>6.66</v>
      </c>
      <c r="H23" s="10"/>
      <c r="I23" s="10">
        <f t="shared" si="5"/>
        <v>1025.907673721669</v>
      </c>
      <c r="J23" s="10">
        <f t="shared" si="3"/>
        <v>298515001827.30615</v>
      </c>
      <c r="K23" s="11">
        <f t="shared" si="4"/>
        <v>9.0065199999999956E-2</v>
      </c>
    </row>
    <row r="24" spans="1:13" ht="22.5" customHeight="1">
      <c r="A24" s="3">
        <f t="shared" si="0"/>
        <v>1993</v>
      </c>
      <c r="B24" s="3">
        <v>1743</v>
      </c>
      <c r="C24" s="10">
        <f t="shared" si="1"/>
        <v>284712796.64402395</v>
      </c>
      <c r="D24" s="11">
        <v>2.23E-2</v>
      </c>
      <c r="E24" s="10">
        <f t="shared" si="2"/>
        <v>6210599.0072989464</v>
      </c>
      <c r="F24" s="3"/>
      <c r="G24" s="29">
        <v>4.75</v>
      </c>
      <c r="H24" s="10"/>
      <c r="I24" s="10">
        <f t="shared" si="5"/>
        <v>961.84855964904273</v>
      </c>
      <c r="J24" s="10">
        <f t="shared" si="3"/>
        <v>273850593365.70526</v>
      </c>
      <c r="K24" s="11">
        <f t="shared" si="4"/>
        <v>7.085925000000004E-2</v>
      </c>
    </row>
    <row r="25" spans="1:13" ht="22.5" customHeight="1">
      <c r="A25" s="3">
        <f t="shared" si="0"/>
        <v>1992</v>
      </c>
      <c r="B25" s="3">
        <v>1742</v>
      </c>
      <c r="C25" s="10">
        <f t="shared" si="1"/>
        <v>278502197.63672501</v>
      </c>
      <c r="D25" s="11">
        <v>2.2700000000000001E-2</v>
      </c>
      <c r="E25" s="10">
        <f t="shared" si="2"/>
        <v>6181675.8446794152</v>
      </c>
      <c r="F25" s="3"/>
      <c r="G25" s="29">
        <v>5.48</v>
      </c>
      <c r="H25" s="10"/>
      <c r="I25" s="10">
        <f t="shared" si="5"/>
        <v>918.23251517808364</v>
      </c>
      <c r="J25" s="10">
        <f t="shared" si="3"/>
        <v>255729773418.59375</v>
      </c>
      <c r="K25" s="11">
        <f t="shared" si="4"/>
        <v>7.8743959999999946E-2</v>
      </c>
    </row>
    <row r="26" spans="1:13" ht="22.5" customHeight="1">
      <c r="A26" s="3">
        <f t="shared" si="0"/>
        <v>1991</v>
      </c>
      <c r="B26" s="3">
        <v>1741</v>
      </c>
      <c r="C26" s="10">
        <f t="shared" si="1"/>
        <v>272320521.79204559</v>
      </c>
      <c r="D26" s="11">
        <v>2.3E-2</v>
      </c>
      <c r="E26" s="10">
        <f t="shared" si="2"/>
        <v>6122553.2758719623</v>
      </c>
      <c r="F26" s="3"/>
      <c r="G26" s="29">
        <v>1.06</v>
      </c>
      <c r="H26" s="10"/>
      <c r="I26" s="10">
        <f t="shared" si="5"/>
        <v>870.5276025579102</v>
      </c>
      <c r="J26" s="10">
        <f t="shared" si="3"/>
        <v>237062530962.94858</v>
      </c>
      <c r="K26" s="11">
        <f t="shared" si="4"/>
        <v>3.3843799999999868E-2</v>
      </c>
    </row>
    <row r="27" spans="1:13" ht="22.5" customHeight="1">
      <c r="A27" s="3">
        <f t="shared" si="0"/>
        <v>1990</v>
      </c>
      <c r="B27" s="3">
        <v>1740</v>
      </c>
      <c r="C27" s="10">
        <f t="shared" si="1"/>
        <v>266197968.51617363</v>
      </c>
      <c r="D27" s="11">
        <v>2.3199999999999998E-2</v>
      </c>
      <c r="E27" s="10">
        <f t="shared" si="2"/>
        <v>6035763.1641665995</v>
      </c>
      <c r="F27" s="3"/>
      <c r="G27" s="29">
        <v>-5.53</v>
      </c>
      <c r="H27" s="10"/>
      <c r="I27" s="10">
        <f t="shared" si="5"/>
        <v>861.39679651485278</v>
      </c>
      <c r="J27" s="10">
        <f t="shared" si="3"/>
        <v>229302077318.5936</v>
      </c>
      <c r="K27" s="11">
        <f t="shared" si="4"/>
        <v>-3.3382959999999851E-2</v>
      </c>
      <c r="L27" t="s">
        <v>88</v>
      </c>
      <c r="M27" t="s">
        <v>89</v>
      </c>
    </row>
    <row r="28" spans="1:13" ht="22.5" customHeight="1">
      <c r="A28" s="3">
        <f t="shared" si="0"/>
        <v>1989</v>
      </c>
      <c r="B28" s="3">
        <v>1739</v>
      </c>
      <c r="C28" s="10">
        <f t="shared" si="1"/>
        <v>260162205.35200703</v>
      </c>
      <c r="D28" s="11">
        <v>2.3400000000000001E-2</v>
      </c>
      <c r="E28" s="10">
        <f t="shared" si="2"/>
        <v>5948598.4026157856</v>
      </c>
      <c r="F28" s="3"/>
      <c r="G28" s="29">
        <v>5.95</v>
      </c>
      <c r="H28" s="10"/>
      <c r="I28" s="10">
        <f t="shared" si="5"/>
        <v>911.82046841838974</v>
      </c>
      <c r="J28" s="10">
        <f t="shared" si="3"/>
        <v>237221223948.82834</v>
      </c>
      <c r="K28" s="11">
        <f t="shared" si="4"/>
        <v>8.4292300000000209E-2</v>
      </c>
    </row>
    <row r="29" spans="1:13" ht="22.5" customHeight="1">
      <c r="A29" s="3">
        <f t="shared" si="0"/>
        <v>1988</v>
      </c>
      <c r="B29" s="3">
        <v>1738</v>
      </c>
      <c r="C29" s="10">
        <f t="shared" si="1"/>
        <v>254213606.94939125</v>
      </c>
      <c r="D29" s="11">
        <v>2.35E-2</v>
      </c>
      <c r="E29" s="10">
        <f t="shared" si="2"/>
        <v>5836853.7013294697</v>
      </c>
      <c r="F29" s="3"/>
      <c r="G29" s="29">
        <v>9.6300000000000008</v>
      </c>
      <c r="H29" s="10"/>
      <c r="I29" s="10">
        <f t="shared" si="5"/>
        <v>860.61393904520025</v>
      </c>
      <c r="J29" s="10">
        <f t="shared" si="3"/>
        <v>218779773635.60388</v>
      </c>
      <c r="K29" s="11">
        <f t="shared" si="4"/>
        <v>0.12206305000000017</v>
      </c>
    </row>
    <row r="30" spans="1:13" ht="22.5" customHeight="1">
      <c r="A30" s="3">
        <f t="shared" si="0"/>
        <v>1987</v>
      </c>
      <c r="B30" s="3">
        <v>1737</v>
      </c>
      <c r="C30" s="10">
        <f t="shared" si="1"/>
        <v>248376753.24806178</v>
      </c>
      <c r="D30" s="11">
        <v>2.3599999999999999E-2</v>
      </c>
      <c r="E30" s="10">
        <f t="shared" si="2"/>
        <v>5726544.9166219831</v>
      </c>
      <c r="F30" s="3"/>
      <c r="G30" s="29">
        <v>3.97</v>
      </c>
      <c r="H30" s="10"/>
      <c r="I30" s="10">
        <f t="shared" si="5"/>
        <v>785.01681934251587</v>
      </c>
      <c r="J30" s="10">
        <f t="shared" si="3"/>
        <v>194979928833.41437</v>
      </c>
      <c r="K30" s="11">
        <f t="shared" si="4"/>
        <v>6.4236920000000142E-2</v>
      </c>
    </row>
    <row r="31" spans="1:13" ht="22.5" customHeight="1">
      <c r="A31" s="3">
        <f t="shared" si="0"/>
        <v>1986</v>
      </c>
      <c r="B31" s="3">
        <v>1736</v>
      </c>
      <c r="C31" s="10">
        <f t="shared" si="1"/>
        <v>242650208.33143979</v>
      </c>
      <c r="D31" s="11">
        <v>2.3699999999999999E-2</v>
      </c>
      <c r="E31" s="10">
        <f t="shared" si="2"/>
        <v>5617671.1316353679</v>
      </c>
      <c r="F31" s="3"/>
      <c r="G31" s="29">
        <v>4.78</v>
      </c>
      <c r="H31" s="10"/>
      <c r="I31" s="10">
        <f t="shared" si="5"/>
        <v>755.04166523277468</v>
      </c>
      <c r="J31" s="10">
        <f t="shared" si="3"/>
        <v>183211017367.64999</v>
      </c>
      <c r="K31" s="11">
        <f t="shared" si="4"/>
        <v>7.2632860000000132E-2</v>
      </c>
    </row>
    <row r="32" spans="1:13" ht="22.5" customHeight="1">
      <c r="A32" s="3">
        <f t="shared" si="0"/>
        <v>1985</v>
      </c>
      <c r="B32" s="3">
        <v>1735</v>
      </c>
      <c r="C32" s="10">
        <f t="shared" si="1"/>
        <v>237032537.19980443</v>
      </c>
      <c r="D32" s="11">
        <v>2.3699999999999999E-2</v>
      </c>
      <c r="E32" s="10">
        <f t="shared" si="2"/>
        <v>5487614.6640962958</v>
      </c>
      <c r="F32" s="3"/>
      <c r="G32" s="29">
        <v>5.25</v>
      </c>
      <c r="H32" s="10"/>
      <c r="I32" s="10">
        <f t="shared" si="5"/>
        <v>720.59712276462551</v>
      </c>
      <c r="J32" s="10">
        <f t="shared" si="3"/>
        <v>170804964307.77814</v>
      </c>
      <c r="K32" s="11">
        <f t="shared" si="4"/>
        <v>7.7444250000000103E-2</v>
      </c>
    </row>
    <row r="33" spans="1:13" ht="22.5" customHeight="1">
      <c r="A33" s="3">
        <f t="shared" si="0"/>
        <v>1984</v>
      </c>
      <c r="B33" s="3">
        <v>1734</v>
      </c>
      <c r="C33" s="10">
        <f t="shared" si="1"/>
        <v>231544922.53570813</v>
      </c>
      <c r="D33" s="11">
        <v>2.3699999999999999E-2</v>
      </c>
      <c r="E33" s="10">
        <f t="shared" si="2"/>
        <v>5360569.1746569276</v>
      </c>
      <c r="F33" s="3"/>
      <c r="G33" s="29">
        <v>3.82</v>
      </c>
      <c r="H33" s="10"/>
      <c r="I33" s="10">
        <f t="shared" si="5"/>
        <v>684.65284823242325</v>
      </c>
      <c r="J33" s="10">
        <f t="shared" si="3"/>
        <v>158527890707.82837</v>
      </c>
      <c r="K33" s="11">
        <f t="shared" si="4"/>
        <v>6.2805339999999932E-2</v>
      </c>
    </row>
    <row r="34" spans="1:13" ht="22.5" customHeight="1">
      <c r="A34" s="3">
        <f t="shared" si="0"/>
        <v>1983</v>
      </c>
      <c r="B34" s="3">
        <v>1733</v>
      </c>
      <c r="C34" s="10">
        <f t="shared" si="1"/>
        <v>226184353.3610512</v>
      </c>
      <c r="D34" s="11">
        <v>2.3699999999999999E-2</v>
      </c>
      <c r="E34" s="10">
        <f t="shared" si="2"/>
        <v>5236464.9552182555</v>
      </c>
      <c r="F34" s="3"/>
      <c r="G34" s="29">
        <v>5.99</v>
      </c>
      <c r="H34" s="10"/>
      <c r="I34" s="10">
        <f t="shared" si="5"/>
        <v>659.4614219152603</v>
      </c>
      <c r="J34" s="10">
        <f t="shared" ref="J34:J65" si="6">IF(I34="","",I34*C34)</f>
        <v>149159855282.46252</v>
      </c>
      <c r="K34" s="11">
        <f t="shared" ref="K34:K65" si="7">IFERROR(J34/J35-1,"")</f>
        <v>9.8327730000000058E-2</v>
      </c>
    </row>
    <row r="35" spans="1:13" ht="22.5" customHeight="1">
      <c r="A35" s="3">
        <f t="shared" si="0"/>
        <v>1982</v>
      </c>
      <c r="B35" s="3">
        <v>1732</v>
      </c>
      <c r="C35" s="10">
        <f t="shared" si="1"/>
        <v>220947888.40583295</v>
      </c>
      <c r="D35" s="11">
        <v>2.35E-2</v>
      </c>
      <c r="E35" s="10">
        <f t="shared" si="2"/>
        <v>5073058.5027230978</v>
      </c>
      <c r="F35" s="3"/>
      <c r="G35" s="29">
        <v>0.78</v>
      </c>
      <c r="H35" s="10"/>
      <c r="I35" s="10">
        <f t="shared" ref="I35:I66" si="8">IF(H35&lt;&gt;"",H35,I34/(1+IF(G34="",0,G34)/100))</f>
        <v>614.65320338825643</v>
      </c>
      <c r="J35" s="10">
        <f t="shared" si="6"/>
        <v>135806327390.51622</v>
      </c>
      <c r="K35" s="11">
        <f t="shared" si="7"/>
        <v>5.9117799999999887E-2</v>
      </c>
    </row>
    <row r="36" spans="1:13" ht="22.5" customHeight="1">
      <c r="A36" s="3">
        <f t="shared" si="0"/>
        <v>1981</v>
      </c>
      <c r="B36" s="3">
        <v>1731</v>
      </c>
      <c r="C36" s="10">
        <f t="shared" si="1"/>
        <v>215874829.90310985</v>
      </c>
      <c r="D36" s="11">
        <v>2.3199999999999998E-2</v>
      </c>
      <c r="E36" s="10">
        <f t="shared" si="2"/>
        <v>4894738.129155755</v>
      </c>
      <c r="F36" s="3"/>
      <c r="G36" s="29">
        <v>-3.79</v>
      </c>
      <c r="H36" s="10"/>
      <c r="I36" s="10">
        <f t="shared" si="8"/>
        <v>593.98260860867458</v>
      </c>
      <c r="J36" s="10">
        <f t="shared" si="6"/>
        <v>128225894598.8031</v>
      </c>
      <c r="K36" s="11">
        <f t="shared" si="7"/>
        <v>3.3534320000000228E-2</v>
      </c>
    </row>
    <row r="37" spans="1:13" ht="22.5" customHeight="1">
      <c r="A37" s="3">
        <f t="shared" si="0"/>
        <v>1980</v>
      </c>
      <c r="B37" s="3">
        <v>1730</v>
      </c>
      <c r="C37" s="10">
        <f t="shared" si="1"/>
        <v>210980091.77395409</v>
      </c>
      <c r="D37" s="11">
        <v>2.2800000000000001E-2</v>
      </c>
      <c r="E37" s="10">
        <f t="shared" si="2"/>
        <v>4703115.0688757598</v>
      </c>
      <c r="F37" s="3"/>
      <c r="G37" s="29">
        <v>-2.56</v>
      </c>
      <c r="H37" s="10"/>
      <c r="I37" s="10">
        <f t="shared" si="8"/>
        <v>588.04337056595841</v>
      </c>
      <c r="J37" s="10">
        <f t="shared" si="6"/>
        <v>124065444289.0712</v>
      </c>
      <c r="K37" s="11">
        <f t="shared" si="7"/>
        <v>5.0824719999999823E-2</v>
      </c>
      <c r="L37" t="s">
        <v>92</v>
      </c>
      <c r="M37" t="s">
        <v>93</v>
      </c>
    </row>
    <row r="38" spans="1:13" ht="22.5" customHeight="1">
      <c r="A38" s="3">
        <f t="shared" si="0"/>
        <v>1979</v>
      </c>
      <c r="B38" s="3">
        <v>1729</v>
      </c>
      <c r="C38" s="10">
        <f t="shared" si="1"/>
        <v>206276976.70507833</v>
      </c>
      <c r="D38" s="11">
        <v>2.2499999999999999E-2</v>
      </c>
      <c r="E38" s="10">
        <f t="shared" si="2"/>
        <v>4539102.1768843532</v>
      </c>
      <c r="F38" s="3"/>
      <c r="G38" s="29">
        <v>-8.94</v>
      </c>
      <c r="H38" s="10"/>
      <c r="I38" s="10">
        <f t="shared" si="8"/>
        <v>572.36068772236558</v>
      </c>
      <c r="J38" s="10">
        <f t="shared" si="6"/>
        <v>118064832248.20901</v>
      </c>
      <c r="K38" s="11">
        <f t="shared" si="7"/>
        <v>-3.1079000000000079E-2</v>
      </c>
      <c r="L38" t="s">
        <v>98</v>
      </c>
      <c r="M38" t="s">
        <v>99</v>
      </c>
    </row>
    <row r="39" spans="1:13" ht="22.5" customHeight="1">
      <c r="A39" s="3">
        <f t="shared" si="0"/>
        <v>1978</v>
      </c>
      <c r="B39" s="3">
        <v>1728</v>
      </c>
      <c r="C39" s="10">
        <f t="shared" si="1"/>
        <v>201737874.52819398</v>
      </c>
      <c r="D39" s="11">
        <v>2.24E-2</v>
      </c>
      <c r="E39" s="10">
        <f t="shared" si="2"/>
        <v>4419922.1336380541</v>
      </c>
      <c r="F39" s="3"/>
      <c r="G39" s="29">
        <v>5.71</v>
      </c>
      <c r="H39" s="10"/>
      <c r="I39" s="10">
        <f t="shared" si="8"/>
        <v>604.01085660865931</v>
      </c>
      <c r="J39" s="10">
        <f t="shared" si="6"/>
        <v>121851866404.18468</v>
      </c>
      <c r="K39" s="11">
        <f t="shared" si="7"/>
        <v>8.0779039999999913E-2</v>
      </c>
    </row>
    <row r="40" spans="1:13" ht="22.5" customHeight="1">
      <c r="A40" s="3">
        <f t="shared" si="0"/>
        <v>1977</v>
      </c>
      <c r="B40" s="3">
        <v>1727</v>
      </c>
      <c r="C40" s="10">
        <f t="shared" si="1"/>
        <v>197317952.39455593</v>
      </c>
      <c r="D40" s="11">
        <v>2.2499999999999999E-2</v>
      </c>
      <c r="E40" s="10">
        <f t="shared" si="2"/>
        <v>4341959.8326430321</v>
      </c>
      <c r="F40" s="3"/>
      <c r="G40" s="29">
        <v>7.25</v>
      </c>
      <c r="H40" s="10"/>
      <c r="I40" s="10">
        <f t="shared" si="8"/>
        <v>571.38478536435468</v>
      </c>
      <c r="J40" s="10">
        <f t="shared" si="6"/>
        <v>112744475877.4973</v>
      </c>
      <c r="K40" s="11">
        <f t="shared" si="7"/>
        <v>9.6631249999999946E-2</v>
      </c>
    </row>
    <row r="41" spans="1:13" ht="22.5" customHeight="1">
      <c r="A41" s="3">
        <f t="shared" si="0"/>
        <v>1976</v>
      </c>
      <c r="B41" s="3">
        <v>1726</v>
      </c>
      <c r="C41" s="10">
        <f t="shared" si="1"/>
        <v>192975992.56191289</v>
      </c>
      <c r="D41" s="11">
        <v>2.2700000000000001E-2</v>
      </c>
      <c r="E41" s="10">
        <f t="shared" si="2"/>
        <v>4283323.5857586861</v>
      </c>
      <c r="F41" s="3"/>
      <c r="G41" s="29">
        <v>1.66</v>
      </c>
      <c r="H41" s="10"/>
      <c r="I41" s="10">
        <f t="shared" si="8"/>
        <v>532.75970663343094</v>
      </c>
      <c r="J41" s="10">
        <f t="shared" si="6"/>
        <v>102809833184.57986</v>
      </c>
      <c r="K41" s="11">
        <f t="shared" si="7"/>
        <v>3.9676819999999724E-2</v>
      </c>
    </row>
    <row r="42" spans="1:13" ht="22.5" customHeight="1">
      <c r="A42" s="3">
        <f t="shared" si="0"/>
        <v>1975</v>
      </c>
      <c r="B42" s="3">
        <v>1725</v>
      </c>
      <c r="C42" s="10">
        <f t="shared" si="1"/>
        <v>188692668.97615421</v>
      </c>
      <c r="D42" s="11">
        <v>2.2800000000000001E-2</v>
      </c>
      <c r="E42" s="10">
        <f t="shared" si="2"/>
        <v>4206289.4531250596</v>
      </c>
      <c r="F42" s="3"/>
      <c r="G42" s="29">
        <v>-8.4</v>
      </c>
      <c r="H42" s="10"/>
      <c r="I42" s="10">
        <f t="shared" si="8"/>
        <v>524.06030556111648</v>
      </c>
      <c r="J42" s="10">
        <f t="shared" si="6"/>
        <v>98886337760.78598</v>
      </c>
      <c r="K42" s="11">
        <f t="shared" si="7"/>
        <v>-6.3115200000000038E-2</v>
      </c>
      <c r="L42" t="s">
        <v>96</v>
      </c>
      <c r="M42" t="s">
        <v>97</v>
      </c>
    </row>
    <row r="43" spans="1:13" ht="22.5" customHeight="1">
      <c r="A43" s="3">
        <f t="shared" si="0"/>
        <v>1974</v>
      </c>
      <c r="B43" s="3">
        <v>1724</v>
      </c>
      <c r="C43" s="10">
        <f t="shared" si="1"/>
        <v>184486379.52302915</v>
      </c>
      <c r="D43" s="11">
        <v>2.2800000000000001E-2</v>
      </c>
      <c r="E43" s="10">
        <f t="shared" si="2"/>
        <v>4112523.9080221355</v>
      </c>
      <c r="F43" s="3"/>
      <c r="G43" s="29">
        <v>1.19</v>
      </c>
      <c r="H43" s="10"/>
      <c r="I43" s="10">
        <f t="shared" si="8"/>
        <v>572.11823751213592</v>
      </c>
      <c r="J43" s="10">
        <f t="shared" si="6"/>
        <v>105548022297.71043</v>
      </c>
      <c r="K43" s="11">
        <f t="shared" si="7"/>
        <v>3.4971319999999917E-2</v>
      </c>
    </row>
    <row r="44" spans="1:13" ht="22.5" customHeight="1">
      <c r="A44" s="3">
        <f t="shared" si="0"/>
        <v>1973</v>
      </c>
      <c r="B44" s="3">
        <v>1723</v>
      </c>
      <c r="C44" s="10">
        <f t="shared" si="1"/>
        <v>180373855.61500701</v>
      </c>
      <c r="D44" s="11">
        <v>2.2700000000000001E-2</v>
      </c>
      <c r="E44" s="10">
        <f t="shared" si="2"/>
        <v>4003604.6958645284</v>
      </c>
      <c r="F44" s="3"/>
      <c r="G44" s="29">
        <v>3.3</v>
      </c>
      <c r="H44" s="10"/>
      <c r="I44" s="10">
        <f t="shared" si="8"/>
        <v>565.39009537714787</v>
      </c>
      <c r="J44" s="10">
        <f t="shared" si="6"/>
        <v>101981591429.71271</v>
      </c>
      <c r="K44" s="11">
        <f t="shared" si="7"/>
        <v>5.6449099999999808E-2</v>
      </c>
    </row>
    <row r="45" spans="1:13" ht="22.5" customHeight="1">
      <c r="A45" s="3">
        <f t="shared" si="0"/>
        <v>1972</v>
      </c>
      <c r="B45" s="3">
        <v>1722</v>
      </c>
      <c r="C45" s="10">
        <f t="shared" si="1"/>
        <v>176370250.91914248</v>
      </c>
      <c r="D45" s="11">
        <v>2.24E-2</v>
      </c>
      <c r="E45" s="10">
        <f t="shared" si="2"/>
        <v>3864136.9528450668</v>
      </c>
      <c r="F45" s="3"/>
      <c r="G45" s="29">
        <v>-0.55000000000000004</v>
      </c>
      <c r="H45" s="10"/>
      <c r="I45" s="10">
        <f t="shared" si="8"/>
        <v>547.32826270779083</v>
      </c>
      <c r="J45" s="10">
        <f t="shared" si="6"/>
        <v>96532423028.911407</v>
      </c>
      <c r="K45" s="11">
        <f t="shared" si="7"/>
        <v>1.6776800000000147E-2</v>
      </c>
    </row>
    <row r="46" spans="1:13" ht="22.5" customHeight="1">
      <c r="A46" s="3">
        <f t="shared" si="0"/>
        <v>1971</v>
      </c>
      <c r="B46" s="3">
        <v>1721</v>
      </c>
      <c r="C46" s="10">
        <f t="shared" si="1"/>
        <v>172506113.96629742</v>
      </c>
      <c r="D46" s="11">
        <v>2.1999999999999999E-2</v>
      </c>
      <c r="E46" s="10">
        <f t="shared" si="2"/>
        <v>3713438.8525034785</v>
      </c>
      <c r="F46" s="3"/>
      <c r="G46" s="29">
        <v>1.64</v>
      </c>
      <c r="H46" s="10"/>
      <c r="I46" s="10">
        <f t="shared" si="8"/>
        <v>550.35521639797969</v>
      </c>
      <c r="J46" s="10">
        <f t="shared" si="6"/>
        <v>94939639681.896164</v>
      </c>
      <c r="K46" s="11">
        <f t="shared" si="7"/>
        <v>3.8760800000000151E-2</v>
      </c>
    </row>
    <row r="47" spans="1:13" ht="22.5" customHeight="1">
      <c r="A47" s="3">
        <f t="shared" si="0"/>
        <v>1970</v>
      </c>
      <c r="B47" s="3">
        <v>1720</v>
      </c>
      <c r="C47" s="10">
        <f t="shared" si="1"/>
        <v>168792675.11379394</v>
      </c>
      <c r="D47" s="11">
        <v>2.1700000000000001E-2</v>
      </c>
      <c r="E47" s="10">
        <f t="shared" si="2"/>
        <v>3585006.4108538032</v>
      </c>
      <c r="F47" s="3"/>
      <c r="G47" s="29">
        <v>5.16</v>
      </c>
      <c r="H47" s="10"/>
      <c r="I47" s="10">
        <f t="shared" si="8"/>
        <v>541.47502597203822</v>
      </c>
      <c r="J47" s="10">
        <f t="shared" si="6"/>
        <v>91397018141.131378</v>
      </c>
      <c r="K47" s="11">
        <f t="shared" si="7"/>
        <v>7.4419720000000078E-2</v>
      </c>
    </row>
    <row r="48" spans="1:13" ht="22.5" customHeight="1">
      <c r="A48" s="3">
        <f t="shared" si="0"/>
        <v>1969</v>
      </c>
      <c r="B48" s="3">
        <v>1719</v>
      </c>
      <c r="C48" s="10">
        <f t="shared" si="1"/>
        <v>165207668.70294014</v>
      </c>
      <c r="D48" s="11">
        <v>2.1499999999999998E-2</v>
      </c>
      <c r="E48" s="10">
        <f t="shared" si="2"/>
        <v>3477204.9702527821</v>
      </c>
      <c r="F48" s="3"/>
      <c r="G48" s="29">
        <v>6.54</v>
      </c>
      <c r="H48" s="10"/>
      <c r="I48" s="10">
        <f t="shared" si="8"/>
        <v>514.90588243822572</v>
      </c>
      <c r="J48" s="10">
        <f t="shared" si="6"/>
        <v>85066400439.049438</v>
      </c>
      <c r="K48" s="11">
        <f t="shared" si="7"/>
        <v>8.8306099999999832E-2</v>
      </c>
    </row>
    <row r="49" spans="1:11" ht="22.5" customHeight="1">
      <c r="A49" s="3">
        <f t="shared" si="0"/>
        <v>1968</v>
      </c>
      <c r="B49" s="3">
        <v>1718</v>
      </c>
      <c r="C49" s="10">
        <f t="shared" si="1"/>
        <v>161730463.73268735</v>
      </c>
      <c r="D49" s="11">
        <v>2.1499999999999998E-2</v>
      </c>
      <c r="E49" s="10">
        <f t="shared" si="2"/>
        <v>3404018.5709767938</v>
      </c>
      <c r="F49" s="3"/>
      <c r="G49" s="29">
        <v>3.39</v>
      </c>
      <c r="H49" s="10"/>
      <c r="I49" s="10">
        <f t="shared" si="8"/>
        <v>483.2981813762209</v>
      </c>
      <c r="J49" s="10">
        <f t="shared" si="6"/>
        <v>78164038995.140656</v>
      </c>
      <c r="K49" s="11">
        <f t="shared" si="7"/>
        <v>5.6128850000000119E-2</v>
      </c>
    </row>
    <row r="50" spans="1:11" ht="22.5" customHeight="1">
      <c r="A50" s="3">
        <f t="shared" si="0"/>
        <v>1967</v>
      </c>
      <c r="B50" s="3">
        <v>1717</v>
      </c>
      <c r="C50" s="10">
        <f t="shared" si="1"/>
        <v>158326445.16171056</v>
      </c>
      <c r="D50" s="11">
        <v>2.1499999999999998E-2</v>
      </c>
      <c r="E50" s="10">
        <f t="shared" si="2"/>
        <v>3332372.5609170794</v>
      </c>
      <c r="F50" s="3"/>
      <c r="G50" s="29">
        <v>7.83</v>
      </c>
      <c r="H50" s="10"/>
      <c r="I50" s="10">
        <f t="shared" si="8"/>
        <v>467.45157304983161</v>
      </c>
      <c r="J50" s="10">
        <f t="shared" si="6"/>
        <v>74009945846.229507</v>
      </c>
      <c r="K50" s="11">
        <f t="shared" si="7"/>
        <v>0.10148345000000036</v>
      </c>
    </row>
    <row r="51" spans="1:11" ht="22.5" customHeight="1">
      <c r="A51" s="3">
        <f t="shared" si="0"/>
        <v>1966</v>
      </c>
      <c r="B51" s="3">
        <v>1716</v>
      </c>
      <c r="C51" s="10">
        <f t="shared" si="1"/>
        <v>154994072.60079348</v>
      </c>
      <c r="D51" s="11">
        <v>2.1499999999999998E-2</v>
      </c>
      <c r="E51" s="10">
        <f t="shared" si="2"/>
        <v>3262234.5187636614</v>
      </c>
      <c r="F51" s="3"/>
      <c r="G51" s="29">
        <v>12.4</v>
      </c>
      <c r="H51" s="10"/>
      <c r="I51" s="10">
        <f t="shared" si="8"/>
        <v>433.50790415453173</v>
      </c>
      <c r="J51" s="10">
        <f t="shared" si="6"/>
        <v>67191155569.545311</v>
      </c>
      <c r="K51" s="11">
        <f t="shared" si="7"/>
        <v>0.14816600000000024</v>
      </c>
    </row>
    <row r="52" spans="1:11" ht="22.5" customHeight="1">
      <c r="A52" s="3">
        <f t="shared" si="0"/>
        <v>1965</v>
      </c>
      <c r="B52" s="3">
        <v>1715</v>
      </c>
      <c r="C52" s="10">
        <f t="shared" si="1"/>
        <v>151731838.08202982</v>
      </c>
      <c r="D52" s="11">
        <v>2.12E-2</v>
      </c>
      <c r="E52" s="10">
        <f t="shared" si="2"/>
        <v>3149936.3174099624</v>
      </c>
      <c r="F52" s="3"/>
      <c r="G52" s="29">
        <v>9.4</v>
      </c>
      <c r="H52" s="10"/>
      <c r="I52" s="10">
        <f t="shared" si="8"/>
        <v>385.68318874958334</v>
      </c>
      <c r="J52" s="10">
        <f t="shared" si="6"/>
        <v>58520419146.312721</v>
      </c>
      <c r="K52" s="11">
        <f t="shared" si="7"/>
        <v>0.11719280000000021</v>
      </c>
    </row>
    <row r="53" spans="1:11" ht="22.5" customHeight="1">
      <c r="A53" s="3">
        <f t="shared" si="0"/>
        <v>1964</v>
      </c>
      <c r="B53" s="3">
        <v>1714</v>
      </c>
      <c r="C53" s="10">
        <f t="shared" si="1"/>
        <v>148581901.76461986</v>
      </c>
      <c r="D53" s="11">
        <v>2.0799999999999999E-2</v>
      </c>
      <c r="E53" s="10">
        <f t="shared" si="2"/>
        <v>3027530.9136991501</v>
      </c>
      <c r="F53" s="3"/>
      <c r="G53" s="29">
        <v>7.45</v>
      </c>
      <c r="H53" s="10"/>
      <c r="I53" s="10">
        <f t="shared" si="8"/>
        <v>352.5440482171694</v>
      </c>
      <c r="J53" s="10">
        <f t="shared" si="6"/>
        <v>52381665139.904869</v>
      </c>
      <c r="K53" s="11">
        <f t="shared" si="7"/>
        <v>9.6849599999999869E-2</v>
      </c>
    </row>
    <row r="54" spans="1:11" ht="22.5" customHeight="1">
      <c r="A54" s="3">
        <f t="shared" si="0"/>
        <v>1963</v>
      </c>
      <c r="B54" s="3">
        <v>1713</v>
      </c>
      <c r="C54" s="10">
        <f t="shared" si="1"/>
        <v>145554370.85092071</v>
      </c>
      <c r="D54" s="11">
        <v>2.0400000000000001E-2</v>
      </c>
      <c r="E54" s="10">
        <f t="shared" si="2"/>
        <v>2909946.2616216838</v>
      </c>
      <c r="F54" s="3"/>
      <c r="G54" s="29">
        <v>5.99</v>
      </c>
      <c r="H54" s="10"/>
      <c r="I54" s="10">
        <f t="shared" si="8"/>
        <v>328.10055674003667</v>
      </c>
      <c r="J54" s="10">
        <f t="shared" si="6"/>
        <v>47756470112.132851</v>
      </c>
      <c r="K54" s="11">
        <f t="shared" si="7"/>
        <v>8.1521959999999893E-2</v>
      </c>
    </row>
    <row r="55" spans="1:11" ht="22.5" customHeight="1">
      <c r="A55" s="3">
        <f t="shared" si="0"/>
        <v>1962</v>
      </c>
      <c r="B55" s="3">
        <v>1712</v>
      </c>
      <c r="C55" s="10">
        <f t="shared" si="1"/>
        <v>142644424.58929902</v>
      </c>
      <c r="D55" s="11">
        <v>2.01E-2</v>
      </c>
      <c r="E55" s="10">
        <f t="shared" si="2"/>
        <v>2810658.6944857538</v>
      </c>
      <c r="F55" s="3"/>
      <c r="G55" s="29">
        <v>2.93</v>
      </c>
      <c r="H55" s="10"/>
      <c r="I55" s="10">
        <f t="shared" si="8"/>
        <v>309.55803070104412</v>
      </c>
      <c r="J55" s="10">
        <f t="shared" si="6"/>
        <v>44156727166.347</v>
      </c>
      <c r="K55" s="11">
        <f t="shared" si="7"/>
        <v>4.9988930000000265E-2</v>
      </c>
    </row>
    <row r="56" spans="1:11" ht="22.5" customHeight="1">
      <c r="A56" s="3">
        <f t="shared" si="0"/>
        <v>1961</v>
      </c>
      <c r="B56" s="3">
        <v>1711</v>
      </c>
      <c r="C56" s="10">
        <f t="shared" si="1"/>
        <v>139833765.89481327</v>
      </c>
      <c r="D56" s="11">
        <v>1.9900000000000001E-2</v>
      </c>
      <c r="E56" s="10">
        <f t="shared" si="2"/>
        <v>2728396.8441090286</v>
      </c>
      <c r="F56" s="3"/>
      <c r="G56" s="29">
        <v>3.72</v>
      </c>
      <c r="H56" s="10"/>
      <c r="I56" s="10">
        <f t="shared" si="8"/>
        <v>300.74616797925199</v>
      </c>
      <c r="J56" s="10">
        <f t="shared" si="6"/>
        <v>42054469246.972908</v>
      </c>
      <c r="K56" s="11">
        <f t="shared" si="7"/>
        <v>5.7840279999999966E-2</v>
      </c>
    </row>
    <row r="57" spans="1:11" ht="22.5" customHeight="1">
      <c r="A57" s="3">
        <f t="shared" si="0"/>
        <v>1960</v>
      </c>
      <c r="B57" s="3">
        <v>1710</v>
      </c>
      <c r="C57" s="10">
        <f t="shared" si="1"/>
        <v>137105369.05070424</v>
      </c>
      <c r="D57" s="11">
        <v>1.9800000000000002E-2</v>
      </c>
      <c r="E57" s="10">
        <f t="shared" si="2"/>
        <v>2661979.1206157506</v>
      </c>
      <c r="F57" s="3"/>
      <c r="G57" s="30">
        <v>6.96</v>
      </c>
      <c r="H57" s="10"/>
      <c r="I57" s="10">
        <f t="shared" si="8"/>
        <v>289.9596683178288</v>
      </c>
      <c r="J57" s="10">
        <f t="shared" si="6"/>
        <v>39755027334.535713</v>
      </c>
      <c r="K57" s="11">
        <f t="shared" si="7"/>
        <v>9.0778079999999761E-2</v>
      </c>
    </row>
    <row r="58" spans="1:11" ht="22.5" customHeight="1">
      <c r="A58" s="3">
        <f t="shared" si="0"/>
        <v>1959</v>
      </c>
      <c r="B58" s="3">
        <v>1709</v>
      </c>
      <c r="C58" s="10">
        <f t="shared" si="1"/>
        <v>134443389.93008849</v>
      </c>
      <c r="D58" s="11">
        <v>1.9699999999999999E-2</v>
      </c>
      <c r="E58" s="10">
        <f t="shared" si="2"/>
        <v>2597366.6584512591</v>
      </c>
      <c r="F58" s="3"/>
      <c r="G58" s="30">
        <v>2.09</v>
      </c>
      <c r="H58" s="10"/>
      <c r="I58" s="10">
        <f t="shared" si="8"/>
        <v>271.0916869089649</v>
      </c>
      <c r="J58" s="10">
        <f t="shared" si="6"/>
        <v>36446485369.907433</v>
      </c>
      <c r="K58" s="11">
        <f t="shared" si="7"/>
        <v>4.1011730000000135E-2</v>
      </c>
    </row>
    <row r="59" spans="1:11" ht="22.5" customHeight="1">
      <c r="A59" s="3">
        <f t="shared" si="0"/>
        <v>1958</v>
      </c>
      <c r="B59" s="3">
        <v>1708</v>
      </c>
      <c r="C59" s="10">
        <f t="shared" si="1"/>
        <v>131846023.27163723</v>
      </c>
      <c r="D59" s="11">
        <v>1.9599999999999999E-2</v>
      </c>
      <c r="E59" s="10">
        <f t="shared" si="2"/>
        <v>2534505.7435505092</v>
      </c>
      <c r="F59" s="3"/>
      <c r="G59" s="30">
        <v>7.57</v>
      </c>
      <c r="H59" s="10"/>
      <c r="I59" s="10">
        <f t="shared" si="8"/>
        <v>265.54186199330485</v>
      </c>
      <c r="J59" s="10">
        <f t="shared" si="6"/>
        <v>35010638515.96315</v>
      </c>
      <c r="K59" s="11">
        <f t="shared" si="7"/>
        <v>9.6783720000000129E-2</v>
      </c>
    </row>
    <row r="60" spans="1:11" ht="22.5" customHeight="1">
      <c r="A60" s="3">
        <f t="shared" si="0"/>
        <v>1957</v>
      </c>
      <c r="B60" s="3">
        <v>1707</v>
      </c>
      <c r="C60" s="10">
        <f t="shared" si="1"/>
        <v>129311517.52808672</v>
      </c>
      <c r="D60" s="11">
        <v>1.9400000000000001E-2</v>
      </c>
      <c r="E60" s="10">
        <f t="shared" si="2"/>
        <v>2460901.9423630536</v>
      </c>
      <c r="F60" s="3"/>
      <c r="G60" s="30">
        <v>-1.02</v>
      </c>
      <c r="H60" s="10"/>
      <c r="I60" s="10">
        <f t="shared" si="8"/>
        <v>246.854942821702</v>
      </c>
      <c r="J60" s="10">
        <f t="shared" si="6"/>
        <v>31921187265.583363</v>
      </c>
      <c r="K60" s="11">
        <f t="shared" si="7"/>
        <v>9.0021200000001134E-3</v>
      </c>
    </row>
    <row r="61" spans="1:11" ht="22.5" customHeight="1">
      <c r="A61" s="3">
        <f t="shared" si="0"/>
        <v>1956</v>
      </c>
      <c r="B61" s="3">
        <v>1706</v>
      </c>
      <c r="C61" s="10">
        <f t="shared" si="1"/>
        <v>126850615.58572367</v>
      </c>
      <c r="D61" s="11">
        <v>1.9E-2</v>
      </c>
      <c r="E61" s="10">
        <f t="shared" si="2"/>
        <v>2365222.4692136794</v>
      </c>
      <c r="F61" s="3"/>
      <c r="G61" s="30">
        <v>5.73</v>
      </c>
      <c r="H61" s="10"/>
      <c r="I61" s="10">
        <f t="shared" si="8"/>
        <v>249.39881069074761</v>
      </c>
      <c r="J61" s="10">
        <f t="shared" si="6"/>
        <v>31636392662.468697</v>
      </c>
      <c r="K61" s="11">
        <f t="shared" si="7"/>
        <v>7.7388699999999977E-2</v>
      </c>
    </row>
    <row r="62" spans="1:11" ht="22.5" customHeight="1">
      <c r="A62" s="3">
        <f t="shared" si="0"/>
        <v>1955</v>
      </c>
      <c r="B62" s="3">
        <v>1705</v>
      </c>
      <c r="C62" s="10">
        <f t="shared" si="1"/>
        <v>124485393.11650999</v>
      </c>
      <c r="D62" s="11">
        <v>1.8499999999999999E-2</v>
      </c>
      <c r="E62" s="10">
        <f t="shared" si="2"/>
        <v>2261148.5249439627</v>
      </c>
      <c r="F62" s="3"/>
      <c r="G62" s="30">
        <v>12.48</v>
      </c>
      <c r="H62" s="10"/>
      <c r="I62" s="10">
        <f t="shared" si="8"/>
        <v>235.88273024756231</v>
      </c>
      <c r="J62" s="10">
        <f t="shared" si="6"/>
        <v>29363954404.263474</v>
      </c>
      <c r="K62" s="11">
        <f t="shared" si="7"/>
        <v>0.14560879999999998</v>
      </c>
    </row>
    <row r="63" spans="1:11" ht="22.5" customHeight="1">
      <c r="A63" s="3">
        <f t="shared" si="0"/>
        <v>1954</v>
      </c>
      <c r="B63" s="3">
        <v>1704</v>
      </c>
      <c r="C63" s="10">
        <f t="shared" si="1"/>
        <v>122224244.59156603</v>
      </c>
      <c r="D63" s="11">
        <v>1.7999999999999999E-2</v>
      </c>
      <c r="E63" s="10">
        <f t="shared" si="2"/>
        <v>2161135.9554500878</v>
      </c>
      <c r="F63" s="3"/>
      <c r="G63" s="30">
        <v>14.18</v>
      </c>
      <c r="H63" s="10"/>
      <c r="I63" s="10">
        <f t="shared" si="8"/>
        <v>209.71081992137474</v>
      </c>
      <c r="J63" s="10">
        <f t="shared" si="6"/>
        <v>25631746547.567963</v>
      </c>
      <c r="K63" s="11">
        <f t="shared" si="7"/>
        <v>0.16235239999999984</v>
      </c>
    </row>
    <row r="64" spans="1:11" ht="22.5" customHeight="1">
      <c r="A64" s="3">
        <f t="shared" si="0"/>
        <v>1953</v>
      </c>
      <c r="B64" s="3">
        <v>1703</v>
      </c>
      <c r="C64" s="10">
        <f t="shared" si="1"/>
        <v>120063108.63611594</v>
      </c>
      <c r="D64" s="11">
        <v>1.7399999999999999E-2</v>
      </c>
      <c r="E64" s="10">
        <f t="shared" si="2"/>
        <v>2053369.4616359621</v>
      </c>
      <c r="F64" s="3"/>
      <c r="G64" s="30">
        <v>6.35</v>
      </c>
      <c r="H64" s="10"/>
      <c r="I64" s="10">
        <f t="shared" si="8"/>
        <v>183.66685927603325</v>
      </c>
      <c r="J64" s="10">
        <f t="shared" si="6"/>
        <v>22051614078.112598</v>
      </c>
      <c r="K64" s="11">
        <f t="shared" si="7"/>
        <v>8.2004900000000047E-2</v>
      </c>
    </row>
    <row r="65" spans="1:13" ht="22.5" customHeight="1">
      <c r="A65" s="3">
        <f t="shared" si="0"/>
        <v>1952</v>
      </c>
      <c r="B65" s="3">
        <v>1702</v>
      </c>
      <c r="C65" s="10">
        <f t="shared" si="1"/>
        <v>118009739.17447998</v>
      </c>
      <c r="D65" s="11">
        <v>1.6899999999999998E-2</v>
      </c>
      <c r="E65" s="10">
        <f t="shared" si="2"/>
        <v>1961219.9744799882</v>
      </c>
      <c r="F65" s="3"/>
      <c r="G65" s="30">
        <v>-0.94</v>
      </c>
      <c r="H65" s="10"/>
      <c r="I65" s="10">
        <f t="shared" si="8"/>
        <v>172.7003848387713</v>
      </c>
      <c r="J65" s="10">
        <f t="shared" si="6"/>
        <v>20380327370.155716</v>
      </c>
      <c r="K65" s="11">
        <f t="shared" si="7"/>
        <v>7.3411399999996352E-3</v>
      </c>
      <c r="L65" t="s">
        <v>148</v>
      </c>
      <c r="M65" t="s">
        <v>123</v>
      </c>
    </row>
    <row r="66" spans="1:13" ht="22.5" customHeight="1">
      <c r="A66" s="3">
        <f t="shared" si="0"/>
        <v>1951</v>
      </c>
      <c r="B66" s="3">
        <v>1701</v>
      </c>
      <c r="C66" s="10">
        <f t="shared" si="1"/>
        <v>116048519.19999999</v>
      </c>
      <c r="D66" s="11">
        <v>1.6500000000000001E-2</v>
      </c>
      <c r="E66" s="10">
        <f t="shared" si="2"/>
        <v>1883719.1999999881</v>
      </c>
      <c r="F66" s="23">
        <f>SUM(F2)</f>
        <v>27077612.594551396</v>
      </c>
      <c r="G66" s="30">
        <v>2.29</v>
      </c>
      <c r="H66" s="10"/>
      <c r="I66" s="10">
        <f t="shared" si="8"/>
        <v>174.33917306558783</v>
      </c>
      <c r="J66" s="10">
        <f t="shared" ref="J66:J67" si="9">IF(I66="","",I66*C66)</f>
        <v>20231802872.813992</v>
      </c>
      <c r="K66" s="11">
        <f t="shared" ref="K66" si="10">IFERROR(J66/J67-1,"")</f>
        <v>3.9777849999999892E-2</v>
      </c>
    </row>
    <row r="67" spans="1:13" ht="22.5" customHeight="1">
      <c r="A67" s="3">
        <f t="shared" si="0"/>
        <v>1950</v>
      </c>
      <c r="B67" s="3">
        <v>1700</v>
      </c>
      <c r="C67" s="10">
        <v>114164800</v>
      </c>
      <c r="D67" s="11">
        <v>1.6199999999999999E-2</v>
      </c>
      <c r="E67" s="3" t="s">
        <v>72</v>
      </c>
      <c r="F67" s="10">
        <f>SUM(C2)</f>
        <v>425141489.37159437</v>
      </c>
      <c r="G67" s="30">
        <v>0.31</v>
      </c>
      <c r="H67" s="10"/>
      <c r="I67" s="10">
        <f t="shared" ref="I67" si="11">IF(H67&lt;&gt;"",H67,I66/(1+IF(G66="",0,G66)/100))</f>
        <v>170.43618444186905</v>
      </c>
      <c r="J67" s="10">
        <f t="shared" si="9"/>
        <v>19457812909.569092</v>
      </c>
      <c r="K67" s="11"/>
    </row>
  </sheetData>
  <dataValidations count="1">
    <dataValidation type="custom" allowBlank="1" showDropDown="1" sqref="D2:D67" xr:uid="{00000000-0002-0000-AD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174</vt:i4>
      </vt:variant>
    </vt:vector>
  </HeadingPairs>
  <TitlesOfParts>
    <vt:vector size="174" baseType="lpstr">
      <vt:lpstr>GlobalContinent Population</vt:lpstr>
      <vt:lpstr>Geoscheme Population</vt:lpstr>
      <vt:lpstr>Acetoa</vt:lpstr>
      <vt:lpstr>Acrana</vt:lpstr>
      <vt:lpstr>Aetintio</vt:lpstr>
      <vt:lpstr>Ahokini</vt:lpstr>
      <vt:lpstr>Amcha</vt:lpstr>
      <vt:lpstr>Andsaudare</vt:lpstr>
      <vt:lpstr>Anymna</vt:lpstr>
      <vt:lpstr>Aplasia</vt:lpstr>
      <vt:lpstr>Arbiya</vt:lpstr>
      <vt:lpstr>Areoix Lie</vt:lpstr>
      <vt:lpstr>Ashain</vt:lpstr>
      <vt:lpstr>Astye</vt:lpstr>
      <vt:lpstr>Baluyde</vt:lpstr>
      <vt:lpstr>Byllu</vt:lpstr>
      <vt:lpstr>Candenat</vt:lpstr>
      <vt:lpstr>Canldives</vt:lpstr>
      <vt:lpstr>Chaenia</vt:lpstr>
      <vt:lpstr>Cloja</vt:lpstr>
      <vt:lpstr>Crila Republic</vt:lpstr>
      <vt:lpstr>Cruthi Anoso</vt:lpstr>
      <vt:lpstr>Curata</vt:lpstr>
      <vt:lpstr>Dahe</vt:lpstr>
      <vt:lpstr>Danocia</vt:lpstr>
      <vt:lpstr>Darewa</vt:lpstr>
      <vt:lpstr>Desaki</vt:lpstr>
      <vt:lpstr>Deschon</vt:lpstr>
      <vt:lpstr>Disal Nila</vt:lpstr>
      <vt:lpstr>Dual Cenryia</vt:lpstr>
      <vt:lpstr>Ealdorii</vt:lpstr>
      <vt:lpstr>Easuhura</vt:lpstr>
      <vt:lpstr>Eldavpir</vt:lpstr>
      <vt:lpstr>Eldjo</vt:lpstr>
      <vt:lpstr>Elja and Munusia</vt:lpstr>
      <vt:lpstr>Emara</vt:lpstr>
      <vt:lpstr>Enina</vt:lpstr>
      <vt:lpstr>Eparia</vt:lpstr>
      <vt:lpstr>Erkizil</vt:lpstr>
      <vt:lpstr>Estijan</vt:lpstr>
      <vt:lpstr>Etirha</vt:lpstr>
      <vt:lpstr>Etretes</vt:lpstr>
      <vt:lpstr>Exilium</vt:lpstr>
      <vt:lpstr>Far Lands</vt:lpstr>
      <vt:lpstr>Feio Lie</vt:lpstr>
      <vt:lpstr>Fermori</vt:lpstr>
      <vt:lpstr>Finae</vt:lpstr>
      <vt:lpstr>Fincen</vt:lpstr>
      <vt:lpstr>Fire Coast</vt:lpstr>
      <vt:lpstr>Gaeiya</vt:lpstr>
      <vt:lpstr>Galca</vt:lpstr>
      <vt:lpstr>Genaire</vt:lpstr>
      <vt:lpstr>Grazail</vt:lpstr>
      <vt:lpstr>Guise</vt:lpstr>
      <vt:lpstr>Haiza</vt:lpstr>
      <vt:lpstr>Heiso</vt:lpstr>
      <vt:lpstr>Hiwush</vt:lpstr>
      <vt:lpstr>Hkuqo</vt:lpstr>
      <vt:lpstr>Hyelen</vt:lpstr>
      <vt:lpstr>Iainoa</vt:lpstr>
      <vt:lpstr>Iareva</vt:lpstr>
      <vt:lpstr>Ihner</vt:lpstr>
      <vt:lpstr>Ikzen</vt:lpstr>
      <vt:lpstr>Ilicuhe</vt:lpstr>
      <vt:lpstr>Inania</vt:lpstr>
      <vt:lpstr>Inrea</vt:lpstr>
      <vt:lpstr>Iquir</vt:lpstr>
      <vt:lpstr>Isari</vt:lpstr>
      <vt:lpstr>Isnti</vt:lpstr>
      <vt:lpstr>Isuibul</vt:lpstr>
      <vt:lpstr>Jathua</vt:lpstr>
      <vt:lpstr>Jau</vt:lpstr>
      <vt:lpstr>Jshain</vt:lpstr>
      <vt:lpstr>Kaastini</vt:lpstr>
      <vt:lpstr>Koruch</vt:lpstr>
      <vt:lpstr>Kusierna</vt:lpstr>
      <vt:lpstr>Laselteh</vt:lpstr>
      <vt:lpstr>Lasri</vt:lpstr>
      <vt:lpstr>Letan</vt:lpstr>
      <vt:lpstr>Lieri</vt:lpstr>
      <vt:lpstr>Lycroa</vt:lpstr>
      <vt:lpstr>Lydroa</vt:lpstr>
      <vt:lpstr>Maalle</vt:lpstr>
      <vt:lpstr>Mendereide</vt:lpstr>
      <vt:lpstr>Merela Sta</vt:lpstr>
      <vt:lpstr>Mesjan Hyaa</vt:lpstr>
      <vt:lpstr>Metndria</vt:lpstr>
      <vt:lpstr>Migoku</vt:lpstr>
      <vt:lpstr>Myla</vt:lpstr>
      <vt:lpstr>New Kizura</vt:lpstr>
      <vt:lpstr>New Misos</vt:lpstr>
      <vt:lpstr>Nheyes Si</vt:lpstr>
      <vt:lpstr>Nia</vt:lpstr>
      <vt:lpstr>Niretui and Anulan</vt:lpstr>
      <vt:lpstr>Niul Spijan</vt:lpstr>
      <vt:lpstr>North Ayre</vt:lpstr>
      <vt:lpstr>Ocaun</vt:lpstr>
      <vt:lpstr>Ohtina</vt:lpstr>
      <vt:lpstr>Onphello</vt:lpstr>
      <vt:lpstr>Oscairia</vt:lpstr>
      <vt:lpstr>Othya</vt:lpstr>
      <vt:lpstr>Otiiric</vt:lpstr>
      <vt:lpstr>Oyreain</vt:lpstr>
      <vt:lpstr>Ozinia</vt:lpstr>
      <vt:lpstr>Palina</vt:lpstr>
      <vt:lpstr>Peka</vt:lpstr>
      <vt:lpstr>Pelan</vt:lpstr>
      <vt:lpstr>Pelines</vt:lpstr>
      <vt:lpstr>Pelugrotoa</vt:lpstr>
      <vt:lpstr>Pha Hii</vt:lpstr>
      <vt:lpstr>Phuris</vt:lpstr>
      <vt:lpstr>Praesyu</vt:lpstr>
      <vt:lpstr>Prstreula</vt:lpstr>
      <vt:lpstr>Pruim Fijan</vt:lpstr>
      <vt:lpstr>Prystr Hii</vt:lpstr>
      <vt:lpstr>Quidic</vt:lpstr>
      <vt:lpstr>Raledria</vt:lpstr>
      <vt:lpstr>Reerica</vt:lpstr>
      <vt:lpstr>Rethern</vt:lpstr>
      <vt:lpstr>Rijan bu</vt:lpstr>
      <vt:lpstr>Rinew</vt:lpstr>
      <vt:lpstr>Rkmepuia</vt:lpstr>
      <vt:lpstr>Rtesania</vt:lpstr>
      <vt:lpstr>Ruylku</vt:lpstr>
      <vt:lpstr>Saa</vt:lpstr>
      <vt:lpstr>Sadain</vt:lpstr>
      <vt:lpstr>Sanagara</vt:lpstr>
      <vt:lpstr>Sattle</vt:lpstr>
      <vt:lpstr>Selaja</vt:lpstr>
      <vt:lpstr>Seytinemas</vt:lpstr>
      <vt:lpstr>Shinam</vt:lpstr>
      <vt:lpstr>Shomjind</vt:lpstr>
      <vt:lpstr>Siana</vt:lpstr>
      <vt:lpstr>Sivoso</vt:lpstr>
      <vt:lpstr>Slyiaduun</vt:lpstr>
      <vt:lpstr>Stinebar</vt:lpstr>
      <vt:lpstr>Suenan</vt:lpstr>
      <vt:lpstr>Sunsokua</vt:lpstr>
      <vt:lpstr>Taing</vt:lpstr>
      <vt:lpstr>Taniduna</vt:lpstr>
      <vt:lpstr>Taoisia</vt:lpstr>
      <vt:lpstr>Taval</vt:lpstr>
      <vt:lpstr>Terressin</vt:lpstr>
      <vt:lpstr>Tomscilus</vt:lpstr>
      <vt:lpstr>Tonder</vt:lpstr>
      <vt:lpstr>Trevilla</vt:lpstr>
      <vt:lpstr>Trian</vt:lpstr>
      <vt:lpstr>Tvecoca</vt:lpstr>
      <vt:lpstr>Ucrua</vt:lpstr>
      <vt:lpstr>Ukhdari</vt:lpstr>
      <vt:lpstr>Umarcia</vt:lpstr>
      <vt:lpstr>Umendel</vt:lpstr>
      <vt:lpstr>United Delet</vt:lpstr>
      <vt:lpstr>United Mihili</vt:lpstr>
      <vt:lpstr>Urbiqu</vt:lpstr>
      <vt:lpstr>Uularin</vt:lpstr>
      <vt:lpstr>Vayvele</vt:lpstr>
      <vt:lpstr>Veelmit</vt:lpstr>
      <vt:lpstr>Verste</vt:lpstr>
      <vt:lpstr>Verusa</vt:lpstr>
      <vt:lpstr>Vesozata</vt:lpstr>
      <vt:lpstr>Viussi</vt:lpstr>
      <vt:lpstr>Volver</vt:lpstr>
      <vt:lpstr>Walporein</vt:lpstr>
      <vt:lpstr>Welenu Fana</vt:lpstr>
      <vt:lpstr>Western Migoku</vt:lpstr>
      <vt:lpstr>Wundry</vt:lpstr>
      <vt:lpstr>Yaxuto</vt:lpstr>
      <vt:lpstr>Yihnurda</vt:lpstr>
      <vt:lpstr>Yoprioq</vt:lpstr>
      <vt:lpstr>Yutnitu</vt:lpstr>
      <vt:lpstr>Zenashan</vt:lpstr>
      <vt:lpstr>Zhanshe</vt:lpstr>
      <vt:lpstr>Ztesh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Moyles</dc:creator>
  <cp:lastModifiedBy>Danny Moyles</cp:lastModifiedBy>
  <dcterms:created xsi:type="dcterms:W3CDTF">2026-07-06T20:56:44Z</dcterms:created>
  <dcterms:modified xsi:type="dcterms:W3CDTF">2026-07-08T13:10:30Z</dcterms:modified>
</cp:coreProperties>
</file>